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19110" yWindow="-15" windowWidth="19170" windowHeight="12795"/>
  </bookViews>
  <sheets>
    <sheet name="GeneralSettings" sheetId="1" r:id="rId1"/>
    <sheet name="GBPON" sheetId="14" r:id="rId2"/>
    <sheet name="GBP3M" sheetId="15" r:id="rId3"/>
    <sheet name="GBP6M" sheetId="16" r:id="rId4"/>
    <sheet name="GBP1M" sheetId="17" r:id="rId5"/>
    <sheet name="GBP1Y" sheetId="18" r:id="rId6"/>
    <sheet name="GBPSTD" sheetId="19" r:id="rId7"/>
  </sheets>
  <externalReferences>
    <externalReference r:id="rId8"/>
  </externalReferences>
  <definedNames>
    <definedName name="Calendar">GeneralSettings!$D$11</definedName>
    <definedName name="Currency">GeneralSettings!$D$3</definedName>
    <definedName name="Discounting1">GeneralSettings!$I$8</definedName>
    <definedName name="Discounting2">GeneralSettings!$I$9</definedName>
    <definedName name="DiscountingSTD">GeneralSettings!$I$10</definedName>
    <definedName name="EvaluationDate">GeneralSettings!$D$9</definedName>
    <definedName name="EvalutionDate">GeneralSettings!$D$9</definedName>
    <definedName name="FamilyName">GeneralSettings!$I$3</definedName>
    <definedName name="IncludeFlag" localSheetId="4">GBP1M!$R$3:$R$52</definedName>
    <definedName name="IncludeFlag" localSheetId="5">GBP1Y!$S$3:$S$53</definedName>
    <definedName name="IncludeFlag" localSheetId="2">GBP3M!$R$3:$R$65</definedName>
    <definedName name="IncludeFlag" localSheetId="3">GBP6M!$R$3:$R$59</definedName>
    <definedName name="IncludeFlag" localSheetId="1">GBPON!$M$3:$M$77</definedName>
    <definedName name="IncludeFlag" localSheetId="6">GBPSTD!$P$3:$P$72</definedName>
    <definedName name="LCHcubic">GeneralSettings!$I$7</definedName>
    <definedName name="LCHlinear">GeneralSettings!$I$6</definedName>
    <definedName name="MinDistance" localSheetId="4">GBP1M!$T$3:$T$52</definedName>
    <definedName name="MinDistance" localSheetId="5">GBP1Y!$U$3:$U$53</definedName>
    <definedName name="MinDistance" localSheetId="2">GBP3M!$T$3:$T$65</definedName>
    <definedName name="MinDistance" localSheetId="3">GBP6M!$T$3:$T$59</definedName>
    <definedName name="MinDistance" localSheetId="1">GBPON!$O$3:$O$77</definedName>
    <definedName name="MinDistance" localSheetId="6">GBPSTD!$R$3:$R$72</definedName>
    <definedName name="ObjectOverwrite">GeneralSettings!$D$6</definedName>
    <definedName name="Permanent">GeneralSettings!$D$4</definedName>
    <definedName name="PillarDate">GeneralSettings!$D$7</definedName>
    <definedName name="Priority" localSheetId="4">GBP1M!$S$3:$S$52</definedName>
    <definedName name="Priority" localSheetId="5">GBP1Y!$T$3:$T$53</definedName>
    <definedName name="Priority" localSheetId="2">GBP3M!$S$3:$S$65</definedName>
    <definedName name="Priority" localSheetId="3">GBP6M!$S$3:$S$59</definedName>
    <definedName name="Priority" localSheetId="1">GBPON!$N$3:$N$77</definedName>
    <definedName name="Priority" localSheetId="6">GBPSTD!$Q$3:$Q$72</definedName>
    <definedName name="QuoteSuffix">GeneralSettings!$I$4</definedName>
    <definedName name="RateHelpers" localSheetId="1">GBPON!$J$3:$J$77</definedName>
    <definedName name="RateHelpers">GBPSTD!$M$3:$M$72</definedName>
    <definedName name="RateHelpers1" localSheetId="4">GBP1M!$N$3:$N$52</definedName>
    <definedName name="RateHelpers1" localSheetId="5">GBP1Y!$O$3:$O$53</definedName>
    <definedName name="RateHelpers1" localSheetId="2">GBP3M!$N$3:$N$65</definedName>
    <definedName name="RateHelpers1" localSheetId="3">GBP6M!$N$3:$N$59</definedName>
    <definedName name="RateHelpers1" localSheetId="6">GBPSTD!$M$3:$M$72</definedName>
    <definedName name="RateHelpers2" localSheetId="4">GBP1M!$O$3:$O$52</definedName>
    <definedName name="RateHelpers2" localSheetId="5">GBP1Y!$P$3:$P$53</definedName>
    <definedName name="RateHelpers2" localSheetId="2">GBP3M!$O$3:$O$65</definedName>
    <definedName name="RateHelpers2" localSheetId="3">GBP6M!$O$3:$O$59</definedName>
    <definedName name="RateHelpers2" localSheetId="6">GBPSTD!#REF!</definedName>
    <definedName name="ReportQuoteOverwrite">GeneralSettings!$I$11</definedName>
    <definedName name="ReportQuoteSuffix">GeneralSettings!$I$5</definedName>
    <definedName name="SettlementDate">GeneralSettings!$D$10</definedName>
    <definedName name="Tenor" localSheetId="4">GBP1M!$G$1</definedName>
    <definedName name="Tenor" localSheetId="5">GBP1Y!$G$1</definedName>
    <definedName name="Tenor" localSheetId="2">GBP3M!$G$1</definedName>
    <definedName name="Tenor" localSheetId="3">GBP6M!$G$1</definedName>
    <definedName name="Trigger">GeneralSettings!$D$5</definedName>
    <definedName name="yieldcurve1_1M">GeneralSettings!$D$60</definedName>
    <definedName name="yieldcurve1_1Y">GeneralSettings!$D$75</definedName>
    <definedName name="YieldCurve1_3M">GeneralSettings!$D$30</definedName>
    <definedName name="YieldCurve1_6M">GeneralSettings!$D$45</definedName>
    <definedName name="YieldCurve1_ON">GeneralSettings!$D$15</definedName>
    <definedName name="yieldcurve1_STD">GeneralSettings!$D$90</definedName>
    <definedName name="yieldcurve2_1M">GeneralSettings!$I$60</definedName>
    <definedName name="yieldcurve2_1Y">GeneralSettings!$I$75</definedName>
    <definedName name="yieldcurve2_3M">GeneralSettings!$I$30</definedName>
    <definedName name="YieldCurve2_6M">GeneralSettings!$I$45</definedName>
    <definedName name="yieldcurve2_ON">GeneralSettings!$I$15</definedName>
  </definedNames>
  <calcPr calcId="145621"/>
</workbook>
</file>

<file path=xl/calcChain.xml><?xml version="1.0" encoding="utf-8"?>
<calcChain xmlns="http://schemas.openxmlformats.org/spreadsheetml/2006/main">
  <c r="I57" i="18" l="1"/>
  <c r="H57" i="18"/>
  <c r="I56" i="18"/>
  <c r="H56" i="18"/>
  <c r="I55" i="18"/>
  <c r="H55" i="18"/>
  <c r="I54" i="18"/>
  <c r="H54" i="18"/>
  <c r="I53" i="18"/>
  <c r="H53" i="18"/>
  <c r="I52" i="18"/>
  <c r="H52" i="18"/>
  <c r="I51" i="18"/>
  <c r="H51" i="18"/>
  <c r="I50" i="18"/>
  <c r="H50" i="18"/>
  <c r="I49" i="18"/>
  <c r="H49" i="18"/>
  <c r="I48" i="18"/>
  <c r="H48" i="18"/>
  <c r="I47" i="18"/>
  <c r="H47" i="18"/>
  <c r="I46" i="18"/>
  <c r="H46" i="18"/>
  <c r="I45" i="18"/>
  <c r="H45" i="18"/>
  <c r="I44" i="18"/>
  <c r="H44" i="18"/>
  <c r="I43" i="18"/>
  <c r="H43" i="18"/>
  <c r="I42" i="18"/>
  <c r="H42" i="18"/>
  <c r="I41" i="18"/>
  <c r="H41" i="18"/>
  <c r="I40" i="18"/>
  <c r="H40" i="18"/>
  <c r="I39" i="18"/>
  <c r="H39" i="18"/>
  <c r="I38" i="18"/>
  <c r="H38" i="18"/>
  <c r="I37" i="18"/>
  <c r="H37" i="18"/>
  <c r="I36" i="18"/>
  <c r="H36" i="18"/>
  <c r="I35" i="18"/>
  <c r="H35" i="18"/>
  <c r="I34" i="18"/>
  <c r="H34" i="18"/>
  <c r="I33" i="18"/>
  <c r="H33" i="18"/>
  <c r="I32" i="18"/>
  <c r="H32" i="18"/>
  <c r="I31" i="18"/>
  <c r="H31" i="18"/>
  <c r="I30" i="18"/>
  <c r="H30" i="18"/>
  <c r="I29" i="18"/>
  <c r="H29" i="18"/>
  <c r="I28" i="18"/>
  <c r="H28" i="18"/>
  <c r="I27" i="18"/>
  <c r="H27" i="18"/>
  <c r="I26" i="18"/>
  <c r="H26" i="18"/>
  <c r="I25" i="18"/>
  <c r="H25" i="18"/>
  <c r="I24" i="18"/>
  <c r="H24" i="18"/>
  <c r="I23" i="18"/>
  <c r="H23" i="18"/>
  <c r="I22" i="18"/>
  <c r="H22" i="18"/>
  <c r="I21" i="18"/>
  <c r="H21" i="18"/>
  <c r="I20" i="18"/>
  <c r="H20" i="18"/>
  <c r="L57" i="18"/>
  <c r="L33" i="18"/>
  <c r="L56" i="18"/>
  <c r="L48" i="18"/>
  <c r="L32" i="18"/>
  <c r="L55" i="18"/>
  <c r="L31" i="18"/>
  <c r="L38" i="18"/>
  <c r="L30" i="18"/>
  <c r="L53" i="18"/>
  <c r="L29" i="18"/>
  <c r="L28" i="18"/>
  <c r="L43" i="18"/>
  <c r="L35" i="18"/>
  <c r="L27" i="18"/>
  <c r="L26" i="18"/>
  <c r="L25" i="18"/>
  <c r="I56" i="17" l="1"/>
  <c r="I55" i="17"/>
  <c r="I54" i="17"/>
  <c r="I53" i="17"/>
  <c r="I52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38" i="17"/>
  <c r="I37" i="17"/>
  <c r="I36" i="17"/>
  <c r="I35" i="17"/>
  <c r="I34" i="17"/>
  <c r="I33" i="17"/>
  <c r="I32" i="17"/>
  <c r="I31" i="17"/>
  <c r="I30" i="17"/>
  <c r="I29" i="17"/>
  <c r="I28" i="17"/>
  <c r="I27" i="17"/>
  <c r="I26" i="17"/>
  <c r="I25" i="17"/>
  <c r="I24" i="17"/>
  <c r="I23" i="17"/>
  <c r="I22" i="17"/>
  <c r="I21" i="17"/>
  <c r="I20" i="17"/>
  <c r="I19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I69" i="15"/>
  <c r="I68" i="15"/>
  <c r="I67" i="15"/>
  <c r="I66" i="15"/>
  <c r="I65" i="15"/>
  <c r="I64" i="15"/>
  <c r="I63" i="15"/>
  <c r="I62" i="15"/>
  <c r="I61" i="15"/>
  <c r="I60" i="15"/>
  <c r="I59" i="15"/>
  <c r="I58" i="15"/>
  <c r="I57" i="15"/>
  <c r="I56" i="15"/>
  <c r="I55" i="15"/>
  <c r="I54" i="15"/>
  <c r="I53" i="15"/>
  <c r="I52" i="15"/>
  <c r="I51" i="15"/>
  <c r="I50" i="15"/>
  <c r="I49" i="15"/>
  <c r="I48" i="15"/>
  <c r="I47" i="15"/>
  <c r="I46" i="15"/>
  <c r="I45" i="15"/>
  <c r="I44" i="15"/>
  <c r="I43" i="15"/>
  <c r="I42" i="15"/>
  <c r="I41" i="15"/>
  <c r="I40" i="15"/>
  <c r="I39" i="15"/>
  <c r="I38" i="15"/>
  <c r="I37" i="15"/>
  <c r="I36" i="15"/>
  <c r="I35" i="15"/>
  <c r="I34" i="15"/>
  <c r="I33" i="15"/>
  <c r="I32" i="15"/>
  <c r="H69" i="15"/>
  <c r="H68" i="15"/>
  <c r="H67" i="15"/>
  <c r="H66" i="15"/>
  <c r="H65" i="15"/>
  <c r="H64" i="15"/>
  <c r="H63" i="15"/>
  <c r="H62" i="15"/>
  <c r="H61" i="15"/>
  <c r="H60" i="15"/>
  <c r="H59" i="15"/>
  <c r="H58" i="15"/>
  <c r="H57" i="15"/>
  <c r="H56" i="15"/>
  <c r="H55" i="15"/>
  <c r="H54" i="15"/>
  <c r="H53" i="15"/>
  <c r="H52" i="15"/>
  <c r="H51" i="15"/>
  <c r="H50" i="15"/>
  <c r="H49" i="15"/>
  <c r="H48" i="15"/>
  <c r="H47" i="15"/>
  <c r="H46" i="15"/>
  <c r="H45" i="15"/>
  <c r="H44" i="15"/>
  <c r="H43" i="15"/>
  <c r="H42" i="15"/>
  <c r="H41" i="15"/>
  <c r="H40" i="15"/>
  <c r="H39" i="15"/>
  <c r="H38" i="15"/>
  <c r="H37" i="15"/>
  <c r="H36" i="15"/>
  <c r="H35" i="15"/>
  <c r="H34" i="15"/>
  <c r="H33" i="15"/>
  <c r="H32" i="15"/>
  <c r="E42" i="14"/>
  <c r="E41" i="14"/>
  <c r="E40" i="14"/>
  <c r="E39" i="14"/>
  <c r="E38" i="14"/>
  <c r="E37" i="14"/>
  <c r="E36" i="14"/>
  <c r="E35" i="14"/>
  <c r="E34" i="14"/>
  <c r="E33" i="14"/>
  <c r="E32" i="14"/>
  <c r="E31" i="14"/>
  <c r="E30" i="14"/>
  <c r="E29" i="14"/>
  <c r="E28" i="14"/>
  <c r="E27" i="14"/>
  <c r="E26" i="14"/>
  <c r="E25" i="14"/>
  <c r="E24" i="14"/>
  <c r="E23" i="14"/>
  <c r="E22" i="14"/>
  <c r="E21" i="14"/>
  <c r="E20" i="14"/>
  <c r="E19" i="14"/>
  <c r="E18" i="14"/>
  <c r="E17" i="14"/>
  <c r="E16" i="14"/>
  <c r="E15" i="14"/>
  <c r="E14" i="14"/>
  <c r="E13" i="14"/>
  <c r="E12" i="14"/>
  <c r="E11" i="14"/>
  <c r="E10" i="14"/>
  <c r="E9" i="14"/>
  <c r="E8" i="14"/>
  <c r="E7" i="14"/>
  <c r="E81" i="14"/>
  <c r="E80" i="14"/>
  <c r="E79" i="14"/>
  <c r="E78" i="14"/>
  <c r="E77" i="14"/>
  <c r="E76" i="14"/>
  <c r="E75" i="14"/>
  <c r="E74" i="14"/>
  <c r="E73" i="14"/>
  <c r="E72" i="14"/>
  <c r="E71" i="14"/>
  <c r="E70" i="14"/>
  <c r="E69" i="14"/>
  <c r="E68" i="14"/>
  <c r="E67" i="14"/>
  <c r="E66" i="14"/>
  <c r="E65" i="14"/>
  <c r="E64" i="14"/>
  <c r="E63" i="14"/>
  <c r="E62" i="14"/>
  <c r="E61" i="14"/>
  <c r="E60" i="14"/>
  <c r="E59" i="14"/>
  <c r="E58" i="14"/>
  <c r="E57" i="14"/>
  <c r="E56" i="14"/>
  <c r="E55" i="14"/>
  <c r="E54" i="14"/>
  <c r="E53" i="14"/>
  <c r="E52" i="14"/>
  <c r="E51" i="14"/>
  <c r="E50" i="14"/>
  <c r="E49" i="14"/>
  <c r="E48" i="14"/>
  <c r="E47" i="14"/>
  <c r="E46" i="14"/>
  <c r="E45" i="14"/>
  <c r="F81" i="14"/>
  <c r="F80" i="14"/>
  <c r="F79" i="14"/>
  <c r="F78" i="14"/>
  <c r="F77" i="14"/>
  <c r="F76" i="14"/>
  <c r="F75" i="14"/>
  <c r="F74" i="14"/>
  <c r="F73" i="14"/>
  <c r="F72" i="14"/>
  <c r="F71" i="14"/>
  <c r="F70" i="14"/>
  <c r="F69" i="14"/>
  <c r="F68" i="14"/>
  <c r="F67" i="14"/>
  <c r="F66" i="14"/>
  <c r="F65" i="14"/>
  <c r="F64" i="14"/>
  <c r="F63" i="14"/>
  <c r="F62" i="14"/>
  <c r="F61" i="14"/>
  <c r="F60" i="14"/>
  <c r="F59" i="14"/>
  <c r="F58" i="14"/>
  <c r="F57" i="14"/>
  <c r="F56" i="14"/>
  <c r="F55" i="14"/>
  <c r="F54" i="14"/>
  <c r="F53" i="14"/>
  <c r="F52" i="14"/>
  <c r="F51" i="14"/>
  <c r="F50" i="14"/>
  <c r="F49" i="14"/>
  <c r="F48" i="14"/>
  <c r="F47" i="14"/>
  <c r="F46" i="14"/>
  <c r="F45" i="14"/>
  <c r="J67" i="19"/>
  <c r="G72" i="14"/>
  <c r="G52" i="14"/>
  <c r="G56" i="14"/>
  <c r="G67" i="14"/>
  <c r="G79" i="14"/>
  <c r="G59" i="14"/>
  <c r="G55" i="14"/>
  <c r="G51" i="14"/>
  <c r="G62" i="14"/>
  <c r="G50" i="14"/>
  <c r="G81" i="14"/>
  <c r="G54" i="14"/>
  <c r="G25" i="14"/>
  <c r="G57" i="14"/>
  <c r="G77" i="14"/>
  <c r="G24" i="14"/>
  <c r="G80" i="14"/>
  <c r="G53" i="14"/>
  <c r="J42" i="15"/>
  <c r="J69" i="15"/>
  <c r="G23" i="14"/>
  <c r="J41" i="15"/>
  <c r="G11" i="14"/>
  <c r="K50" i="15"/>
  <c r="K55" i="15"/>
  <c r="G16" i="14"/>
  <c r="K60" i="15"/>
  <c r="G17" i="14"/>
  <c r="J44" i="15"/>
  <c r="G19" i="14"/>
  <c r="G12" i="14"/>
  <c r="J60" i="15"/>
  <c r="G18" i="14"/>
  <c r="K42" i="15"/>
  <c r="G7" i="14"/>
  <c r="J68" i="15"/>
  <c r="J50" i="15"/>
  <c r="K41" i="15"/>
  <c r="K65" i="15"/>
  <c r="G15" i="14"/>
  <c r="J39" i="15"/>
  <c r="J67" i="15"/>
  <c r="G10" i="14"/>
  <c r="K38" i="15"/>
  <c r="J38" i="15"/>
  <c r="K47" i="15"/>
  <c r="J55" i="15"/>
  <c r="J65" i="15"/>
  <c r="G14" i="14"/>
  <c r="G22" i="14"/>
  <c r="K44" i="15"/>
  <c r="K69" i="15"/>
  <c r="J40" i="15"/>
  <c r="J47" i="15"/>
  <c r="K45" i="15"/>
  <c r="J45" i="15"/>
  <c r="G8" i="14"/>
  <c r="G21" i="14"/>
  <c r="K68" i="15"/>
  <c r="K67" i="15"/>
  <c r="K40" i="15"/>
  <c r="K43" i="15"/>
  <c r="K39" i="15"/>
  <c r="G20" i="14"/>
  <c r="J43" i="15"/>
  <c r="G13" i="14"/>
  <c r="AK3" i="16" a="1"/>
  <c r="AH3" i="16" a="1"/>
  <c r="AK3" i="17" a="1"/>
  <c r="AI3" i="15" a="1"/>
  <c r="AD3" i="19" a="1"/>
  <c r="AJ3" i="18" a="1"/>
  <c r="AH3" i="17" a="1"/>
  <c r="AE3" i="19" a="1"/>
  <c r="AH3" i="15" a="1"/>
  <c r="AL3" i="18" a="1"/>
  <c r="AI3" i="16" a="1"/>
  <c r="AI3" i="17" a="1"/>
  <c r="AK3" i="15" a="1"/>
  <c r="AI3" i="18" a="1"/>
  <c r="AE3" i="19" l="1"/>
  <c r="AE11" i="19"/>
  <c r="AE19" i="19"/>
  <c r="AE27" i="19"/>
  <c r="AE35" i="19"/>
  <c r="AE43" i="19"/>
  <c r="AE51" i="19"/>
  <c r="AE59" i="19"/>
  <c r="AE67" i="19"/>
  <c r="AE4" i="19"/>
  <c r="AE12" i="19"/>
  <c r="AE20" i="19"/>
  <c r="AE28" i="19"/>
  <c r="AE36" i="19"/>
  <c r="AE44" i="19"/>
  <c r="AE52" i="19"/>
  <c r="AE60" i="19"/>
  <c r="AE68" i="19"/>
  <c r="AE5" i="19"/>
  <c r="AE13" i="19"/>
  <c r="AE21" i="19"/>
  <c r="AE29" i="19"/>
  <c r="AE37" i="19"/>
  <c r="AE45" i="19"/>
  <c r="AE53" i="19"/>
  <c r="AE61" i="19"/>
  <c r="AE69" i="19"/>
  <c r="AE6" i="19"/>
  <c r="AE14" i="19"/>
  <c r="AE22" i="19"/>
  <c r="AE30" i="19"/>
  <c r="AE38" i="19"/>
  <c r="AE46" i="19"/>
  <c r="AE54" i="19"/>
  <c r="AE62" i="19"/>
  <c r="AE70" i="19"/>
  <c r="AE7" i="19"/>
  <c r="AE15" i="19"/>
  <c r="AE23" i="19"/>
  <c r="AE31" i="19"/>
  <c r="AE39" i="19"/>
  <c r="AE47" i="19"/>
  <c r="AE55" i="19"/>
  <c r="AE63" i="19"/>
  <c r="AE71" i="19"/>
  <c r="AE8" i="19"/>
  <c r="AE16" i="19"/>
  <c r="AE24" i="19"/>
  <c r="AE32" i="19"/>
  <c r="AE40" i="19"/>
  <c r="AE48" i="19"/>
  <c r="AE56" i="19"/>
  <c r="AE64" i="19"/>
  <c r="AE72" i="19"/>
  <c r="AE9" i="19"/>
  <c r="AE17" i="19"/>
  <c r="AE25" i="19"/>
  <c r="AE33" i="19"/>
  <c r="AE41" i="19"/>
  <c r="AE49" i="19"/>
  <c r="AE57" i="19"/>
  <c r="AE65" i="19"/>
  <c r="AE10" i="19"/>
  <c r="AE18" i="19"/>
  <c r="AE26" i="19"/>
  <c r="AE34" i="19"/>
  <c r="AE42" i="19"/>
  <c r="AE50" i="19"/>
  <c r="AE58" i="19"/>
  <c r="AE66" i="19"/>
  <c r="AD3" i="19"/>
  <c r="AD11" i="19"/>
  <c r="AD19" i="19"/>
  <c r="AD27" i="19"/>
  <c r="AD35" i="19"/>
  <c r="AD43" i="19"/>
  <c r="AD51" i="19"/>
  <c r="AD59" i="19"/>
  <c r="AD67" i="19"/>
  <c r="AD4" i="19"/>
  <c r="AD12" i="19"/>
  <c r="AD20" i="19"/>
  <c r="AD28" i="19"/>
  <c r="AD36" i="19"/>
  <c r="AD44" i="19"/>
  <c r="AD52" i="19"/>
  <c r="AD60" i="19"/>
  <c r="AD68" i="19"/>
  <c r="AD5" i="19"/>
  <c r="AD13" i="19"/>
  <c r="AD21" i="19"/>
  <c r="AD29" i="19"/>
  <c r="AD37" i="19"/>
  <c r="AD45" i="19"/>
  <c r="AD53" i="19"/>
  <c r="AD61" i="19"/>
  <c r="AD69" i="19"/>
  <c r="AD6" i="19"/>
  <c r="AD14" i="19"/>
  <c r="AD22" i="19"/>
  <c r="AD30" i="19"/>
  <c r="AD38" i="19"/>
  <c r="AD46" i="19"/>
  <c r="AD54" i="19"/>
  <c r="AD62" i="19"/>
  <c r="AD70" i="19"/>
  <c r="AD7" i="19"/>
  <c r="AD15" i="19"/>
  <c r="AD23" i="19"/>
  <c r="AD31" i="19"/>
  <c r="AD39" i="19"/>
  <c r="AD47" i="19"/>
  <c r="AD55" i="19"/>
  <c r="AD63" i="19"/>
  <c r="AD71" i="19"/>
  <c r="AD8" i="19"/>
  <c r="AD16" i="19"/>
  <c r="AD24" i="19"/>
  <c r="AD32" i="19"/>
  <c r="AD40" i="19"/>
  <c r="AD48" i="19"/>
  <c r="AD56" i="19"/>
  <c r="AD64" i="19"/>
  <c r="AD72" i="19"/>
  <c r="AD9" i="19"/>
  <c r="AD17" i="19"/>
  <c r="AD25" i="19"/>
  <c r="AD33" i="19"/>
  <c r="AD41" i="19"/>
  <c r="AD49" i="19"/>
  <c r="AD57" i="19"/>
  <c r="AD65" i="19"/>
  <c r="AD10" i="19"/>
  <c r="AD18" i="19"/>
  <c r="AD26" i="19"/>
  <c r="AD34" i="19"/>
  <c r="AD42" i="19"/>
  <c r="AD50" i="19"/>
  <c r="AD58" i="19"/>
  <c r="AD66" i="19"/>
  <c r="AL3" i="18"/>
  <c r="AL11" i="18"/>
  <c r="AL19" i="18"/>
  <c r="AL27" i="18"/>
  <c r="AL35" i="18"/>
  <c r="AL43" i="18"/>
  <c r="AL51" i="18"/>
  <c r="AL4" i="18"/>
  <c r="AL12" i="18"/>
  <c r="AL20" i="18"/>
  <c r="AL28" i="18"/>
  <c r="AL36" i="18"/>
  <c r="AL44" i="18"/>
  <c r="AL52" i="18"/>
  <c r="AL5" i="18"/>
  <c r="AL13" i="18"/>
  <c r="AL21" i="18"/>
  <c r="AL29" i="18"/>
  <c r="AL37" i="18"/>
  <c r="AL45" i="18"/>
  <c r="AL53" i="18"/>
  <c r="AL6" i="18"/>
  <c r="AL14" i="18"/>
  <c r="AL22" i="18"/>
  <c r="AL30" i="18"/>
  <c r="AL38" i="18"/>
  <c r="AL46" i="18"/>
  <c r="AL7" i="18"/>
  <c r="AL15" i="18"/>
  <c r="AL23" i="18"/>
  <c r="AL31" i="18"/>
  <c r="AL39" i="18"/>
  <c r="AL47" i="18"/>
  <c r="AL8" i="18"/>
  <c r="AL16" i="18"/>
  <c r="AL24" i="18"/>
  <c r="AL32" i="18"/>
  <c r="AL40" i="18"/>
  <c r="AL48" i="18"/>
  <c r="AL9" i="18"/>
  <c r="AL17" i="18"/>
  <c r="AL25" i="18"/>
  <c r="AL33" i="18"/>
  <c r="AL41" i="18"/>
  <c r="AL49" i="18"/>
  <c r="AL10" i="18"/>
  <c r="AL18" i="18"/>
  <c r="AL26" i="18"/>
  <c r="AL34" i="18"/>
  <c r="AL42" i="18"/>
  <c r="AL50" i="18"/>
  <c r="AJ3" i="18"/>
  <c r="AJ11" i="18"/>
  <c r="AJ19" i="18"/>
  <c r="AJ27" i="18"/>
  <c r="AJ35" i="18"/>
  <c r="AJ43" i="18"/>
  <c r="AJ51" i="18"/>
  <c r="AJ4" i="18"/>
  <c r="AJ12" i="18"/>
  <c r="AJ20" i="18"/>
  <c r="AJ28" i="18"/>
  <c r="AJ36" i="18"/>
  <c r="AJ44" i="18"/>
  <c r="AJ52" i="18"/>
  <c r="AJ5" i="18"/>
  <c r="AJ13" i="18"/>
  <c r="AJ21" i="18"/>
  <c r="AJ29" i="18"/>
  <c r="AJ37" i="18"/>
  <c r="AJ45" i="18"/>
  <c r="AJ53" i="18"/>
  <c r="AJ6" i="18"/>
  <c r="AJ14" i="18"/>
  <c r="AJ22" i="18"/>
  <c r="AJ30" i="18"/>
  <c r="AJ38" i="18"/>
  <c r="AJ46" i="18"/>
  <c r="AJ7" i="18"/>
  <c r="AJ15" i="18"/>
  <c r="AJ23" i="18"/>
  <c r="AJ31" i="18"/>
  <c r="AJ39" i="18"/>
  <c r="AJ47" i="18"/>
  <c r="AJ8" i="18"/>
  <c r="AJ16" i="18"/>
  <c r="AJ24" i="18"/>
  <c r="AJ32" i="18"/>
  <c r="AJ40" i="18"/>
  <c r="AJ48" i="18"/>
  <c r="AJ9" i="18"/>
  <c r="AJ17" i="18"/>
  <c r="AJ25" i="18"/>
  <c r="AJ33" i="18"/>
  <c r="AJ41" i="18"/>
  <c r="AJ49" i="18"/>
  <c r="AJ10" i="18"/>
  <c r="AJ18" i="18"/>
  <c r="AJ26" i="18"/>
  <c r="AJ34" i="18"/>
  <c r="AJ42" i="18"/>
  <c r="AJ50" i="18"/>
  <c r="AI3" i="18"/>
  <c r="AI11" i="18"/>
  <c r="AI19" i="18"/>
  <c r="AI27" i="18"/>
  <c r="AI35" i="18"/>
  <c r="AI43" i="18"/>
  <c r="AI51" i="18"/>
  <c r="AI4" i="18"/>
  <c r="AI12" i="18"/>
  <c r="AI20" i="18"/>
  <c r="AI28" i="18"/>
  <c r="AI36" i="18"/>
  <c r="AI44" i="18"/>
  <c r="AI52" i="18"/>
  <c r="AI5" i="18"/>
  <c r="AI13" i="18"/>
  <c r="AI21" i="18"/>
  <c r="AI29" i="18"/>
  <c r="AI37" i="18"/>
  <c r="AI45" i="18"/>
  <c r="AI53" i="18"/>
  <c r="AI6" i="18"/>
  <c r="AI14" i="18"/>
  <c r="AI22" i="18"/>
  <c r="AI30" i="18"/>
  <c r="AI38" i="18"/>
  <c r="AI46" i="18"/>
  <c r="AI7" i="18"/>
  <c r="AI15" i="18"/>
  <c r="AI23" i="18"/>
  <c r="AI31" i="18"/>
  <c r="AI39" i="18"/>
  <c r="AI47" i="18"/>
  <c r="AI8" i="18"/>
  <c r="AI16" i="18"/>
  <c r="AI24" i="18"/>
  <c r="AI32" i="18"/>
  <c r="AI40" i="18"/>
  <c r="AI48" i="18"/>
  <c r="AI9" i="18"/>
  <c r="AI17" i="18"/>
  <c r="AI25" i="18"/>
  <c r="AI33" i="18"/>
  <c r="AI41" i="18"/>
  <c r="AI49" i="18"/>
  <c r="AI10" i="18"/>
  <c r="AI18" i="18"/>
  <c r="AI26" i="18"/>
  <c r="AI34" i="18"/>
  <c r="AI42" i="18"/>
  <c r="AI50" i="18"/>
  <c r="AK3" i="17"/>
  <c r="AK11" i="17"/>
  <c r="AK19" i="17"/>
  <c r="AK27" i="17"/>
  <c r="AK35" i="17"/>
  <c r="AK43" i="17"/>
  <c r="AK51" i="17"/>
  <c r="AK4" i="17"/>
  <c r="AK12" i="17"/>
  <c r="AK20" i="17"/>
  <c r="AK28" i="17"/>
  <c r="AK36" i="17"/>
  <c r="AK44" i="17"/>
  <c r="AK52" i="17"/>
  <c r="AK5" i="17"/>
  <c r="AK13" i="17"/>
  <c r="AK21" i="17"/>
  <c r="AK29" i="17"/>
  <c r="AK37" i="17"/>
  <c r="AK45" i="17"/>
  <c r="AK6" i="17"/>
  <c r="AK14" i="17"/>
  <c r="AK22" i="17"/>
  <c r="AK30" i="17"/>
  <c r="AK38" i="17"/>
  <c r="AK46" i="17"/>
  <c r="AK7" i="17"/>
  <c r="AK15" i="17"/>
  <c r="AK23" i="17"/>
  <c r="AK31" i="17"/>
  <c r="AK39" i="17"/>
  <c r="AK47" i="17"/>
  <c r="AK8" i="17"/>
  <c r="AK16" i="17"/>
  <c r="AK24" i="17"/>
  <c r="AK32" i="17"/>
  <c r="AK40" i="17"/>
  <c r="AK48" i="17"/>
  <c r="AK9" i="17"/>
  <c r="AK17" i="17"/>
  <c r="AK25" i="17"/>
  <c r="AK33" i="17"/>
  <c r="AK41" i="17"/>
  <c r="AK49" i="17"/>
  <c r="AK10" i="17"/>
  <c r="AK18" i="17"/>
  <c r="AK26" i="17"/>
  <c r="AK34" i="17"/>
  <c r="AK42" i="17"/>
  <c r="AK50" i="17"/>
  <c r="AI3" i="17"/>
  <c r="AI11" i="17"/>
  <c r="AI19" i="17"/>
  <c r="AI27" i="17"/>
  <c r="AI35" i="17"/>
  <c r="AI43" i="17"/>
  <c r="AI51" i="17"/>
  <c r="AI4" i="17"/>
  <c r="AI12" i="17"/>
  <c r="AI20" i="17"/>
  <c r="AI28" i="17"/>
  <c r="AI36" i="17"/>
  <c r="AI44" i="17"/>
  <c r="AI52" i="17"/>
  <c r="AI5" i="17"/>
  <c r="AI13" i="17"/>
  <c r="AI21" i="17"/>
  <c r="AI29" i="17"/>
  <c r="AI37" i="17"/>
  <c r="AI45" i="17"/>
  <c r="AI6" i="17"/>
  <c r="AI14" i="17"/>
  <c r="AI22" i="17"/>
  <c r="AI30" i="17"/>
  <c r="AI38" i="17"/>
  <c r="AI46" i="17"/>
  <c r="AI7" i="17"/>
  <c r="AI15" i="17"/>
  <c r="AI23" i="17"/>
  <c r="AI31" i="17"/>
  <c r="AI39" i="17"/>
  <c r="AI47" i="17"/>
  <c r="AI8" i="17"/>
  <c r="AI16" i="17"/>
  <c r="AI24" i="17"/>
  <c r="AI32" i="17"/>
  <c r="AI40" i="17"/>
  <c r="AI48" i="17"/>
  <c r="AI9" i="17"/>
  <c r="AI17" i="17"/>
  <c r="AI25" i="17"/>
  <c r="AI33" i="17"/>
  <c r="AI41" i="17"/>
  <c r="AI49" i="17"/>
  <c r="AI10" i="17"/>
  <c r="AI18" i="17"/>
  <c r="AI26" i="17"/>
  <c r="AI34" i="17"/>
  <c r="AI42" i="17"/>
  <c r="AI50" i="17"/>
  <c r="AH3" i="17"/>
  <c r="AH11" i="17"/>
  <c r="AH19" i="17"/>
  <c r="AH27" i="17"/>
  <c r="AH35" i="17"/>
  <c r="AH43" i="17"/>
  <c r="AH51" i="17"/>
  <c r="AH4" i="17"/>
  <c r="AH12" i="17"/>
  <c r="AH20" i="17"/>
  <c r="AH28" i="17"/>
  <c r="AH36" i="17"/>
  <c r="AH44" i="17"/>
  <c r="AH52" i="17"/>
  <c r="AH5" i="17"/>
  <c r="AH13" i="17"/>
  <c r="AH21" i="17"/>
  <c r="AH29" i="17"/>
  <c r="AH37" i="17"/>
  <c r="AH45" i="17"/>
  <c r="AH6" i="17"/>
  <c r="AH14" i="17"/>
  <c r="AH22" i="17"/>
  <c r="AH30" i="17"/>
  <c r="AH38" i="17"/>
  <c r="AH46" i="17"/>
  <c r="AH7" i="17"/>
  <c r="AH15" i="17"/>
  <c r="AH23" i="17"/>
  <c r="AH31" i="17"/>
  <c r="AH39" i="17"/>
  <c r="AH47" i="17"/>
  <c r="AH8" i="17"/>
  <c r="AH16" i="17"/>
  <c r="AH24" i="17"/>
  <c r="AH32" i="17"/>
  <c r="AH40" i="17"/>
  <c r="AH48" i="17"/>
  <c r="AH9" i="17"/>
  <c r="AH17" i="17"/>
  <c r="AH25" i="17"/>
  <c r="AH33" i="17"/>
  <c r="AH41" i="17"/>
  <c r="AH49" i="17"/>
  <c r="AH10" i="17"/>
  <c r="AH18" i="17"/>
  <c r="AH26" i="17"/>
  <c r="AH34" i="17"/>
  <c r="AH42" i="17"/>
  <c r="AH50" i="17"/>
  <c r="AK3" i="16"/>
  <c r="AK11" i="16"/>
  <c r="AK19" i="16"/>
  <c r="AK27" i="16"/>
  <c r="AK35" i="16"/>
  <c r="AK43" i="16"/>
  <c r="AK51" i="16"/>
  <c r="AK59" i="16"/>
  <c r="AK4" i="16"/>
  <c r="AK12" i="16"/>
  <c r="AK20" i="16"/>
  <c r="AK28" i="16"/>
  <c r="AK36" i="16"/>
  <c r="AK44" i="16"/>
  <c r="AK52" i="16"/>
  <c r="AK5" i="16"/>
  <c r="AK13" i="16"/>
  <c r="AK21" i="16"/>
  <c r="AK29" i="16"/>
  <c r="AK37" i="16"/>
  <c r="AK45" i="16"/>
  <c r="AK53" i="16"/>
  <c r="AK6" i="16"/>
  <c r="AK14" i="16"/>
  <c r="AK22" i="16"/>
  <c r="AK30" i="16"/>
  <c r="AK38" i="16"/>
  <c r="AK46" i="16"/>
  <c r="AK54" i="16"/>
  <c r="AK7" i="16"/>
  <c r="AK15" i="16"/>
  <c r="AK23" i="16"/>
  <c r="AK31" i="16"/>
  <c r="AK39" i="16"/>
  <c r="AK47" i="16"/>
  <c r="AK55" i="16"/>
  <c r="AK8" i="16"/>
  <c r="AK16" i="16"/>
  <c r="AK24" i="16"/>
  <c r="AK32" i="16"/>
  <c r="AK40" i="16"/>
  <c r="AK48" i="16"/>
  <c r="AK56" i="16"/>
  <c r="AK9" i="16"/>
  <c r="AK17" i="16"/>
  <c r="AK25" i="16"/>
  <c r="AK33" i="16"/>
  <c r="AK41" i="16"/>
  <c r="AK49" i="16"/>
  <c r="AK57" i="16"/>
  <c r="AK10" i="16"/>
  <c r="AK18" i="16"/>
  <c r="AK26" i="16"/>
  <c r="AK34" i="16"/>
  <c r="AK42" i="16"/>
  <c r="AK50" i="16"/>
  <c r="AK58" i="16"/>
  <c r="AI3" i="16"/>
  <c r="AI11" i="16"/>
  <c r="AI19" i="16"/>
  <c r="AI27" i="16"/>
  <c r="AI35" i="16"/>
  <c r="AI43" i="16"/>
  <c r="AI51" i="16"/>
  <c r="AI59" i="16"/>
  <c r="AI4" i="16"/>
  <c r="AI12" i="16"/>
  <c r="AI20" i="16"/>
  <c r="AI28" i="16"/>
  <c r="AI36" i="16"/>
  <c r="AI44" i="16"/>
  <c r="AI52" i="16"/>
  <c r="AI5" i="16"/>
  <c r="AI13" i="16"/>
  <c r="AI21" i="16"/>
  <c r="AI29" i="16"/>
  <c r="AI37" i="16"/>
  <c r="AI45" i="16"/>
  <c r="AI53" i="16"/>
  <c r="AI6" i="16"/>
  <c r="AI14" i="16"/>
  <c r="AI22" i="16"/>
  <c r="AI30" i="16"/>
  <c r="AI38" i="16"/>
  <c r="AI46" i="16"/>
  <c r="AI54" i="16"/>
  <c r="AI7" i="16"/>
  <c r="AI15" i="16"/>
  <c r="AI23" i="16"/>
  <c r="AI31" i="16"/>
  <c r="AI39" i="16"/>
  <c r="AI47" i="16"/>
  <c r="AI55" i="16"/>
  <c r="AI8" i="16"/>
  <c r="AI16" i="16"/>
  <c r="AI24" i="16"/>
  <c r="AI32" i="16"/>
  <c r="AI40" i="16"/>
  <c r="AI48" i="16"/>
  <c r="AI56" i="16"/>
  <c r="AI9" i="16"/>
  <c r="AI17" i="16"/>
  <c r="AI25" i="16"/>
  <c r="AI33" i="16"/>
  <c r="AI41" i="16"/>
  <c r="AI49" i="16"/>
  <c r="AI57" i="16"/>
  <c r="AI10" i="16"/>
  <c r="AI18" i="16"/>
  <c r="AI26" i="16"/>
  <c r="AI34" i="16"/>
  <c r="AI42" i="16"/>
  <c r="AI50" i="16"/>
  <c r="AI58" i="16"/>
  <c r="AH3" i="16"/>
  <c r="AH11" i="16"/>
  <c r="AH19" i="16"/>
  <c r="AH27" i="16"/>
  <c r="AH35" i="16"/>
  <c r="AH43" i="16"/>
  <c r="AH51" i="16"/>
  <c r="AH59" i="16"/>
  <c r="AH4" i="16"/>
  <c r="AH12" i="16"/>
  <c r="AH20" i="16"/>
  <c r="AH28" i="16"/>
  <c r="AH36" i="16"/>
  <c r="AH44" i="16"/>
  <c r="AH52" i="16"/>
  <c r="AH5" i="16"/>
  <c r="AH13" i="16"/>
  <c r="AH21" i="16"/>
  <c r="AH29" i="16"/>
  <c r="AH37" i="16"/>
  <c r="AH45" i="16"/>
  <c r="AH53" i="16"/>
  <c r="AH6" i="16"/>
  <c r="AH14" i="16"/>
  <c r="AH22" i="16"/>
  <c r="AH30" i="16"/>
  <c r="AH38" i="16"/>
  <c r="AH46" i="16"/>
  <c r="AH54" i="16"/>
  <c r="AH7" i="16"/>
  <c r="AH15" i="16"/>
  <c r="AH23" i="16"/>
  <c r="AH31" i="16"/>
  <c r="AH39" i="16"/>
  <c r="AH47" i="16"/>
  <c r="AH55" i="16"/>
  <c r="AH8" i="16"/>
  <c r="AH16" i="16"/>
  <c r="AH24" i="16"/>
  <c r="AH32" i="16"/>
  <c r="AH40" i="16"/>
  <c r="AH48" i="16"/>
  <c r="AH56" i="16"/>
  <c r="AH9" i="16"/>
  <c r="AH17" i="16"/>
  <c r="AH25" i="16"/>
  <c r="AH33" i="16"/>
  <c r="AH41" i="16"/>
  <c r="AH49" i="16"/>
  <c r="AH57" i="16"/>
  <c r="AH10" i="16"/>
  <c r="AH18" i="16"/>
  <c r="AH26" i="16"/>
  <c r="AH34" i="16"/>
  <c r="AH42" i="16"/>
  <c r="AH50" i="16"/>
  <c r="AH58" i="16"/>
  <c r="AK3" i="15"/>
  <c r="AK11" i="15"/>
  <c r="AK19" i="15"/>
  <c r="AK27" i="15"/>
  <c r="AK35" i="15"/>
  <c r="AK43" i="15"/>
  <c r="AK51" i="15"/>
  <c r="AK59" i="15"/>
  <c r="AK67" i="15"/>
  <c r="AK75" i="15"/>
  <c r="AK83" i="15"/>
  <c r="AK91" i="15"/>
  <c r="AK99" i="15"/>
  <c r="AK4" i="15"/>
  <c r="AK12" i="15"/>
  <c r="AK20" i="15"/>
  <c r="AK28" i="15"/>
  <c r="AK36" i="15"/>
  <c r="AK44" i="15"/>
  <c r="AK52" i="15"/>
  <c r="AK60" i="15"/>
  <c r="AK68" i="15"/>
  <c r="AK76" i="15"/>
  <c r="AK84" i="15"/>
  <c r="AK92" i="15"/>
  <c r="AK100" i="15"/>
  <c r="AK5" i="15"/>
  <c r="AK13" i="15"/>
  <c r="AK21" i="15"/>
  <c r="AK29" i="15"/>
  <c r="AK37" i="15"/>
  <c r="AK45" i="15"/>
  <c r="AK53" i="15"/>
  <c r="AK61" i="15"/>
  <c r="AK69" i="15"/>
  <c r="AK77" i="15"/>
  <c r="AK85" i="15"/>
  <c r="AK93" i="15"/>
  <c r="AK101" i="15"/>
  <c r="AK6" i="15"/>
  <c r="AK14" i="15"/>
  <c r="AK22" i="15"/>
  <c r="AK30" i="15"/>
  <c r="AK38" i="15"/>
  <c r="AK46" i="15"/>
  <c r="AK54" i="15"/>
  <c r="AK62" i="15"/>
  <c r="AK70" i="15"/>
  <c r="AK78" i="15"/>
  <c r="AK86" i="15"/>
  <c r="AK94" i="15"/>
  <c r="AK102" i="15"/>
  <c r="AK7" i="15"/>
  <c r="AK15" i="15"/>
  <c r="AK23" i="15"/>
  <c r="AK31" i="15"/>
  <c r="AK39" i="15"/>
  <c r="AK47" i="15"/>
  <c r="AK55" i="15"/>
  <c r="AK63" i="15"/>
  <c r="AK71" i="15"/>
  <c r="AK79" i="15"/>
  <c r="AK87" i="15"/>
  <c r="AK95" i="15"/>
  <c r="AK103" i="15"/>
  <c r="AK8" i="15"/>
  <c r="AK16" i="15"/>
  <c r="AK24" i="15"/>
  <c r="AK32" i="15"/>
  <c r="AK40" i="15"/>
  <c r="AK48" i="15"/>
  <c r="AK56" i="15"/>
  <c r="AK64" i="15"/>
  <c r="AK72" i="15"/>
  <c r="AK80" i="15"/>
  <c r="AK88" i="15"/>
  <c r="AK96" i="15"/>
  <c r="AK9" i="15"/>
  <c r="AK17" i="15"/>
  <c r="AK25" i="15"/>
  <c r="AK33" i="15"/>
  <c r="AK41" i="15"/>
  <c r="AK49" i="15"/>
  <c r="AK57" i="15"/>
  <c r="AK65" i="15"/>
  <c r="AK10" i="15"/>
  <c r="AK73" i="15"/>
  <c r="AK74" i="15"/>
  <c r="AK26" i="15"/>
  <c r="AK81" i="15"/>
  <c r="AK34" i="15"/>
  <c r="AK82" i="15"/>
  <c r="AK42" i="15"/>
  <c r="AK90" i="15"/>
  <c r="AK97" i="15"/>
  <c r="AK66" i="15"/>
  <c r="AK18" i="15"/>
  <c r="AK89" i="15"/>
  <c r="AK50" i="15"/>
  <c r="AK58" i="15"/>
  <c r="AK98" i="15"/>
  <c r="AI3" i="15"/>
  <c r="AI11" i="15"/>
  <c r="AI19" i="15"/>
  <c r="AI27" i="15"/>
  <c r="AI35" i="15"/>
  <c r="AI43" i="15"/>
  <c r="AI51" i="15"/>
  <c r="AI59" i="15"/>
  <c r="AI67" i="15"/>
  <c r="AI75" i="15"/>
  <c r="AI83" i="15"/>
  <c r="AI91" i="15"/>
  <c r="AI99" i="15"/>
  <c r="AI4" i="15"/>
  <c r="AI12" i="15"/>
  <c r="AI20" i="15"/>
  <c r="AI28" i="15"/>
  <c r="AI36" i="15"/>
  <c r="AI44" i="15"/>
  <c r="AI52" i="15"/>
  <c r="AI60" i="15"/>
  <c r="AI68" i="15"/>
  <c r="AI76" i="15"/>
  <c r="AI84" i="15"/>
  <c r="AI92" i="15"/>
  <c r="AI100" i="15"/>
  <c r="AI5" i="15"/>
  <c r="AI13" i="15"/>
  <c r="AI21" i="15"/>
  <c r="AI29" i="15"/>
  <c r="AI37" i="15"/>
  <c r="AI45" i="15"/>
  <c r="AI53" i="15"/>
  <c r="AI61" i="15"/>
  <c r="AI69" i="15"/>
  <c r="AI77" i="15"/>
  <c r="AI85" i="15"/>
  <c r="AI93" i="15"/>
  <c r="AI101" i="15"/>
  <c r="AI6" i="15"/>
  <c r="AI14" i="15"/>
  <c r="AI22" i="15"/>
  <c r="AI30" i="15"/>
  <c r="AI38" i="15"/>
  <c r="AI46" i="15"/>
  <c r="AI54" i="15"/>
  <c r="AI62" i="15"/>
  <c r="AI70" i="15"/>
  <c r="AI78" i="15"/>
  <c r="AI86" i="15"/>
  <c r="AI94" i="15"/>
  <c r="AI102" i="15"/>
  <c r="AI7" i="15"/>
  <c r="AI15" i="15"/>
  <c r="AI23" i="15"/>
  <c r="AI31" i="15"/>
  <c r="AI39" i="15"/>
  <c r="AI47" i="15"/>
  <c r="AI55" i="15"/>
  <c r="AI63" i="15"/>
  <c r="AI71" i="15"/>
  <c r="AI79" i="15"/>
  <c r="AI87" i="15"/>
  <c r="AI95" i="15"/>
  <c r="AI103" i="15"/>
  <c r="AI8" i="15"/>
  <c r="AI16" i="15"/>
  <c r="AI24" i="15"/>
  <c r="AI32" i="15"/>
  <c r="AI40" i="15"/>
  <c r="AI48" i="15"/>
  <c r="AI56" i="15"/>
  <c r="AI64" i="15"/>
  <c r="AI72" i="15"/>
  <c r="AI80" i="15"/>
  <c r="AI88" i="15"/>
  <c r="AI96" i="15"/>
  <c r="AI9" i="15"/>
  <c r="AI17" i="15"/>
  <c r="AI25" i="15"/>
  <c r="AI33" i="15"/>
  <c r="AI41" i="15"/>
  <c r="AI49" i="15"/>
  <c r="AI57" i="15"/>
  <c r="AI65" i="15"/>
  <c r="AI10" i="15"/>
  <c r="AI73" i="15"/>
  <c r="AI18" i="15"/>
  <c r="AI74" i="15"/>
  <c r="AI26" i="15"/>
  <c r="AI81" i="15"/>
  <c r="AI34" i="15"/>
  <c r="AI82" i="15"/>
  <c r="AI42" i="15"/>
  <c r="AI89" i="15"/>
  <c r="AI50" i="15"/>
  <c r="AI90" i="15"/>
  <c r="AI58" i="15"/>
  <c r="AI97" i="15"/>
  <c r="AI66" i="15"/>
  <c r="AI98" i="15"/>
  <c r="AH3" i="15"/>
  <c r="AH11" i="15"/>
  <c r="AH19" i="15"/>
  <c r="AH27" i="15"/>
  <c r="AH35" i="15"/>
  <c r="AH43" i="15"/>
  <c r="AH51" i="15"/>
  <c r="AH59" i="15"/>
  <c r="AH67" i="15"/>
  <c r="AH75" i="15"/>
  <c r="AH83" i="15"/>
  <c r="AH91" i="15"/>
  <c r="AH99" i="15"/>
  <c r="AH4" i="15"/>
  <c r="AH12" i="15"/>
  <c r="AH20" i="15"/>
  <c r="AH28" i="15"/>
  <c r="AH36" i="15"/>
  <c r="AH44" i="15"/>
  <c r="AH52" i="15"/>
  <c r="AH60" i="15"/>
  <c r="AH68" i="15"/>
  <c r="AH76" i="15"/>
  <c r="AH84" i="15"/>
  <c r="AH92" i="15"/>
  <c r="AH100" i="15"/>
  <c r="AH5" i="15"/>
  <c r="AH13" i="15"/>
  <c r="AH21" i="15"/>
  <c r="AH29" i="15"/>
  <c r="AH37" i="15"/>
  <c r="AH45" i="15"/>
  <c r="AH53" i="15"/>
  <c r="AH61" i="15"/>
  <c r="AH69" i="15"/>
  <c r="AH77" i="15"/>
  <c r="AH85" i="15"/>
  <c r="AH93" i="15"/>
  <c r="AH101" i="15"/>
  <c r="AH6" i="15"/>
  <c r="AH14" i="15"/>
  <c r="AH22" i="15"/>
  <c r="AH30" i="15"/>
  <c r="AH38" i="15"/>
  <c r="AH46" i="15"/>
  <c r="AH54" i="15"/>
  <c r="AH62" i="15"/>
  <c r="AH70" i="15"/>
  <c r="AH78" i="15"/>
  <c r="AH86" i="15"/>
  <c r="AH94" i="15"/>
  <c r="AH102" i="15"/>
  <c r="AH7" i="15"/>
  <c r="AH15" i="15"/>
  <c r="AH23" i="15"/>
  <c r="AH31" i="15"/>
  <c r="AH39" i="15"/>
  <c r="AH47" i="15"/>
  <c r="AH55" i="15"/>
  <c r="AH63" i="15"/>
  <c r="AH71" i="15"/>
  <c r="AH79" i="15"/>
  <c r="AH87" i="15"/>
  <c r="AH95" i="15"/>
  <c r="AH103" i="15"/>
  <c r="AH8" i="15"/>
  <c r="AH16" i="15"/>
  <c r="AH24" i="15"/>
  <c r="AH32" i="15"/>
  <c r="AH40" i="15"/>
  <c r="AH48" i="15"/>
  <c r="AH56" i="15"/>
  <c r="AH64" i="15"/>
  <c r="AH72" i="15"/>
  <c r="AH80" i="15"/>
  <c r="AH88" i="15"/>
  <c r="AH96" i="15"/>
  <c r="AH9" i="15"/>
  <c r="AH17" i="15"/>
  <c r="AH25" i="15"/>
  <c r="AH33" i="15"/>
  <c r="AH41" i="15"/>
  <c r="AH49" i="15"/>
  <c r="AH57" i="15"/>
  <c r="AH65" i="15"/>
  <c r="AH10" i="15"/>
  <c r="AH73" i="15"/>
  <c r="AH18" i="15"/>
  <c r="AH74" i="15"/>
  <c r="AH26" i="15"/>
  <c r="AH81" i="15"/>
  <c r="AH34" i="15"/>
  <c r="AH82" i="15"/>
  <c r="AH42" i="15"/>
  <c r="AH89" i="15"/>
  <c r="AH50" i="15"/>
  <c r="AH90" i="15"/>
  <c r="AH58" i="15"/>
  <c r="AH97" i="15"/>
  <c r="AH66" i="15"/>
  <c r="AH98" i="15"/>
  <c r="H1" i="15" l="1"/>
  <c r="G41" i="19" l="1"/>
  <c r="G42" i="19"/>
  <c r="G43" i="19"/>
  <c r="G44" i="19"/>
  <c r="G45" i="19"/>
  <c r="G46" i="19"/>
  <c r="G47" i="19"/>
  <c r="G48" i="19"/>
  <c r="G49" i="19"/>
  <c r="G50" i="19"/>
  <c r="G51" i="19"/>
  <c r="G52" i="19"/>
  <c r="G53" i="19"/>
  <c r="G54" i="19"/>
  <c r="G55" i="19"/>
  <c r="G56" i="19"/>
  <c r="G57" i="19"/>
  <c r="G58" i="19"/>
  <c r="G59" i="19"/>
  <c r="G60" i="19"/>
  <c r="G61" i="19"/>
  <c r="G62" i="19"/>
  <c r="G63" i="19"/>
  <c r="G64" i="19"/>
  <c r="G65" i="19"/>
  <c r="G66" i="19"/>
  <c r="G67" i="19"/>
  <c r="G68" i="19"/>
  <c r="G69" i="19"/>
  <c r="G70" i="19"/>
  <c r="G71" i="19"/>
  <c r="G72" i="19"/>
  <c r="G73" i="19"/>
  <c r="G74" i="19"/>
  <c r="G75" i="19"/>
  <c r="G76" i="19"/>
  <c r="G40" i="19"/>
  <c r="AB3" i="14" a="1"/>
  <c r="AE3" i="14" a="1"/>
  <c r="AC3" i="14" a="1"/>
  <c r="AE3" i="14" l="1"/>
  <c r="AE11" i="14"/>
  <c r="AE19" i="14"/>
  <c r="AE27" i="14"/>
  <c r="AE35" i="14"/>
  <c r="AE43" i="14"/>
  <c r="AE51" i="14"/>
  <c r="AE59" i="14"/>
  <c r="AE67" i="14"/>
  <c r="AE75" i="14"/>
  <c r="AE4" i="14"/>
  <c r="AE12" i="14"/>
  <c r="AE20" i="14"/>
  <c r="AE28" i="14"/>
  <c r="AE36" i="14"/>
  <c r="AE44" i="14"/>
  <c r="AE52" i="14"/>
  <c r="AE60" i="14"/>
  <c r="AE68" i="14"/>
  <c r="AE76" i="14"/>
  <c r="AE5" i="14"/>
  <c r="AE13" i="14"/>
  <c r="AE21" i="14"/>
  <c r="AE29" i="14"/>
  <c r="AE37" i="14"/>
  <c r="AE45" i="14"/>
  <c r="AE53" i="14"/>
  <c r="AE61" i="14"/>
  <c r="AE69" i="14"/>
  <c r="AE77" i="14"/>
  <c r="AE6" i="14"/>
  <c r="AE14" i="14"/>
  <c r="AE22" i="14"/>
  <c r="AE30" i="14"/>
  <c r="AE38" i="14"/>
  <c r="AE46" i="14"/>
  <c r="AE54" i="14"/>
  <c r="AE62" i="14"/>
  <c r="AE70" i="14"/>
  <c r="AE7" i="14"/>
  <c r="AE15" i="14"/>
  <c r="AE23" i="14"/>
  <c r="AE31" i="14"/>
  <c r="AE39" i="14"/>
  <c r="AE47" i="14"/>
  <c r="AE55" i="14"/>
  <c r="AE63" i="14"/>
  <c r="AE71" i="14"/>
  <c r="AE8" i="14"/>
  <c r="AE16" i="14"/>
  <c r="AE24" i="14"/>
  <c r="AE32" i="14"/>
  <c r="AE40" i="14"/>
  <c r="AE48" i="14"/>
  <c r="AE56" i="14"/>
  <c r="AE64" i="14"/>
  <c r="AE72" i="14"/>
  <c r="AE9" i="14"/>
  <c r="AE17" i="14"/>
  <c r="AE25" i="14"/>
  <c r="AE33" i="14"/>
  <c r="AE41" i="14"/>
  <c r="AE49" i="14"/>
  <c r="AE57" i="14"/>
  <c r="AE65" i="14"/>
  <c r="AE73" i="14"/>
  <c r="AE10" i="14"/>
  <c r="AE18" i="14"/>
  <c r="AE26" i="14"/>
  <c r="AE34" i="14"/>
  <c r="AE42" i="14"/>
  <c r="AE50" i="14"/>
  <c r="AE58" i="14"/>
  <c r="AE66" i="14"/>
  <c r="AE74" i="14"/>
  <c r="AC3" i="14"/>
  <c r="AC11" i="14"/>
  <c r="AC19" i="14"/>
  <c r="AC27" i="14"/>
  <c r="AC35" i="14"/>
  <c r="AC43" i="14"/>
  <c r="AC51" i="14"/>
  <c r="AC59" i="14"/>
  <c r="AC67" i="14"/>
  <c r="AC75" i="14"/>
  <c r="AC4" i="14"/>
  <c r="AC12" i="14"/>
  <c r="AC20" i="14"/>
  <c r="AC28" i="14"/>
  <c r="AC36" i="14"/>
  <c r="AC44" i="14"/>
  <c r="AC52" i="14"/>
  <c r="AC60" i="14"/>
  <c r="AC68" i="14"/>
  <c r="AC76" i="14"/>
  <c r="AC5" i="14"/>
  <c r="AC13" i="14"/>
  <c r="AC21" i="14"/>
  <c r="AC29" i="14"/>
  <c r="AC37" i="14"/>
  <c r="AC45" i="14"/>
  <c r="AC53" i="14"/>
  <c r="AC61" i="14"/>
  <c r="AC69" i="14"/>
  <c r="AC77" i="14"/>
  <c r="AC6" i="14"/>
  <c r="AC14" i="14"/>
  <c r="AC22" i="14"/>
  <c r="AC30" i="14"/>
  <c r="AC38" i="14"/>
  <c r="AC46" i="14"/>
  <c r="AC54" i="14"/>
  <c r="AC62" i="14"/>
  <c r="AC70" i="14"/>
  <c r="AC7" i="14"/>
  <c r="AC15" i="14"/>
  <c r="AC23" i="14"/>
  <c r="AC31" i="14"/>
  <c r="AC39" i="14"/>
  <c r="AC47" i="14"/>
  <c r="AC55" i="14"/>
  <c r="AC63" i="14"/>
  <c r="AC71" i="14"/>
  <c r="AC8" i="14"/>
  <c r="AC16" i="14"/>
  <c r="AC24" i="14"/>
  <c r="AC32" i="14"/>
  <c r="AC40" i="14"/>
  <c r="AC48" i="14"/>
  <c r="AC56" i="14"/>
  <c r="AC64" i="14"/>
  <c r="AC72" i="14"/>
  <c r="AC9" i="14"/>
  <c r="AC17" i="14"/>
  <c r="AC25" i="14"/>
  <c r="AC33" i="14"/>
  <c r="AC41" i="14"/>
  <c r="AC49" i="14"/>
  <c r="AC57" i="14"/>
  <c r="AC65" i="14"/>
  <c r="AC73" i="14"/>
  <c r="AC10" i="14"/>
  <c r="AC18" i="14"/>
  <c r="AC26" i="14"/>
  <c r="AC34" i="14"/>
  <c r="AC42" i="14"/>
  <c r="AC50" i="14"/>
  <c r="AC58" i="14"/>
  <c r="AC66" i="14"/>
  <c r="AC74" i="14"/>
  <c r="AB3" i="14"/>
  <c r="AB11" i="14"/>
  <c r="AB19" i="14"/>
  <c r="AB27" i="14"/>
  <c r="AB35" i="14"/>
  <c r="AB43" i="14"/>
  <c r="AB51" i="14"/>
  <c r="AB59" i="14"/>
  <c r="AB67" i="14"/>
  <c r="AB75" i="14"/>
  <c r="AB4" i="14"/>
  <c r="AB12" i="14"/>
  <c r="AB20" i="14"/>
  <c r="AB28" i="14"/>
  <c r="AB36" i="14"/>
  <c r="AB44" i="14"/>
  <c r="AB52" i="14"/>
  <c r="AB60" i="14"/>
  <c r="AB68" i="14"/>
  <c r="AB76" i="14"/>
  <c r="AB5" i="14"/>
  <c r="AB13" i="14"/>
  <c r="AB21" i="14"/>
  <c r="AB29" i="14"/>
  <c r="AB37" i="14"/>
  <c r="AB45" i="14"/>
  <c r="AB53" i="14"/>
  <c r="AB61" i="14"/>
  <c r="AB69" i="14"/>
  <c r="AB77" i="14"/>
  <c r="AB6" i="14"/>
  <c r="AB14" i="14"/>
  <c r="AB22" i="14"/>
  <c r="AB30" i="14"/>
  <c r="AB38" i="14"/>
  <c r="AB46" i="14"/>
  <c r="AB54" i="14"/>
  <c r="AB62" i="14"/>
  <c r="AB70" i="14"/>
  <c r="AB7" i="14"/>
  <c r="AB15" i="14"/>
  <c r="AB23" i="14"/>
  <c r="AB31" i="14"/>
  <c r="AB39" i="14"/>
  <c r="AB47" i="14"/>
  <c r="AB55" i="14"/>
  <c r="AB63" i="14"/>
  <c r="AB71" i="14"/>
  <c r="AB8" i="14"/>
  <c r="AB16" i="14"/>
  <c r="AB24" i="14"/>
  <c r="AB32" i="14"/>
  <c r="AB40" i="14"/>
  <c r="AB48" i="14"/>
  <c r="AB56" i="14"/>
  <c r="AB64" i="14"/>
  <c r="AB72" i="14"/>
  <c r="AB9" i="14"/>
  <c r="AB17" i="14"/>
  <c r="AB25" i="14"/>
  <c r="AB33" i="14"/>
  <c r="AB41" i="14"/>
  <c r="AB49" i="14"/>
  <c r="AB57" i="14"/>
  <c r="AB65" i="14"/>
  <c r="AB73" i="14"/>
  <c r="AB10" i="14"/>
  <c r="AB18" i="14"/>
  <c r="AB26" i="14"/>
  <c r="AB34" i="14"/>
  <c r="AB42" i="14"/>
  <c r="AB50" i="14"/>
  <c r="AB58" i="14"/>
  <c r="AB66" i="14"/>
  <c r="AB74" i="14"/>
  <c r="H16" i="17" l="1"/>
  <c r="H15" i="17"/>
  <c r="H14" i="17"/>
  <c r="H13" i="17"/>
  <c r="H12" i="17"/>
  <c r="H11" i="17"/>
  <c r="H10" i="17"/>
  <c r="H9" i="17"/>
  <c r="H8" i="17"/>
  <c r="H7" i="17"/>
  <c r="H6" i="17"/>
  <c r="AI5" i="19" l="1"/>
  <c r="AO5" i="15"/>
  <c r="L37" i="19" l="1"/>
  <c r="L38" i="19"/>
  <c r="L39" i="19"/>
  <c r="L40" i="19"/>
  <c r="L41" i="19"/>
  <c r="L42" i="19"/>
  <c r="L43" i="19"/>
  <c r="L44" i="19"/>
  <c r="L45" i="19"/>
  <c r="L46" i="19"/>
  <c r="L47" i="19"/>
  <c r="L48" i="19"/>
  <c r="L49" i="19"/>
  <c r="L50" i="19"/>
  <c r="L51" i="19"/>
  <c r="L52" i="19"/>
  <c r="L53" i="19"/>
  <c r="L54" i="19"/>
  <c r="L55" i="19"/>
  <c r="L56" i="19"/>
  <c r="L57" i="19"/>
  <c r="L58" i="19"/>
  <c r="L59" i="19"/>
  <c r="L60" i="19"/>
  <c r="L61" i="19"/>
  <c r="L62" i="19"/>
  <c r="L63" i="19"/>
  <c r="L64" i="19"/>
  <c r="L65" i="19"/>
  <c r="L66" i="19"/>
  <c r="L67" i="19"/>
  <c r="L68" i="19"/>
  <c r="L69" i="19"/>
  <c r="L70" i="19"/>
  <c r="L71" i="19"/>
  <c r="L72" i="19"/>
  <c r="N17" i="18"/>
  <c r="N18" i="18"/>
  <c r="N19" i="18"/>
  <c r="N20" i="18"/>
  <c r="N21" i="18"/>
  <c r="N22" i="18"/>
  <c r="N23" i="18"/>
  <c r="N24" i="18"/>
  <c r="N25" i="18"/>
  <c r="N26" i="18"/>
  <c r="N27" i="18"/>
  <c r="N28" i="18"/>
  <c r="N29" i="18"/>
  <c r="N30" i="18"/>
  <c r="N31" i="18"/>
  <c r="N32" i="18"/>
  <c r="N33" i="18"/>
  <c r="N34" i="18"/>
  <c r="N35" i="18"/>
  <c r="N36" i="18"/>
  <c r="N37" i="18"/>
  <c r="N38" i="18"/>
  <c r="N39" i="18"/>
  <c r="N40" i="18"/>
  <c r="N41" i="18"/>
  <c r="N42" i="18"/>
  <c r="N43" i="18"/>
  <c r="N44" i="18"/>
  <c r="N45" i="18"/>
  <c r="N46" i="18"/>
  <c r="N47" i="18"/>
  <c r="N48" i="18"/>
  <c r="N49" i="18"/>
  <c r="N50" i="18"/>
  <c r="N51" i="18"/>
  <c r="N52" i="18"/>
  <c r="N53" i="18"/>
  <c r="N5" i="18"/>
  <c r="N6" i="18"/>
  <c r="N7" i="18"/>
  <c r="N8" i="18"/>
  <c r="N9" i="18"/>
  <c r="N10" i="18"/>
  <c r="N11" i="18"/>
  <c r="N12" i="18"/>
  <c r="N13" i="18"/>
  <c r="N14" i="18"/>
  <c r="N15" i="18"/>
  <c r="G21" i="18"/>
  <c r="C16" i="18"/>
  <c r="H16" i="18" s="1"/>
  <c r="G16" i="18"/>
  <c r="O14" i="18" l="1"/>
  <c r="P14" i="18"/>
  <c r="M16" i="17"/>
  <c r="M17" i="17"/>
  <c r="M18" i="17"/>
  <c r="M19" i="17"/>
  <c r="M20" i="17"/>
  <c r="M21" i="17"/>
  <c r="M22" i="17"/>
  <c r="M23" i="17"/>
  <c r="M24" i="17"/>
  <c r="M25" i="17"/>
  <c r="M26" i="17"/>
  <c r="M27" i="17"/>
  <c r="M28" i="17"/>
  <c r="M29" i="17"/>
  <c r="M30" i="17"/>
  <c r="M31" i="17"/>
  <c r="M32" i="17"/>
  <c r="M33" i="17"/>
  <c r="M34" i="17"/>
  <c r="M35" i="17"/>
  <c r="M36" i="17"/>
  <c r="M37" i="17"/>
  <c r="M38" i="17"/>
  <c r="M39" i="17"/>
  <c r="M40" i="17"/>
  <c r="M41" i="17"/>
  <c r="M42" i="17"/>
  <c r="M43" i="17"/>
  <c r="M44" i="17"/>
  <c r="M45" i="17"/>
  <c r="M46" i="17"/>
  <c r="M47" i="17"/>
  <c r="M48" i="17"/>
  <c r="M49" i="17"/>
  <c r="M50" i="17"/>
  <c r="M51" i="17"/>
  <c r="M52" i="17"/>
  <c r="G20" i="17"/>
  <c r="R14" i="18"/>
  <c r="V14" i="18"/>
  <c r="W14" i="18"/>
  <c r="Q14" i="18"/>
  <c r="M23" i="16" l="1"/>
  <c r="M24" i="16"/>
  <c r="M25" i="16"/>
  <c r="M26" i="16"/>
  <c r="M27" i="16"/>
  <c r="M28" i="16"/>
  <c r="M29" i="16"/>
  <c r="M30" i="16"/>
  <c r="M31" i="16"/>
  <c r="M32" i="16"/>
  <c r="M33" i="16"/>
  <c r="M34" i="16"/>
  <c r="M35" i="16"/>
  <c r="M36" i="16"/>
  <c r="M37" i="16"/>
  <c r="M38" i="16"/>
  <c r="M39" i="16"/>
  <c r="M40" i="16"/>
  <c r="M41" i="16"/>
  <c r="M42" i="16"/>
  <c r="M43" i="16"/>
  <c r="M44" i="16"/>
  <c r="M45" i="16"/>
  <c r="M46" i="16"/>
  <c r="M47" i="16"/>
  <c r="M48" i="16"/>
  <c r="M49" i="16"/>
  <c r="M50" i="16"/>
  <c r="M51" i="16"/>
  <c r="M52" i="16"/>
  <c r="M53" i="16"/>
  <c r="M54" i="16"/>
  <c r="M55" i="16"/>
  <c r="M56" i="16"/>
  <c r="M57" i="16"/>
  <c r="M58" i="16"/>
  <c r="M59" i="16"/>
  <c r="M5" i="16"/>
  <c r="M6" i="16"/>
  <c r="M7" i="16"/>
  <c r="M8" i="16"/>
  <c r="M9" i="16"/>
  <c r="M10" i="16"/>
  <c r="M11" i="16"/>
  <c r="M12" i="16"/>
  <c r="M13" i="16"/>
  <c r="M14" i="16"/>
  <c r="M15" i="16"/>
  <c r="M16" i="16"/>
  <c r="M17" i="16"/>
  <c r="M18" i="16"/>
  <c r="M19" i="16"/>
  <c r="M20" i="16"/>
  <c r="M21" i="16"/>
  <c r="G27" i="16" l="1"/>
  <c r="H27" i="16"/>
  <c r="C7" i="16"/>
  <c r="G7" i="16"/>
  <c r="H7" i="16"/>
  <c r="C8" i="16"/>
  <c r="G8" i="16"/>
  <c r="H8" i="16"/>
  <c r="C9" i="16"/>
  <c r="H9" i="16" s="1"/>
  <c r="G9" i="16"/>
  <c r="C10" i="16"/>
  <c r="H10" i="16" s="1"/>
  <c r="G10" i="16"/>
  <c r="C11" i="16"/>
  <c r="G11" i="16"/>
  <c r="H11" i="16"/>
  <c r="C12" i="16"/>
  <c r="H12" i="16" s="1"/>
  <c r="G12" i="16"/>
  <c r="C13" i="16"/>
  <c r="H13" i="16" s="1"/>
  <c r="G13" i="16"/>
  <c r="C14" i="16"/>
  <c r="G14" i="16"/>
  <c r="H14" i="16"/>
  <c r="C15" i="16"/>
  <c r="H15" i="16" s="1"/>
  <c r="G15" i="16"/>
  <c r="C16" i="16"/>
  <c r="G16" i="16"/>
  <c r="H16" i="16"/>
  <c r="C17" i="16"/>
  <c r="G17" i="16"/>
  <c r="H17" i="16"/>
  <c r="C18" i="16"/>
  <c r="H18" i="16" s="1"/>
  <c r="G18" i="16"/>
  <c r="C19" i="16"/>
  <c r="G19" i="16"/>
  <c r="H19" i="16"/>
  <c r="C20" i="16"/>
  <c r="G20" i="16"/>
  <c r="H20" i="16"/>
  <c r="C21" i="16"/>
  <c r="H21" i="16" s="1"/>
  <c r="G21" i="16"/>
  <c r="C22" i="16"/>
  <c r="G22" i="16"/>
  <c r="H22" i="16"/>
  <c r="C23" i="16"/>
  <c r="G23" i="16"/>
  <c r="H23" i="16"/>
  <c r="J11" i="16"/>
  <c r="J9" i="16"/>
  <c r="J10" i="16"/>
  <c r="J17" i="16"/>
  <c r="J7" i="16"/>
  <c r="J8" i="16"/>
  <c r="N20" i="16" l="1"/>
  <c r="N17" i="16"/>
  <c r="N9" i="16"/>
  <c r="N15" i="16"/>
  <c r="N18" i="16"/>
  <c r="N21" i="16"/>
  <c r="N19" i="16"/>
  <c r="N11" i="16"/>
  <c r="N12" i="16"/>
  <c r="N7" i="16"/>
  <c r="N10" i="16"/>
  <c r="N13" i="16"/>
  <c r="N5" i="16"/>
  <c r="N16" i="16"/>
  <c r="N8" i="16"/>
  <c r="N14" i="16"/>
  <c r="N6" i="16"/>
  <c r="O20" i="16"/>
  <c r="O17" i="16"/>
  <c r="K11" i="16"/>
  <c r="O9" i="16" s="1"/>
  <c r="K17" i="16"/>
  <c r="O15" i="16" s="1"/>
  <c r="O18" i="16"/>
  <c r="O21" i="16"/>
  <c r="O19" i="16"/>
  <c r="O11" i="16"/>
  <c r="O12" i="16"/>
  <c r="K9" i="16"/>
  <c r="O7" i="16" s="1"/>
  <c r="O10" i="16"/>
  <c r="O13" i="16"/>
  <c r="K7" i="16"/>
  <c r="O5" i="16" s="1"/>
  <c r="O16" i="16"/>
  <c r="K10" i="16"/>
  <c r="O8" i="16" s="1"/>
  <c r="O14" i="16"/>
  <c r="K8" i="16"/>
  <c r="O6" i="16" s="1"/>
  <c r="I42" i="14"/>
  <c r="I43" i="14"/>
  <c r="I44" i="14"/>
  <c r="I45" i="14"/>
  <c r="I46" i="14"/>
  <c r="I47" i="14"/>
  <c r="I48" i="14"/>
  <c r="I49" i="14"/>
  <c r="I50" i="14"/>
  <c r="I51" i="14"/>
  <c r="I52" i="14"/>
  <c r="I53" i="14"/>
  <c r="I54" i="14"/>
  <c r="I55" i="14"/>
  <c r="I56" i="14"/>
  <c r="I57" i="14"/>
  <c r="I58" i="14"/>
  <c r="I59" i="14"/>
  <c r="I60" i="14"/>
  <c r="I61" i="14"/>
  <c r="I62" i="14"/>
  <c r="I63" i="14"/>
  <c r="I64" i="14"/>
  <c r="I65" i="14"/>
  <c r="I66" i="14"/>
  <c r="I67" i="14"/>
  <c r="I68" i="14"/>
  <c r="I69" i="14"/>
  <c r="I70" i="14"/>
  <c r="I71" i="14"/>
  <c r="I72" i="14"/>
  <c r="I73" i="14"/>
  <c r="I74" i="14"/>
  <c r="I75" i="14"/>
  <c r="I76" i="14"/>
  <c r="I77" i="14"/>
  <c r="D49" i="14"/>
  <c r="D50" i="14"/>
  <c r="D51" i="14"/>
  <c r="D52" i="14"/>
  <c r="D53" i="14"/>
  <c r="D54" i="14"/>
  <c r="D55" i="14"/>
  <c r="D56" i="14"/>
  <c r="D57" i="14"/>
  <c r="D58" i="14"/>
  <c r="D59" i="14"/>
  <c r="D60" i="14"/>
  <c r="D61" i="14"/>
  <c r="D62" i="14"/>
  <c r="D63" i="14"/>
  <c r="Q6" i="16"/>
  <c r="P13" i="16"/>
  <c r="U9" i="16"/>
  <c r="V11" i="16"/>
  <c r="U14" i="16"/>
  <c r="P6" i="16"/>
  <c r="U7" i="16"/>
  <c r="U17" i="16"/>
  <c r="P14" i="16"/>
  <c r="P10" i="16"/>
  <c r="V17" i="16"/>
  <c r="Q13" i="16"/>
  <c r="Q7" i="16"/>
  <c r="P7" i="16"/>
  <c r="U10" i="16"/>
  <c r="V6" i="16"/>
  <c r="Q10" i="16"/>
  <c r="U16" i="16"/>
  <c r="P18" i="16"/>
  <c r="P20" i="16"/>
  <c r="V21" i="16"/>
  <c r="P9" i="16"/>
  <c r="V12" i="16"/>
  <c r="Q19" i="16"/>
  <c r="P15" i="16"/>
  <c r="U8" i="16"/>
  <c r="V9" i="16"/>
  <c r="V10" i="16"/>
  <c r="V13" i="16"/>
  <c r="Q16" i="16"/>
  <c r="P12" i="16"/>
  <c r="U11" i="16"/>
  <c r="P5" i="16"/>
  <c r="Q11" i="16"/>
  <c r="P16" i="16"/>
  <c r="V14" i="16"/>
  <c r="Q14" i="16"/>
  <c r="P11" i="16"/>
  <c r="V15" i="16"/>
  <c r="U19" i="16"/>
  <c r="Q20" i="16"/>
  <c r="Q5" i="16"/>
  <c r="V8" i="16"/>
  <c r="V5" i="16"/>
  <c r="Q18" i="16"/>
  <c r="Q15" i="16"/>
  <c r="U12" i="16"/>
  <c r="V16" i="16"/>
  <c r="Q17" i="16"/>
  <c r="U21" i="16"/>
  <c r="P21" i="16"/>
  <c r="Q8" i="16"/>
  <c r="P19" i="16"/>
  <c r="P17" i="16"/>
  <c r="U15" i="16"/>
  <c r="U18" i="16"/>
  <c r="U6" i="16"/>
  <c r="Q21" i="16"/>
  <c r="U5" i="16"/>
  <c r="U20" i="16"/>
  <c r="V18" i="16"/>
  <c r="Q12" i="16"/>
  <c r="V7" i="16"/>
  <c r="Q9" i="16"/>
  <c r="V20" i="16"/>
  <c r="U13" i="16"/>
  <c r="V19" i="16"/>
  <c r="P8" i="16"/>
  <c r="J53" i="14" l="1"/>
  <c r="J54" i="14"/>
  <c r="J47" i="14"/>
  <c r="J56" i="14"/>
  <c r="J49" i="14"/>
  <c r="J58" i="14"/>
  <c r="J51" i="14"/>
  <c r="J59" i="14"/>
  <c r="J45" i="14"/>
  <c r="J46" i="14"/>
  <c r="J55" i="14"/>
  <c r="J48" i="14"/>
  <c r="J57" i="14"/>
  <c r="J50" i="14"/>
  <c r="J52" i="14"/>
  <c r="L13" i="19"/>
  <c r="L14" i="19"/>
  <c r="L15" i="19"/>
  <c r="L16" i="19"/>
  <c r="L17" i="19"/>
  <c r="L18" i="19"/>
  <c r="L19" i="19"/>
  <c r="L20" i="19"/>
  <c r="L21" i="19"/>
  <c r="L22" i="19"/>
  <c r="L23" i="19"/>
  <c r="L24" i="19"/>
  <c r="L25" i="19"/>
  <c r="L26" i="19"/>
  <c r="L27" i="19"/>
  <c r="L28" i="19"/>
  <c r="L29" i="19"/>
  <c r="L30" i="19"/>
  <c r="L31" i="19"/>
  <c r="L32" i="19"/>
  <c r="L33" i="19"/>
  <c r="L34" i="19"/>
  <c r="L35" i="19"/>
  <c r="G33" i="19"/>
  <c r="G34" i="19"/>
  <c r="G35" i="19"/>
  <c r="G36" i="19"/>
  <c r="G37" i="19"/>
  <c r="G16" i="19"/>
  <c r="G17" i="19"/>
  <c r="G18" i="19"/>
  <c r="G19" i="19"/>
  <c r="G20" i="19"/>
  <c r="G21" i="19"/>
  <c r="G22" i="19"/>
  <c r="G23" i="19"/>
  <c r="G24" i="19"/>
  <c r="G25" i="19"/>
  <c r="G26" i="19"/>
  <c r="G27" i="19"/>
  <c r="G28" i="19"/>
  <c r="G29" i="19"/>
  <c r="G30" i="19"/>
  <c r="G31" i="19"/>
  <c r="G32" i="19"/>
  <c r="P47" i="14"/>
  <c r="L47" i="14"/>
  <c r="K49" i="14"/>
  <c r="Q59" i="14"/>
  <c r="P45" i="14"/>
  <c r="L46" i="14"/>
  <c r="P50" i="14"/>
  <c r="P58" i="14"/>
  <c r="L48" i="14"/>
  <c r="K56" i="14"/>
  <c r="L53" i="14"/>
  <c r="K54" i="14"/>
  <c r="L57" i="14"/>
  <c r="K53" i="14"/>
  <c r="L51" i="14"/>
  <c r="K55" i="14"/>
  <c r="P46" i="14"/>
  <c r="L56" i="14"/>
  <c r="L52" i="14"/>
  <c r="Q56" i="14"/>
  <c r="P49" i="14"/>
  <c r="L45" i="14"/>
  <c r="P54" i="14"/>
  <c r="L50" i="14"/>
  <c r="L54" i="14"/>
  <c r="Q45" i="14"/>
  <c r="P52" i="14"/>
  <c r="Q53" i="14"/>
  <c r="Q49" i="14"/>
  <c r="Q46" i="14"/>
  <c r="P59" i="14"/>
  <c r="K50" i="14"/>
  <c r="Q57" i="14"/>
  <c r="P51" i="14"/>
  <c r="P48" i="14"/>
  <c r="K52" i="14"/>
  <c r="K45" i="14"/>
  <c r="P53" i="14"/>
  <c r="Q52" i="14"/>
  <c r="Q48" i="14"/>
  <c r="K46" i="14"/>
  <c r="L59" i="14"/>
  <c r="K48" i="14"/>
  <c r="K47" i="14"/>
  <c r="Q55" i="14"/>
  <c r="L55" i="14"/>
  <c r="Q54" i="14"/>
  <c r="Q50" i="14"/>
  <c r="P55" i="14"/>
  <c r="L49" i="14"/>
  <c r="K51" i="14"/>
  <c r="P56" i="14"/>
  <c r="P57" i="14"/>
  <c r="Q51" i="14"/>
  <c r="K57" i="14"/>
  <c r="Q47" i="14"/>
  <c r="L58" i="14"/>
  <c r="K59" i="14"/>
  <c r="K58" i="14"/>
  <c r="Q58" i="14"/>
  <c r="M17" i="15" l="1"/>
  <c r="M18" i="15"/>
  <c r="M19" i="15"/>
  <c r="M20" i="15"/>
  <c r="M21" i="15"/>
  <c r="M22" i="15"/>
  <c r="M23" i="15"/>
  <c r="M24" i="15"/>
  <c r="M25" i="15"/>
  <c r="M26" i="15"/>
  <c r="M27" i="15"/>
  <c r="M15" i="15"/>
  <c r="M16" i="15"/>
  <c r="G26" i="15"/>
  <c r="G27" i="15"/>
  <c r="G28" i="15"/>
  <c r="G29" i="15"/>
  <c r="G17" i="15"/>
  <c r="G18" i="15"/>
  <c r="G19" i="15"/>
  <c r="G20" i="15"/>
  <c r="G21" i="15"/>
  <c r="G22" i="15"/>
  <c r="G23" i="15"/>
  <c r="G24" i="15"/>
  <c r="G25" i="15"/>
  <c r="D92" i="1" l="1"/>
  <c r="C100" i="1"/>
  <c r="L36" i="19" l="1"/>
  <c r="L12" i="19"/>
  <c r="L4" i="19"/>
  <c r="L5" i="19"/>
  <c r="L6" i="19"/>
  <c r="L7" i="19"/>
  <c r="L8" i="19"/>
  <c r="L9" i="19"/>
  <c r="L10" i="19"/>
  <c r="L11" i="19"/>
  <c r="L3" i="19"/>
  <c r="H41" i="19"/>
  <c r="H42" i="19"/>
  <c r="H43" i="19"/>
  <c r="H44" i="19"/>
  <c r="H45" i="19"/>
  <c r="H46" i="19"/>
  <c r="H47" i="19"/>
  <c r="H48" i="19"/>
  <c r="H49" i="19"/>
  <c r="H50" i="19"/>
  <c r="H51" i="19"/>
  <c r="H52" i="19"/>
  <c r="H53" i="19"/>
  <c r="H54" i="19"/>
  <c r="H55" i="19"/>
  <c r="H56" i="19"/>
  <c r="H57" i="19"/>
  <c r="H58" i="19"/>
  <c r="H59" i="19"/>
  <c r="H60" i="19"/>
  <c r="H61" i="19"/>
  <c r="H62" i="19"/>
  <c r="H63" i="19"/>
  <c r="H64" i="19"/>
  <c r="H65" i="19"/>
  <c r="H66" i="19"/>
  <c r="H67" i="19"/>
  <c r="H68" i="19"/>
  <c r="H69" i="19"/>
  <c r="H70" i="19"/>
  <c r="H71" i="19"/>
  <c r="H72" i="19"/>
  <c r="H73" i="19"/>
  <c r="H74" i="19"/>
  <c r="H75" i="19"/>
  <c r="H76" i="19"/>
  <c r="H40" i="19"/>
  <c r="G15" i="19"/>
  <c r="G14" i="19"/>
  <c r="H5" i="19"/>
  <c r="H4" i="19"/>
  <c r="H6" i="19"/>
  <c r="H7" i="19"/>
  <c r="H8" i="19"/>
  <c r="H9" i="19"/>
  <c r="H10" i="19"/>
  <c r="H11" i="19"/>
  <c r="H3" i="19"/>
  <c r="G5" i="19"/>
  <c r="G6" i="19"/>
  <c r="G7" i="19"/>
  <c r="G8" i="19"/>
  <c r="G11" i="19"/>
  <c r="V1" i="19"/>
  <c r="J54" i="19"/>
  <c r="J46" i="19"/>
  <c r="J57" i="19"/>
  <c r="J72" i="19"/>
  <c r="J50" i="19"/>
  <c r="J62" i="19"/>
  <c r="J6" i="19"/>
  <c r="J75" i="19"/>
  <c r="J5" i="19"/>
  <c r="J51" i="19"/>
  <c r="G4" i="19"/>
  <c r="G3" i="19"/>
  <c r="J52" i="19"/>
  <c r="J47" i="19"/>
  <c r="G10" i="19"/>
  <c r="J48" i="19"/>
  <c r="G9" i="19"/>
  <c r="J45" i="19"/>
  <c r="J74" i="19"/>
  <c r="J76" i="19"/>
  <c r="J49" i="19"/>
  <c r="M42" i="19" l="1"/>
  <c r="M63" i="19"/>
  <c r="M39" i="19"/>
  <c r="M62" i="19"/>
  <c r="M38" i="19"/>
  <c r="M53" i="19"/>
  <c r="M60" i="19"/>
  <c r="M55" i="19"/>
  <c r="M70" i="19"/>
  <c r="M46" i="19"/>
  <c r="M69" i="19"/>
  <c r="M45" i="19"/>
  <c r="M68" i="19"/>
  <c r="M44" i="19"/>
  <c r="M59" i="19"/>
  <c r="M43" i="19"/>
  <c r="M66" i="19"/>
  <c r="M50" i="19"/>
  <c r="M49" i="19"/>
  <c r="M71" i="19"/>
  <c r="M47" i="19"/>
  <c r="M54" i="19"/>
  <c r="M61" i="19"/>
  <c r="M37" i="19"/>
  <c r="M52" i="19"/>
  <c r="M67" i="19"/>
  <c r="M51" i="19"/>
  <c r="M58" i="19"/>
  <c r="M65" i="19"/>
  <c r="M57" i="19"/>
  <c r="M41" i="19"/>
  <c r="M72" i="19"/>
  <c r="M64" i="19"/>
  <c r="M56" i="19"/>
  <c r="M48" i="19"/>
  <c r="M40" i="19"/>
  <c r="M8" i="19"/>
  <c r="M7" i="19"/>
  <c r="M36" i="19"/>
  <c r="M6" i="19"/>
  <c r="M11" i="19"/>
  <c r="M5" i="19"/>
  <c r="H55" i="1"/>
  <c r="H25" i="1"/>
  <c r="M9" i="19" l="1"/>
  <c r="M10" i="19"/>
  <c r="H85" i="1"/>
  <c r="I77" i="1"/>
  <c r="C85" i="1"/>
  <c r="D77" i="1"/>
  <c r="N16" i="18"/>
  <c r="H3" i="18" l="1"/>
  <c r="I62" i="1" l="1"/>
  <c r="H70" i="1"/>
  <c r="C70" i="1"/>
  <c r="D62" i="1"/>
  <c r="H3" i="17" l="1"/>
  <c r="I47" i="1"/>
  <c r="C55" i="1"/>
  <c r="N67" i="19"/>
  <c r="S45" i="19"/>
  <c r="O46" i="19"/>
  <c r="N10" i="19"/>
  <c r="O45" i="19"/>
  <c r="O8" i="19"/>
  <c r="N62" i="19"/>
  <c r="N49" i="19"/>
  <c r="T64" i="19"/>
  <c r="T38" i="19"/>
  <c r="S67" i="19"/>
  <c r="S69" i="19"/>
  <c r="S9" i="19"/>
  <c r="T50" i="19"/>
  <c r="O38" i="19"/>
  <c r="T69" i="19"/>
  <c r="S70" i="19"/>
  <c r="O70" i="19"/>
  <c r="S8" i="19"/>
  <c r="S65" i="19"/>
  <c r="O71" i="19"/>
  <c r="S44" i="19"/>
  <c r="N43" i="19"/>
  <c r="O66" i="19"/>
  <c r="N36" i="19"/>
  <c r="O68" i="19"/>
  <c r="T56" i="19"/>
  <c r="J3" i="19"/>
  <c r="S7" i="19"/>
  <c r="T61" i="19"/>
  <c r="N55" i="19"/>
  <c r="O52" i="19"/>
  <c r="T49" i="19"/>
  <c r="N50" i="19"/>
  <c r="S58" i="19"/>
  <c r="N44" i="19"/>
  <c r="S60" i="19"/>
  <c r="O65" i="19"/>
  <c r="T6" i="19"/>
  <c r="N47" i="19"/>
  <c r="S54" i="19"/>
  <c r="S40" i="19"/>
  <c r="N66" i="19"/>
  <c r="S42" i="19"/>
  <c r="S53" i="19"/>
  <c r="T55" i="19"/>
  <c r="O55" i="19"/>
  <c r="S68" i="19"/>
  <c r="O56" i="19"/>
  <c r="S39" i="19"/>
  <c r="O53" i="19"/>
  <c r="T71" i="19"/>
  <c r="S66" i="19"/>
  <c r="S43" i="19"/>
  <c r="S62" i="19"/>
  <c r="T54" i="19"/>
  <c r="N69" i="19"/>
  <c r="S59" i="19"/>
  <c r="N6" i="19"/>
  <c r="O6" i="19"/>
  <c r="O59" i="19"/>
  <c r="T51" i="19"/>
  <c r="T39" i="19"/>
  <c r="T41" i="19"/>
  <c r="N54" i="19"/>
  <c r="O54" i="19"/>
  <c r="T68" i="19"/>
  <c r="T63" i="19"/>
  <c r="N59" i="19"/>
  <c r="N7" i="19"/>
  <c r="N45" i="19"/>
  <c r="S55" i="19"/>
  <c r="N61" i="19"/>
  <c r="S11" i="19"/>
  <c r="O51" i="19"/>
  <c r="N9" i="19"/>
  <c r="T48" i="19"/>
  <c r="T44" i="19"/>
  <c r="N39" i="19"/>
  <c r="O72" i="19"/>
  <c r="S6" i="19"/>
  <c r="S36" i="19"/>
  <c r="S72" i="19"/>
  <c r="S5" i="19"/>
  <c r="T36" i="19"/>
  <c r="T53" i="19"/>
  <c r="S49" i="19"/>
  <c r="N11" i="19"/>
  <c r="T11" i="19"/>
  <c r="O64" i="19"/>
  <c r="N70" i="19"/>
  <c r="N48" i="19"/>
  <c r="N42" i="19"/>
  <c r="N5" i="19"/>
  <c r="N60" i="19"/>
  <c r="O10" i="19"/>
  <c r="O36" i="19"/>
  <c r="T5" i="19"/>
  <c r="O57" i="19"/>
  <c r="N71" i="19"/>
  <c r="O42" i="19"/>
  <c r="N63" i="19"/>
  <c r="T67" i="19"/>
  <c r="S63" i="19"/>
  <c r="N65" i="19"/>
  <c r="T66" i="19"/>
  <c r="N68" i="19"/>
  <c r="O9" i="19"/>
  <c r="T37" i="19"/>
  <c r="T10" i="19"/>
  <c r="O58" i="19"/>
  <c r="O47" i="19"/>
  <c r="S48" i="19"/>
  <c r="S41" i="19"/>
  <c r="S47" i="19"/>
  <c r="N58" i="19"/>
  <c r="O63" i="19"/>
  <c r="S51" i="19"/>
  <c r="O69" i="19"/>
  <c r="S46" i="19"/>
  <c r="T45" i="19"/>
  <c r="O61" i="19"/>
  <c r="N8" i="19"/>
  <c r="O60" i="19"/>
  <c r="T8" i="19"/>
  <c r="O39" i="19"/>
  <c r="S52" i="19"/>
  <c r="O11" i="19"/>
  <c r="O37" i="19"/>
  <c r="N57" i="19"/>
  <c r="O40" i="19"/>
  <c r="N51" i="19"/>
  <c r="T57" i="19"/>
  <c r="N46" i="19"/>
  <c r="T7" i="19"/>
  <c r="N52" i="19"/>
  <c r="O49" i="19"/>
  <c r="T60" i="19"/>
  <c r="T58" i="19"/>
  <c r="N41" i="19"/>
  <c r="O62" i="19"/>
  <c r="N37" i="19"/>
  <c r="T70" i="19"/>
  <c r="O48" i="19"/>
  <c r="N53" i="19"/>
  <c r="O50" i="19"/>
  <c r="S50" i="19"/>
  <c r="N64" i="19"/>
  <c r="S71" i="19"/>
  <c r="S57" i="19"/>
  <c r="O44" i="19"/>
  <c r="T46" i="19"/>
  <c r="O5" i="19"/>
  <c r="O7" i="19"/>
  <c r="S56" i="19"/>
  <c r="T42" i="19"/>
  <c r="N72" i="19"/>
  <c r="T43" i="19"/>
  <c r="T9" i="19"/>
  <c r="O67" i="19"/>
  <c r="S61" i="19"/>
  <c r="T72" i="19"/>
  <c r="T62" i="19"/>
  <c r="T59" i="19"/>
  <c r="N40" i="19"/>
  <c r="S38" i="19"/>
  <c r="T40" i="19"/>
  <c r="T65" i="19"/>
  <c r="S64" i="19"/>
  <c r="S10" i="19"/>
  <c r="T47" i="19"/>
  <c r="N56" i="19"/>
  <c r="T52" i="19"/>
  <c r="O43" i="19"/>
  <c r="O41" i="19"/>
  <c r="S37" i="19"/>
  <c r="N38" i="19"/>
  <c r="M4" i="19" l="1"/>
  <c r="M3" i="19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6" i="16"/>
  <c r="H3" i="16"/>
  <c r="D47" i="1"/>
  <c r="I32" i="1"/>
  <c r="D32" i="1"/>
  <c r="H40" i="1"/>
  <c r="C40" i="1"/>
  <c r="H3" i="15"/>
  <c r="O4" i="19"/>
  <c r="N3" i="19"/>
  <c r="J39" i="16"/>
  <c r="J59" i="16"/>
  <c r="K31" i="16"/>
  <c r="J44" i="16"/>
  <c r="S4" i="19"/>
  <c r="O3" i="19"/>
  <c r="K39" i="16"/>
  <c r="K61" i="16"/>
  <c r="K59" i="16"/>
  <c r="K62" i="16"/>
  <c r="S3" i="19"/>
  <c r="J41" i="16"/>
  <c r="J36" i="16"/>
  <c r="K41" i="16"/>
  <c r="K44" i="16"/>
  <c r="J54" i="16"/>
  <c r="J32" i="16"/>
  <c r="J35" i="16"/>
  <c r="J49" i="16"/>
  <c r="K37" i="16"/>
  <c r="C6" i="15"/>
  <c r="K33" i="16"/>
  <c r="J62" i="16"/>
  <c r="K38" i="16"/>
  <c r="J37" i="16"/>
  <c r="K54" i="16"/>
  <c r="J61" i="16"/>
  <c r="K34" i="16"/>
  <c r="T4" i="19"/>
  <c r="K36" i="16"/>
  <c r="K49" i="16"/>
  <c r="J34" i="16"/>
  <c r="J38" i="16"/>
  <c r="T3" i="19"/>
  <c r="J33" i="16"/>
  <c r="K32" i="16"/>
  <c r="K63" i="16"/>
  <c r="J63" i="16"/>
  <c r="N4" i="19"/>
  <c r="J31" i="16"/>
  <c r="K35" i="16"/>
  <c r="H6" i="15" l="1"/>
  <c r="I6" i="15"/>
  <c r="E4" i="14"/>
  <c r="E3" i="14"/>
  <c r="I41" i="14"/>
  <c r="I6" i="14"/>
  <c r="I7" i="14"/>
  <c r="I8" i="14"/>
  <c r="I9" i="14"/>
  <c r="I10" i="14"/>
  <c r="I11" i="14"/>
  <c r="I12" i="14"/>
  <c r="I13" i="14"/>
  <c r="I14" i="14"/>
  <c r="I15" i="14"/>
  <c r="I16" i="14"/>
  <c r="I17" i="14"/>
  <c r="I18" i="14"/>
  <c r="I19" i="14"/>
  <c r="I20" i="14"/>
  <c r="I21" i="14"/>
  <c r="I22" i="14"/>
  <c r="I23" i="14"/>
  <c r="I24" i="14"/>
  <c r="I25" i="14"/>
  <c r="I26" i="14"/>
  <c r="I27" i="14"/>
  <c r="I28" i="14"/>
  <c r="I29" i="14"/>
  <c r="I30" i="14"/>
  <c r="I31" i="14"/>
  <c r="I32" i="14"/>
  <c r="I33" i="14"/>
  <c r="I34" i="14"/>
  <c r="I35" i="14"/>
  <c r="I36" i="14"/>
  <c r="I37" i="14"/>
  <c r="I38" i="14"/>
  <c r="I39" i="14"/>
  <c r="I40" i="14"/>
  <c r="D45" i="14"/>
  <c r="D46" i="14"/>
  <c r="D47" i="14"/>
  <c r="D48" i="14"/>
  <c r="D64" i="14"/>
  <c r="D65" i="14"/>
  <c r="D66" i="14"/>
  <c r="D67" i="14"/>
  <c r="D68" i="14"/>
  <c r="D69" i="14"/>
  <c r="D70" i="14"/>
  <c r="D71" i="14"/>
  <c r="D72" i="14"/>
  <c r="D73" i="14"/>
  <c r="D74" i="14"/>
  <c r="D75" i="14"/>
  <c r="D76" i="14"/>
  <c r="D77" i="14"/>
  <c r="D78" i="14"/>
  <c r="D79" i="14"/>
  <c r="D80" i="14"/>
  <c r="D81" i="14"/>
  <c r="I17" i="1"/>
  <c r="E6" i="15"/>
  <c r="J42" i="14" l="1"/>
  <c r="J41" i="14"/>
  <c r="J61" i="14"/>
  <c r="J60" i="14"/>
  <c r="J44" i="14"/>
  <c r="J43" i="14"/>
  <c r="J70" i="14"/>
  <c r="J66" i="14"/>
  <c r="J63" i="14"/>
  <c r="J68" i="14"/>
  <c r="J72" i="14"/>
  <c r="J67" i="14"/>
  <c r="J65" i="14"/>
  <c r="J76" i="14"/>
  <c r="J69" i="14"/>
  <c r="J74" i="14"/>
  <c r="J77" i="14"/>
  <c r="J62" i="14"/>
  <c r="J75" i="14"/>
  <c r="J73" i="14"/>
  <c r="J64" i="14"/>
  <c r="J71" i="14"/>
  <c r="C25" i="1"/>
  <c r="D17" i="1"/>
  <c r="I10" i="1"/>
  <c r="I9" i="1"/>
  <c r="I8" i="1"/>
  <c r="K73" i="14"/>
  <c r="L66" i="14"/>
  <c r="P67" i="14"/>
  <c r="P41" i="14"/>
  <c r="P75" i="14"/>
  <c r="Q68" i="14"/>
  <c r="Q60" i="14"/>
  <c r="K66" i="14"/>
  <c r="K42" i="14"/>
  <c r="L75" i="14"/>
  <c r="K65" i="14"/>
  <c r="P69" i="14"/>
  <c r="K76" i="14"/>
  <c r="P61" i="14"/>
  <c r="L68" i="14"/>
  <c r="K75" i="14"/>
  <c r="K63" i="14"/>
  <c r="L42" i="14"/>
  <c r="P77" i="14"/>
  <c r="L61" i="14"/>
  <c r="P65" i="14"/>
  <c r="L73" i="14"/>
  <c r="L63" i="14"/>
  <c r="L77" i="14"/>
  <c r="K62" i="14"/>
  <c r="K41" i="14"/>
  <c r="Q74" i="14"/>
  <c r="Q69" i="14"/>
  <c r="Q44" i="14"/>
  <c r="Q71" i="14"/>
  <c r="Q61" i="14"/>
  <c r="L72" i="14"/>
  <c r="L76" i="14"/>
  <c r="K77" i="14"/>
  <c r="L62" i="14"/>
  <c r="K67" i="14"/>
  <c r="K68" i="14"/>
  <c r="Q70" i="14"/>
  <c r="Q64" i="14"/>
  <c r="Q77" i="14"/>
  <c r="L74" i="14"/>
  <c r="K71" i="14"/>
  <c r="L70" i="14"/>
  <c r="P70" i="14"/>
  <c r="Q42" i="14"/>
  <c r="Q76" i="14"/>
  <c r="K64" i="14"/>
  <c r="Q72" i="14"/>
  <c r="P73" i="14"/>
  <c r="P64" i="14"/>
  <c r="Q41" i="14"/>
  <c r="P60" i="14"/>
  <c r="P72" i="14"/>
  <c r="P74" i="14"/>
  <c r="Q43" i="14"/>
  <c r="Q62" i="14"/>
  <c r="L67" i="14"/>
  <c r="P76" i="14"/>
  <c r="P68" i="14"/>
  <c r="K72" i="14"/>
  <c r="L60" i="14"/>
  <c r="L43" i="14"/>
  <c r="Q63" i="14"/>
  <c r="Q73" i="14"/>
  <c r="K60" i="14"/>
  <c r="K43" i="14"/>
  <c r="K70" i="14"/>
  <c r="L65" i="14"/>
  <c r="L64" i="14"/>
  <c r="K74" i="14"/>
  <c r="K69" i="14"/>
  <c r="L71" i="14"/>
  <c r="P62" i="14"/>
  <c r="Q65" i="14"/>
  <c r="P42" i="14"/>
  <c r="K61" i="14"/>
  <c r="Q75" i="14"/>
  <c r="P44" i="14"/>
  <c r="P66" i="14"/>
  <c r="L41" i="14"/>
  <c r="L69" i="14"/>
  <c r="P43" i="14"/>
  <c r="L44" i="14"/>
  <c r="Q67" i="14"/>
  <c r="P63" i="14"/>
  <c r="Q66" i="14"/>
  <c r="K44" i="14"/>
  <c r="P71" i="14"/>
  <c r="F6" i="15"/>
  <c r="N16" i="17" l="1"/>
  <c r="N23" i="16"/>
  <c r="O16" i="17"/>
  <c r="O23" i="16"/>
  <c r="O17" i="18"/>
  <c r="P17" i="18"/>
  <c r="G56" i="18"/>
  <c r="G57" i="18"/>
  <c r="G55" i="18"/>
  <c r="G54" i="18"/>
  <c r="G53" i="18"/>
  <c r="G52" i="18"/>
  <c r="G51" i="18"/>
  <c r="G50" i="18"/>
  <c r="G49" i="18"/>
  <c r="G48" i="18"/>
  <c r="G47" i="18"/>
  <c r="G46" i="18"/>
  <c r="G45" i="18"/>
  <c r="G44" i="18"/>
  <c r="G43" i="18"/>
  <c r="G42" i="18"/>
  <c r="G41" i="18"/>
  <c r="G40" i="18"/>
  <c r="G39" i="18"/>
  <c r="G38" i="18"/>
  <c r="G37" i="18"/>
  <c r="G36" i="18"/>
  <c r="G35" i="18"/>
  <c r="G34" i="18"/>
  <c r="G33" i="18"/>
  <c r="G32" i="18"/>
  <c r="G31" i="18"/>
  <c r="G30" i="18"/>
  <c r="G29" i="18"/>
  <c r="G28" i="18"/>
  <c r="G27" i="18"/>
  <c r="G26" i="18"/>
  <c r="G25" i="18"/>
  <c r="G24" i="18"/>
  <c r="G23" i="18"/>
  <c r="G22" i="18"/>
  <c r="G20" i="18"/>
  <c r="G17" i="18"/>
  <c r="G15" i="18"/>
  <c r="G14" i="18"/>
  <c r="G13" i="18"/>
  <c r="G12" i="18"/>
  <c r="G11" i="18"/>
  <c r="G10" i="18"/>
  <c r="G9" i="18"/>
  <c r="G8" i="18"/>
  <c r="G7" i="18"/>
  <c r="G6" i="18"/>
  <c r="G3" i="18"/>
  <c r="M15" i="17"/>
  <c r="G56" i="17"/>
  <c r="G55" i="17"/>
  <c r="G54" i="17"/>
  <c r="G53" i="17"/>
  <c r="G52" i="17"/>
  <c r="G51" i="17"/>
  <c r="G50" i="17"/>
  <c r="G49" i="17"/>
  <c r="G48" i="17"/>
  <c r="G47" i="17"/>
  <c r="G46" i="17"/>
  <c r="G45" i="17"/>
  <c r="G44" i="17"/>
  <c r="G43" i="17"/>
  <c r="G42" i="17"/>
  <c r="G41" i="17"/>
  <c r="G40" i="17"/>
  <c r="G39" i="17"/>
  <c r="G38" i="17"/>
  <c r="G37" i="17"/>
  <c r="G36" i="17"/>
  <c r="G35" i="17"/>
  <c r="G34" i="17"/>
  <c r="G33" i="17"/>
  <c r="G32" i="17"/>
  <c r="G31" i="17"/>
  <c r="G30" i="17"/>
  <c r="G29" i="17"/>
  <c r="G28" i="17"/>
  <c r="G27" i="17"/>
  <c r="G26" i="17"/>
  <c r="G25" i="17"/>
  <c r="G24" i="17"/>
  <c r="G23" i="17"/>
  <c r="G22" i="17"/>
  <c r="G21" i="17"/>
  <c r="G19" i="17"/>
  <c r="G16" i="17"/>
  <c r="G15" i="17"/>
  <c r="G14" i="17"/>
  <c r="G13" i="17"/>
  <c r="G12" i="17"/>
  <c r="G11" i="17"/>
  <c r="G10" i="17"/>
  <c r="G9" i="17"/>
  <c r="G8" i="17"/>
  <c r="G7" i="17"/>
  <c r="G6" i="17"/>
  <c r="G3" i="17"/>
  <c r="G28" i="16"/>
  <c r="G3" i="16"/>
  <c r="G69" i="15"/>
  <c r="G68" i="15"/>
  <c r="G67" i="15"/>
  <c r="G66" i="15"/>
  <c r="G65" i="15"/>
  <c r="G64" i="15"/>
  <c r="G63" i="15"/>
  <c r="G62" i="15"/>
  <c r="G61" i="15"/>
  <c r="G60" i="15"/>
  <c r="G59" i="15"/>
  <c r="G58" i="15"/>
  <c r="G57" i="15"/>
  <c r="G56" i="15"/>
  <c r="G55" i="15"/>
  <c r="G54" i="15"/>
  <c r="G53" i="15"/>
  <c r="G52" i="15"/>
  <c r="G51" i="15"/>
  <c r="G50" i="15"/>
  <c r="G49" i="15"/>
  <c r="G48" i="15"/>
  <c r="G47" i="15"/>
  <c r="G46" i="15"/>
  <c r="G45" i="15"/>
  <c r="G44" i="15"/>
  <c r="G43" i="15"/>
  <c r="G42" i="15"/>
  <c r="G41" i="15"/>
  <c r="G40" i="15"/>
  <c r="G39" i="15"/>
  <c r="G38" i="15"/>
  <c r="G37" i="15"/>
  <c r="G36" i="15"/>
  <c r="G35" i="15"/>
  <c r="G34" i="15"/>
  <c r="G33" i="15"/>
  <c r="G32" i="15"/>
  <c r="G16" i="15"/>
  <c r="G15" i="15"/>
  <c r="G14" i="15"/>
  <c r="G13" i="15"/>
  <c r="G12" i="15"/>
  <c r="G11" i="15"/>
  <c r="G10" i="15"/>
  <c r="G9" i="15"/>
  <c r="G8" i="15"/>
  <c r="G7" i="15"/>
  <c r="G6" i="15"/>
  <c r="J6" i="15"/>
  <c r="K43" i="18"/>
  <c r="K56" i="17"/>
  <c r="K42" i="17"/>
  <c r="J28" i="17"/>
  <c r="K37" i="17"/>
  <c r="K52" i="17"/>
  <c r="K6" i="17"/>
  <c r="V16" i="17"/>
  <c r="K32" i="17"/>
  <c r="J55" i="17"/>
  <c r="K26" i="17"/>
  <c r="J10" i="17"/>
  <c r="K7" i="17"/>
  <c r="K16" i="17"/>
  <c r="Q23" i="16"/>
  <c r="K38" i="18"/>
  <c r="K35" i="18"/>
  <c r="K48" i="18"/>
  <c r="J32" i="17"/>
  <c r="K55" i="17"/>
  <c r="K10" i="17"/>
  <c r="J7" i="17"/>
  <c r="J16" i="17"/>
  <c r="U16" i="17"/>
  <c r="K30" i="18"/>
  <c r="K29" i="18"/>
  <c r="K26" i="18"/>
  <c r="J47" i="17"/>
  <c r="J34" i="17"/>
  <c r="K27" i="17"/>
  <c r="P16" i="17"/>
  <c r="K27" i="18"/>
  <c r="K24" i="17"/>
  <c r="K54" i="17"/>
  <c r="K34" i="17"/>
  <c r="W17" i="18"/>
  <c r="K55" i="18"/>
  <c r="J13" i="17"/>
  <c r="J31" i="17"/>
  <c r="J25" i="17"/>
  <c r="V23" i="16"/>
  <c r="K56" i="18"/>
  <c r="K30" i="17"/>
  <c r="R17" i="18"/>
  <c r="V17" i="18"/>
  <c r="J56" i="17"/>
  <c r="J37" i="17"/>
  <c r="Q16" i="17"/>
  <c r="J26" i="17"/>
  <c r="K33" i="18"/>
  <c r="J24" i="17"/>
  <c r="J54" i="17"/>
  <c r="Q17" i="18"/>
  <c r="K31" i="18"/>
  <c r="K28" i="18"/>
  <c r="K47" i="17"/>
  <c r="J27" i="17"/>
  <c r="U23" i="16"/>
  <c r="K32" i="18"/>
  <c r="J30" i="17"/>
  <c r="P23" i="16"/>
  <c r="K13" i="17"/>
  <c r="K29" i="17"/>
  <c r="J42" i="17"/>
  <c r="J6" i="17"/>
  <c r="K25" i="18"/>
  <c r="J29" i="17"/>
  <c r="K53" i="18"/>
  <c r="K31" i="17"/>
  <c r="K25" i="17"/>
  <c r="K57" i="18"/>
  <c r="K28" i="17"/>
  <c r="J52" i="17"/>
  <c r="O24" i="16" l="1"/>
  <c r="N24" i="16"/>
  <c r="O46" i="17"/>
  <c r="N46" i="17"/>
  <c r="O19" i="17"/>
  <c r="N19" i="17"/>
  <c r="O47" i="17"/>
  <c r="N47" i="17"/>
  <c r="O44" i="17"/>
  <c r="N44" i="17"/>
  <c r="O45" i="17"/>
  <c r="N45" i="17"/>
  <c r="O32" i="17"/>
  <c r="N32" i="17"/>
  <c r="O40" i="17"/>
  <c r="N40" i="17"/>
  <c r="O35" i="17"/>
  <c r="N35" i="17"/>
  <c r="O29" i="17"/>
  <c r="N29" i="17"/>
  <c r="N31" i="17"/>
  <c r="O31" i="17"/>
  <c r="O15" i="17"/>
  <c r="N15" i="17"/>
  <c r="O17" i="17"/>
  <c r="N17" i="17"/>
  <c r="O41" i="17"/>
  <c r="N41" i="17"/>
  <c r="O49" i="17"/>
  <c r="N49" i="17"/>
  <c r="O36" i="17"/>
  <c r="N36" i="17"/>
  <c r="O37" i="17"/>
  <c r="N37" i="17"/>
  <c r="O39" i="17"/>
  <c r="N39" i="17"/>
  <c r="O18" i="17"/>
  <c r="N18" i="17"/>
  <c r="O34" i="17"/>
  <c r="N34" i="17"/>
  <c r="O42" i="17"/>
  <c r="N42" i="17"/>
  <c r="O33" i="15"/>
  <c r="O41" i="15"/>
  <c r="O49" i="15"/>
  <c r="O57" i="15"/>
  <c r="O65" i="15"/>
  <c r="O34" i="15"/>
  <c r="O42" i="15"/>
  <c r="O50" i="15"/>
  <c r="O58" i="15"/>
  <c r="O51" i="15"/>
  <c r="O59" i="15"/>
  <c r="O44" i="15"/>
  <c r="O52" i="15"/>
  <c r="O60" i="15"/>
  <c r="O37" i="15"/>
  <c r="O61" i="15"/>
  <c r="O35" i="15"/>
  <c r="O38" i="15"/>
  <c r="O46" i="15"/>
  <c r="O54" i="15"/>
  <c r="O62" i="15"/>
  <c r="O28" i="15"/>
  <c r="O45" i="15"/>
  <c r="O30" i="15"/>
  <c r="O31" i="15"/>
  <c r="O39" i="15"/>
  <c r="O47" i="15"/>
  <c r="O55" i="15"/>
  <c r="O63" i="15"/>
  <c r="O43" i="15"/>
  <c r="O36" i="15"/>
  <c r="O29" i="15"/>
  <c r="O53" i="15"/>
  <c r="O32" i="15"/>
  <c r="O40" i="15"/>
  <c r="O48" i="15"/>
  <c r="O56" i="15"/>
  <c r="O64" i="15"/>
  <c r="P21" i="18"/>
  <c r="O21" i="18"/>
  <c r="O32" i="18"/>
  <c r="P32" i="18"/>
  <c r="O33" i="18"/>
  <c r="P33" i="18"/>
  <c r="O34" i="18"/>
  <c r="P34" i="18"/>
  <c r="O35" i="18"/>
  <c r="P35" i="18"/>
  <c r="O36" i="18"/>
  <c r="P36" i="18"/>
  <c r="O29" i="18"/>
  <c r="P29" i="18"/>
  <c r="O37" i="18"/>
  <c r="P37" i="18"/>
  <c r="O45" i="18"/>
  <c r="P45" i="18"/>
  <c r="O52" i="18"/>
  <c r="P52" i="18"/>
  <c r="O24" i="18"/>
  <c r="P24" i="18"/>
  <c r="O48" i="18"/>
  <c r="P48" i="18"/>
  <c r="O25" i="18"/>
  <c r="P25" i="18"/>
  <c r="O49" i="18"/>
  <c r="P49" i="18"/>
  <c r="O26" i="18"/>
  <c r="P26" i="18"/>
  <c r="O50" i="18"/>
  <c r="P50" i="18"/>
  <c r="O27" i="18"/>
  <c r="P27" i="18"/>
  <c r="O43" i="18"/>
  <c r="P43" i="18"/>
  <c r="O20" i="18"/>
  <c r="P20" i="18"/>
  <c r="O53" i="18"/>
  <c r="P53" i="18"/>
  <c r="O22" i="18"/>
  <c r="P22" i="18"/>
  <c r="O30" i="18"/>
  <c r="P30" i="18"/>
  <c r="O38" i="18"/>
  <c r="P38" i="18"/>
  <c r="O46" i="18"/>
  <c r="P46" i="18"/>
  <c r="O40" i="18"/>
  <c r="P40" i="18"/>
  <c r="O41" i="18"/>
  <c r="P41" i="18"/>
  <c r="O18" i="18"/>
  <c r="P18" i="18"/>
  <c r="O42" i="18"/>
  <c r="P42" i="18"/>
  <c r="O19" i="18"/>
  <c r="P19" i="18"/>
  <c r="O51" i="18"/>
  <c r="P51" i="18"/>
  <c r="O28" i="18"/>
  <c r="P28" i="18"/>
  <c r="O44" i="18"/>
  <c r="P44" i="18"/>
  <c r="O23" i="18"/>
  <c r="P23" i="18"/>
  <c r="O31" i="18"/>
  <c r="P31" i="18"/>
  <c r="O39" i="18"/>
  <c r="P39" i="18"/>
  <c r="O47" i="18"/>
  <c r="P47" i="18"/>
  <c r="O16" i="18"/>
  <c r="P16" i="18"/>
  <c r="O52" i="17"/>
  <c r="O30" i="17"/>
  <c r="O27" i="17"/>
  <c r="O51" i="17"/>
  <c r="O28" i="17"/>
  <c r="O21" i="17"/>
  <c r="O22" i="17"/>
  <c r="O23" i="17"/>
  <c r="O24" i="17"/>
  <c r="O48" i="17"/>
  <c r="O26" i="17"/>
  <c r="O50" i="17"/>
  <c r="O43" i="17"/>
  <c r="O20" i="17"/>
  <c r="O38" i="17"/>
  <c r="O25" i="17"/>
  <c r="O33" i="17"/>
  <c r="G3" i="15"/>
  <c r="K6" i="15" l="1"/>
  <c r="O4" i="15" s="1"/>
  <c r="Q19" i="17"/>
  <c r="V50" i="18"/>
  <c r="W22" i="18"/>
  <c r="V44" i="17"/>
  <c r="V42" i="17"/>
  <c r="Q35" i="18"/>
  <c r="W44" i="18"/>
  <c r="Q29" i="18"/>
  <c r="V34" i="18"/>
  <c r="Q17" i="17"/>
  <c r="Q33" i="18"/>
  <c r="Q16" i="18"/>
  <c r="W35" i="18"/>
  <c r="V31" i="17"/>
  <c r="P45" i="17"/>
  <c r="V22" i="18"/>
  <c r="V45" i="18"/>
  <c r="V37" i="18"/>
  <c r="Q32" i="17"/>
  <c r="R27" i="18"/>
  <c r="R22" i="18"/>
  <c r="W39" i="18"/>
  <c r="Q50" i="18"/>
  <c r="P31" i="17"/>
  <c r="W27" i="18"/>
  <c r="V21" i="18"/>
  <c r="Q45" i="17"/>
  <c r="Q47" i="17"/>
  <c r="U24" i="16"/>
  <c r="V25" i="18"/>
  <c r="V45" i="17"/>
  <c r="W42" i="18"/>
  <c r="Q44" i="17"/>
  <c r="V40" i="17"/>
  <c r="P19" i="17"/>
  <c r="Q31" i="18"/>
  <c r="R49" i="18"/>
  <c r="W41" i="18"/>
  <c r="R24" i="18"/>
  <c r="U39" i="17"/>
  <c r="U18" i="17"/>
  <c r="P37" i="17"/>
  <c r="V40" i="18"/>
  <c r="U31" i="17"/>
  <c r="R34" i="18"/>
  <c r="Q42" i="18"/>
  <c r="Q47" i="18"/>
  <c r="P18" i="17"/>
  <c r="R42" i="18"/>
  <c r="Q52" i="18"/>
  <c r="Q19" i="18"/>
  <c r="V23" i="18"/>
  <c r="R29" i="18"/>
  <c r="U44" i="17"/>
  <c r="V48" i="18"/>
  <c r="Q20" i="18"/>
  <c r="Q40" i="17"/>
  <c r="R21" i="18"/>
  <c r="U47" i="17"/>
  <c r="W33" i="18"/>
  <c r="W31" i="18"/>
  <c r="Q18" i="18"/>
  <c r="Q23" i="18"/>
  <c r="V24" i="16"/>
  <c r="P36" i="17"/>
  <c r="W37" i="18"/>
  <c r="Q39" i="18"/>
  <c r="Q41" i="18"/>
  <c r="R37" i="18"/>
  <c r="U37" i="17"/>
  <c r="U42" i="17"/>
  <c r="R33" i="18"/>
  <c r="V35" i="18"/>
  <c r="U35" i="17"/>
  <c r="W21" i="18"/>
  <c r="P24" i="16"/>
  <c r="V37" i="17"/>
  <c r="V35" i="17"/>
  <c r="Q40" i="18"/>
  <c r="P34" i="17"/>
  <c r="Q49" i="18"/>
  <c r="Q37" i="18"/>
  <c r="U32" i="17"/>
  <c r="U17" i="17"/>
  <c r="Q25" i="18"/>
  <c r="Q38" i="18"/>
  <c r="Q28" i="18"/>
  <c r="V29" i="17"/>
  <c r="W18" i="18"/>
  <c r="V39" i="17"/>
  <c r="U29" i="17"/>
  <c r="Q51" i="18"/>
  <c r="V17" i="17"/>
  <c r="V28" i="18"/>
  <c r="V53" i="18"/>
  <c r="V19" i="18"/>
  <c r="W45" i="18"/>
  <c r="V42" i="18"/>
  <c r="Q49" i="17"/>
  <c r="W46" i="18"/>
  <c r="P41" i="17"/>
  <c r="R41" i="18"/>
  <c r="Q45" i="18"/>
  <c r="P49" i="17"/>
  <c r="Q36" i="17"/>
  <c r="Q36" i="18"/>
  <c r="R39" i="18"/>
  <c r="R36" i="18"/>
  <c r="R53" i="18"/>
  <c r="Q43" i="18"/>
  <c r="V27" i="18"/>
  <c r="U36" i="17"/>
  <c r="Q29" i="17"/>
  <c r="R18" i="18"/>
  <c r="V41" i="18"/>
  <c r="V18" i="17"/>
  <c r="R19" i="18"/>
  <c r="V18" i="18"/>
  <c r="Q27" i="18"/>
  <c r="Q32" i="18"/>
  <c r="Q21" i="18"/>
  <c r="V47" i="17"/>
  <c r="W47" i="18"/>
  <c r="P44" i="17"/>
  <c r="R40" i="18"/>
  <c r="W26" i="18"/>
  <c r="V46" i="17"/>
  <c r="V32" i="17"/>
  <c r="V16" i="18"/>
  <c r="P42" i="17"/>
  <c r="R32" i="18"/>
  <c r="U19" i="17"/>
  <c r="V47" i="18"/>
  <c r="Q48" i="18"/>
  <c r="Q34" i="17"/>
  <c r="R48" i="18"/>
  <c r="W32" i="18"/>
  <c r="W48" i="18"/>
  <c r="Q39" i="17"/>
  <c r="W16" i="18"/>
  <c r="W40" i="18"/>
  <c r="W30" i="18"/>
  <c r="R35" i="18"/>
  <c r="P40" i="17"/>
  <c r="V32" i="18"/>
  <c r="V19" i="17"/>
  <c r="W53" i="18"/>
  <c r="R44" i="18"/>
  <c r="V38" i="18"/>
  <c r="Q24" i="16"/>
  <c r="Q24" i="18"/>
  <c r="V46" i="18"/>
  <c r="V52" i="18"/>
  <c r="R28" i="18"/>
  <c r="Q26" i="18"/>
  <c r="W43" i="18"/>
  <c r="P35" i="17"/>
  <c r="W34" i="18"/>
  <c r="V34" i="17"/>
  <c r="R23" i="18"/>
  <c r="Q35" i="17"/>
  <c r="U46" i="17"/>
  <c r="W19" i="18"/>
  <c r="U45" i="17"/>
  <c r="V26" i="18"/>
  <c r="R20" i="18"/>
  <c r="W29" i="18"/>
  <c r="R51" i="18"/>
  <c r="V20" i="18"/>
  <c r="W20" i="18"/>
  <c r="R43" i="18"/>
  <c r="V49" i="17"/>
  <c r="V43" i="18"/>
  <c r="R45" i="18"/>
  <c r="W36" i="18"/>
  <c r="P32" i="17"/>
  <c r="W38" i="18"/>
  <c r="V29" i="18"/>
  <c r="V36" i="18"/>
  <c r="V49" i="18"/>
  <c r="Q22" i="18"/>
  <c r="W28" i="18"/>
  <c r="R16" i="18"/>
  <c r="W51" i="18"/>
  <c r="P46" i="17"/>
  <c r="W24" i="18"/>
  <c r="P47" i="17"/>
  <c r="W50" i="18"/>
  <c r="V30" i="18"/>
  <c r="U49" i="17"/>
  <c r="Q42" i="17"/>
  <c r="R26" i="18"/>
  <c r="P39" i="17"/>
  <c r="P29" i="17"/>
  <c r="Q53" i="18"/>
  <c r="V31" i="18"/>
  <c r="U34" i="17"/>
  <c r="R31" i="18"/>
  <c r="P17" i="17"/>
  <c r="Q37" i="17"/>
  <c r="W52" i="18"/>
  <c r="U40" i="17"/>
  <c r="V39" i="18"/>
  <c r="W49" i="18"/>
  <c r="V51" i="18"/>
  <c r="R46" i="18"/>
  <c r="R38" i="18"/>
  <c r="V41" i="17"/>
  <c r="V44" i="18"/>
  <c r="W25" i="18"/>
  <c r="Q44" i="18"/>
  <c r="Q46" i="17"/>
  <c r="Q18" i="17"/>
  <c r="U41" i="17"/>
  <c r="R50" i="18"/>
  <c r="Q34" i="18"/>
  <c r="Q41" i="17"/>
  <c r="R30" i="18"/>
  <c r="R52" i="18"/>
  <c r="R25" i="18"/>
  <c r="V33" i="18"/>
  <c r="W23" i="18"/>
  <c r="Q46" i="18"/>
  <c r="R47" i="18"/>
  <c r="Q30" i="18"/>
  <c r="Q31" i="17"/>
  <c r="V36" i="17"/>
  <c r="V24" i="18"/>
  <c r="S1" i="14" l="1"/>
  <c r="I5" i="14"/>
  <c r="D42" i="14"/>
  <c r="D41" i="14"/>
  <c r="D40" i="14"/>
  <c r="D39" i="14"/>
  <c r="D38" i="14"/>
  <c r="D37" i="14"/>
  <c r="D36" i="14"/>
  <c r="D35" i="14"/>
  <c r="D34" i="14"/>
  <c r="D33" i="14"/>
  <c r="D32" i="14"/>
  <c r="D31" i="14"/>
  <c r="D30" i="14"/>
  <c r="D29" i="14"/>
  <c r="D28" i="14"/>
  <c r="D27" i="14"/>
  <c r="D26" i="14"/>
  <c r="D25" i="14"/>
  <c r="D24" i="14"/>
  <c r="D23" i="14"/>
  <c r="D22" i="14"/>
  <c r="D21" i="14"/>
  <c r="D20" i="14"/>
  <c r="D19" i="14"/>
  <c r="D18" i="14"/>
  <c r="D17" i="14"/>
  <c r="D16" i="14"/>
  <c r="D15" i="14"/>
  <c r="D14" i="14"/>
  <c r="D13" i="14"/>
  <c r="D12" i="14"/>
  <c r="D11" i="14"/>
  <c r="D10" i="14"/>
  <c r="D9" i="14"/>
  <c r="D8" i="14"/>
  <c r="D7" i="14"/>
  <c r="D4" i="14"/>
  <c r="D3" i="14"/>
  <c r="V15" i="17"/>
  <c r="D9" i="1"/>
  <c r="G3" i="14"/>
  <c r="P15" i="17"/>
  <c r="U15" i="17"/>
  <c r="Q15" i="17"/>
  <c r="J27" i="14" l="1"/>
  <c r="J35" i="14"/>
  <c r="J28" i="14"/>
  <c r="J36" i="14"/>
  <c r="J29" i="14"/>
  <c r="J37" i="14"/>
  <c r="J30" i="14"/>
  <c r="J38" i="14"/>
  <c r="J31" i="14"/>
  <c r="J39" i="14"/>
  <c r="J24" i="14"/>
  <c r="J32" i="14"/>
  <c r="J40" i="14"/>
  <c r="J25" i="14"/>
  <c r="J33" i="14"/>
  <c r="J26" i="14"/>
  <c r="J34" i="14"/>
  <c r="N30" i="17"/>
  <c r="N28" i="17"/>
  <c r="N20" i="17"/>
  <c r="N33" i="17"/>
  <c r="N26" i="17"/>
  <c r="N52" i="17"/>
  <c r="N38" i="17"/>
  <c r="N21" i="17"/>
  <c r="N22" i="17"/>
  <c r="N27" i="17"/>
  <c r="N43" i="17"/>
  <c r="N24" i="17"/>
  <c r="N25" i="17"/>
  <c r="N23" i="17"/>
  <c r="N48" i="17"/>
  <c r="N50" i="17"/>
  <c r="N51" i="17"/>
  <c r="O7" i="17"/>
  <c r="O13" i="17"/>
  <c r="O8" i="17"/>
  <c r="O14" i="17"/>
  <c r="O12" i="17"/>
  <c r="O6" i="17"/>
  <c r="O4" i="17"/>
  <c r="O5" i="17"/>
  <c r="O9" i="17"/>
  <c r="O11" i="17"/>
  <c r="O10" i="17"/>
  <c r="N4" i="18"/>
  <c r="C7" i="18"/>
  <c r="H7" i="18" s="1"/>
  <c r="C8" i="18"/>
  <c r="H8" i="18" s="1"/>
  <c r="C9" i="18"/>
  <c r="H9" i="18" s="1"/>
  <c r="C10" i="18"/>
  <c r="H10" i="18" s="1"/>
  <c r="C11" i="18"/>
  <c r="H11" i="18" s="1"/>
  <c r="C12" i="18"/>
  <c r="H12" i="18" s="1"/>
  <c r="C13" i="18"/>
  <c r="H13" i="18" s="1"/>
  <c r="C14" i="18"/>
  <c r="H14" i="18" s="1"/>
  <c r="C15" i="18"/>
  <c r="H15" i="18" s="1"/>
  <c r="C17" i="18"/>
  <c r="H17" i="18" s="1"/>
  <c r="C6" i="18"/>
  <c r="H6" i="18" s="1"/>
  <c r="N3" i="18"/>
  <c r="Y1" i="18"/>
  <c r="M5" i="17"/>
  <c r="M6" i="17"/>
  <c r="M7" i="17"/>
  <c r="M8" i="17"/>
  <c r="M9" i="17"/>
  <c r="M10" i="17"/>
  <c r="M11" i="17"/>
  <c r="M12" i="17"/>
  <c r="M13" i="17"/>
  <c r="M14" i="17"/>
  <c r="M4" i="17"/>
  <c r="M3" i="17"/>
  <c r="X1" i="17"/>
  <c r="M22" i="16"/>
  <c r="M4" i="16"/>
  <c r="M3" i="16"/>
  <c r="G63" i="16"/>
  <c r="G62" i="16"/>
  <c r="G61" i="16"/>
  <c r="G60" i="16"/>
  <c r="G59" i="16"/>
  <c r="G58" i="16"/>
  <c r="G57" i="16"/>
  <c r="G56" i="16"/>
  <c r="G55" i="16"/>
  <c r="G54" i="16"/>
  <c r="G53" i="16"/>
  <c r="G52" i="16"/>
  <c r="G51" i="16"/>
  <c r="G50" i="16"/>
  <c r="G49" i="16"/>
  <c r="G48" i="16"/>
  <c r="G47" i="16"/>
  <c r="G46" i="16"/>
  <c r="G45" i="16"/>
  <c r="G44" i="16"/>
  <c r="G43" i="16"/>
  <c r="G42" i="16"/>
  <c r="G41" i="16"/>
  <c r="G40" i="16"/>
  <c r="G39" i="16"/>
  <c r="G38" i="16"/>
  <c r="G37" i="16"/>
  <c r="G36" i="16"/>
  <c r="G35" i="16"/>
  <c r="G34" i="16"/>
  <c r="G33" i="16"/>
  <c r="G32" i="16"/>
  <c r="G31" i="16"/>
  <c r="G30" i="16"/>
  <c r="G29" i="16"/>
  <c r="G26" i="16"/>
  <c r="G6" i="16"/>
  <c r="C6" i="16"/>
  <c r="H6" i="16" s="1"/>
  <c r="X1" i="16"/>
  <c r="Q25" i="17"/>
  <c r="P30" i="17"/>
  <c r="V25" i="17"/>
  <c r="U24" i="17"/>
  <c r="P51" i="17"/>
  <c r="K35" i="14"/>
  <c r="L31" i="14"/>
  <c r="V23" i="17"/>
  <c r="L32" i="14"/>
  <c r="P37" i="14"/>
  <c r="Q27" i="14"/>
  <c r="V22" i="17"/>
  <c r="P43" i="17"/>
  <c r="V24" i="17"/>
  <c r="U30" i="17"/>
  <c r="V51" i="17"/>
  <c r="Q28" i="17"/>
  <c r="Q38" i="17"/>
  <c r="K31" i="14"/>
  <c r="Q34" i="14"/>
  <c r="U38" i="17"/>
  <c r="Q52" i="17"/>
  <c r="C14" i="19"/>
  <c r="Q36" i="14"/>
  <c r="Q50" i="17"/>
  <c r="V30" i="17"/>
  <c r="Q40" i="14"/>
  <c r="Q26" i="17"/>
  <c r="P30" i="14"/>
  <c r="K29" i="14"/>
  <c r="U51" i="17"/>
  <c r="L35" i="14"/>
  <c r="Q24" i="17"/>
  <c r="K24" i="14"/>
  <c r="U27" i="17"/>
  <c r="V48" i="17"/>
  <c r="P26" i="17"/>
  <c r="V33" i="17"/>
  <c r="U50" i="17"/>
  <c r="P21" i="17"/>
  <c r="Q37" i="14"/>
  <c r="L26" i="14"/>
  <c r="Q48" i="17"/>
  <c r="K30" i="14"/>
  <c r="P48" i="17"/>
  <c r="Q26" i="14"/>
  <c r="K33" i="14"/>
  <c r="K32" i="14"/>
  <c r="Q23" i="17"/>
  <c r="P25" i="14"/>
  <c r="V38" i="17"/>
  <c r="U28" i="17"/>
  <c r="P23" i="17"/>
  <c r="U43" i="17"/>
  <c r="K27" i="14"/>
  <c r="K38" i="14"/>
  <c r="Q20" i="17"/>
  <c r="L33" i="14"/>
  <c r="L27" i="14"/>
  <c r="V43" i="17"/>
  <c r="V28" i="17"/>
  <c r="Q33" i="14"/>
  <c r="Q30" i="17"/>
  <c r="K39" i="14"/>
  <c r="Q28" i="14"/>
  <c r="L34" i="14"/>
  <c r="P26" i="14"/>
  <c r="P36" i="14"/>
  <c r="U33" i="17"/>
  <c r="P34" i="14"/>
  <c r="V50" i="17"/>
  <c r="V52" i="17"/>
  <c r="V27" i="17"/>
  <c r="L24" i="14"/>
  <c r="P52" i="17"/>
  <c r="U20" i="17"/>
  <c r="P29" i="14"/>
  <c r="P33" i="17"/>
  <c r="Q29" i="14"/>
  <c r="K40" i="14"/>
  <c r="Q35" i="14"/>
  <c r="K37" i="14"/>
  <c r="Q22" i="17"/>
  <c r="P27" i="17"/>
  <c r="P35" i="14"/>
  <c r="P38" i="14"/>
  <c r="P40" i="14"/>
  <c r="P25" i="17"/>
  <c r="K34" i="14"/>
  <c r="K25" i="14"/>
  <c r="P28" i="14"/>
  <c r="Q38" i="14"/>
  <c r="V26" i="17"/>
  <c r="P39" i="14"/>
  <c r="Q32" i="14"/>
  <c r="Q31" i="14"/>
  <c r="P24" i="14"/>
  <c r="U48" i="17"/>
  <c r="U22" i="17"/>
  <c r="P20" i="17"/>
  <c r="K8" i="18"/>
  <c r="P32" i="14"/>
  <c r="D10" i="1"/>
  <c r="L28" i="14"/>
  <c r="P27" i="14"/>
  <c r="P50" i="17"/>
  <c r="Q25" i="14"/>
  <c r="K36" i="14"/>
  <c r="V20" i="17"/>
  <c r="P33" i="14"/>
  <c r="P38" i="17"/>
  <c r="Q43" i="17"/>
  <c r="Q21" i="17"/>
  <c r="P22" i="17"/>
  <c r="K7" i="18"/>
  <c r="L39" i="14"/>
  <c r="L30" i="14"/>
  <c r="L29" i="14"/>
  <c r="L38" i="14"/>
  <c r="K14" i="18"/>
  <c r="K11" i="18"/>
  <c r="L40" i="14"/>
  <c r="L36" i="14"/>
  <c r="L25" i="14"/>
  <c r="U52" i="17"/>
  <c r="Q33" i="17"/>
  <c r="U26" i="17"/>
  <c r="U25" i="17"/>
  <c r="P31" i="14"/>
  <c r="Q51" i="17"/>
  <c r="K26" i="14"/>
  <c r="P24" i="17"/>
  <c r="Q39" i="14"/>
  <c r="Q27" i="17"/>
  <c r="P28" i="17"/>
  <c r="Q24" i="14"/>
  <c r="V21" i="17"/>
  <c r="U21" i="17"/>
  <c r="L37" i="14"/>
  <c r="K28" i="14"/>
  <c r="K10" i="18"/>
  <c r="K9" i="18"/>
  <c r="Q30" i="14"/>
  <c r="U23" i="17"/>
  <c r="I14" i="19" l="1"/>
  <c r="H14" i="19"/>
  <c r="O39" i="16"/>
  <c r="O22" i="16"/>
  <c r="O56" i="16"/>
  <c r="N25" i="16"/>
  <c r="O25" i="16"/>
  <c r="O41" i="16"/>
  <c r="O42" i="16"/>
  <c r="O44" i="16"/>
  <c r="O47" i="16"/>
  <c r="O48" i="16"/>
  <c r="O49" i="16"/>
  <c r="O26" i="16"/>
  <c r="N26" i="16"/>
  <c r="O43" i="16"/>
  <c r="O51" i="16"/>
  <c r="O36" i="16"/>
  <c r="O52" i="16"/>
  <c r="O53" i="16"/>
  <c r="O38" i="16"/>
  <c r="O46" i="16"/>
  <c r="O54" i="16"/>
  <c r="O8" i="18"/>
  <c r="O5" i="18"/>
  <c r="O7" i="18"/>
  <c r="O6" i="18"/>
  <c r="O10" i="18"/>
  <c r="O9" i="18"/>
  <c r="O15" i="18"/>
  <c r="O12" i="18"/>
  <c r="O13" i="18"/>
  <c r="O11" i="18"/>
  <c r="O59" i="16"/>
  <c r="O37" i="16"/>
  <c r="O29" i="16"/>
  <c r="O35" i="16"/>
  <c r="O55" i="16"/>
  <c r="O28" i="16"/>
  <c r="O57" i="16"/>
  <c r="O34" i="16"/>
  <c r="O40" i="16"/>
  <c r="O33" i="16"/>
  <c r="O30" i="16"/>
  <c r="O58" i="16"/>
  <c r="O27" i="16"/>
  <c r="O31" i="16"/>
  <c r="O45" i="16"/>
  <c r="O50" i="16"/>
  <c r="O32" i="16"/>
  <c r="N30" i="16"/>
  <c r="N46" i="16"/>
  <c r="N39" i="16"/>
  <c r="N47" i="16"/>
  <c r="N56" i="16"/>
  <c r="N33" i="16"/>
  <c r="N34" i="16"/>
  <c r="N42" i="16"/>
  <c r="N50" i="16"/>
  <c r="N58" i="16"/>
  <c r="N27" i="16"/>
  <c r="N35" i="16"/>
  <c r="N43" i="16"/>
  <c r="N51" i="16"/>
  <c r="N59" i="16"/>
  <c r="N54" i="16"/>
  <c r="N55" i="16"/>
  <c r="N32" i="16"/>
  <c r="N40" i="16"/>
  <c r="N41" i="16"/>
  <c r="N57" i="16"/>
  <c r="N28" i="16"/>
  <c r="N36" i="16"/>
  <c r="N44" i="16"/>
  <c r="N52" i="16"/>
  <c r="N38" i="16"/>
  <c r="N31" i="16"/>
  <c r="N48" i="16"/>
  <c r="N49" i="16"/>
  <c r="N29" i="16"/>
  <c r="N37" i="16"/>
  <c r="N45" i="16"/>
  <c r="N53" i="16"/>
  <c r="P11" i="18"/>
  <c r="P13" i="18"/>
  <c r="L10" i="18"/>
  <c r="P8" i="18" s="1"/>
  <c r="L9" i="18"/>
  <c r="P7" i="18" s="1"/>
  <c r="P10" i="18"/>
  <c r="P15" i="18"/>
  <c r="L8" i="18"/>
  <c r="P6" i="18" s="1"/>
  <c r="L14" i="18"/>
  <c r="P12" i="18" s="1"/>
  <c r="L11" i="18"/>
  <c r="P9" i="18" s="1"/>
  <c r="L7" i="18"/>
  <c r="P5" i="18" s="1"/>
  <c r="N22" i="16"/>
  <c r="M29" i="15"/>
  <c r="M30" i="15"/>
  <c r="M31" i="15"/>
  <c r="M32" i="15"/>
  <c r="M33" i="15"/>
  <c r="M34" i="15"/>
  <c r="M35" i="15"/>
  <c r="M36" i="15"/>
  <c r="M37" i="15"/>
  <c r="M38" i="15"/>
  <c r="M39" i="15"/>
  <c r="M40" i="15"/>
  <c r="M41" i="15"/>
  <c r="M42" i="15"/>
  <c r="M43" i="15"/>
  <c r="M44" i="15"/>
  <c r="M45" i="15"/>
  <c r="M46" i="15"/>
  <c r="M47" i="15"/>
  <c r="M48" i="15"/>
  <c r="M49" i="15"/>
  <c r="M50" i="15"/>
  <c r="M51" i="15"/>
  <c r="M52" i="15"/>
  <c r="M53" i="15"/>
  <c r="M54" i="15"/>
  <c r="M55" i="15"/>
  <c r="M56" i="15"/>
  <c r="M57" i="15"/>
  <c r="M58" i="15"/>
  <c r="M59" i="15"/>
  <c r="M60" i="15"/>
  <c r="M61" i="15"/>
  <c r="M62" i="15"/>
  <c r="M63" i="15"/>
  <c r="M64" i="15"/>
  <c r="M65" i="15"/>
  <c r="M28" i="15"/>
  <c r="M4" i="15"/>
  <c r="M5" i="15"/>
  <c r="M6" i="15"/>
  <c r="M7" i="15"/>
  <c r="M8" i="15"/>
  <c r="M9" i="15"/>
  <c r="M10" i="15"/>
  <c r="M11" i="15"/>
  <c r="M12" i="15"/>
  <c r="M13" i="15"/>
  <c r="M14" i="15"/>
  <c r="M3" i="15"/>
  <c r="X1" i="15"/>
  <c r="I4" i="14"/>
  <c r="I3" i="14"/>
  <c r="P57" i="16"/>
  <c r="U29" i="16"/>
  <c r="Q59" i="16"/>
  <c r="Q12" i="18"/>
  <c r="V35" i="16"/>
  <c r="V9" i="18"/>
  <c r="U42" i="16"/>
  <c r="V13" i="18"/>
  <c r="V11" i="18"/>
  <c r="Q5" i="18"/>
  <c r="U25" i="16"/>
  <c r="P56" i="16"/>
  <c r="Q31" i="16"/>
  <c r="P36" i="16"/>
  <c r="P52" i="16"/>
  <c r="U32" i="16"/>
  <c r="W8" i="18"/>
  <c r="P35" i="16"/>
  <c r="R15" i="18"/>
  <c r="V51" i="16"/>
  <c r="Q38" i="16"/>
  <c r="Q26" i="16"/>
  <c r="Q47" i="16"/>
  <c r="K6" i="18"/>
  <c r="Q52" i="16"/>
  <c r="V15" i="18"/>
  <c r="R13" i="18"/>
  <c r="U55" i="16"/>
  <c r="V12" i="18"/>
  <c r="P58" i="16"/>
  <c r="V39" i="16"/>
  <c r="Q55" i="16"/>
  <c r="V28" i="16"/>
  <c r="P48" i="16"/>
  <c r="V58" i="16"/>
  <c r="C15" i="19"/>
  <c r="C16" i="19" s="1"/>
  <c r="R11" i="18"/>
  <c r="Q8" i="18"/>
  <c r="P46" i="16"/>
  <c r="V31" i="16"/>
  <c r="Q45" i="16"/>
  <c r="U37" i="16"/>
  <c r="P55" i="16"/>
  <c r="P59" i="16"/>
  <c r="P42" i="16"/>
  <c r="U40" i="16"/>
  <c r="U45" i="16"/>
  <c r="U44" i="16"/>
  <c r="V5" i="18"/>
  <c r="Q27" i="16"/>
  <c r="V49" i="16"/>
  <c r="P29" i="16"/>
  <c r="Q15" i="18"/>
  <c r="R8" i="18"/>
  <c r="V42" i="16"/>
  <c r="V32" i="16"/>
  <c r="U33" i="16"/>
  <c r="V7" i="18"/>
  <c r="Q56" i="16"/>
  <c r="Q6" i="18"/>
  <c r="U51" i="16"/>
  <c r="V59" i="16"/>
  <c r="V46" i="16"/>
  <c r="U28" i="16"/>
  <c r="Q46" i="16"/>
  <c r="E15" i="19"/>
  <c r="Q51" i="16"/>
  <c r="Q28" i="16"/>
  <c r="V48" i="16"/>
  <c r="V30" i="16"/>
  <c r="U47" i="16"/>
  <c r="U27" i="16"/>
  <c r="P40" i="16"/>
  <c r="Q36" i="16"/>
  <c r="U56" i="16"/>
  <c r="Q25" i="16"/>
  <c r="Q49" i="16"/>
  <c r="V57" i="16"/>
  <c r="V53" i="16"/>
  <c r="V34" i="16"/>
  <c r="P25" i="16"/>
  <c r="Q54" i="16"/>
  <c r="U52" i="16"/>
  <c r="U41" i="16"/>
  <c r="Q7" i="18"/>
  <c r="R12" i="18"/>
  <c r="P30" i="16"/>
  <c r="Q33" i="16"/>
  <c r="U48" i="16"/>
  <c r="P37" i="16"/>
  <c r="U58" i="16"/>
  <c r="P27" i="16"/>
  <c r="P39" i="16"/>
  <c r="J6" i="16"/>
  <c r="U50" i="16"/>
  <c r="W13" i="18"/>
  <c r="P22" i="16"/>
  <c r="U53" i="16"/>
  <c r="V33" i="16"/>
  <c r="V37" i="16"/>
  <c r="V43" i="16"/>
  <c r="Q50" i="16"/>
  <c r="U57" i="16"/>
  <c r="Q32" i="16"/>
  <c r="V54" i="16"/>
  <c r="P38" i="16"/>
  <c r="W7" i="18"/>
  <c r="Q35" i="16"/>
  <c r="P53" i="16"/>
  <c r="Q29" i="16"/>
  <c r="U22" i="16"/>
  <c r="U49" i="16"/>
  <c r="E14" i="19"/>
  <c r="R10" i="18"/>
  <c r="V6" i="18"/>
  <c r="V8" i="18"/>
  <c r="Q42" i="16"/>
  <c r="Q37" i="16"/>
  <c r="E16" i="19"/>
  <c r="P44" i="16"/>
  <c r="W11" i="18"/>
  <c r="R9" i="18"/>
  <c r="U34" i="16"/>
  <c r="P54" i="16"/>
  <c r="V44" i="16"/>
  <c r="Q22" i="16"/>
  <c r="P47" i="16"/>
  <c r="P51" i="16"/>
  <c r="Q58" i="16"/>
  <c r="U39" i="16"/>
  <c r="C17" i="19"/>
  <c r="U36" i="16"/>
  <c r="Q40" i="16"/>
  <c r="Q13" i="18"/>
  <c r="U30" i="16"/>
  <c r="W10" i="18"/>
  <c r="U46" i="16"/>
  <c r="V40" i="16"/>
  <c r="Q11" i="18"/>
  <c r="Q53" i="16"/>
  <c r="V38" i="16"/>
  <c r="R7" i="18"/>
  <c r="R6" i="18"/>
  <c r="U35" i="16"/>
  <c r="U38" i="16"/>
  <c r="V50" i="16"/>
  <c r="P34" i="16"/>
  <c r="Q39" i="16"/>
  <c r="W5" i="18"/>
  <c r="P45" i="16"/>
  <c r="Q9" i="18"/>
  <c r="Q10" i="18"/>
  <c r="V36" i="16"/>
  <c r="V52" i="16"/>
  <c r="V27" i="16"/>
  <c r="P28" i="16"/>
  <c r="Q30" i="16"/>
  <c r="V47" i="16"/>
  <c r="V25" i="16"/>
  <c r="U54" i="16"/>
  <c r="W15" i="18"/>
  <c r="U31" i="16"/>
  <c r="V45" i="16"/>
  <c r="V10" i="18"/>
  <c r="V41" i="16"/>
  <c r="V56" i="16"/>
  <c r="U43" i="16"/>
  <c r="W6" i="18"/>
  <c r="Q41" i="16"/>
  <c r="V29" i="16"/>
  <c r="V26" i="16"/>
  <c r="Q57" i="16"/>
  <c r="U59" i="16"/>
  <c r="W12" i="18"/>
  <c r="R5" i="18"/>
  <c r="Q43" i="16"/>
  <c r="P41" i="16"/>
  <c r="P49" i="16"/>
  <c r="V22" i="16"/>
  <c r="U26" i="16"/>
  <c r="Q48" i="16"/>
  <c r="W9" i="18"/>
  <c r="P50" i="16"/>
  <c r="P32" i="16"/>
  <c r="Q34" i="16"/>
  <c r="P31" i="16"/>
  <c r="V55" i="16"/>
  <c r="P33" i="16"/>
  <c r="Q44" i="16"/>
  <c r="P43" i="16"/>
  <c r="P26" i="16"/>
  <c r="I17" i="19" l="1"/>
  <c r="H17" i="19"/>
  <c r="I16" i="19"/>
  <c r="H16" i="19"/>
  <c r="I15" i="19"/>
  <c r="H15" i="19"/>
  <c r="L6" i="18"/>
  <c r="P4" i="18" s="1"/>
  <c r="K6" i="16"/>
  <c r="O4" i="16" s="1"/>
  <c r="J4" i="14"/>
  <c r="N4" i="16"/>
  <c r="O4" i="18"/>
  <c r="J3" i="14"/>
  <c r="N28" i="15"/>
  <c r="N29" i="15"/>
  <c r="N30" i="15"/>
  <c r="N31" i="15"/>
  <c r="N32" i="15"/>
  <c r="N59" i="15"/>
  <c r="N58" i="15"/>
  <c r="N57" i="15"/>
  <c r="N49" i="15"/>
  <c r="N48" i="15"/>
  <c r="N47" i="15"/>
  <c r="N54" i="15"/>
  <c r="N53" i="15"/>
  <c r="N52" i="15"/>
  <c r="N44" i="15"/>
  <c r="U29" i="15"/>
  <c r="P31" i="15"/>
  <c r="P52" i="15"/>
  <c r="U54" i="15"/>
  <c r="V49" i="15"/>
  <c r="P59" i="15"/>
  <c r="V32" i="15"/>
  <c r="F14" i="19"/>
  <c r="P29" i="15"/>
  <c r="U28" i="15"/>
  <c r="P30" i="15"/>
  <c r="P28" i="15"/>
  <c r="V28" i="15"/>
  <c r="U44" i="15"/>
  <c r="Q4" i="16"/>
  <c r="Q52" i="15"/>
  <c r="V57" i="15"/>
  <c r="V44" i="15"/>
  <c r="Q44" i="15"/>
  <c r="Q47" i="15"/>
  <c r="Q4" i="18"/>
  <c r="Q58" i="15"/>
  <c r="Q31" i="15"/>
  <c r="P32" i="15"/>
  <c r="C18" i="19"/>
  <c r="C19" i="19" s="1"/>
  <c r="J3" i="15"/>
  <c r="C20" i="19"/>
  <c r="E17" i="19"/>
  <c r="F17" i="19" s="1"/>
  <c r="V52" i="15"/>
  <c r="U58" i="15"/>
  <c r="V47" i="15"/>
  <c r="V31" i="15"/>
  <c r="V30" i="15"/>
  <c r="F15" i="19"/>
  <c r="U30" i="15"/>
  <c r="K3" i="18"/>
  <c r="E19" i="19"/>
  <c r="P54" i="15"/>
  <c r="W4" i="18"/>
  <c r="U48" i="15"/>
  <c r="U31" i="15"/>
  <c r="Q28" i="15"/>
  <c r="U59" i="15"/>
  <c r="V59" i="15"/>
  <c r="Q48" i="15"/>
  <c r="V4" i="16"/>
  <c r="V48" i="15"/>
  <c r="U47" i="15"/>
  <c r="V54" i="15"/>
  <c r="Q29" i="15"/>
  <c r="F16" i="19"/>
  <c r="U49" i="15"/>
  <c r="P44" i="15"/>
  <c r="P48" i="15"/>
  <c r="V29" i="15"/>
  <c r="Q30" i="15"/>
  <c r="V53" i="15"/>
  <c r="Q32" i="15"/>
  <c r="V58" i="15"/>
  <c r="U52" i="15"/>
  <c r="J3" i="17"/>
  <c r="P58" i="15"/>
  <c r="P4" i="16"/>
  <c r="P47" i="15"/>
  <c r="P57" i="15"/>
  <c r="Q59" i="15"/>
  <c r="Q54" i="15"/>
  <c r="V4" i="18"/>
  <c r="P53" i="15"/>
  <c r="Q57" i="15"/>
  <c r="U4" i="16"/>
  <c r="U57" i="15"/>
  <c r="Q53" i="15"/>
  <c r="U53" i="15"/>
  <c r="P49" i="15"/>
  <c r="U32" i="15"/>
  <c r="R4" i="18"/>
  <c r="Q49" i="15"/>
  <c r="J3" i="16"/>
  <c r="I20" i="19" l="1"/>
  <c r="H20" i="19"/>
  <c r="I19" i="19"/>
  <c r="H19" i="19"/>
  <c r="I18" i="19"/>
  <c r="H18" i="19"/>
  <c r="L3" i="18"/>
  <c r="P3" i="18" s="1"/>
  <c r="K3" i="17"/>
  <c r="O3" i="17" s="1"/>
  <c r="K3" i="16"/>
  <c r="O3" i="16" s="1"/>
  <c r="K3" i="15"/>
  <c r="O3" i="15" s="1"/>
  <c r="N3" i="17"/>
  <c r="N3" i="16"/>
  <c r="O3" i="18"/>
  <c r="N3" i="15"/>
  <c r="J14" i="19"/>
  <c r="Q3" i="16"/>
  <c r="W3" i="18"/>
  <c r="Q3" i="17"/>
  <c r="U3" i="17"/>
  <c r="U3" i="15"/>
  <c r="Z3" i="17" a="1"/>
  <c r="F19" i="19"/>
  <c r="R3" i="18"/>
  <c r="V3" i="15"/>
  <c r="E20" i="19"/>
  <c r="E18" i="19"/>
  <c r="Q3" i="18"/>
  <c r="Z3" i="16" a="1"/>
  <c r="V3" i="17"/>
  <c r="U3" i="16"/>
  <c r="J16" i="19"/>
  <c r="V3" i="18"/>
  <c r="Y3" i="16" a="1"/>
  <c r="Q3" i="15"/>
  <c r="C21" i="19"/>
  <c r="P3" i="16"/>
  <c r="J15" i="19"/>
  <c r="P3" i="15"/>
  <c r="V3" i="16"/>
  <c r="J17" i="19"/>
  <c r="P3" i="17"/>
  <c r="M12" i="19" l="1"/>
  <c r="I21" i="19"/>
  <c r="H21" i="19"/>
  <c r="M13" i="19"/>
  <c r="Z26" i="17"/>
  <c r="Z52" i="17"/>
  <c r="Z39" i="17"/>
  <c r="Z3" i="17"/>
  <c r="Z29" i="17"/>
  <c r="Z7" i="17"/>
  <c r="Z18" i="17"/>
  <c r="Z35" i="17"/>
  <c r="Z14" i="17"/>
  <c r="Z9" i="17"/>
  <c r="Z12" i="17"/>
  <c r="Z46" i="17"/>
  <c r="Z24" i="17"/>
  <c r="Z27" i="17"/>
  <c r="Z44" i="17"/>
  <c r="Z31" i="17"/>
  <c r="Z50" i="17"/>
  <c r="Z21" i="17"/>
  <c r="Z16" i="17"/>
  <c r="Z41" i="17"/>
  <c r="Z6" i="17"/>
  <c r="Z48" i="17"/>
  <c r="Z4" i="17"/>
  <c r="Z38" i="17"/>
  <c r="Z33" i="17"/>
  <c r="Z36" i="17"/>
  <c r="Z23" i="17"/>
  <c r="Z42" i="17"/>
  <c r="Z13" i="17"/>
  <c r="Z8" i="17"/>
  <c r="Z10" i="17"/>
  <c r="Z45" i="17"/>
  <c r="Z40" i="17"/>
  <c r="Z51" i="17"/>
  <c r="Z30" i="17"/>
  <c r="Z25" i="17"/>
  <c r="Z19" i="17"/>
  <c r="Z15" i="17"/>
  <c r="Z34" i="17"/>
  <c r="Z5" i="17"/>
  <c r="Z47" i="17"/>
  <c r="Z11" i="17"/>
  <c r="Z28" i="17"/>
  <c r="Z32" i="17"/>
  <c r="Z43" i="17"/>
  <c r="Z22" i="17"/>
  <c r="Z17" i="17"/>
  <c r="Z20" i="17"/>
  <c r="Z37" i="17"/>
  <c r="Z49" i="17"/>
  <c r="M14" i="19"/>
  <c r="M15" i="19"/>
  <c r="Z26" i="16"/>
  <c r="Z27" i="16"/>
  <c r="Z28" i="16"/>
  <c r="Z37" i="16"/>
  <c r="Z46" i="16"/>
  <c r="Z55" i="16"/>
  <c r="Z9" i="16"/>
  <c r="Z34" i="16"/>
  <c r="Z35" i="16"/>
  <c r="Z36" i="16"/>
  <c r="Z45" i="16"/>
  <c r="Z54" i="16"/>
  <c r="Z8" i="16"/>
  <c r="Z17" i="16"/>
  <c r="Z42" i="16"/>
  <c r="Z43" i="16"/>
  <c r="Z44" i="16"/>
  <c r="Z53" i="16"/>
  <c r="Z7" i="16"/>
  <c r="Z16" i="16"/>
  <c r="Z25" i="16"/>
  <c r="Z11" i="16"/>
  <c r="Z5" i="16"/>
  <c r="Z38" i="16"/>
  <c r="Z40" i="16"/>
  <c r="Z19" i="16"/>
  <c r="Z13" i="16"/>
  <c r="Z15" i="16"/>
  <c r="Z48" i="16"/>
  <c r="Z51" i="16"/>
  <c r="Z21" i="16"/>
  <c r="Z23" i="16"/>
  <c r="Z56" i="16"/>
  <c r="Z10" i="16"/>
  <c r="Z59" i="16"/>
  <c r="Z29" i="16"/>
  <c r="Z31" i="16"/>
  <c r="Z33" i="16"/>
  <c r="Z18" i="16"/>
  <c r="Z6" i="16"/>
  <c r="Z41" i="16"/>
  <c r="Z12" i="16"/>
  <c r="Z47" i="16"/>
  <c r="Z58" i="16"/>
  <c r="Z22" i="16"/>
  <c r="Z57" i="16"/>
  <c r="Z30" i="16"/>
  <c r="Z4" i="16"/>
  <c r="Z39" i="16"/>
  <c r="Z50" i="16"/>
  <c r="Z14" i="16"/>
  <c r="Z49" i="16"/>
  <c r="Z20" i="16"/>
  <c r="Z24" i="16"/>
  <c r="Z3" i="16"/>
  <c r="Z52" i="16"/>
  <c r="Z32" i="16"/>
  <c r="Y18" i="16"/>
  <c r="Y19" i="16"/>
  <c r="Y20" i="16"/>
  <c r="Y29" i="16"/>
  <c r="Y38" i="16"/>
  <c r="Y47" i="16"/>
  <c r="Y56" i="16"/>
  <c r="Y26" i="16"/>
  <c r="Y27" i="16"/>
  <c r="Y28" i="16"/>
  <c r="Y37" i="16"/>
  <c r="Y46" i="16"/>
  <c r="Y55" i="16"/>
  <c r="Y9" i="16"/>
  <c r="Y34" i="16"/>
  <c r="Y35" i="16"/>
  <c r="Y36" i="16"/>
  <c r="Y45" i="16"/>
  <c r="Y54" i="16"/>
  <c r="Y42" i="16"/>
  <c r="Y4" i="16"/>
  <c r="Y6" i="16"/>
  <c r="Y39" i="16"/>
  <c r="Y25" i="16"/>
  <c r="Y50" i="16"/>
  <c r="Y12" i="16"/>
  <c r="Y14" i="16"/>
  <c r="Y8" i="16"/>
  <c r="Y33" i="16"/>
  <c r="Y58" i="16"/>
  <c r="Y44" i="16"/>
  <c r="Y22" i="16"/>
  <c r="Y16" i="16"/>
  <c r="Y41" i="16"/>
  <c r="Y3" i="16"/>
  <c r="Y52" i="16"/>
  <c r="Y30" i="16"/>
  <c r="Y24" i="16"/>
  <c r="Y49" i="16"/>
  <c r="Y5" i="16"/>
  <c r="Y7" i="16"/>
  <c r="Y43" i="16"/>
  <c r="Y15" i="16"/>
  <c r="Y21" i="16"/>
  <c r="Y11" i="16"/>
  <c r="Y32" i="16"/>
  <c r="Y57" i="16"/>
  <c r="Y13" i="16"/>
  <c r="Y40" i="16"/>
  <c r="Y51" i="16"/>
  <c r="Y23" i="16"/>
  <c r="Y48" i="16"/>
  <c r="Y10" i="16"/>
  <c r="Y59" i="16"/>
  <c r="Y53" i="16"/>
  <c r="Y31" i="16"/>
  <c r="Y17" i="16"/>
  <c r="N41" i="15"/>
  <c r="N46" i="15"/>
  <c r="N61" i="15"/>
  <c r="N63" i="15"/>
  <c r="N51" i="15"/>
  <c r="N56" i="15"/>
  <c r="N43" i="15"/>
  <c r="N4" i="17"/>
  <c r="N14" i="17"/>
  <c r="N12" i="17"/>
  <c r="N9" i="17"/>
  <c r="N13" i="17"/>
  <c r="N10" i="17"/>
  <c r="N7" i="17"/>
  <c r="N8" i="17"/>
  <c r="N11" i="17"/>
  <c r="N5" i="17"/>
  <c r="N6" i="17"/>
  <c r="N42" i="15"/>
  <c r="N35" i="15"/>
  <c r="N60" i="15"/>
  <c r="N34" i="15"/>
  <c r="N45" i="15"/>
  <c r="N33" i="15"/>
  <c r="N62" i="15"/>
  <c r="N39" i="15"/>
  <c r="N64" i="15"/>
  <c r="N65" i="15"/>
  <c r="N50" i="15"/>
  <c r="N40" i="15"/>
  <c r="N55" i="15"/>
  <c r="N38" i="15"/>
  <c r="N37" i="15"/>
  <c r="N36" i="15"/>
  <c r="N12" i="19"/>
  <c r="S12" i="19"/>
  <c r="T12" i="19"/>
  <c r="O12" i="19"/>
  <c r="AB33" i="16"/>
  <c r="AB26" i="16"/>
  <c r="AA14" i="16"/>
  <c r="AD9" i="16"/>
  <c r="AB12" i="16"/>
  <c r="AD12" i="16"/>
  <c r="U63" i="15"/>
  <c r="AD53" i="16"/>
  <c r="AC31" i="16"/>
  <c r="AA7" i="16"/>
  <c r="AC39" i="16"/>
  <c r="AE54" i="16"/>
  <c r="AE5" i="16"/>
  <c r="AB29" i="16"/>
  <c r="AD10" i="16"/>
  <c r="AE19" i="16"/>
  <c r="AB36" i="16"/>
  <c r="AD45" i="16"/>
  <c r="AA5" i="16"/>
  <c r="AE30" i="16"/>
  <c r="AE7" i="16"/>
  <c r="AD26" i="16"/>
  <c r="AA4" i="16"/>
  <c r="AB43" i="16"/>
  <c r="AE12" i="16"/>
  <c r="AB30" i="16"/>
  <c r="Q43" i="15"/>
  <c r="AB44" i="16"/>
  <c r="AE13" i="16"/>
  <c r="AB45" i="16"/>
  <c r="AB39" i="16"/>
  <c r="AB55" i="16"/>
  <c r="AE29" i="16"/>
  <c r="AE17" i="16"/>
  <c r="AB58" i="16"/>
  <c r="AD30" i="16"/>
  <c r="V63" i="15"/>
  <c r="AE23" i="16"/>
  <c r="AB11" i="16"/>
  <c r="AA33" i="16"/>
  <c r="AD35" i="16"/>
  <c r="AA17" i="16"/>
  <c r="AD4" i="16"/>
  <c r="AB34" i="16"/>
  <c r="AE43" i="16"/>
  <c r="AD57" i="16"/>
  <c r="AC15" i="16"/>
  <c r="AC12" i="16"/>
  <c r="AA43" i="16"/>
  <c r="AE37" i="16"/>
  <c r="P46" i="15"/>
  <c r="AA35" i="16"/>
  <c r="AD20" i="16"/>
  <c r="AB28" i="16"/>
  <c r="AB13" i="16"/>
  <c r="AC43" i="16"/>
  <c r="T13" i="19"/>
  <c r="AD38" i="16"/>
  <c r="AA52" i="16"/>
  <c r="O13" i="19"/>
  <c r="P63" i="15"/>
  <c r="AA10" i="16"/>
  <c r="AE41" i="16"/>
  <c r="AE50" i="16"/>
  <c r="AC32" i="16"/>
  <c r="AA41" i="16"/>
  <c r="AD25" i="16"/>
  <c r="AA54" i="16"/>
  <c r="Q61" i="15"/>
  <c r="AD21" i="16"/>
  <c r="AD48" i="16"/>
  <c r="P43" i="15"/>
  <c r="F20" i="19"/>
  <c r="AA21" i="16"/>
  <c r="AD51" i="16"/>
  <c r="AD18" i="16"/>
  <c r="AC14" i="16"/>
  <c r="T14" i="19"/>
  <c r="AD54" i="16"/>
  <c r="C22" i="19"/>
  <c r="E22" i="19" s="1"/>
  <c r="V4" i="17"/>
  <c r="AE56" i="16"/>
  <c r="AE22" i="16"/>
  <c r="AD27" i="16"/>
  <c r="AB15" i="16"/>
  <c r="N15" i="19"/>
  <c r="AB18" i="16"/>
  <c r="AB49" i="16"/>
  <c r="AD24" i="16"/>
  <c r="AC34" i="16"/>
  <c r="AC38" i="16"/>
  <c r="AB47" i="16"/>
  <c r="AD14" i="16"/>
  <c r="AE32" i="16"/>
  <c r="AE42" i="16"/>
  <c r="AC53" i="16"/>
  <c r="AE45" i="16"/>
  <c r="AA42" i="16"/>
  <c r="F18" i="19"/>
  <c r="P51" i="15"/>
  <c r="AE6" i="16"/>
  <c r="AE10" i="16"/>
  <c r="AC19" i="16"/>
  <c r="AB19" i="16"/>
  <c r="AE48" i="16"/>
  <c r="AC52" i="16"/>
  <c r="AC36" i="16"/>
  <c r="AD32" i="16"/>
  <c r="AB51" i="16"/>
  <c r="V43" i="15"/>
  <c r="AE31" i="16"/>
  <c r="U4" i="17"/>
  <c r="AC40" i="16"/>
  <c r="AA19" i="16"/>
  <c r="AA30" i="16"/>
  <c r="AE21" i="16"/>
  <c r="AD15" i="16"/>
  <c r="AB37" i="16"/>
  <c r="AC22" i="16"/>
  <c r="AB48" i="16"/>
  <c r="P61" i="15"/>
  <c r="AA16" i="16"/>
  <c r="P4" i="17"/>
  <c r="U46" i="15"/>
  <c r="AC11" i="16"/>
  <c r="AC51" i="16"/>
  <c r="AD23" i="16"/>
  <c r="V61" i="15"/>
  <c r="U51" i="15"/>
  <c r="AC13" i="16"/>
  <c r="AB23" i="16"/>
  <c r="V51" i="15"/>
  <c r="AC56" i="16"/>
  <c r="AA46" i="16"/>
  <c r="AE51" i="16"/>
  <c r="P56" i="15"/>
  <c r="AB42" i="16"/>
  <c r="AE34" i="16"/>
  <c r="AA22" i="16"/>
  <c r="AA55" i="16"/>
  <c r="AA13" i="16"/>
  <c r="AC9" i="16"/>
  <c r="AA56" i="16"/>
  <c r="AA28" i="16"/>
  <c r="V56" i="15"/>
  <c r="AE8" i="16"/>
  <c r="AC54" i="16"/>
  <c r="AB53" i="16"/>
  <c r="AE25" i="16"/>
  <c r="AE26" i="16"/>
  <c r="AB4" i="16"/>
  <c r="AA50" i="16"/>
  <c r="AB17" i="16"/>
  <c r="AA31" i="16"/>
  <c r="AB59" i="16"/>
  <c r="AD36" i="16"/>
  <c r="AC17" i="16"/>
  <c r="AC10" i="16"/>
  <c r="O15" i="19"/>
  <c r="AD58" i="16"/>
  <c r="S13" i="19"/>
  <c r="D45" i="1"/>
  <c r="AA45" i="16"/>
  <c r="AB40" i="16"/>
  <c r="AD59" i="16"/>
  <c r="AA44" i="16"/>
  <c r="AE15" i="16"/>
  <c r="AA40" i="16"/>
  <c r="AD31" i="16"/>
  <c r="AD8" i="16"/>
  <c r="AE46" i="16"/>
  <c r="AA32" i="16"/>
  <c r="AA39" i="16"/>
  <c r="AB38" i="16"/>
  <c r="I60" i="1"/>
  <c r="AC27" i="16"/>
  <c r="AA25" i="16"/>
  <c r="AA29" i="16"/>
  <c r="AD55" i="16"/>
  <c r="AC57" i="16"/>
  <c r="U41" i="15"/>
  <c r="AC47" i="16"/>
  <c r="AB52" i="16"/>
  <c r="AC35" i="16"/>
  <c r="AD13" i="16"/>
  <c r="AA58" i="16"/>
  <c r="AA24" i="16"/>
  <c r="AD34" i="16"/>
  <c r="AD52" i="16"/>
  <c r="AE27" i="16"/>
  <c r="S14" i="19"/>
  <c r="AC23" i="16"/>
  <c r="AB16" i="16"/>
  <c r="AE57" i="16"/>
  <c r="AE53" i="16"/>
  <c r="AB57" i="16"/>
  <c r="AD17" i="16"/>
  <c r="T15" i="19"/>
  <c r="AB9" i="16"/>
  <c r="AE58" i="16"/>
  <c r="AE47" i="16"/>
  <c r="O14" i="19"/>
  <c r="AA36" i="16"/>
  <c r="AD49" i="16"/>
  <c r="AA6" i="16"/>
  <c r="AC55" i="16"/>
  <c r="AB6" i="16"/>
  <c r="AA57" i="16"/>
  <c r="AB25" i="16"/>
  <c r="AA12" i="16"/>
  <c r="AE18" i="16"/>
  <c r="AD16" i="16"/>
  <c r="AC25" i="16"/>
  <c r="N13" i="19"/>
  <c r="AD40" i="16"/>
  <c r="AD6" i="16"/>
  <c r="AD39" i="16"/>
  <c r="V46" i="15"/>
  <c r="AE11" i="16"/>
  <c r="AA34" i="16"/>
  <c r="AB54" i="16"/>
  <c r="AA18" i="16"/>
  <c r="AE9" i="16"/>
  <c r="AB10" i="16"/>
  <c r="AD28" i="16"/>
  <c r="AC28" i="16"/>
  <c r="AC24" i="16"/>
  <c r="AC8" i="16"/>
  <c r="AD5" i="16"/>
  <c r="AC26" i="16"/>
  <c r="AE36" i="16"/>
  <c r="Q56" i="15"/>
  <c r="AB46" i="16"/>
  <c r="AC4" i="16"/>
  <c r="AB50" i="16"/>
  <c r="AE4" i="16"/>
  <c r="AB31" i="16"/>
  <c r="Q63" i="15"/>
  <c r="AB7" i="16"/>
  <c r="AE49" i="16"/>
  <c r="AA11" i="16"/>
  <c r="AA53" i="16"/>
  <c r="AA48" i="16"/>
  <c r="AC46" i="16"/>
  <c r="AD46" i="16"/>
  <c r="AE33" i="16"/>
  <c r="AE55" i="16"/>
  <c r="AC59" i="16"/>
  <c r="AB27" i="16"/>
  <c r="AD47" i="16"/>
  <c r="AA23" i="16"/>
  <c r="U56" i="15"/>
  <c r="AA26" i="16"/>
  <c r="AD41" i="16"/>
  <c r="AD19" i="16"/>
  <c r="AE35" i="16"/>
  <c r="Q51" i="15"/>
  <c r="AA38" i="16"/>
  <c r="Q46" i="15"/>
  <c r="AC33" i="16"/>
  <c r="AC41" i="16"/>
  <c r="AD42" i="16"/>
  <c r="AB22" i="16"/>
  <c r="AD33" i="16"/>
  <c r="AD43" i="16"/>
  <c r="AC5" i="16"/>
  <c r="AC20" i="16"/>
  <c r="AE20" i="16"/>
  <c r="AD7" i="16"/>
  <c r="AE16" i="16"/>
  <c r="AC48" i="16"/>
  <c r="AE40" i="16"/>
  <c r="AA47" i="16"/>
  <c r="AC16" i="16"/>
  <c r="AD50" i="16"/>
  <c r="AA49" i="16"/>
  <c r="AC7" i="16"/>
  <c r="AB21" i="16"/>
  <c r="AB56" i="16"/>
  <c r="U61" i="15"/>
  <c r="Y3" i="17" a="1"/>
  <c r="AC29" i="16"/>
  <c r="E21" i="19"/>
  <c r="AE52" i="16"/>
  <c r="AB14" i="16"/>
  <c r="Q4" i="17"/>
  <c r="AB41" i="16"/>
  <c r="AE44" i="16"/>
  <c r="AC42" i="16"/>
  <c r="AE39" i="16"/>
  <c r="AA59" i="16"/>
  <c r="AE28" i="16"/>
  <c r="AE59" i="16"/>
  <c r="AB8" i="16"/>
  <c r="AC58" i="16"/>
  <c r="AD29" i="16"/>
  <c r="S15" i="19"/>
  <c r="AB20" i="16"/>
  <c r="Q41" i="15"/>
  <c r="U43" i="15"/>
  <c r="AC21" i="16"/>
  <c r="AA37" i="16"/>
  <c r="AB35" i="16"/>
  <c r="AA27" i="16"/>
  <c r="AB5" i="16"/>
  <c r="AD37" i="16"/>
  <c r="F21" i="19"/>
  <c r="AC6" i="16"/>
  <c r="AC50" i="16"/>
  <c r="AA15" i="16"/>
  <c r="V41" i="15"/>
  <c r="AE24" i="16"/>
  <c r="AC44" i="16"/>
  <c r="AC18" i="16"/>
  <c r="AB32" i="16"/>
  <c r="AD56" i="16"/>
  <c r="AC45" i="16"/>
  <c r="N14" i="19"/>
  <c r="AE38" i="16"/>
  <c r="AA51" i="16"/>
  <c r="AA20" i="16"/>
  <c r="AD11" i="16"/>
  <c r="J20" i="19"/>
  <c r="AC37" i="16"/>
  <c r="AA8" i="16"/>
  <c r="AD22" i="16"/>
  <c r="AC30" i="16"/>
  <c r="AE14" i="16"/>
  <c r="AC49" i="16"/>
  <c r="AB24" i="16"/>
  <c r="AD44" i="16"/>
  <c r="AA9" i="16"/>
  <c r="P41" i="15"/>
  <c r="J19" i="19"/>
  <c r="H22" i="19" l="1"/>
  <c r="I22" i="19"/>
  <c r="M17" i="19"/>
  <c r="M18" i="19"/>
  <c r="Y10" i="17"/>
  <c r="Y36" i="17"/>
  <c r="Y23" i="17"/>
  <c r="Y30" i="17"/>
  <c r="Y24" i="17"/>
  <c r="Y52" i="17"/>
  <c r="Y12" i="17"/>
  <c r="Y27" i="17"/>
  <c r="Y6" i="17"/>
  <c r="Y42" i="17"/>
  <c r="Y8" i="17"/>
  <c r="Y49" i="17"/>
  <c r="Y39" i="17"/>
  <c r="Y11" i="17"/>
  <c r="Y44" i="17"/>
  <c r="Y48" i="17"/>
  <c r="Y13" i="17"/>
  <c r="Y7" i="17"/>
  <c r="Y43" i="17"/>
  <c r="Y3" i="17"/>
  <c r="Y31" i="17"/>
  <c r="Y4" i="17"/>
  <c r="Y46" i="17"/>
  <c r="Y32" i="17"/>
  <c r="Y22" i="17"/>
  <c r="Y33" i="17"/>
  <c r="Y50" i="17"/>
  <c r="Y38" i="17"/>
  <c r="Y37" i="17"/>
  <c r="Y34" i="17"/>
  <c r="Y17" i="17"/>
  <c r="Y18" i="17"/>
  <c r="Y29" i="17"/>
  <c r="Y15" i="17"/>
  <c r="Y5" i="17"/>
  <c r="Y25" i="17"/>
  <c r="Y28" i="17"/>
  <c r="Y47" i="17"/>
  <c r="Y19" i="17"/>
  <c r="Y45" i="17"/>
  <c r="Y51" i="17"/>
  <c r="Y16" i="17"/>
  <c r="Y26" i="17"/>
  <c r="Y9" i="17"/>
  <c r="Y21" i="17"/>
  <c r="Y35" i="17"/>
  <c r="Y20" i="17"/>
  <c r="Y40" i="17"/>
  <c r="Y41" i="17"/>
  <c r="Y14" i="17"/>
  <c r="X53" i="16"/>
  <c r="X57" i="16"/>
  <c r="X49" i="16"/>
  <c r="X44" i="16"/>
  <c r="X39" i="16"/>
  <c r="X34" i="16"/>
  <c r="X56" i="16"/>
  <c r="X59" i="16"/>
  <c r="X32" i="16"/>
  <c r="X24" i="16"/>
  <c r="X58" i="16"/>
  <c r="X6" i="16"/>
  <c r="X9" i="16"/>
  <c r="X47" i="16"/>
  <c r="X10" i="16"/>
  <c r="X11" i="16"/>
  <c r="X30" i="16"/>
  <c r="X33" i="16"/>
  <c r="X4" i="16"/>
  <c r="X55" i="16"/>
  <c r="X38" i="16"/>
  <c r="X48" i="16"/>
  <c r="X21" i="16"/>
  <c r="X52" i="16"/>
  <c r="X8" i="16"/>
  <c r="X42" i="16"/>
  <c r="X46" i="16"/>
  <c r="X29" i="16"/>
  <c r="X23" i="16"/>
  <c r="X15" i="16"/>
  <c r="X14" i="16"/>
  <c r="X54" i="16"/>
  <c r="X37" i="16"/>
  <c r="X20" i="16"/>
  <c r="X51" i="16"/>
  <c r="X43" i="16"/>
  <c r="X41" i="16"/>
  <c r="X12" i="16"/>
  <c r="X45" i="16"/>
  <c r="X28" i="16"/>
  <c r="X19" i="16"/>
  <c r="X17" i="16"/>
  <c r="X40" i="16"/>
  <c r="X7" i="16"/>
  <c r="X16" i="16"/>
  <c r="X50" i="16"/>
  <c r="X36" i="16"/>
  <c r="X27" i="16"/>
  <c r="X18" i="16"/>
  <c r="X31" i="16"/>
  <c r="X13" i="16"/>
  <c r="X5" i="16"/>
  <c r="X22" i="16"/>
  <c r="X25" i="16"/>
  <c r="X35" i="16"/>
  <c r="X26" i="16"/>
  <c r="J18" i="19"/>
  <c r="C23" i="19"/>
  <c r="AE27" i="17"/>
  <c r="AD10" i="17"/>
  <c r="AC52" i="17"/>
  <c r="AB8" i="17"/>
  <c r="AC35" i="17"/>
  <c r="AA36" i="17"/>
  <c r="AC44" i="17"/>
  <c r="O18" i="19"/>
  <c r="AB17" i="17"/>
  <c r="AD13" i="17"/>
  <c r="AD40" i="17"/>
  <c r="AD42" i="17"/>
  <c r="AE19" i="17"/>
  <c r="AB33" i="17"/>
  <c r="AC30" i="17"/>
  <c r="AB23" i="17"/>
  <c r="AC20" i="17"/>
  <c r="AE11" i="17"/>
  <c r="AC8" i="17"/>
  <c r="AA52" i="17"/>
  <c r="AA42" i="17"/>
  <c r="AA50" i="17"/>
  <c r="AE22" i="17"/>
  <c r="AD27" i="17"/>
  <c r="AA26" i="17"/>
  <c r="AC17" i="17"/>
  <c r="AB42" i="17"/>
  <c r="AC10" i="17"/>
  <c r="AC9" i="17"/>
  <c r="AA51" i="17"/>
  <c r="AC48" i="17"/>
  <c r="AA21" i="17"/>
  <c r="AE7" i="17"/>
  <c r="AC43" i="17"/>
  <c r="AD24" i="17"/>
  <c r="AA38" i="17"/>
  <c r="AE5" i="17"/>
  <c r="AA48" i="17"/>
  <c r="AC37" i="17"/>
  <c r="AD33" i="17"/>
  <c r="AE33" i="17"/>
  <c r="AB11" i="17"/>
  <c r="S17" i="19"/>
  <c r="AD21" i="17"/>
  <c r="AE4" i="17"/>
  <c r="AC11" i="17"/>
  <c r="AC5" i="17"/>
  <c r="AB12" i="17"/>
  <c r="AB46" i="17"/>
  <c r="AB22" i="17"/>
  <c r="AE20" i="17"/>
  <c r="AC16" i="17"/>
  <c r="AC34" i="17"/>
  <c r="AD19" i="17"/>
  <c r="AE44" i="17"/>
  <c r="AC38" i="17"/>
  <c r="AD52" i="17"/>
  <c r="AA12" i="17"/>
  <c r="AE47" i="17"/>
  <c r="AA13" i="17"/>
  <c r="AA17" i="17"/>
  <c r="AA15" i="17"/>
  <c r="AB49" i="17"/>
  <c r="AC42" i="17"/>
  <c r="AD41" i="17"/>
  <c r="AC18" i="17"/>
  <c r="AD45" i="17"/>
  <c r="AE34" i="17"/>
  <c r="AA7" i="17"/>
  <c r="AD26" i="17"/>
  <c r="AE51" i="17"/>
  <c r="AE6" i="17"/>
  <c r="AD6" i="17"/>
  <c r="AE31" i="17"/>
  <c r="AC47" i="17"/>
  <c r="AD7" i="17"/>
  <c r="AB30" i="17"/>
  <c r="AE25" i="17"/>
  <c r="AA25" i="17"/>
  <c r="AA16" i="17"/>
  <c r="AE36" i="17"/>
  <c r="AA27" i="17"/>
  <c r="AB20" i="17"/>
  <c r="AE15" i="17"/>
  <c r="AB9" i="17"/>
  <c r="AD38" i="17"/>
  <c r="AB16" i="17"/>
  <c r="AE29" i="17"/>
  <c r="AA22" i="17"/>
  <c r="AE50" i="17"/>
  <c r="AA4" i="17"/>
  <c r="AC36" i="17"/>
  <c r="AB47" i="17"/>
  <c r="AE35" i="17"/>
  <c r="AC39" i="17"/>
  <c r="AD9" i="17"/>
  <c r="AA45" i="17"/>
  <c r="J21" i="19"/>
  <c r="AC19" i="17"/>
  <c r="AB29" i="17"/>
  <c r="C24" i="19"/>
  <c r="E24" i="19" s="1"/>
  <c r="AA43" i="17"/>
  <c r="AD35" i="17"/>
  <c r="AD11" i="17"/>
  <c r="AA6" i="17"/>
  <c r="AB31" i="17"/>
  <c r="AD51" i="17"/>
  <c r="AD4" i="17"/>
  <c r="AD32" i="17"/>
  <c r="AD48" i="17"/>
  <c r="O17" i="19"/>
  <c r="AC41" i="17"/>
  <c r="AA10" i="17"/>
  <c r="E23" i="19"/>
  <c r="AC32" i="17"/>
  <c r="AC40" i="17"/>
  <c r="AB25" i="17"/>
  <c r="AC28" i="17"/>
  <c r="AE39" i="17"/>
  <c r="AB27" i="17"/>
  <c r="AC27" i="17"/>
  <c r="AA9" i="17"/>
  <c r="AE17" i="17"/>
  <c r="AD25" i="17"/>
  <c r="AA11" i="17"/>
  <c r="AE52" i="17"/>
  <c r="AE49" i="17"/>
  <c r="AD5" i="17"/>
  <c r="AA5" i="17"/>
  <c r="AC46" i="17"/>
  <c r="AC49" i="17"/>
  <c r="AA35" i="17"/>
  <c r="AE42" i="17"/>
  <c r="AA24" i="17"/>
  <c r="AC29" i="17"/>
  <c r="AB26" i="17"/>
  <c r="N17" i="19"/>
  <c r="AA18" i="17"/>
  <c r="AD22" i="17"/>
  <c r="AB14" i="17"/>
  <c r="AB48" i="17"/>
  <c r="AA47" i="17"/>
  <c r="AD28" i="17"/>
  <c r="AE26" i="17"/>
  <c r="AA41" i="17"/>
  <c r="AD43" i="17"/>
  <c r="AC23" i="17"/>
  <c r="AD36" i="17"/>
  <c r="AA14" i="17"/>
  <c r="S18" i="19"/>
  <c r="AB15" i="17"/>
  <c r="AA34" i="17"/>
  <c r="AB52" i="17"/>
  <c r="AD37" i="17"/>
  <c r="AB40" i="17"/>
  <c r="AA19" i="17"/>
  <c r="AE38" i="17"/>
  <c r="AE9" i="17"/>
  <c r="AC15" i="17"/>
  <c r="AE28" i="17"/>
  <c r="AB39" i="17"/>
  <c r="AC51" i="17"/>
  <c r="AE23" i="17"/>
  <c r="AA44" i="17"/>
  <c r="AE10" i="17"/>
  <c r="AD29" i="17"/>
  <c r="AD8" i="17"/>
  <c r="AA8" i="17"/>
  <c r="AE12" i="17"/>
  <c r="AB19" i="17"/>
  <c r="AB13" i="17"/>
  <c r="AB43" i="17"/>
  <c r="AA49" i="17"/>
  <c r="AE16" i="17"/>
  <c r="AA39" i="17"/>
  <c r="AB24" i="17"/>
  <c r="AC4" i="17"/>
  <c r="AB4" i="17"/>
  <c r="AB38" i="17"/>
  <c r="AD50" i="17"/>
  <c r="N18" i="19"/>
  <c r="AC14" i="17"/>
  <c r="AD14" i="17"/>
  <c r="AB41" i="17"/>
  <c r="AD30" i="17"/>
  <c r="AD46" i="17"/>
  <c r="AB44" i="17"/>
  <c r="AA32" i="17"/>
  <c r="AE40" i="17"/>
  <c r="AE48" i="17"/>
  <c r="AB21" i="17"/>
  <c r="AE13" i="17"/>
  <c r="AB7" i="17"/>
  <c r="AD44" i="17"/>
  <c r="AB37" i="17"/>
  <c r="AC33" i="17"/>
  <c r="AB28" i="17"/>
  <c r="AD17" i="17"/>
  <c r="AC50" i="17"/>
  <c r="AA28" i="17"/>
  <c r="AD31" i="17"/>
  <c r="AC6" i="17"/>
  <c r="AC22" i="17"/>
  <c r="AA23" i="17"/>
  <c r="AD16" i="17"/>
  <c r="AC12" i="17"/>
  <c r="AD23" i="17"/>
  <c r="AD39" i="17"/>
  <c r="AE45" i="17"/>
  <c r="AA20" i="17"/>
  <c r="AD20" i="17"/>
  <c r="AD18" i="17"/>
  <c r="AB45" i="17"/>
  <c r="AD49" i="17"/>
  <c r="F22" i="19"/>
  <c r="AE46" i="17"/>
  <c r="AE43" i="17"/>
  <c r="AC31" i="17"/>
  <c r="AA30" i="17"/>
  <c r="AA29" i="17"/>
  <c r="AE30" i="17"/>
  <c r="AE32" i="17"/>
  <c r="AB50" i="17"/>
  <c r="AE21" i="17"/>
  <c r="T18" i="19"/>
  <c r="T17" i="19"/>
  <c r="AB51" i="17"/>
  <c r="AA33" i="17"/>
  <c r="AC7" i="17"/>
  <c r="AE18" i="17"/>
  <c r="AB32" i="17"/>
  <c r="AD15" i="17"/>
  <c r="AD47" i="17"/>
  <c r="D60" i="1"/>
  <c r="AB6" i="17"/>
  <c r="AC13" i="17"/>
  <c r="AA31" i="17"/>
  <c r="AE37" i="17"/>
  <c r="AC45" i="17"/>
  <c r="AB35" i="17"/>
  <c r="AB5" i="17"/>
  <c r="AD12" i="17"/>
  <c r="AC24" i="17"/>
  <c r="AA46" i="17"/>
  <c r="AE41" i="17"/>
  <c r="AB18" i="17"/>
  <c r="AA37" i="17"/>
  <c r="AC25" i="17"/>
  <c r="AB10" i="17"/>
  <c r="AE14" i="17"/>
  <c r="AD34" i="17"/>
  <c r="AE24" i="17"/>
  <c r="AB36" i="17"/>
  <c r="AB34" i="17"/>
  <c r="AE8" i="17"/>
  <c r="C25" i="19"/>
  <c r="AC26" i="17"/>
  <c r="AA40" i="17"/>
  <c r="AC21" i="17"/>
  <c r="E25" i="19"/>
  <c r="C26" i="19"/>
  <c r="E26" i="19"/>
  <c r="C27" i="19"/>
  <c r="E27" i="19"/>
  <c r="C28" i="19"/>
  <c r="C29" i="19"/>
  <c r="E28" i="19"/>
  <c r="E29" i="19"/>
  <c r="C30" i="19"/>
  <c r="C31" i="19"/>
  <c r="E30" i="19"/>
  <c r="C32" i="19"/>
  <c r="E31" i="19"/>
  <c r="E32" i="19"/>
  <c r="C33" i="19"/>
  <c r="E33" i="19"/>
  <c r="C34" i="19"/>
  <c r="C35" i="19"/>
  <c r="E34" i="19"/>
  <c r="E35" i="19"/>
  <c r="C36" i="19"/>
  <c r="C37" i="19"/>
  <c r="E36" i="19"/>
  <c r="M16" i="19" l="1"/>
  <c r="I37" i="19"/>
  <c r="H37" i="19"/>
  <c r="I36" i="19"/>
  <c r="H36" i="19"/>
  <c r="I35" i="19"/>
  <c r="H35" i="19"/>
  <c r="I34" i="19"/>
  <c r="H34" i="19"/>
  <c r="I33" i="19"/>
  <c r="H33" i="19"/>
  <c r="I32" i="19"/>
  <c r="H32" i="19"/>
  <c r="I31" i="19"/>
  <c r="H31" i="19"/>
  <c r="I30" i="19"/>
  <c r="H30" i="19"/>
  <c r="I29" i="19"/>
  <c r="H29" i="19"/>
  <c r="I28" i="19"/>
  <c r="H28" i="19"/>
  <c r="I27" i="19"/>
  <c r="H27" i="19"/>
  <c r="H26" i="19"/>
  <c r="I26" i="19"/>
  <c r="I25" i="19"/>
  <c r="H25" i="19"/>
  <c r="I24" i="19"/>
  <c r="H24" i="19"/>
  <c r="H23" i="19"/>
  <c r="I23" i="19"/>
  <c r="M19" i="19"/>
  <c r="J22" i="14"/>
  <c r="J20" i="14"/>
  <c r="J23" i="14"/>
  <c r="J21" i="14"/>
  <c r="F35" i="19"/>
  <c r="F27" i="19"/>
  <c r="P13" i="17"/>
  <c r="U34" i="15"/>
  <c r="V50" i="15"/>
  <c r="V13" i="17"/>
  <c r="Q40" i="15"/>
  <c r="P33" i="15"/>
  <c r="U39" i="15"/>
  <c r="K22" i="14"/>
  <c r="Q12" i="17"/>
  <c r="L23" i="14"/>
  <c r="Q64" i="15"/>
  <c r="V14" i="17"/>
  <c r="U12" i="17"/>
  <c r="Q23" i="14"/>
  <c r="K21" i="14"/>
  <c r="Q34" i="15"/>
  <c r="U62" i="15"/>
  <c r="U13" i="17"/>
  <c r="Q62" i="15"/>
  <c r="V64" i="15"/>
  <c r="L22" i="14"/>
  <c r="K20" i="14"/>
  <c r="V6" i="17"/>
  <c r="P14" i="17"/>
  <c r="F33" i="19"/>
  <c r="P55" i="15"/>
  <c r="P8" i="17"/>
  <c r="V40" i="15"/>
  <c r="J33" i="19"/>
  <c r="U10" i="17"/>
  <c r="L21" i="14"/>
  <c r="V7" i="17"/>
  <c r="V34" i="15"/>
  <c r="P39" i="15"/>
  <c r="V33" i="15"/>
  <c r="F23" i="19"/>
  <c r="J23" i="19" s="1"/>
  <c r="P40" i="15"/>
  <c r="U9" i="17"/>
  <c r="J27" i="19"/>
  <c r="K23" i="14"/>
  <c r="N19" i="19"/>
  <c r="Q20" i="14"/>
  <c r="V37" i="15"/>
  <c r="V10" i="17"/>
  <c r="Q8" i="17"/>
  <c r="P12" i="17"/>
  <c r="F24" i="19"/>
  <c r="U45" i="15"/>
  <c r="P64" i="15"/>
  <c r="J22" i="19"/>
  <c r="V5" i="17"/>
  <c r="T19" i="19"/>
  <c r="V42" i="15"/>
  <c r="U7" i="17"/>
  <c r="F30" i="19"/>
  <c r="V45" i="15"/>
  <c r="P11" i="17"/>
  <c r="Q5" i="17"/>
  <c r="Q21" i="14"/>
  <c r="U8" i="17"/>
  <c r="V11" i="17"/>
  <c r="Q38" i="15"/>
  <c r="U55" i="15"/>
  <c r="U40" i="15"/>
  <c r="Q11" i="17"/>
  <c r="V36" i="15"/>
  <c r="V35" i="15"/>
  <c r="P5" i="17"/>
  <c r="Q6" i="17"/>
  <c r="U65" i="15"/>
  <c r="Q14" i="17"/>
  <c r="U6" i="17"/>
  <c r="F34" i="19"/>
  <c r="F26" i="19"/>
  <c r="E37" i="19"/>
  <c r="P23" i="14"/>
  <c r="P62" i="15"/>
  <c r="V62" i="15"/>
  <c r="L20" i="14"/>
  <c r="P9" i="17"/>
  <c r="O19" i="19"/>
  <c r="Q7" i="17"/>
  <c r="U11" i="17"/>
  <c r="S19" i="19"/>
  <c r="F25" i="19"/>
  <c r="J25" i="19" s="1"/>
  <c r="V12" i="17"/>
  <c r="Q22" i="14"/>
  <c r="Q45" i="15"/>
  <c r="J35" i="19"/>
  <c r="V8" i="17"/>
  <c r="Q65" i="15"/>
  <c r="P37" i="15"/>
  <c r="V65" i="15"/>
  <c r="F32" i="19"/>
  <c r="J32" i="19" s="1"/>
  <c r="U64" i="15"/>
  <c r="P65" i="15"/>
  <c r="F37" i="19"/>
  <c r="P38" i="15"/>
  <c r="J26" i="19"/>
  <c r="F36" i="19"/>
  <c r="U5" i="17"/>
  <c r="F31" i="19"/>
  <c r="P60" i="15"/>
  <c r="U60" i="15"/>
  <c r="P6" i="17"/>
  <c r="Q9" i="17"/>
  <c r="P20" i="14"/>
  <c r="Q60" i="15"/>
  <c r="J34" i="19"/>
  <c r="P7" i="17"/>
  <c r="J24" i="19"/>
  <c r="S16" i="19"/>
  <c r="T16" i="19"/>
  <c r="O16" i="19"/>
  <c r="N16" i="19"/>
  <c r="V60" i="15"/>
  <c r="V55" i="15"/>
  <c r="U33" i="15"/>
  <c r="U14" i="17"/>
  <c r="P45" i="15"/>
  <c r="U50" i="15"/>
  <c r="J31" i="19"/>
  <c r="P50" i="15"/>
  <c r="Q10" i="17"/>
  <c r="Q13" i="17"/>
  <c r="V9" i="17"/>
  <c r="P22" i="14"/>
  <c r="U37" i="15"/>
  <c r="F28" i="19"/>
  <c r="J28" i="19" s="1"/>
  <c r="Q42" i="15"/>
  <c r="U35" i="15"/>
  <c r="J30" i="19"/>
  <c r="Q36" i="15"/>
  <c r="U36" i="15"/>
  <c r="Q50" i="15"/>
  <c r="Q55" i="15"/>
  <c r="U38" i="15"/>
  <c r="F29" i="19"/>
  <c r="J29" i="19" s="1"/>
  <c r="P21" i="14"/>
  <c r="U42" i="15"/>
  <c r="Q39" i="15"/>
  <c r="Q35" i="15"/>
  <c r="V38" i="15"/>
  <c r="P34" i="15"/>
  <c r="P35" i="15"/>
  <c r="Q33" i="15"/>
  <c r="P42" i="15"/>
  <c r="P10" i="17"/>
  <c r="V39" i="15"/>
  <c r="P36" i="15"/>
  <c r="Q37" i="15"/>
  <c r="M22" i="19" l="1"/>
  <c r="M29" i="19"/>
  <c r="M30" i="19"/>
  <c r="M23" i="19"/>
  <c r="M31" i="19"/>
  <c r="M20" i="19"/>
  <c r="M25" i="19"/>
  <c r="M21" i="19"/>
  <c r="M24" i="19"/>
  <c r="M28" i="19"/>
  <c r="M27" i="19"/>
  <c r="M26" i="19"/>
  <c r="M33" i="19"/>
  <c r="M32" i="19"/>
  <c r="X4" i="17"/>
  <c r="X5" i="17"/>
  <c r="X22" i="17"/>
  <c r="X38" i="17"/>
  <c r="X42" i="17"/>
  <c r="X20" i="17"/>
  <c r="X11" i="17"/>
  <c r="X29" i="17"/>
  <c r="X46" i="17"/>
  <c r="X25" i="17"/>
  <c r="X36" i="17"/>
  <c r="X49" i="17"/>
  <c r="X50" i="17"/>
  <c r="X7" i="17"/>
  <c r="X31" i="17"/>
  <c r="X9" i="17"/>
  <c r="X13" i="17"/>
  <c r="X35" i="17"/>
  <c r="X51" i="17"/>
  <c r="X16" i="17"/>
  <c r="X17" i="17"/>
  <c r="X33" i="17"/>
  <c r="X10" i="17"/>
  <c r="X45" i="17"/>
  <c r="X24" i="17"/>
  <c r="X27" i="17"/>
  <c r="X43" i="17"/>
  <c r="X52" i="17"/>
  <c r="X39" i="17"/>
  <c r="X28" i="17"/>
  <c r="X26" i="17"/>
  <c r="X21" i="17"/>
  <c r="X48" i="17"/>
  <c r="X30" i="17"/>
  <c r="X6" i="17"/>
  <c r="X15" i="17"/>
  <c r="X8" i="17"/>
  <c r="X44" i="17"/>
  <c r="X32" i="17"/>
  <c r="X40" i="17"/>
  <c r="X47" i="17"/>
  <c r="X37" i="17"/>
  <c r="X23" i="17"/>
  <c r="X19" i="17"/>
  <c r="X14" i="17"/>
  <c r="X12" i="17"/>
  <c r="X41" i="17"/>
  <c r="X18" i="17"/>
  <c r="X34" i="17"/>
  <c r="J12" i="14"/>
  <c r="J6" i="14"/>
  <c r="J14" i="14"/>
  <c r="J16" i="14"/>
  <c r="J9" i="14"/>
  <c r="J19" i="14"/>
  <c r="J18" i="14"/>
  <c r="J10" i="14"/>
  <c r="J7" i="14"/>
  <c r="J13" i="14"/>
  <c r="J17" i="14"/>
  <c r="J11" i="14"/>
  <c r="J15" i="14"/>
  <c r="J8" i="14"/>
  <c r="J37" i="19"/>
  <c r="O22" i="19"/>
  <c r="Q13" i="14"/>
  <c r="O29" i="19"/>
  <c r="Q19" i="14"/>
  <c r="P15" i="14"/>
  <c r="L8" i="14"/>
  <c r="N31" i="19"/>
  <c r="T20" i="19"/>
  <c r="T23" i="19"/>
  <c r="K14" i="14"/>
  <c r="Q7" i="14"/>
  <c r="O32" i="19"/>
  <c r="N25" i="19"/>
  <c r="N22" i="19"/>
  <c r="S21" i="19"/>
  <c r="P11" i="14"/>
  <c r="K13" i="14"/>
  <c r="K6" i="14"/>
  <c r="T31" i="19"/>
  <c r="S20" i="19"/>
  <c r="K10" i="14"/>
  <c r="N23" i="19"/>
  <c r="Q10" i="14"/>
  <c r="P14" i="14"/>
  <c r="Q11" i="14"/>
  <c r="S22" i="19"/>
  <c r="Q18" i="14"/>
  <c r="T24" i="19"/>
  <c r="K9" i="14"/>
  <c r="Q14" i="14"/>
  <c r="S31" i="19"/>
  <c r="Q6" i="14"/>
  <c r="L12" i="14"/>
  <c r="P19" i="14"/>
  <c r="Q16" i="14"/>
  <c r="O31" i="19"/>
  <c r="O26" i="19"/>
  <c r="T26" i="19"/>
  <c r="K19" i="14"/>
  <c r="J36" i="19"/>
  <c r="K11" i="14"/>
  <c r="N24" i="19"/>
  <c r="S30" i="19"/>
  <c r="S26" i="19"/>
  <c r="T32" i="19"/>
  <c r="N28" i="19"/>
  <c r="T33" i="19"/>
  <c r="P16" i="14"/>
  <c r="Q15" i="14"/>
  <c r="L7" i="14"/>
  <c r="T29" i="19"/>
  <c r="O27" i="19"/>
  <c r="P7" i="14"/>
  <c r="S23" i="19"/>
  <c r="O33" i="19"/>
  <c r="L14" i="14"/>
  <c r="P6" i="14"/>
  <c r="K18" i="14"/>
  <c r="T30" i="19"/>
  <c r="N20" i="19"/>
  <c r="L15" i="14"/>
  <c r="K16" i="14"/>
  <c r="P10" i="14"/>
  <c r="P9" i="14"/>
  <c r="O30" i="19"/>
  <c r="Q17" i="14"/>
  <c r="P18" i="14"/>
  <c r="L10" i="14"/>
  <c r="Q12" i="14"/>
  <c r="P12" i="14"/>
  <c r="N30" i="19"/>
  <c r="K8" i="14"/>
  <c r="P13" i="14"/>
  <c r="N33" i="19"/>
  <c r="L9" i="14"/>
  <c r="Q8" i="14"/>
  <c r="T27" i="19"/>
  <c r="O21" i="19"/>
  <c r="L6" i="14"/>
  <c r="S29" i="19"/>
  <c r="O28" i="19"/>
  <c r="K15" i="14"/>
  <c r="O23" i="19"/>
  <c r="L17" i="14"/>
  <c r="K12" i="14"/>
  <c r="S28" i="19"/>
  <c r="O20" i="19"/>
  <c r="N27" i="19"/>
  <c r="O24" i="19"/>
  <c r="T21" i="19"/>
  <c r="L19" i="14"/>
  <c r="S32" i="19"/>
  <c r="P8" i="14"/>
  <c r="P17" i="14"/>
  <c r="T28" i="19"/>
  <c r="N26" i="19"/>
  <c r="S33" i="19"/>
  <c r="L11" i="14"/>
  <c r="N29" i="19"/>
  <c r="N21" i="19"/>
  <c r="L16" i="14"/>
  <c r="L18" i="14"/>
  <c r="T25" i="19"/>
  <c r="L13" i="14"/>
  <c r="S24" i="19"/>
  <c r="K7" i="14"/>
  <c r="S25" i="19"/>
  <c r="T22" i="19"/>
  <c r="Q9" i="14"/>
  <c r="N32" i="19"/>
  <c r="S27" i="19"/>
  <c r="K17" i="14"/>
  <c r="O25" i="19"/>
  <c r="M35" i="19" l="1"/>
  <c r="M34" i="19"/>
  <c r="N4" i="15"/>
  <c r="O35" i="19"/>
  <c r="T35" i="19"/>
  <c r="S35" i="19"/>
  <c r="N35" i="19"/>
  <c r="S34" i="19"/>
  <c r="O34" i="19"/>
  <c r="W3" i="19" a="1"/>
  <c r="T34" i="19"/>
  <c r="N34" i="19"/>
  <c r="W56" i="19" l="1"/>
  <c r="W28" i="19"/>
  <c r="W62" i="19"/>
  <c r="W31" i="19"/>
  <c r="W69" i="19"/>
  <c r="W45" i="19"/>
  <c r="W13" i="19"/>
  <c r="W5" i="19"/>
  <c r="W71" i="19"/>
  <c r="W21" i="19"/>
  <c r="W49" i="19"/>
  <c r="W72" i="19"/>
  <c r="W43" i="19"/>
  <c r="W64" i="19"/>
  <c r="W17" i="19"/>
  <c r="W54" i="19"/>
  <c r="W66" i="19"/>
  <c r="W67" i="19"/>
  <c r="W60" i="19"/>
  <c r="W9" i="19"/>
  <c r="W50" i="19"/>
  <c r="W65" i="19"/>
  <c r="W58" i="19"/>
  <c r="W12" i="19"/>
  <c r="W32" i="19"/>
  <c r="W55" i="19"/>
  <c r="W33" i="19"/>
  <c r="W53" i="19"/>
  <c r="W20" i="19"/>
  <c r="W18" i="19"/>
  <c r="W29" i="19"/>
  <c r="W39" i="19"/>
  <c r="W38" i="19"/>
  <c r="W59" i="19"/>
  <c r="W63" i="19"/>
  <c r="W8" i="19"/>
  <c r="W22" i="19"/>
  <c r="W4" i="19"/>
  <c r="W68" i="19"/>
  <c r="W11" i="19"/>
  <c r="W19" i="19"/>
  <c r="W57" i="19"/>
  <c r="W46" i="19"/>
  <c r="W6" i="19"/>
  <c r="W36" i="19"/>
  <c r="W24" i="19"/>
  <c r="W44" i="19"/>
  <c r="W47" i="19"/>
  <c r="W34" i="19"/>
  <c r="W27" i="19"/>
  <c r="W10" i="19"/>
  <c r="W35" i="19"/>
  <c r="W25" i="19"/>
  <c r="W42" i="19"/>
  <c r="W15" i="19"/>
  <c r="W3" i="19"/>
  <c r="W52" i="19"/>
  <c r="W23" i="19"/>
  <c r="W51" i="19"/>
  <c r="W16" i="19"/>
  <c r="W7" i="19"/>
  <c r="W70" i="19"/>
  <c r="W37" i="19"/>
  <c r="W14" i="19"/>
  <c r="W30" i="19"/>
  <c r="W48" i="19"/>
  <c r="W41" i="19"/>
  <c r="W61" i="19"/>
  <c r="W40" i="19"/>
  <c r="W26" i="19"/>
  <c r="J5" i="14" l="1"/>
  <c r="AJ69" i="15" l="1"/>
  <c r="AJ70" i="15"/>
  <c r="AJ100" i="15"/>
  <c r="AJ97" i="15"/>
  <c r="AJ68" i="15"/>
  <c r="AJ84" i="15"/>
  <c r="AJ72" i="15"/>
  <c r="AJ74" i="15"/>
  <c r="AJ71" i="15"/>
  <c r="AJ67" i="15"/>
  <c r="AJ102" i="15"/>
  <c r="AJ75" i="15"/>
  <c r="AJ81" i="15"/>
  <c r="AJ78" i="15"/>
  <c r="AJ85" i="15"/>
  <c r="AJ89" i="15"/>
  <c r="AJ92" i="15"/>
  <c r="AJ94" i="15"/>
  <c r="AJ76" i="15"/>
  <c r="AJ77" i="15"/>
  <c r="AJ93" i="15"/>
  <c r="AJ96" i="15"/>
  <c r="AJ88" i="15"/>
  <c r="AJ103" i="15"/>
  <c r="AJ91" i="15"/>
  <c r="AJ79" i="15"/>
  <c r="AJ101" i="15"/>
  <c r="AJ95" i="15"/>
  <c r="AJ73" i="15"/>
  <c r="AJ99" i="15"/>
  <c r="AJ90" i="15"/>
  <c r="AJ80" i="15"/>
  <c r="AJ86" i="15"/>
  <c r="AJ98" i="15"/>
  <c r="AJ83" i="15"/>
  <c r="AJ87" i="15"/>
  <c r="AJ82" i="15"/>
  <c r="AJ66" i="15"/>
  <c r="AL95" i="15"/>
  <c r="AL89" i="15"/>
  <c r="AL80" i="15"/>
  <c r="AL97" i="15"/>
  <c r="AL69" i="15"/>
  <c r="AL90" i="15"/>
  <c r="AL83" i="15"/>
  <c r="AL70" i="15"/>
  <c r="AL68" i="15"/>
  <c r="AL72" i="15"/>
  <c r="AL92" i="15"/>
  <c r="AL85" i="15"/>
  <c r="AL101" i="15"/>
  <c r="AL86" i="15"/>
  <c r="AL93" i="15"/>
  <c r="AL77" i="15"/>
  <c r="AL73" i="15"/>
  <c r="AL84" i="15"/>
  <c r="AL99" i="15"/>
  <c r="AL103" i="15"/>
  <c r="AL74" i="15"/>
  <c r="AL87" i="15"/>
  <c r="AL88" i="15"/>
  <c r="AL76" i="15"/>
  <c r="AL66" i="15"/>
  <c r="AL75" i="15"/>
  <c r="AL98" i="15"/>
  <c r="AL67" i="15"/>
  <c r="AL91" i="15"/>
  <c r="AL82" i="15"/>
  <c r="AL78" i="15"/>
  <c r="AL79" i="15"/>
  <c r="AL96" i="15"/>
  <c r="AL100" i="15"/>
  <c r="AL102" i="15"/>
  <c r="AL81" i="15"/>
  <c r="AL71" i="15"/>
  <c r="AL94" i="15"/>
  <c r="Z15" i="19"/>
  <c r="Y22" i="19"/>
  <c r="AA9" i="19"/>
  <c r="Z24" i="19"/>
  <c r="Z9" i="19"/>
  <c r="C68" i="1"/>
  <c r="AA4" i="19"/>
  <c r="AB24" i="19"/>
  <c r="AF2" i="16" a="1"/>
  <c r="Z64" i="19"/>
  <c r="X45" i="19"/>
  <c r="AA20" i="19"/>
  <c r="Z70" i="19"/>
  <c r="Y53" i="19"/>
  <c r="Z10" i="19"/>
  <c r="C53" i="1"/>
  <c r="AA29" i="19"/>
  <c r="X7" i="19"/>
  <c r="AA34" i="19"/>
  <c r="P5" i="14"/>
  <c r="AA37" i="19"/>
  <c r="V4" i="15"/>
  <c r="X32" i="19"/>
  <c r="Z13" i="19"/>
  <c r="Z29" i="19"/>
  <c r="Z51" i="19"/>
  <c r="AB49" i="19"/>
  <c r="AA63" i="19"/>
  <c r="Z22" i="19"/>
  <c r="AA50" i="19"/>
  <c r="AB45" i="19"/>
  <c r="X69" i="19"/>
  <c r="X47" i="19"/>
  <c r="AA42" i="19"/>
  <c r="Z65" i="19"/>
  <c r="X22" i="19"/>
  <c r="Y50" i="19"/>
  <c r="Y12" i="19"/>
  <c r="Y27" i="19"/>
  <c r="AB14" i="19"/>
  <c r="Y69" i="19"/>
  <c r="X68" i="19"/>
  <c r="Z52" i="19"/>
  <c r="X15" i="19"/>
  <c r="Z20" i="19"/>
  <c r="Z54" i="19"/>
  <c r="K4" i="14"/>
  <c r="I61" i="1"/>
  <c r="T3" i="14" a="1"/>
  <c r="AA58" i="19"/>
  <c r="Z48" i="19"/>
  <c r="AA47" i="19"/>
  <c r="Y54" i="19"/>
  <c r="Z28" i="19"/>
  <c r="Y60" i="19"/>
  <c r="Y29" i="19"/>
  <c r="AA60" i="19"/>
  <c r="X30" i="19"/>
  <c r="Y62" i="19"/>
  <c r="X4" i="19"/>
  <c r="Y7" i="19"/>
  <c r="AB70" i="19"/>
  <c r="X55" i="19"/>
  <c r="AB19" i="19"/>
  <c r="Y52" i="19"/>
  <c r="L4" i="14"/>
  <c r="Z26" i="19"/>
  <c r="Z31" i="19"/>
  <c r="X18" i="19"/>
  <c r="AA39" i="19"/>
  <c r="Z34" i="19"/>
  <c r="AB57" i="19"/>
  <c r="Y70" i="19"/>
  <c r="AB7" i="19"/>
  <c r="AB46" i="19"/>
  <c r="AF2" i="17" a="1"/>
  <c r="AB21" i="19"/>
  <c r="AB32" i="19"/>
  <c r="AB44" i="19"/>
  <c r="Z66" i="19"/>
  <c r="AA18" i="19"/>
  <c r="X16" i="19"/>
  <c r="AB40" i="19"/>
  <c r="X26" i="19"/>
  <c r="Y4" i="19"/>
  <c r="AC3" i="17"/>
  <c r="AA3" i="16"/>
  <c r="Z37" i="19"/>
  <c r="Y33" i="19"/>
  <c r="I70" i="1"/>
  <c r="X34" i="19"/>
  <c r="Z46" i="19"/>
  <c r="AB26" i="19"/>
  <c r="X71" i="19"/>
  <c r="X13" i="19"/>
  <c r="AA48" i="19"/>
  <c r="Y40" i="19"/>
  <c r="AB71" i="19"/>
  <c r="Y58" i="19"/>
  <c r="Y66" i="19"/>
  <c r="AB60" i="19"/>
  <c r="AA23" i="19"/>
  <c r="AA13" i="19"/>
  <c r="X19" i="19"/>
  <c r="X6" i="19"/>
  <c r="Z40" i="19"/>
  <c r="X46" i="19"/>
  <c r="AB9" i="19"/>
  <c r="C69" i="1"/>
  <c r="AB12" i="19"/>
  <c r="AA46" i="19"/>
  <c r="K3" i="14"/>
  <c r="AA3" i="19"/>
  <c r="AA11" i="19"/>
  <c r="AB3" i="16"/>
  <c r="AA51" i="19"/>
  <c r="U4" i="15"/>
  <c r="Y45" i="19"/>
  <c r="X53" i="19"/>
  <c r="AA26" i="19"/>
  <c r="Z30" i="19"/>
  <c r="AB31" i="19"/>
  <c r="Y59" i="19"/>
  <c r="Y28" i="19"/>
  <c r="Q4" i="14"/>
  <c r="X24" i="19"/>
  <c r="AB3" i="19"/>
  <c r="Z6" i="19"/>
  <c r="Z33" i="19"/>
  <c r="Q3" i="14"/>
  <c r="D61" i="1"/>
  <c r="Z23" i="19"/>
  <c r="AB20" i="19"/>
  <c r="Y39" i="19"/>
  <c r="AB50" i="19"/>
  <c r="AA25" i="19"/>
  <c r="Z63" i="19"/>
  <c r="Z67" i="19"/>
  <c r="Y14" i="19"/>
  <c r="X23" i="19"/>
  <c r="X20" i="19"/>
  <c r="AB52" i="19"/>
  <c r="AB51" i="19"/>
  <c r="D46" i="1"/>
  <c r="AA7" i="19"/>
  <c r="Y6" i="19"/>
  <c r="Y34" i="19"/>
  <c r="AA61" i="19"/>
  <c r="AB36" i="19"/>
  <c r="Y71" i="19"/>
  <c r="Y68" i="19"/>
  <c r="Y48" i="19"/>
  <c r="AA15" i="19"/>
  <c r="AA28" i="19"/>
  <c r="Y23" i="19"/>
  <c r="X42" i="19"/>
  <c r="X72" i="19"/>
  <c r="X39" i="19"/>
  <c r="AA19" i="19"/>
  <c r="Z18" i="19"/>
  <c r="X8" i="19"/>
  <c r="AB38" i="19"/>
  <c r="Q4" i="15"/>
  <c r="Z41" i="19"/>
  <c r="AA38" i="19"/>
  <c r="X54" i="19"/>
  <c r="AB65" i="19"/>
  <c r="AA56" i="19"/>
  <c r="AB59" i="19"/>
  <c r="Z25" i="19"/>
  <c r="Z69" i="19"/>
  <c r="AB64" i="19"/>
  <c r="X9" i="19"/>
  <c r="P3" i="14"/>
  <c r="X37" i="19"/>
  <c r="AB42" i="19"/>
  <c r="X40" i="19"/>
  <c r="AB68" i="19"/>
  <c r="Z17" i="19"/>
  <c r="AB53" i="19"/>
  <c r="X56" i="19"/>
  <c r="AA17" i="19"/>
  <c r="AA8" i="19"/>
  <c r="X57" i="19"/>
  <c r="X62" i="19"/>
  <c r="Z53" i="19"/>
  <c r="H69" i="1"/>
  <c r="I69" i="1" s="1"/>
  <c r="AA66" i="19"/>
  <c r="X12" i="19"/>
  <c r="Y32" i="19"/>
  <c r="AB62" i="19"/>
  <c r="Z16" i="19"/>
  <c r="AB34" i="19"/>
  <c r="AA64" i="19"/>
  <c r="AA27" i="19"/>
  <c r="AA59" i="19"/>
  <c r="Z49" i="19"/>
  <c r="Z43" i="19"/>
  <c r="Y65" i="19"/>
  <c r="Z55" i="19"/>
  <c r="Z71" i="19"/>
  <c r="Z45" i="19"/>
  <c r="Z59" i="19"/>
  <c r="AA67" i="19"/>
  <c r="Y44" i="19"/>
  <c r="AA31" i="19"/>
  <c r="AG2" i="17" a="1"/>
  <c r="X52" i="19"/>
  <c r="X17" i="19"/>
  <c r="X66" i="19"/>
  <c r="L5" i="14"/>
  <c r="AB33" i="19"/>
  <c r="AA49" i="19"/>
  <c r="AA70" i="19"/>
  <c r="Y63" i="19"/>
  <c r="AB13" i="19"/>
  <c r="Y72" i="19"/>
  <c r="Z47" i="19"/>
  <c r="X43" i="19"/>
  <c r="Y19" i="19"/>
  <c r="AA41" i="19"/>
  <c r="Z36" i="19"/>
  <c r="X61" i="19"/>
  <c r="Z72" i="19"/>
  <c r="X10" i="19"/>
  <c r="AB28" i="19"/>
  <c r="X48" i="19"/>
  <c r="AB27" i="19"/>
  <c r="K5" i="14"/>
  <c r="AA55" i="19"/>
  <c r="Z7" i="19"/>
  <c r="AB58" i="19"/>
  <c r="X70" i="19"/>
  <c r="AB30" i="19"/>
  <c r="Y38" i="19"/>
  <c r="AA5" i="19"/>
  <c r="AA33" i="19"/>
  <c r="AA45" i="19"/>
  <c r="AA12" i="19"/>
  <c r="AB8" i="19"/>
  <c r="AB25" i="19"/>
  <c r="L3" i="14"/>
  <c r="AA24" i="19"/>
  <c r="Z11" i="19"/>
  <c r="AB5" i="19"/>
  <c r="AB43" i="19"/>
  <c r="Y13" i="19"/>
  <c r="AA6" i="19"/>
  <c r="X51" i="19"/>
  <c r="AB11" i="19"/>
  <c r="AA40" i="19"/>
  <c r="X27" i="19"/>
  <c r="AD3" i="16"/>
  <c r="AB39" i="19"/>
  <c r="Y8" i="19"/>
  <c r="Z56" i="19"/>
  <c r="Z61" i="19"/>
  <c r="X59" i="19"/>
  <c r="AB47" i="19"/>
  <c r="AB4" i="19"/>
  <c r="AD3" i="17"/>
  <c r="Y47" i="19"/>
  <c r="AA57" i="19"/>
  <c r="AA72" i="19"/>
  <c r="D69" i="1"/>
  <c r="AA43" i="19"/>
  <c r="AB17" i="19"/>
  <c r="AA22" i="19"/>
  <c r="X36" i="19"/>
  <c r="Y37" i="19"/>
  <c r="AA36" i="19"/>
  <c r="X49" i="19"/>
  <c r="AA44" i="19"/>
  <c r="Y9" i="19"/>
  <c r="X44" i="19"/>
  <c r="AB16" i="19"/>
  <c r="Y49" i="19"/>
  <c r="AA53" i="19"/>
  <c r="AB37" i="19"/>
  <c r="AA16" i="19"/>
  <c r="X50" i="19"/>
  <c r="Y3" i="19"/>
  <c r="Z19" i="19"/>
  <c r="AB41" i="19"/>
  <c r="AA3" i="17"/>
  <c r="Z4" i="19"/>
  <c r="Y56" i="19"/>
  <c r="C54" i="1"/>
  <c r="D54" i="1" s="1"/>
  <c r="X58" i="19"/>
  <c r="Z32" i="19"/>
  <c r="Z3" i="19"/>
  <c r="AB61" i="19"/>
  <c r="Y55" i="19"/>
  <c r="Y57" i="19"/>
  <c r="Z44" i="19"/>
  <c r="Z14" i="19"/>
  <c r="X3" i="19"/>
  <c r="AA14" i="19"/>
  <c r="X21" i="19"/>
  <c r="C7" i="15"/>
  <c r="X63" i="19"/>
  <c r="D70" i="1"/>
  <c r="C8" i="15"/>
  <c r="AB29" i="19"/>
  <c r="X65" i="19"/>
  <c r="AB18" i="19"/>
  <c r="Y21" i="19"/>
  <c r="AE3" i="16"/>
  <c r="Y20" i="19"/>
  <c r="Y43" i="19"/>
  <c r="AB56" i="19"/>
  <c r="Y25" i="19"/>
  <c r="Y24" i="19"/>
  <c r="AB69" i="19"/>
  <c r="AB35" i="19"/>
  <c r="X25" i="19"/>
  <c r="AA32" i="19"/>
  <c r="AA10" i="19"/>
  <c r="D68" i="1"/>
  <c r="AB72" i="19"/>
  <c r="AB55" i="19"/>
  <c r="AA65" i="19"/>
  <c r="AA52" i="19"/>
  <c r="D55" i="1"/>
  <c r="H68" i="1"/>
  <c r="AA62" i="19"/>
  <c r="X67" i="19"/>
  <c r="Y10" i="19"/>
  <c r="AA69" i="19"/>
  <c r="X60" i="19"/>
  <c r="Y26" i="19"/>
  <c r="AB3" i="17"/>
  <c r="AB22" i="19"/>
  <c r="P4" i="15"/>
  <c r="Y17" i="19"/>
  <c r="AA71" i="19"/>
  <c r="X41" i="19"/>
  <c r="Y15" i="19"/>
  <c r="X28" i="19"/>
  <c r="Q5" i="14"/>
  <c r="X14" i="19"/>
  <c r="Y67" i="19"/>
  <c r="Z39" i="19"/>
  <c r="Y46" i="19"/>
  <c r="Y42" i="19"/>
  <c r="Z58" i="19"/>
  <c r="Z50" i="19"/>
  <c r="AE3" i="17"/>
  <c r="Y18" i="19"/>
  <c r="X33" i="19"/>
  <c r="P4" i="14"/>
  <c r="Y35" i="19"/>
  <c r="AB23" i="19"/>
  <c r="AB54" i="19"/>
  <c r="X5" i="19"/>
  <c r="AA35" i="19"/>
  <c r="Y51" i="19"/>
  <c r="Y30" i="19"/>
  <c r="Z60" i="19"/>
  <c r="AA54" i="19"/>
  <c r="AB48" i="19"/>
  <c r="AB63" i="19"/>
  <c r="Z5" i="19"/>
  <c r="AB67" i="19"/>
  <c r="X31" i="19"/>
  <c r="AB6" i="19"/>
  <c r="Z62" i="19"/>
  <c r="X38" i="19"/>
  <c r="X35" i="19"/>
  <c r="Z57" i="19"/>
  <c r="Y61" i="19"/>
  <c r="Y64" i="19"/>
  <c r="AB10" i="19"/>
  <c r="AB66" i="19"/>
  <c r="Z68" i="19"/>
  <c r="Z12" i="19"/>
  <c r="AB15" i="19"/>
  <c r="Z35" i="19"/>
  <c r="AA21" i="19"/>
  <c r="Y36" i="19"/>
  <c r="X64" i="19"/>
  <c r="Z27" i="19"/>
  <c r="X29" i="19"/>
  <c r="Z8" i="19"/>
  <c r="C9" i="15"/>
  <c r="Y16" i="19"/>
  <c r="Y31" i="19"/>
  <c r="Y5" i="19"/>
  <c r="AA68" i="19"/>
  <c r="X11" i="19"/>
  <c r="Z21" i="19"/>
  <c r="Z42" i="19"/>
  <c r="AC3" i="16"/>
  <c r="Z38" i="19"/>
  <c r="AA30" i="19"/>
  <c r="Y11" i="19"/>
  <c r="Y41" i="19"/>
  <c r="E8" i="15"/>
  <c r="D53" i="1"/>
  <c r="E7" i="15"/>
  <c r="E9" i="15"/>
  <c r="F9" i="15" s="1"/>
  <c r="F8" i="15"/>
  <c r="F7" i="15"/>
  <c r="Z3" i="18" a="1"/>
  <c r="AA3" i="18" a="1"/>
  <c r="C10" i="15"/>
  <c r="E10" i="15"/>
  <c r="F10" i="15" s="1"/>
  <c r="C11" i="15"/>
  <c r="C12" i="15"/>
  <c r="E11" i="15"/>
  <c r="F11" i="15" s="1"/>
  <c r="C13" i="15"/>
  <c r="E12" i="15"/>
  <c r="F12" i="15" s="1"/>
  <c r="C14" i="15"/>
  <c r="E13" i="15"/>
  <c r="F13" i="15" s="1"/>
  <c r="C15" i="15"/>
  <c r="E14" i="15"/>
  <c r="F14" i="15" s="1"/>
  <c r="E15" i="15"/>
  <c r="F15" i="15" s="1"/>
  <c r="C16" i="15"/>
  <c r="C17" i="15"/>
  <c r="E16" i="15"/>
  <c r="F16" i="15" s="1"/>
  <c r="C18" i="15"/>
  <c r="E17" i="15"/>
  <c r="F17" i="15" s="1"/>
  <c r="C19" i="15"/>
  <c r="E18" i="15"/>
  <c r="F18" i="15" s="1"/>
  <c r="E19" i="15"/>
  <c r="F19" i="15" s="1"/>
  <c r="C20" i="15"/>
  <c r="E20" i="15"/>
  <c r="F20" i="15" s="1"/>
  <c r="C21" i="15"/>
  <c r="C22" i="15"/>
  <c r="E21" i="15"/>
  <c r="F21" i="15" s="1"/>
  <c r="E22" i="15"/>
  <c r="F22" i="15" s="1"/>
  <c r="C23" i="15"/>
  <c r="C24" i="15"/>
  <c r="E23" i="15"/>
  <c r="F23" i="15" s="1"/>
  <c r="C25" i="15"/>
  <c r="E24" i="15"/>
  <c r="F24" i="15" s="1"/>
  <c r="E25" i="15"/>
  <c r="F25" i="15" s="1"/>
  <c r="C26" i="15"/>
  <c r="C27" i="15"/>
  <c r="E26" i="15"/>
  <c r="F26" i="15" s="1"/>
  <c r="E27" i="15"/>
  <c r="F27" i="15" s="1"/>
  <c r="C28" i="15"/>
  <c r="E28" i="15"/>
  <c r="F28" i="15" s="1"/>
  <c r="C29" i="15"/>
  <c r="E29" i="15"/>
  <c r="F29" i="15" s="1"/>
  <c r="H29" i="15" l="1"/>
  <c r="I29" i="15"/>
  <c r="H28" i="15"/>
  <c r="I28" i="15"/>
  <c r="H27" i="15"/>
  <c r="I27" i="15"/>
  <c r="H26" i="15"/>
  <c r="I26" i="15"/>
  <c r="H25" i="15"/>
  <c r="I25" i="15"/>
  <c r="H24" i="15"/>
  <c r="I24" i="15"/>
  <c r="H23" i="15"/>
  <c r="I23" i="15"/>
  <c r="H22" i="15"/>
  <c r="I22" i="15"/>
  <c r="I21" i="15"/>
  <c r="H21" i="15"/>
  <c r="I20" i="15"/>
  <c r="H20" i="15"/>
  <c r="I19" i="15"/>
  <c r="H19" i="15"/>
  <c r="H18" i="15"/>
  <c r="I18" i="15"/>
  <c r="H17" i="15"/>
  <c r="I17" i="15"/>
  <c r="H16" i="15"/>
  <c r="I16" i="15"/>
  <c r="H15" i="15"/>
  <c r="I15" i="15"/>
  <c r="H14" i="15"/>
  <c r="I14" i="15"/>
  <c r="I13" i="15"/>
  <c r="H13" i="15"/>
  <c r="I12" i="15"/>
  <c r="H12" i="15"/>
  <c r="I11" i="15"/>
  <c r="H11" i="15"/>
  <c r="H10" i="15"/>
  <c r="I10" i="15"/>
  <c r="AA37" i="18"/>
  <c r="AA30" i="18"/>
  <c r="AA19" i="18"/>
  <c r="AA49" i="18"/>
  <c r="AA23" i="18"/>
  <c r="AA27" i="18"/>
  <c r="AA33" i="18"/>
  <c r="AA41" i="18"/>
  <c r="AA39" i="18"/>
  <c r="AA47" i="18"/>
  <c r="AA42" i="18"/>
  <c r="AA35" i="18"/>
  <c r="AA6" i="18"/>
  <c r="AA3" i="18"/>
  <c r="AA15" i="18"/>
  <c r="AA38" i="18"/>
  <c r="AA45" i="18"/>
  <c r="AA26" i="18"/>
  <c r="AA44" i="18"/>
  <c r="AA51" i="18"/>
  <c r="AA8" i="18"/>
  <c r="AA53" i="18"/>
  <c r="AA17" i="18"/>
  <c r="AA34" i="18"/>
  <c r="AA31" i="18"/>
  <c r="AA29" i="18"/>
  <c r="AA20" i="18"/>
  <c r="AA13" i="18"/>
  <c r="AA16" i="18"/>
  <c r="AA36" i="18"/>
  <c r="AA7" i="18"/>
  <c r="AA12" i="18"/>
  <c r="AA22" i="18"/>
  <c r="AA25" i="18"/>
  <c r="AA24" i="18"/>
  <c r="AA46" i="18"/>
  <c r="AA4" i="18"/>
  <c r="AA43" i="18"/>
  <c r="AA28" i="18"/>
  <c r="AA14" i="18"/>
  <c r="AA40" i="18"/>
  <c r="AA21" i="18"/>
  <c r="AA32" i="18"/>
  <c r="AA52" i="18"/>
  <c r="AA9" i="18"/>
  <c r="AA10" i="18"/>
  <c r="AA11" i="18"/>
  <c r="AA18" i="18"/>
  <c r="AA50" i="18"/>
  <c r="AA5" i="18"/>
  <c r="AA48" i="18"/>
  <c r="Z19" i="18"/>
  <c r="Z42" i="18"/>
  <c r="Z21" i="18"/>
  <c r="Z25" i="18"/>
  <c r="Z51" i="18"/>
  <c r="Z26" i="18"/>
  <c r="Z45" i="18"/>
  <c r="Z14" i="18"/>
  <c r="Z40" i="18"/>
  <c r="Z37" i="18"/>
  <c r="Z50" i="18"/>
  <c r="Z27" i="18"/>
  <c r="Z15" i="18"/>
  <c r="Z30" i="18"/>
  <c r="Z29" i="18"/>
  <c r="Z13" i="18"/>
  <c r="Z11" i="18"/>
  <c r="Z9" i="18"/>
  <c r="Z20" i="18"/>
  <c r="Z3" i="18"/>
  <c r="Z33" i="18"/>
  <c r="Z18" i="18"/>
  <c r="Z5" i="18"/>
  <c r="Z44" i="18"/>
  <c r="Z34" i="18"/>
  <c r="Z8" i="18"/>
  <c r="Z24" i="18"/>
  <c r="Z48" i="18"/>
  <c r="Z52" i="18"/>
  <c r="Z10" i="18"/>
  <c r="Z53" i="18"/>
  <c r="Z49" i="18"/>
  <c r="Z46" i="18"/>
  <c r="Z4" i="18"/>
  <c r="Z43" i="18"/>
  <c r="Z23" i="18"/>
  <c r="Z22" i="18"/>
  <c r="Z16" i="18"/>
  <c r="Z41" i="18"/>
  <c r="Z28" i="18"/>
  <c r="Z6" i="18"/>
  <c r="Z39" i="18"/>
  <c r="Z12" i="18"/>
  <c r="Z38" i="18"/>
  <c r="Z31" i="18"/>
  <c r="Z7" i="18"/>
  <c r="Z47" i="18"/>
  <c r="Z17" i="18"/>
  <c r="Z36" i="18"/>
  <c r="Z35" i="18"/>
  <c r="Z32" i="18"/>
  <c r="V11" i="19"/>
  <c r="H9" i="15"/>
  <c r="I9" i="15"/>
  <c r="V29" i="19"/>
  <c r="V64" i="19"/>
  <c r="V35" i="19"/>
  <c r="V38" i="19"/>
  <c r="V31" i="19"/>
  <c r="V5" i="19"/>
  <c r="V33" i="19"/>
  <c r="V14" i="19"/>
  <c r="V28" i="19"/>
  <c r="V41" i="19"/>
  <c r="V60" i="19"/>
  <c r="V67" i="19"/>
  <c r="V25" i="19"/>
  <c r="V65" i="19"/>
  <c r="H8" i="15"/>
  <c r="I8" i="15"/>
  <c r="V63" i="19"/>
  <c r="H7" i="15"/>
  <c r="I7" i="15"/>
  <c r="V21" i="19"/>
  <c r="V3" i="19"/>
  <c r="V58" i="19"/>
  <c r="X3" i="17"/>
  <c r="V50" i="19"/>
  <c r="V44" i="19"/>
  <c r="V49" i="19"/>
  <c r="V36" i="19"/>
  <c r="V59" i="19"/>
  <c r="V27" i="19"/>
  <c r="V51" i="19"/>
  <c r="V70" i="19"/>
  <c r="V48" i="19"/>
  <c r="V10" i="19"/>
  <c r="V61" i="19"/>
  <c r="V43" i="19"/>
  <c r="V66" i="19"/>
  <c r="V17" i="19"/>
  <c r="V52" i="19"/>
  <c r="AG43" i="17"/>
  <c r="AL43" i="17" s="1"/>
  <c r="AG21" i="17"/>
  <c r="AL21" i="17" s="1"/>
  <c r="AG26" i="17"/>
  <c r="AL26" i="17" s="1"/>
  <c r="AG25" i="17"/>
  <c r="AL25" i="17" s="1"/>
  <c r="AG16" i="17"/>
  <c r="AL16" i="17" s="1"/>
  <c r="AG30" i="17"/>
  <c r="AL30" i="17" s="1"/>
  <c r="AG49" i="17"/>
  <c r="AL49" i="17" s="1"/>
  <c r="AG45" i="17"/>
  <c r="AL45" i="17" s="1"/>
  <c r="AG29" i="17"/>
  <c r="AL29" i="17" s="1"/>
  <c r="AG22" i="17"/>
  <c r="AL22" i="17" s="1"/>
  <c r="AG46" i="17"/>
  <c r="AL46" i="17" s="1"/>
  <c r="AG37" i="17"/>
  <c r="AL37" i="17" s="1"/>
  <c r="AG24" i="17"/>
  <c r="AL24" i="17" s="1"/>
  <c r="AG17" i="17"/>
  <c r="AL17" i="17" s="1"/>
  <c r="AG31" i="17"/>
  <c r="AL31" i="17" s="1"/>
  <c r="AG12" i="17"/>
  <c r="AL12" i="17" s="1"/>
  <c r="AG51" i="17"/>
  <c r="AL51" i="17" s="1"/>
  <c r="AG18" i="17"/>
  <c r="AL18" i="17" s="1"/>
  <c r="AG36" i="17"/>
  <c r="AL36" i="17" s="1"/>
  <c r="AG5" i="17"/>
  <c r="AL5" i="17" s="1"/>
  <c r="AG11" i="17"/>
  <c r="AL11" i="17" s="1"/>
  <c r="AG23" i="17"/>
  <c r="AL23" i="17" s="1"/>
  <c r="AG44" i="17"/>
  <c r="AL44" i="17" s="1"/>
  <c r="AG47" i="17"/>
  <c r="AL47" i="17" s="1"/>
  <c r="AG27" i="17"/>
  <c r="AL27" i="17" s="1"/>
  <c r="AG28" i="17"/>
  <c r="AL28" i="17" s="1"/>
  <c r="AG40" i="17"/>
  <c r="AL40" i="17" s="1"/>
  <c r="AG15" i="17"/>
  <c r="AL15" i="17" s="1"/>
  <c r="AG35" i="17"/>
  <c r="AL35" i="17" s="1"/>
  <c r="AG41" i="17"/>
  <c r="AL41" i="17" s="1"/>
  <c r="AG13" i="17"/>
  <c r="AL13" i="17" s="1"/>
  <c r="AG42" i="17"/>
  <c r="AL42" i="17" s="1"/>
  <c r="AG48" i="17"/>
  <c r="AL48" i="17" s="1"/>
  <c r="AG19" i="17"/>
  <c r="AL19" i="17" s="1"/>
  <c r="AG8" i="17"/>
  <c r="AL8" i="17" s="1"/>
  <c r="AG9" i="17"/>
  <c r="AL9" i="17" s="1"/>
  <c r="AG33" i="17"/>
  <c r="AL33" i="17" s="1"/>
  <c r="AG52" i="17"/>
  <c r="AL52" i="17" s="1"/>
  <c r="AG4" i="17"/>
  <c r="AL4" i="17" s="1"/>
  <c r="AG10" i="17"/>
  <c r="AL10" i="17" s="1"/>
  <c r="AG2" i="17"/>
  <c r="AG34" i="17"/>
  <c r="AL34" i="17" s="1"/>
  <c r="AG7" i="17"/>
  <c r="AL7" i="17" s="1"/>
  <c r="AG3" i="17"/>
  <c r="AL3" i="17" s="1"/>
  <c r="AG6" i="17"/>
  <c r="AL6" i="17" s="1"/>
  <c r="AG50" i="17"/>
  <c r="AL50" i="17" s="1"/>
  <c r="AG32" i="17"/>
  <c r="AL32" i="17" s="1"/>
  <c r="AG20" i="17"/>
  <c r="AL20" i="17" s="1"/>
  <c r="AG14" i="17"/>
  <c r="AL14" i="17" s="1"/>
  <c r="AG38" i="17"/>
  <c r="AL38" i="17" s="1"/>
  <c r="AG39" i="17"/>
  <c r="AL39" i="17" s="1"/>
  <c r="V12" i="19"/>
  <c r="V62" i="19"/>
  <c r="V57" i="19"/>
  <c r="V56" i="19"/>
  <c r="V40" i="19"/>
  <c r="V37" i="19"/>
  <c r="V9" i="19"/>
  <c r="V54" i="19"/>
  <c r="V8" i="19"/>
  <c r="V39" i="19"/>
  <c r="V72" i="19"/>
  <c r="V42" i="19"/>
  <c r="V20" i="19"/>
  <c r="V23" i="19"/>
  <c r="V24" i="19"/>
  <c r="V53" i="19"/>
  <c r="V46" i="19"/>
  <c r="V6" i="19"/>
  <c r="V19" i="19"/>
  <c r="V13" i="19"/>
  <c r="V71" i="19"/>
  <c r="V34" i="19"/>
  <c r="X3" i="16"/>
  <c r="V26" i="19"/>
  <c r="V16" i="19"/>
  <c r="AF15" i="17"/>
  <c r="AJ15" i="17" s="1"/>
  <c r="AF29" i="17"/>
  <c r="AJ29" i="17" s="1"/>
  <c r="AF24" i="17"/>
  <c r="AJ24" i="17" s="1"/>
  <c r="AF32" i="17"/>
  <c r="AJ32" i="17" s="1"/>
  <c r="AF19" i="17"/>
  <c r="AJ19" i="17" s="1"/>
  <c r="AF47" i="17"/>
  <c r="AJ47" i="17" s="1"/>
  <c r="AF30" i="17"/>
  <c r="AJ30" i="17" s="1"/>
  <c r="AF31" i="17"/>
  <c r="AJ31" i="17" s="1"/>
  <c r="AF8" i="17"/>
  <c r="AJ8" i="17" s="1"/>
  <c r="AF38" i="17"/>
  <c r="AJ38" i="17" s="1"/>
  <c r="AF21" i="17"/>
  <c r="AJ21" i="17" s="1"/>
  <c r="AF39" i="17"/>
  <c r="AJ39" i="17" s="1"/>
  <c r="AF36" i="17"/>
  <c r="AJ36" i="17" s="1"/>
  <c r="AF17" i="17"/>
  <c r="AJ17" i="17" s="1"/>
  <c r="AF7" i="17"/>
  <c r="AJ7" i="17" s="1"/>
  <c r="AF46" i="17"/>
  <c r="AJ46" i="17" s="1"/>
  <c r="AF33" i="17"/>
  <c r="AJ33" i="17" s="1"/>
  <c r="AF49" i="17"/>
  <c r="AJ49" i="17" s="1"/>
  <c r="AF23" i="17"/>
  <c r="AJ23" i="17" s="1"/>
  <c r="AF18" i="17"/>
  <c r="AJ18" i="17" s="1"/>
  <c r="AF41" i="17"/>
  <c r="AJ41" i="17" s="1"/>
  <c r="AF6" i="17"/>
  <c r="AJ6" i="17" s="1"/>
  <c r="AF3" i="17"/>
  <c r="AJ3" i="17" s="1"/>
  <c r="AF34" i="17"/>
  <c r="AJ34" i="17" s="1"/>
  <c r="AF20" i="17"/>
  <c r="AJ20" i="17" s="1"/>
  <c r="AF35" i="17"/>
  <c r="AJ35" i="17" s="1"/>
  <c r="AF9" i="17"/>
  <c r="AJ9" i="17" s="1"/>
  <c r="AF11" i="17"/>
  <c r="AJ11" i="17" s="1"/>
  <c r="AF37" i="17"/>
  <c r="AJ37" i="17" s="1"/>
  <c r="AF4" i="17"/>
  <c r="AJ4" i="17" s="1"/>
  <c r="AF10" i="17"/>
  <c r="AJ10" i="17" s="1"/>
  <c r="AF51" i="17"/>
  <c r="AJ51" i="17" s="1"/>
  <c r="AF13" i="17"/>
  <c r="AJ13" i="17" s="1"/>
  <c r="AF22" i="17"/>
  <c r="AJ22" i="17" s="1"/>
  <c r="AF42" i="17"/>
  <c r="AJ42" i="17" s="1"/>
  <c r="AF44" i="17"/>
  <c r="AJ44" i="17" s="1"/>
  <c r="AF48" i="17"/>
  <c r="AJ48" i="17" s="1"/>
  <c r="AF14" i="17"/>
  <c r="AJ14" i="17" s="1"/>
  <c r="AF5" i="17"/>
  <c r="AJ5" i="17" s="1"/>
  <c r="AF16" i="17"/>
  <c r="AJ16" i="17" s="1"/>
  <c r="AF2" i="17"/>
  <c r="AF52" i="17"/>
  <c r="AJ52" i="17" s="1"/>
  <c r="AF45" i="17"/>
  <c r="AJ45" i="17" s="1"/>
  <c r="AF25" i="17"/>
  <c r="AJ25" i="17" s="1"/>
  <c r="AF26" i="17"/>
  <c r="AJ26" i="17" s="1"/>
  <c r="AF40" i="17"/>
  <c r="AJ40" i="17" s="1"/>
  <c r="AF27" i="17"/>
  <c r="AJ27" i="17" s="1"/>
  <c r="AF28" i="17"/>
  <c r="AJ28" i="17" s="1"/>
  <c r="AF12" i="17"/>
  <c r="AJ12" i="17" s="1"/>
  <c r="AF50" i="17"/>
  <c r="AJ50" i="17" s="1"/>
  <c r="AF43" i="17"/>
  <c r="AJ43" i="17" s="1"/>
  <c r="V18" i="19"/>
  <c r="V55" i="19"/>
  <c r="V4" i="19"/>
  <c r="V30" i="19"/>
  <c r="T74" i="14"/>
  <c r="T37" i="14"/>
  <c r="T40" i="14"/>
  <c r="T28" i="14"/>
  <c r="T45" i="14"/>
  <c r="T8" i="14"/>
  <c r="T22" i="14"/>
  <c r="T49" i="14"/>
  <c r="T42" i="14"/>
  <c r="T5" i="14"/>
  <c r="T41" i="14"/>
  <c r="T75" i="14"/>
  <c r="T57" i="14"/>
  <c r="T21" i="14"/>
  <c r="T73" i="14"/>
  <c r="T53" i="14"/>
  <c r="T54" i="14"/>
  <c r="T25" i="14"/>
  <c r="T72" i="14"/>
  <c r="T55" i="14"/>
  <c r="T76" i="14"/>
  <c r="T47" i="14"/>
  <c r="T52" i="14"/>
  <c r="T27" i="14"/>
  <c r="T16" i="14"/>
  <c r="T34" i="14"/>
  <c r="T59" i="14"/>
  <c r="T44" i="14"/>
  <c r="T24" i="14"/>
  <c r="T33" i="14"/>
  <c r="T58" i="14"/>
  <c r="T6" i="14"/>
  <c r="T50" i="14"/>
  <c r="T39" i="14"/>
  <c r="T4" i="14"/>
  <c r="T43" i="14"/>
  <c r="T26" i="14"/>
  <c r="T3" i="14"/>
  <c r="T36" i="14"/>
  <c r="T23" i="14"/>
  <c r="T14" i="14"/>
  <c r="T67" i="14"/>
  <c r="T9" i="14"/>
  <c r="T68" i="14"/>
  <c r="T15" i="14"/>
  <c r="T12" i="14"/>
  <c r="T61" i="14"/>
  <c r="T20" i="14"/>
  <c r="T77" i="14"/>
  <c r="T18" i="14"/>
  <c r="T56" i="14"/>
  <c r="T32" i="14"/>
  <c r="T66" i="14"/>
  <c r="T31" i="14"/>
  <c r="T70" i="14"/>
  <c r="T7" i="14"/>
  <c r="T71" i="14"/>
  <c r="T29" i="14"/>
  <c r="T46" i="14"/>
  <c r="T17" i="14"/>
  <c r="T65" i="14"/>
  <c r="T48" i="14"/>
  <c r="T62" i="14"/>
  <c r="T38" i="14"/>
  <c r="T35" i="14"/>
  <c r="T64" i="14"/>
  <c r="T60" i="14"/>
  <c r="T30" i="14"/>
  <c r="T69" i="14"/>
  <c r="T19" i="14"/>
  <c r="T13" i="14"/>
  <c r="T51" i="14"/>
  <c r="T11" i="14"/>
  <c r="T10" i="14"/>
  <c r="T63" i="14"/>
  <c r="V15" i="19"/>
  <c r="V68" i="19"/>
  <c r="V22" i="19"/>
  <c r="V47" i="19"/>
  <c r="V69" i="19"/>
  <c r="V32" i="19"/>
  <c r="V7" i="19"/>
  <c r="V45" i="19"/>
  <c r="AF26" i="16"/>
  <c r="AJ26" i="16" s="1"/>
  <c r="AF16" i="16"/>
  <c r="AJ16" i="16" s="1"/>
  <c r="AF13" i="16"/>
  <c r="AJ13" i="16" s="1"/>
  <c r="AF9" i="16"/>
  <c r="AJ9" i="16" s="1"/>
  <c r="AF5" i="16"/>
  <c r="AJ5" i="16" s="1"/>
  <c r="AF21" i="16"/>
  <c r="AJ21" i="16" s="1"/>
  <c r="AF56" i="16"/>
  <c r="AJ56" i="16" s="1"/>
  <c r="AF34" i="16"/>
  <c r="AJ34" i="16" s="1"/>
  <c r="AF15" i="16"/>
  <c r="AJ15" i="16" s="1"/>
  <c r="AF58" i="16"/>
  <c r="AJ58" i="16" s="1"/>
  <c r="AF2" i="16"/>
  <c r="AF14" i="16"/>
  <c r="AJ14" i="16" s="1"/>
  <c r="AF54" i="16"/>
  <c r="AJ54" i="16" s="1"/>
  <c r="AF25" i="16"/>
  <c r="AJ25" i="16" s="1"/>
  <c r="AF55" i="16"/>
  <c r="AJ55" i="16" s="1"/>
  <c r="AF17" i="16"/>
  <c r="AJ17" i="16" s="1"/>
  <c r="AF41" i="16"/>
  <c r="AJ41" i="16" s="1"/>
  <c r="AF51" i="16"/>
  <c r="AJ51" i="16" s="1"/>
  <c r="AF19" i="16"/>
  <c r="AJ19" i="16" s="1"/>
  <c r="AF35" i="16"/>
  <c r="AJ35" i="16" s="1"/>
  <c r="AF22" i="16"/>
  <c r="AJ22" i="16" s="1"/>
  <c r="AF48" i="16"/>
  <c r="AJ48" i="16" s="1"/>
  <c r="AF3" i="16"/>
  <c r="AJ3" i="16" s="1"/>
  <c r="AF42" i="16"/>
  <c r="AJ42" i="16" s="1"/>
  <c r="AF52" i="16"/>
  <c r="AJ52" i="16" s="1"/>
  <c r="AF7" i="16"/>
  <c r="AJ7" i="16" s="1"/>
  <c r="AF50" i="16"/>
  <c r="AJ50" i="16" s="1"/>
  <c r="AF27" i="16"/>
  <c r="AJ27" i="16" s="1"/>
  <c r="AF53" i="16"/>
  <c r="AJ53" i="16" s="1"/>
  <c r="AF29" i="16"/>
  <c r="AJ29" i="16" s="1"/>
  <c r="AF36" i="16"/>
  <c r="AJ36" i="16" s="1"/>
  <c r="AF30" i="16"/>
  <c r="AJ30" i="16" s="1"/>
  <c r="AF23" i="16"/>
  <c r="AJ23" i="16" s="1"/>
  <c r="AF45" i="16"/>
  <c r="AJ45" i="16" s="1"/>
  <c r="AF18" i="16"/>
  <c r="AJ18" i="16" s="1"/>
  <c r="AF44" i="16"/>
  <c r="AJ44" i="16" s="1"/>
  <c r="AF24" i="16"/>
  <c r="AJ24" i="16" s="1"/>
  <c r="AF37" i="16"/>
  <c r="AJ37" i="16" s="1"/>
  <c r="AF32" i="16"/>
  <c r="AJ32" i="16" s="1"/>
  <c r="AF28" i="16"/>
  <c r="AJ28" i="16" s="1"/>
  <c r="AF38" i="16"/>
  <c r="AJ38" i="16" s="1"/>
  <c r="AF12" i="16"/>
  <c r="AJ12" i="16" s="1"/>
  <c r="AF11" i="16"/>
  <c r="AJ11" i="16" s="1"/>
  <c r="AF59" i="16"/>
  <c r="AJ59" i="16" s="1"/>
  <c r="AF40" i="16"/>
  <c r="AJ40" i="16" s="1"/>
  <c r="AF8" i="16"/>
  <c r="AJ8" i="16" s="1"/>
  <c r="AF49" i="16"/>
  <c r="AJ49" i="16" s="1"/>
  <c r="AF47" i="16"/>
  <c r="AJ47" i="16" s="1"/>
  <c r="AF20" i="16"/>
  <c r="AJ20" i="16" s="1"/>
  <c r="AF43" i="16"/>
  <c r="AJ43" i="16" s="1"/>
  <c r="AF57" i="16"/>
  <c r="AJ57" i="16" s="1"/>
  <c r="AF31" i="16"/>
  <c r="AJ31" i="16" s="1"/>
  <c r="AF4" i="16"/>
  <c r="AJ4" i="16" s="1"/>
  <c r="AF39" i="16"/>
  <c r="AJ39" i="16" s="1"/>
  <c r="AF6" i="16"/>
  <c r="AJ6" i="16" s="1"/>
  <c r="AF10" i="16"/>
  <c r="AJ10" i="16" s="1"/>
  <c r="AF46" i="16"/>
  <c r="AJ46" i="16" s="1"/>
  <c r="AF33" i="16"/>
  <c r="AJ33" i="16" s="1"/>
  <c r="J29" i="15"/>
  <c r="J23" i="15"/>
  <c r="AB42" i="18"/>
  <c r="AC42" i="18"/>
  <c r="AF42" i="18"/>
  <c r="AD42" i="18"/>
  <c r="AE42" i="18"/>
  <c r="AF37" i="18"/>
  <c r="AE37" i="18"/>
  <c r="AD37" i="18"/>
  <c r="AC37" i="18"/>
  <c r="AB37" i="18"/>
  <c r="AE9" i="18"/>
  <c r="AB9" i="18"/>
  <c r="AF9" i="18"/>
  <c r="AC9" i="18"/>
  <c r="AD9" i="18"/>
  <c r="AB8" i="18"/>
  <c r="AC8" i="18"/>
  <c r="AD8" i="18"/>
  <c r="AE8" i="18"/>
  <c r="AF8" i="18"/>
  <c r="AF4" i="18"/>
  <c r="AE4" i="18"/>
  <c r="AC4" i="18"/>
  <c r="AB4" i="18"/>
  <c r="AD4" i="18"/>
  <c r="AB39" i="18"/>
  <c r="AF39" i="18"/>
  <c r="AE39" i="18"/>
  <c r="AC39" i="18"/>
  <c r="AD39" i="18"/>
  <c r="AC35" i="18"/>
  <c r="AB35" i="18"/>
  <c r="AE35" i="18"/>
  <c r="AD35" i="18"/>
  <c r="AF35" i="18"/>
  <c r="X22" i="14"/>
  <c r="U22" i="14"/>
  <c r="Y22" i="14"/>
  <c r="W22" i="14"/>
  <c r="V22" i="14"/>
  <c r="X73" i="14"/>
  <c r="V73" i="14"/>
  <c r="Y73" i="14"/>
  <c r="U73" i="14"/>
  <c r="W73" i="14"/>
  <c r="V52" i="14"/>
  <c r="U52" i="14"/>
  <c r="X52" i="14"/>
  <c r="Y52" i="14"/>
  <c r="W52" i="14"/>
  <c r="U58" i="14"/>
  <c r="Y58" i="14"/>
  <c r="W58" i="14"/>
  <c r="V58" i="14"/>
  <c r="X58" i="14"/>
  <c r="X36" i="14"/>
  <c r="U36" i="14"/>
  <c r="V36" i="14"/>
  <c r="Y36" i="14"/>
  <c r="W36" i="14"/>
  <c r="X61" i="14"/>
  <c r="V61" i="14"/>
  <c r="Y61" i="14"/>
  <c r="W61" i="14"/>
  <c r="U61" i="14"/>
  <c r="Y70" i="14"/>
  <c r="W70" i="14"/>
  <c r="U70" i="14"/>
  <c r="X70" i="14"/>
  <c r="V70" i="14"/>
  <c r="W62" i="14"/>
  <c r="X62" i="14"/>
  <c r="V62" i="14"/>
  <c r="Y62" i="14"/>
  <c r="U62" i="14"/>
  <c r="X13" i="14"/>
  <c r="W13" i="14"/>
  <c r="Y13" i="14"/>
  <c r="U13" i="14"/>
  <c r="V13" i="14"/>
  <c r="I15" i="1"/>
  <c r="I25" i="1" s="1"/>
  <c r="AA2" i="14" a="1"/>
  <c r="V77" i="14"/>
  <c r="U77" i="14"/>
  <c r="X77" i="14"/>
  <c r="W77" i="14"/>
  <c r="Y77" i="14"/>
  <c r="D90" i="1"/>
  <c r="D100" i="1" s="1"/>
  <c r="AC51" i="18"/>
  <c r="AD51" i="18"/>
  <c r="AB51" i="18"/>
  <c r="AF51" i="18"/>
  <c r="AE51" i="18"/>
  <c r="AC33" i="18"/>
  <c r="AF33" i="18"/>
  <c r="AE33" i="18"/>
  <c r="AB33" i="18"/>
  <c r="AD33" i="18"/>
  <c r="AC52" i="18"/>
  <c r="AF52" i="18"/>
  <c r="AE52" i="18"/>
  <c r="AB52" i="18"/>
  <c r="AD52" i="18"/>
  <c r="AE22" i="18"/>
  <c r="AC22" i="18"/>
  <c r="AF22" i="18"/>
  <c r="AD22" i="18"/>
  <c r="AB22" i="18"/>
  <c r="AD31" i="18"/>
  <c r="AE31" i="18"/>
  <c r="AF31" i="18"/>
  <c r="AC31" i="18"/>
  <c r="AB31" i="18"/>
  <c r="J8" i="15"/>
  <c r="U5" i="14"/>
  <c r="W5" i="14"/>
  <c r="Y5" i="14"/>
  <c r="V5" i="14"/>
  <c r="X5" i="14"/>
  <c r="Y25" i="14"/>
  <c r="V25" i="14"/>
  <c r="X25" i="14"/>
  <c r="W25" i="14"/>
  <c r="U25" i="14"/>
  <c r="U39" i="14"/>
  <c r="V39" i="14"/>
  <c r="Y39" i="14"/>
  <c r="X39" i="14"/>
  <c r="W39" i="14"/>
  <c r="U29" i="14"/>
  <c r="Y29" i="14"/>
  <c r="V29" i="14"/>
  <c r="W29" i="14"/>
  <c r="X29" i="14"/>
  <c r="I68" i="1"/>
  <c r="V41" i="14"/>
  <c r="X41" i="14"/>
  <c r="U41" i="14"/>
  <c r="W41" i="14"/>
  <c r="Y41" i="14"/>
  <c r="W9" i="14"/>
  <c r="Y9" i="14"/>
  <c r="V9" i="14"/>
  <c r="U9" i="14"/>
  <c r="X9" i="14"/>
  <c r="X60" i="14"/>
  <c r="W60" i="14"/>
  <c r="Y60" i="14"/>
  <c r="V60" i="14"/>
  <c r="U60" i="14"/>
  <c r="C98" i="1"/>
  <c r="AF45" i="18"/>
  <c r="AB45" i="18"/>
  <c r="AC45" i="18"/>
  <c r="AE45" i="18"/>
  <c r="AD45" i="18"/>
  <c r="AF29" i="18"/>
  <c r="AD29" i="18"/>
  <c r="AC29" i="18"/>
  <c r="AE29" i="18"/>
  <c r="AB29" i="18"/>
  <c r="AE5" i="18"/>
  <c r="AF5" i="18"/>
  <c r="AD5" i="18"/>
  <c r="AC5" i="18"/>
  <c r="AB5" i="18"/>
  <c r="AF53" i="18"/>
  <c r="AB53" i="18"/>
  <c r="AC53" i="18"/>
  <c r="AE53" i="18"/>
  <c r="AD53" i="18"/>
  <c r="AB47" i="18"/>
  <c r="AC47" i="18"/>
  <c r="AF47" i="18"/>
  <c r="AD47" i="18"/>
  <c r="AE47" i="18"/>
  <c r="W43" i="14"/>
  <c r="X43" i="14"/>
  <c r="U43" i="14"/>
  <c r="V43" i="14"/>
  <c r="Y43" i="14"/>
  <c r="H24" i="1"/>
  <c r="I24" i="1" s="1"/>
  <c r="J27" i="15"/>
  <c r="AC14" i="18"/>
  <c r="AE14" i="18"/>
  <c r="AB14" i="18"/>
  <c r="AF14" i="18"/>
  <c r="AD14" i="18"/>
  <c r="AB44" i="18"/>
  <c r="AF44" i="18"/>
  <c r="AC44" i="18"/>
  <c r="AE44" i="18"/>
  <c r="AD44" i="18"/>
  <c r="AB28" i="18"/>
  <c r="AE28" i="18"/>
  <c r="AD28" i="18"/>
  <c r="AF28" i="18"/>
  <c r="AC28" i="18"/>
  <c r="AF17" i="18"/>
  <c r="AC17" i="18"/>
  <c r="AB17" i="18"/>
  <c r="AD17" i="18"/>
  <c r="AE17" i="18"/>
  <c r="U45" i="14"/>
  <c r="V45" i="14"/>
  <c r="X45" i="14"/>
  <c r="W45" i="14"/>
  <c r="Y45" i="14"/>
  <c r="X57" i="14"/>
  <c r="Y57" i="14"/>
  <c r="W57" i="14"/>
  <c r="U57" i="14"/>
  <c r="V57" i="14"/>
  <c r="U76" i="14"/>
  <c r="X76" i="14"/>
  <c r="W76" i="14"/>
  <c r="V76" i="14"/>
  <c r="Y76" i="14"/>
  <c r="U24" i="14"/>
  <c r="X24" i="14"/>
  <c r="V24" i="14"/>
  <c r="W24" i="14"/>
  <c r="Y24" i="14"/>
  <c r="W15" i="14"/>
  <c r="V15" i="14"/>
  <c r="U15" i="14"/>
  <c r="Y15" i="14"/>
  <c r="X15" i="14"/>
  <c r="Y66" i="14"/>
  <c r="X66" i="14"/>
  <c r="V66" i="14"/>
  <c r="U66" i="14"/>
  <c r="W66" i="14"/>
  <c r="V65" i="14"/>
  <c r="U65" i="14"/>
  <c r="Y65" i="14"/>
  <c r="X65" i="14"/>
  <c r="W65" i="14"/>
  <c r="X69" i="14"/>
  <c r="U69" i="14"/>
  <c r="W69" i="14"/>
  <c r="Y69" i="14"/>
  <c r="V69" i="14"/>
  <c r="AC19" i="18"/>
  <c r="AE19" i="18"/>
  <c r="AB19" i="18"/>
  <c r="AD19" i="18"/>
  <c r="AF19" i="18"/>
  <c r="AC46" i="18"/>
  <c r="AD46" i="18"/>
  <c r="AE46" i="18"/>
  <c r="AB46" i="18"/>
  <c r="AF46" i="18"/>
  <c r="V21" i="14"/>
  <c r="U21" i="14"/>
  <c r="Y21" i="14"/>
  <c r="X21" i="14"/>
  <c r="W21" i="14"/>
  <c r="Y3" i="14"/>
  <c r="V3" i="14"/>
  <c r="X3" i="14"/>
  <c r="W3" i="14"/>
  <c r="U3" i="14"/>
  <c r="W48" i="14"/>
  <c r="Y48" i="14"/>
  <c r="V48" i="14"/>
  <c r="U48" i="14"/>
  <c r="X48" i="14"/>
  <c r="J12" i="15"/>
  <c r="J10" i="15"/>
  <c r="AC21" i="18"/>
  <c r="AF21" i="18"/>
  <c r="AE21" i="18"/>
  <c r="AB21" i="18"/>
  <c r="AD21" i="18"/>
  <c r="AE50" i="18"/>
  <c r="AB50" i="18"/>
  <c r="AD50" i="18"/>
  <c r="AC50" i="18"/>
  <c r="AF50" i="18"/>
  <c r="AC20" i="18"/>
  <c r="AF20" i="18"/>
  <c r="AB20" i="18"/>
  <c r="AD20" i="18"/>
  <c r="AE20" i="18"/>
  <c r="AC24" i="18"/>
  <c r="AE24" i="18"/>
  <c r="AD24" i="18"/>
  <c r="AF24" i="18"/>
  <c r="AB24" i="18"/>
  <c r="AF43" i="18"/>
  <c r="AC43" i="18"/>
  <c r="AB43" i="18"/>
  <c r="AE43" i="18"/>
  <c r="AD43" i="18"/>
  <c r="AE12" i="18"/>
  <c r="AF12" i="18"/>
  <c r="AC12" i="18"/>
  <c r="AD12" i="18"/>
  <c r="AB12" i="18"/>
  <c r="AE32" i="18"/>
  <c r="AD32" i="18"/>
  <c r="AB32" i="18"/>
  <c r="AF32" i="18"/>
  <c r="AC32" i="18"/>
  <c r="W49" i="14"/>
  <c r="V49" i="14"/>
  <c r="X49" i="14"/>
  <c r="Y49" i="14"/>
  <c r="U49" i="14"/>
  <c r="W53" i="14"/>
  <c r="Y53" i="14"/>
  <c r="V53" i="14"/>
  <c r="X53" i="14"/>
  <c r="U53" i="14"/>
  <c r="W27" i="14"/>
  <c r="V27" i="14"/>
  <c r="X27" i="14"/>
  <c r="U27" i="14"/>
  <c r="Y27" i="14"/>
  <c r="V6" i="14"/>
  <c r="X6" i="14"/>
  <c r="U6" i="14"/>
  <c r="W6" i="14"/>
  <c r="Y6" i="14"/>
  <c r="X23" i="14"/>
  <c r="Y23" i="14"/>
  <c r="W23" i="14"/>
  <c r="V23" i="14"/>
  <c r="U23" i="14"/>
  <c r="W20" i="14"/>
  <c r="U20" i="14"/>
  <c r="Y20" i="14"/>
  <c r="V20" i="14"/>
  <c r="X20" i="14"/>
  <c r="U7" i="14"/>
  <c r="V7" i="14"/>
  <c r="X7" i="14"/>
  <c r="Y7" i="14"/>
  <c r="W7" i="14"/>
  <c r="Y38" i="14"/>
  <c r="V38" i="14"/>
  <c r="W38" i="14"/>
  <c r="X38" i="14"/>
  <c r="U38" i="14"/>
  <c r="Y51" i="14"/>
  <c r="W51" i="14"/>
  <c r="V51" i="14"/>
  <c r="X51" i="14"/>
  <c r="U51" i="14"/>
  <c r="U42" i="14"/>
  <c r="X42" i="14"/>
  <c r="Y42" i="14"/>
  <c r="V42" i="14"/>
  <c r="W42" i="14"/>
  <c r="U16" i="14"/>
  <c r="X16" i="14"/>
  <c r="Y16" i="14"/>
  <c r="W16" i="14"/>
  <c r="V16" i="14"/>
  <c r="V50" i="14"/>
  <c r="X50" i="14"/>
  <c r="Y50" i="14"/>
  <c r="U50" i="14"/>
  <c r="W50" i="14"/>
  <c r="V14" i="14"/>
  <c r="U14" i="14"/>
  <c r="Y14" i="14"/>
  <c r="W14" i="14"/>
  <c r="X14" i="14"/>
  <c r="W35" i="14"/>
  <c r="X35" i="14"/>
  <c r="Y35" i="14"/>
  <c r="U35" i="14"/>
  <c r="V35" i="14"/>
  <c r="W11" i="14"/>
  <c r="X11" i="14"/>
  <c r="V11" i="14"/>
  <c r="Y11" i="14"/>
  <c r="U11" i="14"/>
  <c r="J20" i="15"/>
  <c r="V37" i="14"/>
  <c r="W37" i="14"/>
  <c r="U37" i="14"/>
  <c r="X37" i="14"/>
  <c r="Y37" i="14"/>
  <c r="W34" i="14"/>
  <c r="X34" i="14"/>
  <c r="V34" i="14"/>
  <c r="U34" i="14"/>
  <c r="Y34" i="14"/>
  <c r="Y18" i="14"/>
  <c r="U18" i="14"/>
  <c r="W18" i="14"/>
  <c r="X18" i="14"/>
  <c r="V18" i="14"/>
  <c r="U64" i="14"/>
  <c r="Y64" i="14"/>
  <c r="W64" i="14"/>
  <c r="X64" i="14"/>
  <c r="V64" i="14"/>
  <c r="X10" i="14"/>
  <c r="Y10" i="14"/>
  <c r="V10" i="14"/>
  <c r="U10" i="14"/>
  <c r="W10" i="14"/>
  <c r="I75" i="1"/>
  <c r="V40" i="14"/>
  <c r="X40" i="14"/>
  <c r="W40" i="14"/>
  <c r="U40" i="14"/>
  <c r="Y40" i="14"/>
  <c r="W59" i="14"/>
  <c r="Y59" i="14"/>
  <c r="V59" i="14"/>
  <c r="X59" i="14"/>
  <c r="U59" i="14"/>
  <c r="V46" i="14"/>
  <c r="W46" i="14"/>
  <c r="X46" i="14"/>
  <c r="Y46" i="14"/>
  <c r="U46" i="14"/>
  <c r="D15" i="1"/>
  <c r="D25" i="1" s="1"/>
  <c r="J24" i="15"/>
  <c r="X75" i="14"/>
  <c r="U75" i="14"/>
  <c r="W75" i="14"/>
  <c r="Y75" i="14"/>
  <c r="V75" i="14"/>
  <c r="W32" i="14"/>
  <c r="U32" i="14"/>
  <c r="V32" i="14"/>
  <c r="Y32" i="14"/>
  <c r="X32" i="14"/>
  <c r="U30" i="14"/>
  <c r="Y30" i="14"/>
  <c r="W30" i="14"/>
  <c r="X30" i="14"/>
  <c r="V30" i="14"/>
  <c r="AC49" i="18"/>
  <c r="AD49" i="18"/>
  <c r="AE49" i="18"/>
  <c r="AB49" i="18"/>
  <c r="AF49" i="18"/>
  <c r="U26" i="14"/>
  <c r="Y26" i="14"/>
  <c r="X26" i="14"/>
  <c r="W26" i="14"/>
  <c r="V26" i="14"/>
  <c r="C99" i="1"/>
  <c r="AC40" i="18"/>
  <c r="AE40" i="18"/>
  <c r="AB40" i="18"/>
  <c r="AF40" i="18"/>
  <c r="AD40" i="18"/>
  <c r="X8" i="14"/>
  <c r="V8" i="14"/>
  <c r="Y8" i="14"/>
  <c r="U8" i="14"/>
  <c r="W8" i="14"/>
  <c r="X12" i="14"/>
  <c r="W12" i="14"/>
  <c r="V12" i="14"/>
  <c r="Y12" i="14"/>
  <c r="U12" i="14"/>
  <c r="H23" i="1"/>
  <c r="I23" i="1" s="1"/>
  <c r="J17" i="15"/>
  <c r="J15" i="15"/>
  <c r="AF25" i="18"/>
  <c r="AE25" i="18"/>
  <c r="AD25" i="18"/>
  <c r="AB25" i="18"/>
  <c r="AC25" i="18"/>
  <c r="AF27" i="18"/>
  <c r="AB27" i="18"/>
  <c r="AC27" i="18"/>
  <c r="AD27" i="18"/>
  <c r="AE27" i="18"/>
  <c r="D75" i="1"/>
  <c r="AB3" i="18"/>
  <c r="AF3" i="18"/>
  <c r="AE3" i="18"/>
  <c r="AD3" i="18"/>
  <c r="AC3" i="18"/>
  <c r="AB48" i="18"/>
  <c r="AF48" i="18"/>
  <c r="AC48" i="18"/>
  <c r="AD48" i="18"/>
  <c r="AE48" i="18"/>
  <c r="AF23" i="18"/>
  <c r="AC23" i="18"/>
  <c r="AE23" i="18"/>
  <c r="AD23" i="18"/>
  <c r="AB23" i="18"/>
  <c r="AF38" i="18"/>
  <c r="AE38" i="18"/>
  <c r="AD38" i="18"/>
  <c r="AB38" i="18"/>
  <c r="AC38" i="18"/>
  <c r="J7" i="15"/>
  <c r="U74" i="14"/>
  <c r="V74" i="14"/>
  <c r="X74" i="14"/>
  <c r="W74" i="14"/>
  <c r="Y74" i="14"/>
  <c r="U54" i="14"/>
  <c r="V54" i="14"/>
  <c r="W54" i="14"/>
  <c r="Y54" i="14"/>
  <c r="X54" i="14"/>
  <c r="W71" i="14"/>
  <c r="U71" i="14"/>
  <c r="Y71" i="14"/>
  <c r="V71" i="14"/>
  <c r="X71" i="14"/>
  <c r="I45" i="1"/>
  <c r="I55" i="1" s="1"/>
  <c r="J14" i="15"/>
  <c r="AE15" i="18"/>
  <c r="AF15" i="18"/>
  <c r="AB15" i="18"/>
  <c r="AD15" i="18"/>
  <c r="AC15" i="18"/>
  <c r="W67" i="14"/>
  <c r="Y67" i="14"/>
  <c r="V67" i="14"/>
  <c r="X67" i="14"/>
  <c r="U67" i="14"/>
  <c r="H84" i="1"/>
  <c r="C24" i="1"/>
  <c r="J11" i="15"/>
  <c r="X72" i="14"/>
  <c r="W72" i="14"/>
  <c r="V72" i="14"/>
  <c r="Y72" i="14"/>
  <c r="U72" i="14"/>
  <c r="U56" i="14"/>
  <c r="V56" i="14"/>
  <c r="Y56" i="14"/>
  <c r="W56" i="14"/>
  <c r="X56" i="14"/>
  <c r="Y63" i="14"/>
  <c r="V63" i="14"/>
  <c r="W63" i="14"/>
  <c r="U63" i="14"/>
  <c r="X63" i="14"/>
  <c r="AC2" i="19" a="1"/>
  <c r="AG2" i="16" a="1"/>
  <c r="J22" i="15"/>
  <c r="W55" i="14"/>
  <c r="X55" i="14"/>
  <c r="U55" i="14"/>
  <c r="V55" i="14"/>
  <c r="Y55" i="14"/>
  <c r="W68" i="14"/>
  <c r="V68" i="14"/>
  <c r="Y68" i="14"/>
  <c r="U68" i="14"/>
  <c r="X68" i="14"/>
  <c r="X17" i="14"/>
  <c r="W17" i="14"/>
  <c r="U17" i="14"/>
  <c r="Y17" i="14"/>
  <c r="V17" i="14"/>
  <c r="C23" i="1"/>
  <c r="J21" i="15"/>
  <c r="J13" i="15"/>
  <c r="AD13" i="18"/>
  <c r="AE13" i="18"/>
  <c r="AB13" i="18"/>
  <c r="AC13" i="18"/>
  <c r="AF13" i="18"/>
  <c r="D16" i="1"/>
  <c r="J26" i="15"/>
  <c r="AE11" i="18"/>
  <c r="AF11" i="18"/>
  <c r="AD11" i="18"/>
  <c r="AC11" i="18"/>
  <c r="AB11" i="18"/>
  <c r="AF34" i="18"/>
  <c r="AB34" i="18"/>
  <c r="AE34" i="18"/>
  <c r="AD34" i="18"/>
  <c r="AC34" i="18"/>
  <c r="AB6" i="18"/>
  <c r="AC6" i="18"/>
  <c r="AF6" i="18"/>
  <c r="AD6" i="18"/>
  <c r="AE6" i="18"/>
  <c r="U31" i="14"/>
  <c r="X31" i="14"/>
  <c r="Y31" i="14"/>
  <c r="W31" i="14"/>
  <c r="V31" i="14"/>
  <c r="Z2" i="14" a="1"/>
  <c r="J28" i="15"/>
  <c r="D23" i="1"/>
  <c r="J16" i="15"/>
  <c r="AC41" i="18"/>
  <c r="AB41" i="18"/>
  <c r="AE41" i="18"/>
  <c r="AD41" i="18"/>
  <c r="AF41" i="18"/>
  <c r="U28" i="14"/>
  <c r="W28" i="14"/>
  <c r="V28" i="14"/>
  <c r="Y28" i="14"/>
  <c r="X28" i="14"/>
  <c r="J19" i="15"/>
  <c r="U47" i="14"/>
  <c r="Y47" i="14"/>
  <c r="V47" i="14"/>
  <c r="X47" i="14"/>
  <c r="W47" i="14"/>
  <c r="Y19" i="14"/>
  <c r="V19" i="14"/>
  <c r="W19" i="14"/>
  <c r="X19" i="14"/>
  <c r="U19" i="14"/>
  <c r="J25" i="15"/>
  <c r="AD26" i="18"/>
  <c r="AE26" i="18"/>
  <c r="AC26" i="18"/>
  <c r="AB26" i="18"/>
  <c r="AF26" i="18"/>
  <c r="AE30" i="18"/>
  <c r="AB30" i="18"/>
  <c r="AF30" i="18"/>
  <c r="AD30" i="18"/>
  <c r="AC30" i="18"/>
  <c r="AC18" i="18"/>
  <c r="AE18" i="18"/>
  <c r="AF18" i="18"/>
  <c r="AD18" i="18"/>
  <c r="AB18" i="18"/>
  <c r="AC10" i="18"/>
  <c r="AF10" i="18"/>
  <c r="AE10" i="18"/>
  <c r="AD10" i="18"/>
  <c r="AB10" i="18"/>
  <c r="AC16" i="18"/>
  <c r="AD16" i="18"/>
  <c r="AE16" i="18"/>
  <c r="AF16" i="18"/>
  <c r="AB16" i="18"/>
  <c r="AF7" i="18"/>
  <c r="AE7" i="18"/>
  <c r="AD7" i="18"/>
  <c r="AC7" i="18"/>
  <c r="AB7" i="18"/>
  <c r="J9" i="15"/>
  <c r="X4" i="14"/>
  <c r="W4" i="14"/>
  <c r="V4" i="14"/>
  <c r="U4" i="14"/>
  <c r="Y4" i="14"/>
  <c r="W44" i="14"/>
  <c r="U44" i="14"/>
  <c r="X44" i="14"/>
  <c r="Y44" i="14"/>
  <c r="V44" i="14"/>
  <c r="H53" i="1"/>
  <c r="I46" i="1"/>
  <c r="AB36" i="18"/>
  <c r="AF36" i="18"/>
  <c r="AD36" i="18"/>
  <c r="AE36" i="18"/>
  <c r="AC36" i="18"/>
  <c r="X33" i="14"/>
  <c r="U33" i="14"/>
  <c r="Y33" i="14"/>
  <c r="W33" i="14"/>
  <c r="V33" i="14"/>
  <c r="J18" i="15"/>
  <c r="AF47" i="19"/>
  <c r="AF62" i="19"/>
  <c r="AF19" i="19"/>
  <c r="AF67" i="19"/>
  <c r="AF27" i="19"/>
  <c r="AF61" i="19"/>
  <c r="AF32" i="19"/>
  <c r="AF51" i="19"/>
  <c r="AF44" i="19"/>
  <c r="AF38" i="19"/>
  <c r="AF20" i="19"/>
  <c r="AF18" i="19"/>
  <c r="AF26" i="19"/>
  <c r="AF37" i="19"/>
  <c r="AF10" i="19"/>
  <c r="AF65" i="19"/>
  <c r="AF35" i="19"/>
  <c r="AF40" i="19"/>
  <c r="AF3" i="19"/>
  <c r="AF46" i="19"/>
  <c r="AF4" i="19"/>
  <c r="AF66" i="19"/>
  <c r="AF41" i="19"/>
  <c r="AF39" i="19"/>
  <c r="AF48" i="19"/>
  <c r="AF28" i="19"/>
  <c r="AF56" i="19"/>
  <c r="AF30" i="19"/>
  <c r="AF24" i="19"/>
  <c r="AF63" i="19"/>
  <c r="AF14" i="19"/>
  <c r="AF60" i="19"/>
  <c r="AF45" i="19"/>
  <c r="AF16" i="19"/>
  <c r="AF5" i="19"/>
  <c r="AF25" i="19"/>
  <c r="AF50" i="19"/>
  <c r="AF15" i="19"/>
  <c r="AF55" i="19"/>
  <c r="AF6" i="19"/>
  <c r="AF12" i="19"/>
  <c r="AF59" i="19"/>
  <c r="AF9" i="19"/>
  <c r="AF29" i="19"/>
  <c r="AF23" i="19"/>
  <c r="AF69" i="19"/>
  <c r="AF57" i="19"/>
  <c r="AF22" i="19"/>
  <c r="AF11" i="19"/>
  <c r="AF13" i="19"/>
  <c r="AF71" i="19"/>
  <c r="AF21" i="19"/>
  <c r="AF68" i="19"/>
  <c r="AF36" i="19"/>
  <c r="AF49" i="19"/>
  <c r="AF58" i="19"/>
  <c r="AF52" i="19"/>
  <c r="AF70" i="19"/>
  <c r="AF8" i="19"/>
  <c r="AF33" i="19"/>
  <c r="AF42" i="19"/>
  <c r="AF31" i="19"/>
  <c r="AF7" i="19"/>
  <c r="AF43" i="19"/>
  <c r="AF64" i="19"/>
  <c r="AF53" i="19"/>
  <c r="I76" i="1"/>
  <c r="AF72" i="19"/>
  <c r="AF54" i="19"/>
  <c r="AF34" i="19"/>
  <c r="AF17" i="19"/>
  <c r="I85" i="1"/>
  <c r="AH2" i="18" a="1"/>
  <c r="I84" i="1"/>
  <c r="D91" i="1"/>
  <c r="D76" i="1"/>
  <c r="C83" i="1"/>
  <c r="D83" i="1" s="1"/>
  <c r="C84" i="1"/>
  <c r="D84" i="1" s="1"/>
  <c r="AG2" i="18" a="1"/>
  <c r="D85" i="1"/>
  <c r="AG42" i="18" l="1"/>
  <c r="AK42" i="18" s="1"/>
  <c r="AG34" i="18"/>
  <c r="AK34" i="18" s="1"/>
  <c r="AG25" i="18"/>
  <c r="AK25" i="18" s="1"/>
  <c r="AG46" i="18"/>
  <c r="AK46" i="18" s="1"/>
  <c r="AG20" i="18"/>
  <c r="AK20" i="18" s="1"/>
  <c r="AG45" i="18"/>
  <c r="AK45" i="18" s="1"/>
  <c r="AG2" i="18"/>
  <c r="AG15" i="18"/>
  <c r="AK15" i="18" s="1"/>
  <c r="AG26" i="18"/>
  <c r="AK26" i="18" s="1"/>
  <c r="AG33" i="18"/>
  <c r="AK33" i="18" s="1"/>
  <c r="AG37" i="18"/>
  <c r="AK37" i="18" s="1"/>
  <c r="AG27" i="18"/>
  <c r="AK27" i="18" s="1"/>
  <c r="AG50" i="18"/>
  <c r="AK50" i="18" s="1"/>
  <c r="AG11" i="18"/>
  <c r="AK11" i="18" s="1"/>
  <c r="AG6" i="18"/>
  <c r="AK6" i="18" s="1"/>
  <c r="AG38" i="18"/>
  <c r="AK38" i="18" s="1"/>
  <c r="AG35" i="18"/>
  <c r="AK35" i="18" s="1"/>
  <c r="AG32" i="18"/>
  <c r="AK32" i="18" s="1"/>
  <c r="AG36" i="18"/>
  <c r="AK36" i="18" s="1"/>
  <c r="AG7" i="18"/>
  <c r="AK7" i="18" s="1"/>
  <c r="AG28" i="18"/>
  <c r="AK28" i="18" s="1"/>
  <c r="AG13" i="18"/>
  <c r="AK13" i="18" s="1"/>
  <c r="AG44" i="18"/>
  <c r="AK44" i="18" s="1"/>
  <c r="AG43" i="18"/>
  <c r="AK43" i="18" s="1"/>
  <c r="AG24" i="18"/>
  <c r="AK24" i="18" s="1"/>
  <c r="AG5" i="18"/>
  <c r="AK5" i="18" s="1"/>
  <c r="AG31" i="18"/>
  <c r="AK31" i="18" s="1"/>
  <c r="AG53" i="18"/>
  <c r="AK53" i="18" s="1"/>
  <c r="AG21" i="18"/>
  <c r="AK21" i="18" s="1"/>
  <c r="AG16" i="18"/>
  <c r="AK16" i="18" s="1"/>
  <c r="AG41" i="18"/>
  <c r="AK41" i="18" s="1"/>
  <c r="AG40" i="18"/>
  <c r="AK40" i="18" s="1"/>
  <c r="AG23" i="18"/>
  <c r="AK23" i="18" s="1"/>
  <c r="AG14" i="18"/>
  <c r="AK14" i="18" s="1"/>
  <c r="AG4" i="18"/>
  <c r="AK4" i="18" s="1"/>
  <c r="AG48" i="18"/>
  <c r="AK48" i="18" s="1"/>
  <c r="AG17" i="18"/>
  <c r="AK17" i="18" s="1"/>
  <c r="AG29" i="18"/>
  <c r="AK29" i="18" s="1"/>
  <c r="AG51" i="18"/>
  <c r="AK51" i="18" s="1"/>
  <c r="AG47" i="18"/>
  <c r="AK47" i="18" s="1"/>
  <c r="AG22" i="18"/>
  <c r="AK22" i="18" s="1"/>
  <c r="AG18" i="18"/>
  <c r="AK18" i="18" s="1"/>
  <c r="AG9" i="18"/>
  <c r="AK9" i="18" s="1"/>
  <c r="AG52" i="18"/>
  <c r="AK52" i="18" s="1"/>
  <c r="AG3" i="18"/>
  <c r="AK3" i="18" s="1"/>
  <c r="AG12" i="18"/>
  <c r="AK12" i="18" s="1"/>
  <c r="AG8" i="18"/>
  <c r="AK8" i="18" s="1"/>
  <c r="AG49" i="18"/>
  <c r="AK49" i="18" s="1"/>
  <c r="AG30" i="18"/>
  <c r="AK30" i="18" s="1"/>
  <c r="AG39" i="18"/>
  <c r="AK39" i="18" s="1"/>
  <c r="AG19" i="18"/>
  <c r="AK19" i="18" s="1"/>
  <c r="AG10" i="18"/>
  <c r="AK10" i="18" s="1"/>
  <c r="K18" i="15"/>
  <c r="O16" i="15" s="1"/>
  <c r="N16" i="15"/>
  <c r="S33" i="14"/>
  <c r="Y36" i="18"/>
  <c r="S44" i="14"/>
  <c r="S4" i="14"/>
  <c r="N7" i="15"/>
  <c r="K9" i="15"/>
  <c r="O7" i="15" s="1"/>
  <c r="Y7" i="18"/>
  <c r="Y16" i="18"/>
  <c r="Y10" i="18"/>
  <c r="Y18" i="18"/>
  <c r="Y30" i="18"/>
  <c r="Y26" i="18"/>
  <c r="K25" i="15"/>
  <c r="O23" i="15" s="1"/>
  <c r="N23" i="15"/>
  <c r="S19" i="14"/>
  <c r="S47" i="14"/>
  <c r="K19" i="15"/>
  <c r="O17" i="15" s="1"/>
  <c r="N17" i="15"/>
  <c r="S28" i="14"/>
  <c r="Y41" i="18"/>
  <c r="N14" i="15"/>
  <c r="K16" i="15"/>
  <c r="O14" i="15" s="1"/>
  <c r="K28" i="15"/>
  <c r="O26" i="15" s="1"/>
  <c r="N26" i="15"/>
  <c r="S31" i="14"/>
  <c r="Y6" i="18"/>
  <c r="Y34" i="18"/>
  <c r="Y11" i="18"/>
  <c r="K26" i="15"/>
  <c r="O24" i="15" s="1"/>
  <c r="N24" i="15"/>
  <c r="Y13" i="18"/>
  <c r="K13" i="15"/>
  <c r="O11" i="15" s="1"/>
  <c r="N11" i="15"/>
  <c r="K21" i="15"/>
  <c r="O19" i="15" s="1"/>
  <c r="N19" i="15"/>
  <c r="S17" i="14"/>
  <c r="S68" i="14"/>
  <c r="S55" i="14"/>
  <c r="K22" i="15"/>
  <c r="O20" i="15" s="1"/>
  <c r="N20" i="15"/>
  <c r="S63" i="14"/>
  <c r="S56" i="14"/>
  <c r="S72" i="14"/>
  <c r="K11" i="15"/>
  <c r="O9" i="15" s="1"/>
  <c r="N9" i="15"/>
  <c r="S67" i="14"/>
  <c r="Y15" i="18"/>
  <c r="K14" i="15"/>
  <c r="O12" i="15" s="1"/>
  <c r="N12" i="15"/>
  <c r="S71" i="14"/>
  <c r="S54" i="14"/>
  <c r="S74" i="14"/>
  <c r="K7" i="15"/>
  <c r="O5" i="15" s="1"/>
  <c r="N5" i="15"/>
  <c r="Y38" i="18"/>
  <c r="Y23" i="18"/>
  <c r="Y48" i="18"/>
  <c r="Y3" i="18"/>
  <c r="Y27" i="18"/>
  <c r="Y25" i="18"/>
  <c r="N13" i="15"/>
  <c r="K15" i="15"/>
  <c r="O13" i="15" s="1"/>
  <c r="N15" i="15"/>
  <c r="K17" i="15"/>
  <c r="O15" i="15" s="1"/>
  <c r="S12" i="14"/>
  <c r="S8" i="14"/>
  <c r="Y40" i="18"/>
  <c r="S26" i="14"/>
  <c r="Y49" i="18"/>
  <c r="S30" i="14"/>
  <c r="S32" i="14"/>
  <c r="S75" i="14"/>
  <c r="K24" i="15"/>
  <c r="O22" i="15" s="1"/>
  <c r="N22" i="15"/>
  <c r="S46" i="14"/>
  <c r="S59" i="14"/>
  <c r="S40" i="14"/>
  <c r="S10" i="14"/>
  <c r="S64" i="14"/>
  <c r="S18" i="14"/>
  <c r="S34" i="14"/>
  <c r="S37" i="14"/>
  <c r="K20" i="15"/>
  <c r="O18" i="15" s="1"/>
  <c r="N18" i="15"/>
  <c r="S11" i="14"/>
  <c r="S35" i="14"/>
  <c r="S14" i="14"/>
  <c r="S50" i="14"/>
  <c r="S16" i="14"/>
  <c r="S42" i="14"/>
  <c r="S51" i="14"/>
  <c r="S38" i="14"/>
  <c r="S7" i="14"/>
  <c r="S20" i="14"/>
  <c r="S23" i="14"/>
  <c r="S6" i="14"/>
  <c r="S27" i="14"/>
  <c r="S53" i="14"/>
  <c r="S49" i="14"/>
  <c r="Y32" i="18"/>
  <c r="Y12" i="18"/>
  <c r="Y43" i="18"/>
  <c r="Y24" i="18"/>
  <c r="Y20" i="18"/>
  <c r="Y50" i="18"/>
  <c r="Y21" i="18"/>
  <c r="N8" i="15"/>
  <c r="K10" i="15"/>
  <c r="O8" i="15" s="1"/>
  <c r="K12" i="15"/>
  <c r="O10" i="15" s="1"/>
  <c r="N10" i="15"/>
  <c r="S48" i="14"/>
  <c r="S3" i="14"/>
  <c r="S21" i="14"/>
  <c r="Y46" i="18"/>
  <c r="Y19" i="18"/>
  <c r="S69" i="14"/>
  <c r="S65" i="14"/>
  <c r="S66" i="14"/>
  <c r="S15" i="14"/>
  <c r="S24" i="14"/>
  <c r="S76" i="14"/>
  <c r="S57" i="14"/>
  <c r="S45" i="14"/>
  <c r="Y17" i="18"/>
  <c r="Y28" i="18"/>
  <c r="Y44" i="18"/>
  <c r="Y14" i="18"/>
  <c r="N25" i="15"/>
  <c r="K27" i="15"/>
  <c r="O25" i="15" s="1"/>
  <c r="S43" i="14"/>
  <c r="Y47" i="18"/>
  <c r="Y53" i="18"/>
  <c r="Y5" i="18"/>
  <c r="Y29" i="18"/>
  <c r="Y45" i="18"/>
  <c r="S60" i="14"/>
  <c r="S9" i="14"/>
  <c r="S41" i="14"/>
  <c r="S29" i="14"/>
  <c r="S39" i="14"/>
  <c r="S25" i="14"/>
  <c r="S5" i="14"/>
  <c r="K8" i="15"/>
  <c r="O6" i="15" s="1"/>
  <c r="N6" i="15"/>
  <c r="Y31" i="18"/>
  <c r="Y22" i="18"/>
  <c r="Y52" i="18"/>
  <c r="Y33" i="18"/>
  <c r="Y51" i="18"/>
  <c r="S77" i="14"/>
  <c r="S13" i="14"/>
  <c r="S62" i="14"/>
  <c r="S70" i="14"/>
  <c r="S61" i="14"/>
  <c r="S36" i="14"/>
  <c r="S58" i="14"/>
  <c r="S52" i="14"/>
  <c r="S73" i="14"/>
  <c r="S22" i="14"/>
  <c r="Y35" i="18"/>
  <c r="Y39" i="18"/>
  <c r="Y4" i="18"/>
  <c r="Y8" i="18"/>
  <c r="Y9" i="18"/>
  <c r="Y37" i="18"/>
  <c r="Y42" i="18"/>
  <c r="K23" i="15"/>
  <c r="O21" i="15" s="1"/>
  <c r="N21" i="15"/>
  <c r="K29" i="15"/>
  <c r="O27" i="15" s="1"/>
  <c r="N27" i="15"/>
  <c r="AA7" i="14"/>
  <c r="AF7" i="14" s="1"/>
  <c r="AA25" i="14"/>
  <c r="AF25" i="14" s="1"/>
  <c r="AA62" i="14"/>
  <c r="AF62" i="14" s="1"/>
  <c r="AA69" i="14"/>
  <c r="AF69" i="14" s="1"/>
  <c r="AA31" i="14"/>
  <c r="AF31" i="14" s="1"/>
  <c r="AA77" i="14"/>
  <c r="AF77" i="14" s="1"/>
  <c r="AA18" i="14"/>
  <c r="AF18" i="14" s="1"/>
  <c r="AA16" i="14"/>
  <c r="AF16" i="14" s="1"/>
  <c r="AA23" i="14"/>
  <c r="AF23" i="14" s="1"/>
  <c r="AA44" i="14"/>
  <c r="AF44" i="14" s="1"/>
  <c r="AA13" i="14"/>
  <c r="AF13" i="14" s="1"/>
  <c r="AA55" i="14"/>
  <c r="AF55" i="14" s="1"/>
  <c r="AA57" i="14"/>
  <c r="AF57" i="14" s="1"/>
  <c r="AA27" i="14"/>
  <c r="AF27" i="14" s="1"/>
  <c r="AA36" i="14"/>
  <c r="AF36" i="14" s="1"/>
  <c r="AA9" i="14"/>
  <c r="AF9" i="14" s="1"/>
  <c r="AA76" i="14"/>
  <c r="AF76" i="14" s="1"/>
  <c r="AA2" i="14"/>
  <c r="AA61" i="14"/>
  <c r="AF61" i="14" s="1"/>
  <c r="AA37" i="14"/>
  <c r="AF37" i="14" s="1"/>
  <c r="AA75" i="14"/>
  <c r="AF75" i="14" s="1"/>
  <c r="AA43" i="14"/>
  <c r="AF43" i="14" s="1"/>
  <c r="AA54" i="14"/>
  <c r="AF54" i="14" s="1"/>
  <c r="AA49" i="14"/>
  <c r="AF49" i="14" s="1"/>
  <c r="AA47" i="14"/>
  <c r="AF47" i="14" s="1"/>
  <c r="AA53" i="14"/>
  <c r="AF53" i="14" s="1"/>
  <c r="AA3" i="14"/>
  <c r="AF3" i="14" s="1"/>
  <c r="AA52" i="14"/>
  <c r="AF52" i="14" s="1"/>
  <c r="AA73" i="14"/>
  <c r="AF73" i="14" s="1"/>
  <c r="AA72" i="14"/>
  <c r="AF72" i="14" s="1"/>
  <c r="AA32" i="14"/>
  <c r="AF32" i="14" s="1"/>
  <c r="AA40" i="14"/>
  <c r="AF40" i="14" s="1"/>
  <c r="AA21" i="14"/>
  <c r="AF21" i="14" s="1"/>
  <c r="AA30" i="14"/>
  <c r="AF30" i="14" s="1"/>
  <c r="AA64" i="14"/>
  <c r="AF64" i="14" s="1"/>
  <c r="AA39" i="14"/>
  <c r="AF39" i="14" s="1"/>
  <c r="AA12" i="14"/>
  <c r="AF12" i="14" s="1"/>
  <c r="AA38" i="14"/>
  <c r="AF38" i="14" s="1"/>
  <c r="AA65" i="14"/>
  <c r="AF65" i="14" s="1"/>
  <c r="AA28" i="14"/>
  <c r="AF28" i="14" s="1"/>
  <c r="AA51" i="14"/>
  <c r="AF51" i="14" s="1"/>
  <c r="AA45" i="14"/>
  <c r="AF45" i="14" s="1"/>
  <c r="AA26" i="14"/>
  <c r="AF26" i="14" s="1"/>
  <c r="AA71" i="14"/>
  <c r="AF71" i="14" s="1"/>
  <c r="AA19" i="14"/>
  <c r="AF19" i="14" s="1"/>
  <c r="AA48" i="14"/>
  <c r="AF48" i="14" s="1"/>
  <c r="AA66" i="14"/>
  <c r="AF66" i="14" s="1"/>
  <c r="AA10" i="14"/>
  <c r="AF10" i="14" s="1"/>
  <c r="AA15" i="14"/>
  <c r="AF15" i="14" s="1"/>
  <c r="AA35" i="14"/>
  <c r="AF35" i="14" s="1"/>
  <c r="AA20" i="14"/>
  <c r="AF20" i="14" s="1"/>
  <c r="AA68" i="14"/>
  <c r="AF68" i="14" s="1"/>
  <c r="AA46" i="14"/>
  <c r="AF46" i="14" s="1"/>
  <c r="AA11" i="14"/>
  <c r="AF11" i="14" s="1"/>
  <c r="AA58" i="14"/>
  <c r="AF58" i="14" s="1"/>
  <c r="AA41" i="14"/>
  <c r="AF41" i="14" s="1"/>
  <c r="AA56" i="14"/>
  <c r="AF56" i="14" s="1"/>
  <c r="AA29" i="14"/>
  <c r="AF29" i="14" s="1"/>
  <c r="AA24" i="14"/>
  <c r="AF24" i="14" s="1"/>
  <c r="AA67" i="14"/>
  <c r="AF67" i="14" s="1"/>
  <c r="AA17" i="14"/>
  <c r="AF17" i="14" s="1"/>
  <c r="AA34" i="14"/>
  <c r="AF34" i="14" s="1"/>
  <c r="AA33" i="14"/>
  <c r="AF33" i="14" s="1"/>
  <c r="AA22" i="14"/>
  <c r="AF22" i="14" s="1"/>
  <c r="AA6" i="14"/>
  <c r="AF6" i="14" s="1"/>
  <c r="AA14" i="14"/>
  <c r="AF14" i="14" s="1"/>
  <c r="AA63" i="14"/>
  <c r="AF63" i="14" s="1"/>
  <c r="AA59" i="14"/>
  <c r="AF59" i="14" s="1"/>
  <c r="AA4" i="14"/>
  <c r="AF4" i="14" s="1"/>
  <c r="AA60" i="14"/>
  <c r="AF60" i="14" s="1"/>
  <c r="AA5" i="14"/>
  <c r="AF5" i="14" s="1"/>
  <c r="AA50" i="14"/>
  <c r="AF50" i="14" s="1"/>
  <c r="AA8" i="14"/>
  <c r="AF8" i="14" s="1"/>
  <c r="AA74" i="14"/>
  <c r="AF74" i="14" s="1"/>
  <c r="AA70" i="14"/>
  <c r="AF70" i="14" s="1"/>
  <c r="AA42" i="14"/>
  <c r="AF42" i="14" s="1"/>
  <c r="Z7" i="14"/>
  <c r="AD7" i="14" s="1"/>
  <c r="Z32" i="14"/>
  <c r="AD32" i="14" s="1"/>
  <c r="Z6" i="14"/>
  <c r="AD6" i="14" s="1"/>
  <c r="Z24" i="14"/>
  <c r="AD24" i="14" s="1"/>
  <c r="Z65" i="14"/>
  <c r="AD65" i="14" s="1"/>
  <c r="Z13" i="14"/>
  <c r="AD13" i="14" s="1"/>
  <c r="Z71" i="14"/>
  <c r="AD71" i="14" s="1"/>
  <c r="Z10" i="14"/>
  <c r="AD10" i="14" s="1"/>
  <c r="Z75" i="14"/>
  <c r="AD75" i="14" s="1"/>
  <c r="Z11" i="14"/>
  <c r="AD11" i="14" s="1"/>
  <c r="Z21" i="14"/>
  <c r="AD21" i="14" s="1"/>
  <c r="Z56" i="14"/>
  <c r="AD56" i="14" s="1"/>
  <c r="Z37" i="14"/>
  <c r="AD37" i="14" s="1"/>
  <c r="Z29" i="14"/>
  <c r="AD29" i="14" s="1"/>
  <c r="Z18" i="14"/>
  <c r="AD18" i="14" s="1"/>
  <c r="Z36" i="14"/>
  <c r="AD36" i="14" s="1"/>
  <c r="Z64" i="14"/>
  <c r="AD64" i="14" s="1"/>
  <c r="Z31" i="14"/>
  <c r="AD31" i="14" s="1"/>
  <c r="Z59" i="14"/>
  <c r="AD59" i="14" s="1"/>
  <c r="Z26" i="14"/>
  <c r="AD26" i="14" s="1"/>
  <c r="Z60" i="14"/>
  <c r="AD60" i="14" s="1"/>
  <c r="Z30" i="14"/>
  <c r="AD30" i="14" s="1"/>
  <c r="Z20" i="14"/>
  <c r="AD20" i="14" s="1"/>
  <c r="Z25" i="14"/>
  <c r="AD25" i="14" s="1"/>
  <c r="Z17" i="14"/>
  <c r="AD17" i="14" s="1"/>
  <c r="Z76" i="14"/>
  <c r="AD76" i="14" s="1"/>
  <c r="Z73" i="14"/>
  <c r="AD73" i="14" s="1"/>
  <c r="Z22" i="14"/>
  <c r="AD22" i="14" s="1"/>
  <c r="Z40" i="14"/>
  <c r="AD40" i="14" s="1"/>
  <c r="Z43" i="14"/>
  <c r="AD43" i="14" s="1"/>
  <c r="Z27" i="14"/>
  <c r="AD27" i="14" s="1"/>
  <c r="Z15" i="14"/>
  <c r="AD15" i="14" s="1"/>
  <c r="Z34" i="14"/>
  <c r="AD34" i="14" s="1"/>
  <c r="Z3" i="14"/>
  <c r="AD3" i="14" s="1"/>
  <c r="Z63" i="14"/>
  <c r="AD63" i="14" s="1"/>
  <c r="Z8" i="14"/>
  <c r="AD8" i="14" s="1"/>
  <c r="Z28" i="14"/>
  <c r="AD28" i="14" s="1"/>
  <c r="Z70" i="14"/>
  <c r="AD70" i="14" s="1"/>
  <c r="Z74" i="14"/>
  <c r="AD74" i="14" s="1"/>
  <c r="Z47" i="14"/>
  <c r="AD47" i="14" s="1"/>
  <c r="Z50" i="14"/>
  <c r="AD50" i="14" s="1"/>
  <c r="Z69" i="14"/>
  <c r="AD69" i="14" s="1"/>
  <c r="Z72" i="14"/>
  <c r="AD72" i="14" s="1"/>
  <c r="Z38" i="14"/>
  <c r="AD38" i="14" s="1"/>
  <c r="Z55" i="14"/>
  <c r="AD55" i="14" s="1"/>
  <c r="Z45" i="14"/>
  <c r="AD45" i="14" s="1"/>
  <c r="Z61" i="14"/>
  <c r="AD61" i="14" s="1"/>
  <c r="Z14" i="14"/>
  <c r="AD14" i="14" s="1"/>
  <c r="Z57" i="14"/>
  <c r="AD57" i="14" s="1"/>
  <c r="Z44" i="14"/>
  <c r="AD44" i="14" s="1"/>
  <c r="Z53" i="14"/>
  <c r="AD53" i="14" s="1"/>
  <c r="Z19" i="14"/>
  <c r="AD19" i="14" s="1"/>
  <c r="Z5" i="14"/>
  <c r="AD5" i="14" s="1"/>
  <c r="Z62" i="14"/>
  <c r="AD62" i="14" s="1"/>
  <c r="Z9" i="14"/>
  <c r="AD9" i="14" s="1"/>
  <c r="Z16" i="14"/>
  <c r="AD16" i="14" s="1"/>
  <c r="Z41" i="14"/>
  <c r="AD41" i="14" s="1"/>
  <c r="Z35" i="14"/>
  <c r="AD35" i="14" s="1"/>
  <c r="Z67" i="14"/>
  <c r="AD67" i="14" s="1"/>
  <c r="Z58" i="14"/>
  <c r="AD58" i="14" s="1"/>
  <c r="Z66" i="14"/>
  <c r="AD66" i="14" s="1"/>
  <c r="Z42" i="14"/>
  <c r="AD42" i="14" s="1"/>
  <c r="Z4" i="14"/>
  <c r="AD4" i="14" s="1"/>
  <c r="Z51" i="14"/>
  <c r="AD51" i="14" s="1"/>
  <c r="Z23" i="14"/>
  <c r="AD23" i="14" s="1"/>
  <c r="Z68" i="14"/>
  <c r="AD68" i="14" s="1"/>
  <c r="Z12" i="14"/>
  <c r="AD12" i="14" s="1"/>
  <c r="Z52" i="14"/>
  <c r="AD52" i="14" s="1"/>
  <c r="Z77" i="14"/>
  <c r="AD77" i="14" s="1"/>
  <c r="Z46" i="14"/>
  <c r="AD46" i="14" s="1"/>
  <c r="Z39" i="14"/>
  <c r="AD39" i="14" s="1"/>
  <c r="Z54" i="14"/>
  <c r="AD54" i="14" s="1"/>
  <c r="Z33" i="14"/>
  <c r="AD33" i="14" s="1"/>
  <c r="Z2" i="14"/>
  <c r="Z49" i="14"/>
  <c r="AD49" i="14" s="1"/>
  <c r="Z48" i="14"/>
  <c r="AD48" i="14" s="1"/>
  <c r="AC6" i="19"/>
  <c r="AC61" i="19"/>
  <c r="AC2" i="19"/>
  <c r="AC28" i="19"/>
  <c r="AC27" i="19"/>
  <c r="AC18" i="19"/>
  <c r="AC25" i="19"/>
  <c r="AC68" i="19"/>
  <c r="AC57" i="19"/>
  <c r="AC37" i="19"/>
  <c r="AC8" i="19"/>
  <c r="AC3" i="19"/>
  <c r="AC58" i="19"/>
  <c r="AC9" i="19"/>
  <c r="AC56" i="19"/>
  <c r="AC24" i="19"/>
  <c r="AC60" i="19"/>
  <c r="AC52" i="19"/>
  <c r="AC22" i="19"/>
  <c r="AC41" i="19"/>
  <c r="AC12" i="19"/>
  <c r="AC16" i="19"/>
  <c r="AC50" i="19"/>
  <c r="AC59" i="19"/>
  <c r="AC66" i="19"/>
  <c r="AC49" i="19"/>
  <c r="AC5" i="19"/>
  <c r="AC19" i="19"/>
  <c r="AC26" i="19"/>
  <c r="AC30" i="19"/>
  <c r="AC10" i="19"/>
  <c r="AC40" i="19"/>
  <c r="AC33" i="19"/>
  <c r="AC31" i="19"/>
  <c r="AC21" i="19"/>
  <c r="AC15" i="19"/>
  <c r="AC72" i="19"/>
  <c r="AC43" i="19"/>
  <c r="AC55" i="19"/>
  <c r="AC20" i="19"/>
  <c r="AC11" i="19"/>
  <c r="AC63" i="19"/>
  <c r="AC71" i="19"/>
  <c r="AC36" i="19"/>
  <c r="AC38" i="19"/>
  <c r="AC34" i="19"/>
  <c r="AC69" i="19"/>
  <c r="AC14" i="19"/>
  <c r="AC45" i="19"/>
  <c r="AC17" i="19"/>
  <c r="AC32" i="19"/>
  <c r="AC13" i="19"/>
  <c r="AC51" i="19"/>
  <c r="AC65" i="19"/>
  <c r="AC35" i="19"/>
  <c r="AC70" i="19"/>
  <c r="AC53" i="19"/>
  <c r="AC54" i="19"/>
  <c r="AC44" i="19"/>
  <c r="AC47" i="19"/>
  <c r="AC42" i="19"/>
  <c r="AC64" i="19"/>
  <c r="AC67" i="19"/>
  <c r="AC48" i="19"/>
  <c r="AC4" i="19"/>
  <c r="AC7" i="19"/>
  <c r="AC23" i="19"/>
  <c r="AC46" i="19"/>
  <c r="AC29" i="19"/>
  <c r="AC62" i="19"/>
  <c r="AC39" i="19"/>
  <c r="AH31" i="18"/>
  <c r="AM31" i="18" s="1"/>
  <c r="AH34" i="18"/>
  <c r="AM34" i="18" s="1"/>
  <c r="AH33" i="18"/>
  <c r="AM33" i="18" s="1"/>
  <c r="AH45" i="18"/>
  <c r="AM45" i="18" s="1"/>
  <c r="AH11" i="18"/>
  <c r="AM11" i="18" s="1"/>
  <c r="AH21" i="18"/>
  <c r="AM21" i="18" s="1"/>
  <c r="AH24" i="18"/>
  <c r="AM24" i="18" s="1"/>
  <c r="AH2" i="18"/>
  <c r="AH53" i="18"/>
  <c r="AM53" i="18" s="1"/>
  <c r="AH22" i="18"/>
  <c r="AM22" i="18" s="1"/>
  <c r="AH8" i="18"/>
  <c r="AM8" i="18" s="1"/>
  <c r="AH20" i="18"/>
  <c r="AM20" i="18" s="1"/>
  <c r="AH13" i="18"/>
  <c r="AM13" i="18" s="1"/>
  <c r="AH23" i="18"/>
  <c r="AM23" i="18" s="1"/>
  <c r="AH40" i="18"/>
  <c r="AM40" i="18" s="1"/>
  <c r="AH48" i="18"/>
  <c r="AM48" i="18" s="1"/>
  <c r="AH51" i="18"/>
  <c r="AM51" i="18" s="1"/>
  <c r="AH44" i="18"/>
  <c r="AM44" i="18" s="1"/>
  <c r="AH52" i="18"/>
  <c r="AM52" i="18" s="1"/>
  <c r="AH38" i="18"/>
  <c r="AM38" i="18" s="1"/>
  <c r="AH6" i="18"/>
  <c r="AM6" i="18" s="1"/>
  <c r="AH26" i="18"/>
  <c r="AM26" i="18" s="1"/>
  <c r="AH4" i="18"/>
  <c r="AM4" i="18" s="1"/>
  <c r="AH9" i="18"/>
  <c r="AM9" i="18" s="1"/>
  <c r="AH50" i="18"/>
  <c r="AM50" i="18" s="1"/>
  <c r="AH36" i="18"/>
  <c r="AM36" i="18" s="1"/>
  <c r="AH7" i="18"/>
  <c r="AM7" i="18" s="1"/>
  <c r="AH49" i="18"/>
  <c r="AM49" i="18" s="1"/>
  <c r="AH25" i="18"/>
  <c r="AM25" i="18" s="1"/>
  <c r="AH32" i="18"/>
  <c r="AM32" i="18" s="1"/>
  <c r="AH46" i="18"/>
  <c r="AM46" i="18" s="1"/>
  <c r="AH41" i="18"/>
  <c r="AM41" i="18" s="1"/>
  <c r="AH10" i="18"/>
  <c r="AM10" i="18" s="1"/>
  <c r="AH28" i="18"/>
  <c r="AM28" i="18" s="1"/>
  <c r="AH19" i="18"/>
  <c r="AM19" i="18" s="1"/>
  <c r="AH27" i="18"/>
  <c r="AM27" i="18" s="1"/>
  <c r="AH42" i="18"/>
  <c r="AM42" i="18" s="1"/>
  <c r="AH30" i="18"/>
  <c r="AM30" i="18" s="1"/>
  <c r="AH5" i="18"/>
  <c r="AM5" i="18" s="1"/>
  <c r="AH16" i="18"/>
  <c r="AM16" i="18" s="1"/>
  <c r="AH47" i="18"/>
  <c r="AM47" i="18" s="1"/>
  <c r="AH14" i="18"/>
  <c r="AM14" i="18" s="1"/>
  <c r="AH39" i="18"/>
  <c r="AM39" i="18" s="1"/>
  <c r="AH43" i="18"/>
  <c r="AM43" i="18" s="1"/>
  <c r="AH3" i="18"/>
  <c r="AM3" i="18" s="1"/>
  <c r="AH35" i="18"/>
  <c r="AM35" i="18" s="1"/>
  <c r="AH18" i="18"/>
  <c r="AM18" i="18" s="1"/>
  <c r="AH29" i="18"/>
  <c r="AM29" i="18" s="1"/>
  <c r="AH12" i="18"/>
  <c r="AM12" i="18" s="1"/>
  <c r="AH17" i="18"/>
  <c r="AM17" i="18" s="1"/>
  <c r="AH37" i="18"/>
  <c r="AM37" i="18" s="1"/>
  <c r="AH15" i="18"/>
  <c r="AM15" i="18" s="1"/>
  <c r="AG44" i="16"/>
  <c r="AL44" i="16" s="1"/>
  <c r="AG40" i="16"/>
  <c r="AL40" i="16" s="1"/>
  <c r="AG33" i="16"/>
  <c r="AL33" i="16" s="1"/>
  <c r="AG17" i="16"/>
  <c r="AL17" i="16" s="1"/>
  <c r="AG29" i="16"/>
  <c r="AL29" i="16" s="1"/>
  <c r="AG50" i="16"/>
  <c r="AL50" i="16" s="1"/>
  <c r="AG37" i="16"/>
  <c r="AL37" i="16" s="1"/>
  <c r="AG52" i="16"/>
  <c r="AL52" i="16" s="1"/>
  <c r="AG11" i="16"/>
  <c r="AL11" i="16" s="1"/>
  <c r="AG54" i="16"/>
  <c r="AL54" i="16" s="1"/>
  <c r="AG20" i="16"/>
  <c r="AL20" i="16" s="1"/>
  <c r="AG49" i="16"/>
  <c r="AL49" i="16" s="1"/>
  <c r="AG8" i="16"/>
  <c r="AL8" i="16" s="1"/>
  <c r="AG18" i="16"/>
  <c r="AL18" i="16" s="1"/>
  <c r="AG24" i="16"/>
  <c r="AL24" i="16" s="1"/>
  <c r="AG13" i="16"/>
  <c r="AL13" i="16" s="1"/>
  <c r="AG3" i="16"/>
  <c r="AL3" i="16" s="1"/>
  <c r="AG10" i="16"/>
  <c r="AL10" i="16" s="1"/>
  <c r="AG25" i="16"/>
  <c r="AL25" i="16" s="1"/>
  <c r="AG47" i="16"/>
  <c r="AL47" i="16" s="1"/>
  <c r="AG6" i="16"/>
  <c r="AL6" i="16" s="1"/>
  <c r="AG30" i="16"/>
  <c r="AL30" i="16" s="1"/>
  <c r="AG41" i="16"/>
  <c r="AL41" i="16" s="1"/>
  <c r="AG28" i="16"/>
  <c r="AL28" i="16" s="1"/>
  <c r="AG21" i="16"/>
  <c r="AL21" i="16" s="1"/>
  <c r="AG35" i="16"/>
  <c r="AL35" i="16" s="1"/>
  <c r="AG34" i="16"/>
  <c r="AL34" i="16" s="1"/>
  <c r="AG36" i="16"/>
  <c r="AL36" i="16" s="1"/>
  <c r="AG55" i="16"/>
  <c r="AL55" i="16" s="1"/>
  <c r="AG27" i="16"/>
  <c r="AL27" i="16" s="1"/>
  <c r="AG59" i="16"/>
  <c r="AL59" i="16" s="1"/>
  <c r="AG14" i="16"/>
  <c r="AL14" i="16" s="1"/>
  <c r="AG7" i="16"/>
  <c r="AL7" i="16" s="1"/>
  <c r="AG45" i="16"/>
  <c r="AL45" i="16" s="1"/>
  <c r="AG39" i="16"/>
  <c r="AL39" i="16" s="1"/>
  <c r="AG56" i="16"/>
  <c r="AL56" i="16" s="1"/>
  <c r="AG57" i="16"/>
  <c r="AL57" i="16" s="1"/>
  <c r="AG48" i="16"/>
  <c r="AL48" i="16" s="1"/>
  <c r="AG9" i="16"/>
  <c r="AL9" i="16" s="1"/>
  <c r="AG2" i="16"/>
  <c r="AG4" i="16"/>
  <c r="AL4" i="16" s="1"/>
  <c r="AG38" i="16"/>
  <c r="AL38" i="16" s="1"/>
  <c r="AG58" i="16"/>
  <c r="AL58" i="16" s="1"/>
  <c r="AG32" i="16"/>
  <c r="AL32" i="16" s="1"/>
  <c r="AG16" i="16"/>
  <c r="AL16" i="16" s="1"/>
  <c r="AG43" i="16"/>
  <c r="AL43" i="16" s="1"/>
  <c r="AG53" i="16"/>
  <c r="AL53" i="16" s="1"/>
  <c r="AG5" i="16"/>
  <c r="AL5" i="16" s="1"/>
  <c r="AG12" i="16"/>
  <c r="AL12" i="16" s="1"/>
  <c r="AG26" i="16"/>
  <c r="AL26" i="16" s="1"/>
  <c r="AG51" i="16"/>
  <c r="AL51" i="16" s="1"/>
  <c r="AG23" i="16"/>
  <c r="AL23" i="16" s="1"/>
  <c r="AG19" i="16"/>
  <c r="AL19" i="16" s="1"/>
  <c r="AG31" i="16"/>
  <c r="AL31" i="16" s="1"/>
  <c r="AG42" i="16"/>
  <c r="AL42" i="16" s="1"/>
  <c r="AG15" i="16"/>
  <c r="AL15" i="16" s="1"/>
  <c r="AG22" i="16"/>
  <c r="AL22" i="16" s="1"/>
  <c r="AG46" i="16"/>
  <c r="AL46" i="16" s="1"/>
  <c r="V19" i="15"/>
  <c r="Q19" i="15"/>
  <c r="P19" i="15"/>
  <c r="U19" i="15"/>
  <c r="P22" i="15"/>
  <c r="V22" i="15"/>
  <c r="U22" i="15"/>
  <c r="Q22" i="15"/>
  <c r="D99" i="1"/>
  <c r="H83" i="1"/>
  <c r="U15" i="15"/>
  <c r="P15" i="15"/>
  <c r="Q15" i="15"/>
  <c r="V15" i="15"/>
  <c r="I53" i="1"/>
  <c r="U8" i="15"/>
  <c r="Q8" i="15"/>
  <c r="P8" i="15"/>
  <c r="V8" i="15"/>
  <c r="V27" i="15"/>
  <c r="U27" i="15"/>
  <c r="P27" i="15"/>
  <c r="Q27" i="15"/>
  <c r="D98" i="1"/>
  <c r="Q7" i="15"/>
  <c r="V7" i="15"/>
  <c r="P7" i="15"/>
  <c r="U7" i="15"/>
  <c r="U14" i="15"/>
  <c r="P14" i="15"/>
  <c r="Q14" i="15"/>
  <c r="V14" i="15"/>
  <c r="U9" i="15"/>
  <c r="P9" i="15"/>
  <c r="Q9" i="15"/>
  <c r="V9" i="15"/>
  <c r="Q18" i="15"/>
  <c r="V18" i="15"/>
  <c r="P18" i="15"/>
  <c r="U18" i="15"/>
  <c r="H54" i="1"/>
  <c r="U23" i="15"/>
  <c r="V23" i="15"/>
  <c r="Q23" i="15"/>
  <c r="P23" i="15"/>
  <c r="Q24" i="15"/>
  <c r="P24" i="15"/>
  <c r="U24" i="15"/>
  <c r="V24" i="15"/>
  <c r="D24" i="1"/>
  <c r="Z3" i="15" a="1"/>
  <c r="P13" i="15"/>
  <c r="U13" i="15"/>
  <c r="Q13" i="15"/>
  <c r="V13" i="15"/>
  <c r="P11" i="15"/>
  <c r="Q11" i="15"/>
  <c r="V11" i="15"/>
  <c r="U11" i="15"/>
  <c r="Y3" i="15" a="1"/>
  <c r="U5" i="15"/>
  <c r="V5" i="15"/>
  <c r="P5" i="15"/>
  <c r="Q5" i="15"/>
  <c r="U10" i="15"/>
  <c r="V10" i="15"/>
  <c r="Q10" i="15"/>
  <c r="P10" i="15"/>
  <c r="U25" i="15"/>
  <c r="V25" i="15"/>
  <c r="Q25" i="15"/>
  <c r="P25" i="15"/>
  <c r="V16" i="15"/>
  <c r="P16" i="15"/>
  <c r="Q16" i="15"/>
  <c r="U16" i="15"/>
  <c r="V26" i="15"/>
  <c r="Q26" i="15"/>
  <c r="U26" i="15"/>
  <c r="P26" i="15"/>
  <c r="U20" i="15"/>
  <c r="Q20" i="15"/>
  <c r="P20" i="15"/>
  <c r="V20" i="15"/>
  <c r="U6" i="15"/>
  <c r="V6" i="15"/>
  <c r="Q6" i="15"/>
  <c r="P6" i="15"/>
  <c r="P17" i="15"/>
  <c r="Q17" i="15"/>
  <c r="V17" i="15"/>
  <c r="U17" i="15"/>
  <c r="Q12" i="15"/>
  <c r="U12" i="15"/>
  <c r="V12" i="15"/>
  <c r="P12" i="15"/>
  <c r="V21" i="15"/>
  <c r="Q21" i="15"/>
  <c r="P21" i="15"/>
  <c r="U21" i="15"/>
  <c r="Y40" i="15" l="1"/>
  <c r="Y13" i="15"/>
  <c r="Y48" i="15"/>
  <c r="Y54" i="15"/>
  <c r="Y11" i="15"/>
  <c r="Y63" i="15"/>
  <c r="Y18" i="15"/>
  <c r="Y16" i="15"/>
  <c r="Y41" i="15"/>
  <c r="Y38" i="15"/>
  <c r="Y17" i="15"/>
  <c r="Y14" i="15"/>
  <c r="Y64" i="15"/>
  <c r="Y62" i="15"/>
  <c r="Y28" i="15"/>
  <c r="Y9" i="15"/>
  <c r="Y26" i="15"/>
  <c r="Y37" i="15"/>
  <c r="Y23" i="15"/>
  <c r="Y7" i="15"/>
  <c r="Y42" i="15"/>
  <c r="Y65" i="15"/>
  <c r="Y55" i="15"/>
  <c r="Y30" i="15"/>
  <c r="Y36" i="15"/>
  <c r="Y8" i="15"/>
  <c r="Y59" i="15"/>
  <c r="Y4" i="15"/>
  <c r="Y61" i="15"/>
  <c r="Y19" i="15"/>
  <c r="Y51" i="15"/>
  <c r="Y29" i="15"/>
  <c r="Y56" i="15"/>
  <c r="Y34" i="15"/>
  <c r="Y46" i="15"/>
  <c r="Y45" i="15"/>
  <c r="Y60" i="15"/>
  <c r="Y12" i="15"/>
  <c r="Y10" i="15"/>
  <c r="Y53" i="15"/>
  <c r="Y49" i="15"/>
  <c r="Y21" i="15"/>
  <c r="Y20" i="15"/>
  <c r="Y25" i="15"/>
  <c r="Y6" i="15"/>
  <c r="Y35" i="15"/>
  <c r="Y58" i="15"/>
  <c r="Y57" i="15"/>
  <c r="Y22" i="15"/>
  <c r="Y44" i="15"/>
  <c r="Y5" i="15"/>
  <c r="Y47" i="15"/>
  <c r="Y50" i="15"/>
  <c r="Y3" i="15"/>
  <c r="Y39" i="15"/>
  <c r="Y27" i="15"/>
  <c r="Y31" i="15"/>
  <c r="Y52" i="15"/>
  <c r="Y43" i="15"/>
  <c r="Y33" i="15"/>
  <c r="Y32" i="15"/>
  <c r="Y15" i="15"/>
  <c r="Y24" i="15"/>
  <c r="Z42" i="15"/>
  <c r="Z63" i="15"/>
  <c r="Z65" i="15"/>
  <c r="Z6" i="15"/>
  <c r="Z24" i="15"/>
  <c r="Z45" i="15"/>
  <c r="Z8" i="15"/>
  <c r="Z11" i="15"/>
  <c r="Z20" i="15"/>
  <c r="Z22" i="15"/>
  <c r="Z4" i="15"/>
  <c r="Z59" i="15"/>
  <c r="Z64" i="15"/>
  <c r="Z57" i="15"/>
  <c r="Z53" i="15"/>
  <c r="Z3" i="15"/>
  <c r="Z36" i="15"/>
  <c r="Z7" i="15"/>
  <c r="Z28" i="15"/>
  <c r="Z18" i="15"/>
  <c r="Z32" i="15"/>
  <c r="Z14" i="15"/>
  <c r="Z58" i="15"/>
  <c r="Z61" i="15"/>
  <c r="Z19" i="15"/>
  <c r="Z34" i="15"/>
  <c r="Z29" i="15"/>
  <c r="Z12" i="15"/>
  <c r="Z62" i="15"/>
  <c r="Z48" i="15"/>
  <c r="Z13" i="15"/>
  <c r="Z43" i="15"/>
  <c r="Z46" i="15"/>
  <c r="Z16" i="15"/>
  <c r="Z25" i="15"/>
  <c r="Z54" i="15"/>
  <c r="Z30" i="15"/>
  <c r="Z47" i="15"/>
  <c r="Z55" i="15"/>
  <c r="Z41" i="15"/>
  <c r="Z52" i="15"/>
  <c r="Z21" i="15"/>
  <c r="Z33" i="15"/>
  <c r="Z27" i="15"/>
  <c r="Z15" i="15"/>
  <c r="Z5" i="15"/>
  <c r="Z60" i="15"/>
  <c r="Z50" i="15"/>
  <c r="Z9" i="15"/>
  <c r="Z38" i="15"/>
  <c r="Z26" i="15"/>
  <c r="Z51" i="15"/>
  <c r="Z44" i="15"/>
  <c r="Z35" i="15"/>
  <c r="Z10" i="15"/>
  <c r="Z37" i="15"/>
  <c r="Z17" i="15"/>
  <c r="Z49" i="15"/>
  <c r="Z23" i="15"/>
  <c r="Z40" i="15"/>
  <c r="Z56" i="15"/>
  <c r="Z31" i="15"/>
  <c r="Z39" i="15"/>
  <c r="AB40" i="15"/>
  <c r="AD40" i="15"/>
  <c r="AE40" i="15"/>
  <c r="AA40" i="15"/>
  <c r="AC40" i="15"/>
  <c r="AE41" i="15"/>
  <c r="AA41" i="15"/>
  <c r="AD41" i="15"/>
  <c r="AC41" i="15"/>
  <c r="AB41" i="15"/>
  <c r="AD26" i="15"/>
  <c r="AA26" i="15"/>
  <c r="AC26" i="15"/>
  <c r="AB26" i="15"/>
  <c r="AE26" i="15"/>
  <c r="AA36" i="15"/>
  <c r="AD36" i="15"/>
  <c r="AC36" i="15"/>
  <c r="AE36" i="15"/>
  <c r="AB36" i="15"/>
  <c r="AD56" i="15"/>
  <c r="AB56" i="15"/>
  <c r="AE56" i="15"/>
  <c r="AC56" i="15"/>
  <c r="AA56" i="15"/>
  <c r="AC49" i="15"/>
  <c r="AB49" i="15"/>
  <c r="AD49" i="15"/>
  <c r="AE49" i="15"/>
  <c r="AA49" i="15"/>
  <c r="AB22" i="15"/>
  <c r="AA22" i="15"/>
  <c r="AC22" i="15"/>
  <c r="AD22" i="15"/>
  <c r="AE22" i="15"/>
  <c r="AC31" i="15"/>
  <c r="AD31" i="15"/>
  <c r="AB31" i="15"/>
  <c r="AA31" i="15"/>
  <c r="AE31" i="15"/>
  <c r="AC13" i="15"/>
  <c r="AE13" i="15"/>
  <c r="AB13" i="15"/>
  <c r="AD13" i="15"/>
  <c r="AA13" i="15"/>
  <c r="AD38" i="15"/>
  <c r="AB38" i="15"/>
  <c r="AE38" i="15"/>
  <c r="AC38" i="15"/>
  <c r="AA38" i="15"/>
  <c r="AB37" i="15"/>
  <c r="AD37" i="15"/>
  <c r="AA37" i="15"/>
  <c r="AC37" i="15"/>
  <c r="AE37" i="15"/>
  <c r="AB8" i="15"/>
  <c r="AD8" i="15"/>
  <c r="AE8" i="15"/>
  <c r="AA8" i="15"/>
  <c r="AC8" i="15"/>
  <c r="AC34" i="15"/>
  <c r="AB34" i="15"/>
  <c r="AA34" i="15"/>
  <c r="AD34" i="15"/>
  <c r="AE34" i="15"/>
  <c r="AE21" i="15"/>
  <c r="AD21" i="15"/>
  <c r="AB21" i="15"/>
  <c r="AC21" i="15"/>
  <c r="AA21" i="15"/>
  <c r="AC44" i="15"/>
  <c r="AA44" i="15"/>
  <c r="AD44" i="15"/>
  <c r="AB44" i="15"/>
  <c r="AE44" i="15"/>
  <c r="AB52" i="15"/>
  <c r="AA52" i="15"/>
  <c r="AC52" i="15"/>
  <c r="AE52" i="15"/>
  <c r="AD52" i="15"/>
  <c r="AB48" i="15"/>
  <c r="AE48" i="15"/>
  <c r="AD48" i="15"/>
  <c r="AA48" i="15"/>
  <c r="AC48" i="15"/>
  <c r="AE17" i="15"/>
  <c r="AC17" i="15"/>
  <c r="AB17" i="15"/>
  <c r="AA17" i="15"/>
  <c r="AD17" i="15"/>
  <c r="AE23" i="15"/>
  <c r="AA23" i="15"/>
  <c r="AD23" i="15"/>
  <c r="AB23" i="15"/>
  <c r="AC23" i="15"/>
  <c r="AB59" i="15"/>
  <c r="AE59" i="15"/>
  <c r="AC59" i="15"/>
  <c r="AA59" i="15"/>
  <c r="AD59" i="15"/>
  <c r="AD46" i="15"/>
  <c r="AB46" i="15"/>
  <c r="AE46" i="15"/>
  <c r="AA46" i="15"/>
  <c r="AC46" i="15"/>
  <c r="AB20" i="15"/>
  <c r="AC20" i="15"/>
  <c r="AE20" i="15"/>
  <c r="AD20" i="15"/>
  <c r="AA20" i="15"/>
  <c r="AE5" i="15"/>
  <c r="AC5" i="15"/>
  <c r="AB5" i="15"/>
  <c r="AA5" i="15"/>
  <c r="AD5" i="15"/>
  <c r="AD43" i="15"/>
  <c r="AA43" i="15"/>
  <c r="AB43" i="15"/>
  <c r="AC43" i="15"/>
  <c r="AE43" i="15"/>
  <c r="AC54" i="15"/>
  <c r="AD54" i="15"/>
  <c r="AE54" i="15"/>
  <c r="AB54" i="15"/>
  <c r="AA54" i="15"/>
  <c r="AC14" i="15"/>
  <c r="AB14" i="15"/>
  <c r="AD14" i="15"/>
  <c r="AA14" i="15"/>
  <c r="AE14" i="15"/>
  <c r="AA7" i="15"/>
  <c r="AB7" i="15"/>
  <c r="AE7" i="15"/>
  <c r="AC7" i="15"/>
  <c r="AD7" i="15"/>
  <c r="AA4" i="15"/>
  <c r="AD4" i="15"/>
  <c r="AE4" i="15"/>
  <c r="AB4" i="15"/>
  <c r="AC4" i="15"/>
  <c r="AC45" i="15"/>
  <c r="AD45" i="15"/>
  <c r="AE45" i="15"/>
  <c r="AB45" i="15"/>
  <c r="AA45" i="15"/>
  <c r="AA25" i="15"/>
  <c r="AC25" i="15"/>
  <c r="AD25" i="15"/>
  <c r="AB25" i="15"/>
  <c r="AE25" i="15"/>
  <c r="AC47" i="15"/>
  <c r="AB47" i="15"/>
  <c r="AE47" i="15"/>
  <c r="AD47" i="15"/>
  <c r="AA47" i="15"/>
  <c r="AD33" i="15"/>
  <c r="AA33" i="15"/>
  <c r="AC33" i="15"/>
  <c r="AE33" i="15"/>
  <c r="AB33" i="15"/>
  <c r="AA11" i="15"/>
  <c r="AE11" i="15"/>
  <c r="AB11" i="15"/>
  <c r="AC11" i="15"/>
  <c r="AD11" i="15"/>
  <c r="AE64" i="15"/>
  <c r="AB64" i="15"/>
  <c r="AD64" i="15"/>
  <c r="AC64" i="15"/>
  <c r="AA64" i="15"/>
  <c r="AE42" i="15"/>
  <c r="AD42" i="15"/>
  <c r="AA42" i="15"/>
  <c r="AB42" i="15"/>
  <c r="AC42" i="15"/>
  <c r="AA61" i="15"/>
  <c r="AE61" i="15"/>
  <c r="AC61" i="15"/>
  <c r="AD61" i="15"/>
  <c r="AB61" i="15"/>
  <c r="AA60" i="15"/>
  <c r="AC60" i="15"/>
  <c r="AE60" i="15"/>
  <c r="AB60" i="15"/>
  <c r="AD60" i="15"/>
  <c r="AA6" i="15"/>
  <c r="AE6" i="15"/>
  <c r="AC6" i="15"/>
  <c r="AD6" i="15"/>
  <c r="AB6" i="15"/>
  <c r="AE50" i="15"/>
  <c r="AD50" i="15"/>
  <c r="AC50" i="15"/>
  <c r="AA50" i="15"/>
  <c r="AB50" i="15"/>
  <c r="AE32" i="15"/>
  <c r="AC32" i="15"/>
  <c r="AA32" i="15"/>
  <c r="AD32" i="15"/>
  <c r="AB32" i="15"/>
  <c r="AA63" i="15"/>
  <c r="AB63" i="15"/>
  <c r="AD63" i="15"/>
  <c r="AC63" i="15"/>
  <c r="AE63" i="15"/>
  <c r="AB62" i="15"/>
  <c r="AA62" i="15"/>
  <c r="AE62" i="15"/>
  <c r="AD62" i="15"/>
  <c r="AC62" i="15"/>
  <c r="AE65" i="15"/>
  <c r="AA65" i="15"/>
  <c r="AD65" i="15"/>
  <c r="AB65" i="15"/>
  <c r="AC65" i="15"/>
  <c r="AC19" i="15"/>
  <c r="AB19" i="15"/>
  <c r="AE19" i="15"/>
  <c r="AA19" i="15"/>
  <c r="AD19" i="15"/>
  <c r="AD12" i="15"/>
  <c r="AA12" i="15"/>
  <c r="AC12" i="15"/>
  <c r="AB12" i="15"/>
  <c r="AE12" i="15"/>
  <c r="AB35" i="15"/>
  <c r="AD35" i="15"/>
  <c r="AC35" i="15"/>
  <c r="AE35" i="15"/>
  <c r="AA35" i="15"/>
  <c r="AD3" i="15"/>
  <c r="AB3" i="15"/>
  <c r="AC3" i="15"/>
  <c r="AE3" i="15"/>
  <c r="AA3" i="15"/>
  <c r="AD15" i="15"/>
  <c r="AB15" i="15"/>
  <c r="AA15" i="15"/>
  <c r="AE15" i="15"/>
  <c r="AC15" i="15"/>
  <c r="AE18" i="15"/>
  <c r="AA18" i="15"/>
  <c r="AB18" i="15"/>
  <c r="AD18" i="15"/>
  <c r="AC18" i="15"/>
  <c r="AB28" i="15"/>
  <c r="AA28" i="15"/>
  <c r="AE28" i="15"/>
  <c r="AD28" i="15"/>
  <c r="AC28" i="15"/>
  <c r="AB55" i="15"/>
  <c r="AD55" i="15"/>
  <c r="AE55" i="15"/>
  <c r="AA55" i="15"/>
  <c r="AC55" i="15"/>
  <c r="AA51" i="15"/>
  <c r="AE51" i="15"/>
  <c r="AC51" i="15"/>
  <c r="AB51" i="15"/>
  <c r="AD51" i="15"/>
  <c r="AC10" i="15"/>
  <c r="AB10" i="15"/>
  <c r="AD10" i="15"/>
  <c r="AE10" i="15"/>
  <c r="AA10" i="15"/>
  <c r="AE58" i="15"/>
  <c r="AC58" i="15"/>
  <c r="AD58" i="15"/>
  <c r="AA58" i="15"/>
  <c r="AB58" i="15"/>
  <c r="AD39" i="15"/>
  <c r="AE39" i="15"/>
  <c r="AB39" i="15"/>
  <c r="AA39" i="15"/>
  <c r="AC39" i="15"/>
  <c r="AD24" i="15"/>
  <c r="AE24" i="15"/>
  <c r="AA24" i="15"/>
  <c r="AB24" i="15"/>
  <c r="AC24" i="15"/>
  <c r="I54" i="1"/>
  <c r="AA16" i="15"/>
  <c r="AD16" i="15"/>
  <c r="AB16" i="15"/>
  <c r="AE16" i="15"/>
  <c r="AC16" i="15"/>
  <c r="AC9" i="15"/>
  <c r="AE9" i="15"/>
  <c r="AA9" i="15"/>
  <c r="AB9" i="15"/>
  <c r="AD9" i="15"/>
  <c r="AB30" i="15"/>
  <c r="AA30" i="15"/>
  <c r="AE30" i="15"/>
  <c r="AC30" i="15"/>
  <c r="AD30" i="15"/>
  <c r="AC29" i="15"/>
  <c r="AE29" i="15"/>
  <c r="AD29" i="15"/>
  <c r="AB29" i="15"/>
  <c r="AA29" i="15"/>
  <c r="AE53" i="15"/>
  <c r="AC53" i="15"/>
  <c r="AD53" i="15"/>
  <c r="AB53" i="15"/>
  <c r="AA53" i="15"/>
  <c r="AE57" i="15"/>
  <c r="AB57" i="15"/>
  <c r="AC57" i="15"/>
  <c r="AD57" i="15"/>
  <c r="AA57" i="15"/>
  <c r="AB27" i="15"/>
  <c r="AD27" i="15"/>
  <c r="AC27" i="15"/>
  <c r="AE27" i="15"/>
  <c r="AA27" i="15"/>
  <c r="I83" i="1"/>
  <c r="X27" i="15" l="1"/>
  <c r="X57" i="15"/>
  <c r="X53" i="15"/>
  <c r="X29" i="15"/>
  <c r="X30" i="15"/>
  <c r="X9" i="15"/>
  <c r="X16" i="15"/>
  <c r="X24" i="15"/>
  <c r="X39" i="15"/>
  <c r="X58" i="15"/>
  <c r="X10" i="15"/>
  <c r="X51" i="15"/>
  <c r="X55" i="15"/>
  <c r="X28" i="15"/>
  <c r="X18" i="15"/>
  <c r="X15" i="15"/>
  <c r="X3" i="15"/>
  <c r="X35" i="15"/>
  <c r="X12" i="15"/>
  <c r="X19" i="15"/>
  <c r="X65" i="15"/>
  <c r="X62" i="15"/>
  <c r="X63" i="15"/>
  <c r="X32" i="15"/>
  <c r="X50" i="15"/>
  <c r="X6" i="15"/>
  <c r="X60" i="15"/>
  <c r="X61" i="15"/>
  <c r="X42" i="15"/>
  <c r="X64" i="15"/>
  <c r="X11" i="15"/>
  <c r="X33" i="15"/>
  <c r="X47" i="15"/>
  <c r="X25" i="15"/>
  <c r="X45" i="15"/>
  <c r="X4" i="15"/>
  <c r="X7" i="15"/>
  <c r="X14" i="15"/>
  <c r="X54" i="15"/>
  <c r="X43" i="15"/>
  <c r="X5" i="15"/>
  <c r="X20" i="15"/>
  <c r="X46" i="15"/>
  <c r="X59" i="15"/>
  <c r="X23" i="15"/>
  <c r="X17" i="15"/>
  <c r="X48" i="15"/>
  <c r="X52" i="15"/>
  <c r="X44" i="15"/>
  <c r="X21" i="15"/>
  <c r="X34" i="15"/>
  <c r="X8" i="15"/>
  <c r="X37" i="15"/>
  <c r="X38" i="15"/>
  <c r="X13" i="15"/>
  <c r="X31" i="15"/>
  <c r="X22" i="15"/>
  <c r="X49" i="15"/>
  <c r="X56" i="15"/>
  <c r="X36" i="15"/>
  <c r="X26" i="15"/>
  <c r="X41" i="15"/>
  <c r="X40" i="15"/>
  <c r="I30" i="1"/>
  <c r="AG2" i="15" a="1"/>
  <c r="H38" i="1"/>
  <c r="I40" i="1"/>
  <c r="H39" i="1"/>
  <c r="D30" i="1"/>
  <c r="D40" i="1"/>
  <c r="C39" i="1"/>
  <c r="D39" i="1" s="1"/>
  <c r="AF2" i="15" a="1"/>
  <c r="C38" i="1"/>
  <c r="D38" i="1" s="1"/>
  <c r="I31" i="1"/>
  <c r="D31" i="1"/>
  <c r="AG60" i="15" l="1"/>
  <c r="AL60" i="15" s="1"/>
  <c r="AG28" i="15"/>
  <c r="AL28" i="15" s="1"/>
  <c r="AG48" i="15"/>
  <c r="AL48" i="15" s="1"/>
  <c r="AG12" i="15"/>
  <c r="AL12" i="15" s="1"/>
  <c r="AG38" i="15"/>
  <c r="AL38" i="15" s="1"/>
  <c r="AG5" i="15"/>
  <c r="AL5" i="15" s="1"/>
  <c r="AG15" i="15"/>
  <c r="AL15" i="15" s="1"/>
  <c r="AG35" i="15"/>
  <c r="AL35" i="15" s="1"/>
  <c r="AG19" i="15"/>
  <c r="AL19" i="15" s="1"/>
  <c r="AG6" i="15"/>
  <c r="AL6" i="15" s="1"/>
  <c r="AG33" i="15"/>
  <c r="AL33" i="15" s="1"/>
  <c r="AG65" i="15"/>
  <c r="AL65" i="15" s="1"/>
  <c r="AG22" i="15"/>
  <c r="AL22" i="15" s="1"/>
  <c r="AG27" i="15"/>
  <c r="AL27" i="15" s="1"/>
  <c r="AG17" i="15"/>
  <c r="AL17" i="15" s="1"/>
  <c r="AG50" i="15"/>
  <c r="AL50" i="15" s="1"/>
  <c r="AG20" i="15"/>
  <c r="AL20" i="15" s="1"/>
  <c r="AG43" i="15"/>
  <c r="AL43" i="15" s="1"/>
  <c r="AG55" i="15"/>
  <c r="AL55" i="15" s="1"/>
  <c r="AG4" i="15"/>
  <c r="AL4" i="15" s="1"/>
  <c r="AG11" i="15"/>
  <c r="AL11" i="15" s="1"/>
  <c r="AG61" i="15"/>
  <c r="AL61" i="15" s="1"/>
  <c r="AG59" i="15"/>
  <c r="AL59" i="15" s="1"/>
  <c r="AG54" i="15"/>
  <c r="AL54" i="15" s="1"/>
  <c r="AG14" i="15"/>
  <c r="AL14" i="15" s="1"/>
  <c r="AG63" i="15"/>
  <c r="AL63" i="15" s="1"/>
  <c r="AG13" i="15"/>
  <c r="AL13" i="15" s="1"/>
  <c r="AG30" i="15"/>
  <c r="AL30" i="15" s="1"/>
  <c r="AG31" i="15"/>
  <c r="AL31" i="15" s="1"/>
  <c r="AG56" i="15"/>
  <c r="AL56" i="15" s="1"/>
  <c r="AG29" i="15"/>
  <c r="AL29" i="15" s="1"/>
  <c r="AG21" i="15"/>
  <c r="AL21" i="15" s="1"/>
  <c r="AG23" i="15"/>
  <c r="AL23" i="15" s="1"/>
  <c r="AG58" i="15"/>
  <c r="AL58" i="15" s="1"/>
  <c r="AG26" i="15"/>
  <c r="AL26" i="15" s="1"/>
  <c r="AG44" i="15"/>
  <c r="AL44" i="15" s="1"/>
  <c r="AG45" i="15"/>
  <c r="AL45" i="15" s="1"/>
  <c r="AG62" i="15"/>
  <c r="AL62" i="15" s="1"/>
  <c r="AG3" i="15"/>
  <c r="AL3" i="15" s="1"/>
  <c r="AG64" i="15"/>
  <c r="AL64" i="15" s="1"/>
  <c r="AG16" i="15"/>
  <c r="AL16" i="15" s="1"/>
  <c r="AG39" i="15"/>
  <c r="AL39" i="15" s="1"/>
  <c r="AG47" i="15"/>
  <c r="AL47" i="15" s="1"/>
  <c r="AG49" i="15"/>
  <c r="AL49" i="15" s="1"/>
  <c r="AG42" i="15"/>
  <c r="AL42" i="15" s="1"/>
  <c r="AG36" i="15"/>
  <c r="AL36" i="15" s="1"/>
  <c r="AG18" i="15"/>
  <c r="AL18" i="15" s="1"/>
  <c r="AG7" i="15"/>
  <c r="AL7" i="15" s="1"/>
  <c r="AG57" i="15"/>
  <c r="AL57" i="15" s="1"/>
  <c r="AG10" i="15"/>
  <c r="AL10" i="15" s="1"/>
  <c r="AG51" i="15"/>
  <c r="AL51" i="15" s="1"/>
  <c r="AG40" i="15"/>
  <c r="AL40" i="15" s="1"/>
  <c r="AG24" i="15"/>
  <c r="AL24" i="15" s="1"/>
  <c r="AG32" i="15"/>
  <c r="AL32" i="15" s="1"/>
  <c r="AG52" i="15"/>
  <c r="AL52" i="15" s="1"/>
  <c r="AG2" i="15"/>
  <c r="AG41" i="15"/>
  <c r="AL41" i="15" s="1"/>
  <c r="AG53" i="15"/>
  <c r="AL53" i="15" s="1"/>
  <c r="AG34" i="15"/>
  <c r="AL34" i="15" s="1"/>
  <c r="AG8" i="15"/>
  <c r="AL8" i="15" s="1"/>
  <c r="AG25" i="15"/>
  <c r="AL25" i="15" s="1"/>
  <c r="AG9" i="15"/>
  <c r="AL9" i="15" s="1"/>
  <c r="AG37" i="15"/>
  <c r="AL37" i="15" s="1"/>
  <c r="AG46" i="15"/>
  <c r="AL46" i="15" s="1"/>
  <c r="AF61" i="15"/>
  <c r="AJ61" i="15" s="1"/>
  <c r="AF49" i="15"/>
  <c r="AJ49" i="15" s="1"/>
  <c r="AF6" i="15"/>
  <c r="AJ6" i="15" s="1"/>
  <c r="AF50" i="15"/>
  <c r="AJ50" i="15" s="1"/>
  <c r="AF24" i="15"/>
  <c r="AJ24" i="15" s="1"/>
  <c r="AF48" i="15"/>
  <c r="AJ48" i="15" s="1"/>
  <c r="AF5" i="15"/>
  <c r="AJ5" i="15" s="1"/>
  <c r="AF34" i="15"/>
  <c r="AJ34" i="15" s="1"/>
  <c r="AF7" i="15"/>
  <c r="AJ7" i="15" s="1"/>
  <c r="AF59" i="15"/>
  <c r="AJ59" i="15" s="1"/>
  <c r="AF33" i="15"/>
  <c r="AJ33" i="15" s="1"/>
  <c r="AF62" i="15"/>
  <c r="AJ62" i="15" s="1"/>
  <c r="AF54" i="15"/>
  <c r="AJ54" i="15" s="1"/>
  <c r="AF3" i="15"/>
  <c r="AJ3" i="15" s="1"/>
  <c r="AF4" i="15"/>
  <c r="AJ4" i="15" s="1"/>
  <c r="AF15" i="15"/>
  <c r="AJ15" i="15" s="1"/>
  <c r="AF23" i="15"/>
  <c r="AJ23" i="15" s="1"/>
  <c r="AF53" i="15"/>
  <c r="AJ53" i="15" s="1"/>
  <c r="AF38" i="15"/>
  <c r="AJ38" i="15" s="1"/>
  <c r="AF36" i="15"/>
  <c r="AJ36" i="15" s="1"/>
  <c r="AF60" i="15"/>
  <c r="AJ60" i="15" s="1"/>
  <c r="AF42" i="15"/>
  <c r="AJ42" i="15" s="1"/>
  <c r="AF52" i="15"/>
  <c r="AJ52" i="15" s="1"/>
  <c r="AF25" i="15"/>
  <c r="AJ25" i="15" s="1"/>
  <c r="AF46" i="15"/>
  <c r="AJ46" i="15" s="1"/>
  <c r="AF44" i="15"/>
  <c r="AJ44" i="15" s="1"/>
  <c r="AF58" i="15"/>
  <c r="AJ58" i="15" s="1"/>
  <c r="AF31" i="15"/>
  <c r="AJ31" i="15" s="1"/>
  <c r="AF11" i="15"/>
  <c r="AJ11" i="15" s="1"/>
  <c r="AF30" i="15"/>
  <c r="AJ30" i="15" s="1"/>
  <c r="AF18" i="15"/>
  <c r="AJ18" i="15" s="1"/>
  <c r="AF57" i="15"/>
  <c r="AJ57" i="15" s="1"/>
  <c r="AF40" i="15"/>
  <c r="AJ40" i="15" s="1"/>
  <c r="AF63" i="15"/>
  <c r="AJ63" i="15" s="1"/>
  <c r="AF13" i="15"/>
  <c r="AJ13" i="15" s="1"/>
  <c r="AF17" i="15"/>
  <c r="AJ17" i="15" s="1"/>
  <c r="AF55" i="15"/>
  <c r="AJ55" i="15" s="1"/>
  <c r="AF37" i="15"/>
  <c r="AJ37" i="15" s="1"/>
  <c r="AF35" i="15"/>
  <c r="AJ35" i="15" s="1"/>
  <c r="AF8" i="15"/>
  <c r="AJ8" i="15" s="1"/>
  <c r="AF21" i="15"/>
  <c r="AJ21" i="15" s="1"/>
  <c r="AF16" i="15"/>
  <c r="AJ16" i="15" s="1"/>
  <c r="AF28" i="15"/>
  <c r="AJ28" i="15" s="1"/>
  <c r="AF19" i="15"/>
  <c r="AJ19" i="15" s="1"/>
  <c r="AF20" i="15"/>
  <c r="AJ20" i="15" s="1"/>
  <c r="AF27" i="15"/>
  <c r="AJ27" i="15" s="1"/>
  <c r="AF56" i="15"/>
  <c r="AJ56" i="15" s="1"/>
  <c r="AF51" i="15"/>
  <c r="AJ51" i="15" s="1"/>
  <c r="AF39" i="15"/>
  <c r="AJ39" i="15" s="1"/>
  <c r="AF45" i="15"/>
  <c r="AJ45" i="15" s="1"/>
  <c r="AF43" i="15"/>
  <c r="AJ43" i="15" s="1"/>
  <c r="AF9" i="15"/>
  <c r="AJ9" i="15" s="1"/>
  <c r="AF12" i="15"/>
  <c r="AJ12" i="15" s="1"/>
  <c r="AF26" i="15"/>
  <c r="AJ26" i="15" s="1"/>
  <c r="AF47" i="15"/>
  <c r="AJ47" i="15" s="1"/>
  <c r="AF2" i="15"/>
  <c r="AF32" i="15"/>
  <c r="AJ32" i="15" s="1"/>
  <c r="AF10" i="15"/>
  <c r="AJ10" i="15" s="1"/>
  <c r="AF22" i="15"/>
  <c r="AJ22" i="15" s="1"/>
  <c r="AF65" i="15"/>
  <c r="AJ65" i="15" s="1"/>
  <c r="AF64" i="15"/>
  <c r="AJ64" i="15" s="1"/>
  <c r="AF41" i="15"/>
  <c r="AJ41" i="15" s="1"/>
  <c r="AF29" i="15"/>
  <c r="AJ29" i="15" s="1"/>
  <c r="AF14" i="15"/>
  <c r="AJ14" i="15" s="1"/>
  <c r="I39" i="1"/>
  <c r="I38" i="1"/>
</calcChain>
</file>

<file path=xl/comments1.xml><?xml version="1.0" encoding="utf-8"?>
<comments xmlns="http://schemas.openxmlformats.org/spreadsheetml/2006/main">
  <authors>
    <author>Ferdinando Ametrano</author>
  </authors>
  <commentList>
    <comment ref="D4" authorId="0">
      <text>
        <r>
          <rPr>
            <sz val="8"/>
            <color indexed="81"/>
            <rFont val="Tahoma"/>
            <family val="2"/>
          </rPr>
          <t>TRUE if the object must be permanent (i.e. resistant to garbage collection). Default is FALSE.</t>
        </r>
      </text>
    </comment>
    <comment ref="D1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1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2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2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3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3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3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3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4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4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5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5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62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63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65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66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  <comment ref="D77" authorId="0">
      <text>
        <r>
          <rPr>
            <sz val="8"/>
            <color indexed="81"/>
            <rFont val="Tahoma"/>
            <family val="2"/>
          </rPr>
          <t>id of the object to be created. If missing a unique id will be automatically assigned.</t>
        </r>
      </text>
    </comment>
    <comment ref="D78" authorId="0">
      <text>
        <r>
          <rPr>
            <sz val="8"/>
            <color indexed="81"/>
            <rFont val="Tahoma"/>
            <family val="2"/>
          </rPr>
          <t>number of days to advance from EvaluationDate (usually zero or two): it fixes the date at which the discount factor = 1.0. If omitted, default = 0 is used.</t>
        </r>
      </text>
    </comment>
    <comment ref="D80" authorId="0">
      <text>
        <r>
          <rPr>
            <sz val="8"/>
            <color indexed="81"/>
            <rFont val="Tahoma"/>
            <family val="2"/>
          </rPr>
          <t>Discount, ZeroRate, or ForwardRate. If omitted, default = Discount is used.</t>
        </r>
      </text>
    </comment>
    <comment ref="D81" authorId="0">
      <text>
        <r>
          <rPr>
            <sz val="8"/>
            <color indexed="81"/>
            <rFont val="Tahoma"/>
            <family val="2"/>
          </rPr>
          <t>Linear, LogLinear, or Cubic. If omitted, default = LogLinear is used.</t>
        </r>
      </text>
    </comment>
  </commentList>
</comments>
</file>

<file path=xl/comments2.xml><?xml version="1.0" encoding="utf-8"?>
<comments xmlns="http://schemas.openxmlformats.org/spreadsheetml/2006/main">
  <authors>
    <author>Ferdinando Ametrano</author>
  </authors>
  <commentList>
    <comment ref="AI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I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3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4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5.xml><?xml version="1.0" encoding="utf-8"?>
<comments xmlns="http://schemas.openxmlformats.org/spreadsheetml/2006/main">
  <authors>
    <author>Ferdinando Ametrano</author>
  </authors>
  <commentList>
    <comment ref="AO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O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O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6.xml><?xml version="1.0" encoding="utf-8"?>
<comments xmlns="http://schemas.openxmlformats.org/spreadsheetml/2006/main">
  <authors>
    <author>Ferdinando Ametrano</author>
  </authors>
  <commentList>
    <comment ref="AP3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4" authorId="0">
      <text>
        <r>
          <rPr>
            <sz val="8"/>
            <color indexed="81"/>
            <rFont val="Tahoma"/>
            <family val="2"/>
          </rPr>
          <t>max number of Futures to be included</t>
        </r>
      </text>
    </comment>
    <comment ref="AP5" authorId="0">
      <text>
        <r>
          <rPr>
            <sz val="8"/>
            <color indexed="81"/>
            <rFont val="Tahoma"/>
            <family val="2"/>
          </rPr>
          <t>discard the front Futures the given number of days before its expiry (e.g zero implies the use of the front Futures during its expiry day)</t>
        </r>
      </text>
    </comment>
    <comment ref="AP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comments7.xml><?xml version="1.0" encoding="utf-8"?>
<comments xmlns="http://schemas.openxmlformats.org/spreadsheetml/2006/main">
  <authors>
    <author>Ferdinando Ametrano</author>
  </authors>
  <commentList>
    <comment ref="AI6" authorId="0">
      <text>
        <r>
          <rPr>
            <sz val="8"/>
            <color indexed="81"/>
            <rFont val="Tahoma"/>
            <family val="2"/>
          </rPr>
          <t>Depo inclusion criteria. If missing, default=AllDepos is used</t>
        </r>
      </text>
    </comment>
  </commentList>
</comments>
</file>

<file path=xl/sharedStrings.xml><?xml version="1.0" encoding="utf-8"?>
<sst xmlns="http://schemas.openxmlformats.org/spreadsheetml/2006/main" count="1934" uniqueCount="170">
  <si>
    <t>3M</t>
  </si>
  <si>
    <t>Quote Object ID</t>
  </si>
  <si>
    <t>1M</t>
  </si>
  <si>
    <t>6M</t>
  </si>
  <si>
    <t>Index</t>
  </si>
  <si>
    <t>Freq</t>
  </si>
  <si>
    <t>0D</t>
  </si>
  <si>
    <t>Modified Following</t>
  </si>
  <si>
    <t>Annual</t>
  </si>
  <si>
    <t>Type</t>
  </si>
  <si>
    <t>PiecewiseYieldCurve</t>
  </si>
  <si>
    <t>Error</t>
  </si>
  <si>
    <t>ObjectID</t>
  </si>
  <si>
    <t>NDays</t>
  </si>
  <si>
    <t>Calendar</t>
  </si>
  <si>
    <t>Accuracy</t>
  </si>
  <si>
    <t>TraitsID</t>
  </si>
  <si>
    <t>InterpolatorID</t>
  </si>
  <si>
    <t>Trigger</t>
  </si>
  <si>
    <t>Permanent</t>
  </si>
  <si>
    <t>ObjectOverwrite</t>
  </si>
  <si>
    <t>Currency</t>
  </si>
  <si>
    <t>Earliest Date</t>
  </si>
  <si>
    <t>Rate</t>
  </si>
  <si>
    <t>Rate Helpers</t>
  </si>
  <si>
    <t>Sw</t>
  </si>
  <si>
    <t>Dp</t>
  </si>
  <si>
    <t>1Y</t>
  </si>
  <si>
    <t>Tenor</t>
  </si>
  <si>
    <t>Evaluation Date</t>
  </si>
  <si>
    <t>SettlementDate</t>
  </si>
  <si>
    <t>Discount</t>
  </si>
  <si>
    <t>Code</t>
  </si>
  <si>
    <t>Business Day Conv</t>
  </si>
  <si>
    <t>Family Name</t>
  </si>
  <si>
    <t xml:space="preserve"> </t>
  </si>
  <si>
    <t>ON</t>
  </si>
  <si>
    <t>1W</t>
  </si>
  <si>
    <t>2W</t>
  </si>
  <si>
    <t>3W</t>
  </si>
  <si>
    <t>2M</t>
  </si>
  <si>
    <t>4M</t>
  </si>
  <si>
    <t>5M</t>
  </si>
  <si>
    <t>7M</t>
  </si>
  <si>
    <t>8M</t>
  </si>
  <si>
    <t>9M</t>
  </si>
  <si>
    <t>10M</t>
  </si>
  <si>
    <t>11M</t>
  </si>
  <si>
    <t>15M</t>
  </si>
  <si>
    <t>18M</t>
  </si>
  <si>
    <t>21M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</si>
  <si>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</si>
  <si>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</si>
  <si>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</si>
  <si>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</si>
  <si>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</si>
  <si>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</si>
  <si>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</si>
  <si>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</si>
  <si>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</si>
  <si>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</si>
  <si>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</si>
  <si>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</si>
  <si>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</si>
  <si>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27Y</t>
  </si>
  <si>
    <t>30Y</t>
  </si>
  <si>
    <t>35Y</t>
  </si>
  <si>
    <t>40Y</t>
  </si>
  <si>
    <t>50Y</t>
  </si>
  <si>
    <t>OIS</t>
  </si>
  <si>
    <t>QuoteSuffix</t>
  </si>
  <si>
    <t>TN</t>
  </si>
  <si>
    <t>1D</t>
  </si>
  <si>
    <t>fwd Start</t>
  </si>
  <si>
    <t>Pillar Date</t>
  </si>
  <si>
    <t>MaturityDate</t>
  </si>
  <si>
    <t>fix days</t>
  </si>
  <si>
    <t>Instruments</t>
  </si>
  <si>
    <t>Include Flag</t>
  </si>
  <si>
    <t>Priority</t>
  </si>
  <si>
    <t>Quote Value</t>
  </si>
  <si>
    <t>Min Dist</t>
  </si>
  <si>
    <t>Conv/ Spread</t>
  </si>
  <si>
    <t>Rate Helpers Selection</t>
  </si>
  <si>
    <t>nIMMFutures</t>
  </si>
  <si>
    <t>nSerialFutures</t>
  </si>
  <si>
    <t>FrontFuturesRollingDays</t>
  </si>
  <si>
    <t>DepoFuturesPriority</t>
  </si>
  <si>
    <t>AllDepos</t>
  </si>
  <si>
    <t>Start</t>
  </si>
  <si>
    <t>End</t>
  </si>
  <si>
    <t>FRA</t>
  </si>
  <si>
    <t>FUT</t>
  </si>
  <si>
    <t>Conv adj</t>
  </si>
  <si>
    <t>MainCycle</t>
  </si>
  <si>
    <t>11Y</t>
  </si>
  <si>
    <t>13Y</t>
  </si>
  <si>
    <t>14Y</t>
  </si>
  <si>
    <t>16Y</t>
  </si>
  <si>
    <t>17Y</t>
  </si>
  <si>
    <t>18Y</t>
  </si>
  <si>
    <t>19Y</t>
  </si>
  <si>
    <t>21Y</t>
  </si>
  <si>
    <t>22Y</t>
  </si>
  <si>
    <t>23Y</t>
  </si>
  <si>
    <t>24Y</t>
  </si>
  <si>
    <t>26Y</t>
  </si>
  <si>
    <t>28Y</t>
  </si>
  <si>
    <t>29Y</t>
  </si>
  <si>
    <t>60Y</t>
  </si>
  <si>
    <t>Spread</t>
  </si>
  <si>
    <t>fwd</t>
  </si>
  <si>
    <t>Day Count</t>
  </si>
  <si>
    <t>12M</t>
  </si>
  <si>
    <t>X1S</t>
  </si>
  <si>
    <t>BasSw</t>
  </si>
  <si>
    <t>Extrapolation</t>
  </si>
  <si>
    <t>qlRateHelperSelection(ohFilter(RateHelpers,IncludeFlag),ohFilter(Priority,IncludeFlag),$AG$3,$AG$4,$AG$5,$AG$6,ohFilter(MinDistance,IncludeFlag),Trigger)</t>
  </si>
  <si>
    <t>qlRateHelperSelection(ohFilter(RateHelpers,IncludeFlag),ohFilter(Priority,IncludeFlag),$AF$3,$AF$4,$AF$5,$AF$6,ohFilter(MinDistance,IncludeFlag),Trigger)</t>
  </si>
  <si>
    <t>LCHlinear</t>
  </si>
  <si>
    <t>LCHcubic</t>
  </si>
  <si>
    <t>Discounting1</t>
  </si>
  <si>
    <t>Discounting2</t>
  </si>
  <si>
    <t>_LCHQuote</t>
  </si>
  <si>
    <t>_linearLCH</t>
  </si>
  <si>
    <t>_cubicLCH</t>
  </si>
  <si>
    <t>DiscountingSTD</t>
  </si>
  <si>
    <t>ZeroYield</t>
  </si>
  <si>
    <t>Linear</t>
  </si>
  <si>
    <t>spread</t>
  </si>
  <si>
    <t>Start Date</t>
  </si>
  <si>
    <t>Custom Date</t>
  </si>
  <si>
    <t>Rate Helpers 1</t>
  </si>
  <si>
    <t>Rate Helpers 2</t>
  </si>
  <si>
    <t>Rate Helper 2</t>
  </si>
  <si>
    <t>Cubic</t>
  </si>
  <si>
    <t>linear</t>
  </si>
  <si>
    <t>cubic</t>
  </si>
  <si>
    <t>2D</t>
  </si>
  <si>
    <t>SW</t>
  </si>
  <si>
    <t>EOD</t>
  </si>
  <si>
    <t>Business Day Convention</t>
  </si>
  <si>
    <t>MainCycl</t>
  </si>
  <si>
    <t>Conv</t>
  </si>
  <si>
    <t>SettlementDays</t>
  </si>
  <si>
    <t>RollingDays</t>
  </si>
  <si>
    <t>Libor</t>
  </si>
  <si>
    <t>3L</t>
  </si>
  <si>
    <t>6L</t>
  </si>
  <si>
    <t>1L</t>
  </si>
  <si>
    <t>12L</t>
  </si>
  <si>
    <t>GBP</t>
  </si>
  <si>
    <t>UnitedKingdom::Exchange</t>
  </si>
  <si>
    <t>Sonia</t>
  </si>
  <si>
    <t>Semiannual</t>
  </si>
  <si>
    <t>Actual/365 (Fixed)</t>
  </si>
  <si>
    <t>SB</t>
  </si>
  <si>
    <t>AB1L</t>
  </si>
  <si>
    <t>LogMixedLinearCubicNaturalSpline</t>
  </si>
  <si>
    <t>_RepoQuote</t>
  </si>
  <si>
    <t>ReportQuoteSuffix</t>
  </si>
  <si>
    <t>ReportQuoteOverwrite</t>
  </si>
  <si>
    <t>qlFraRateHelper(,E4,C4,D4,PillarDate,,Permanent,Trigger,ObjectOverwrite)</t>
  </si>
  <si>
    <t>6SONIA</t>
  </si>
  <si>
    <t>SO</t>
  </si>
  <si>
    <t>SM</t>
  </si>
  <si>
    <t>FSS</t>
  </si>
  <si>
    <t>qlFraRateHelper(,$H4,"1D",$G4,PillarDate,,Permanent,Trigger,ObjectOverwrite)</t>
  </si>
  <si>
    <t>Quote Object ID 1</t>
  </si>
  <si>
    <t>Quote Object ID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</si>
</sst>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7">
    <numFmt numFmtId="164" formatCode="_-* #,##0.00_-;\-* #,##0.00_-;_-* &quot;-&quot;??_-;_-@_-"/>
    <numFmt numFmtId="165" formatCode="mm/dd/yy;@"/>
    <numFmt numFmtId="166" formatCode="0.0000%"/>
    <numFmt numFmtId="167" formatCode="0.00000%"/>
    <numFmt numFmtId="168" formatCode="ddd\,\ dd\-mmm\-yyyy"/>
    <numFmt numFmtId="169" formatCode="ddd\,\ dd\-mmm\-yyyy\,\ hh:mm:ss"/>
    <numFmt numFmtId="170" formatCode="ddd\,\ d\-mmm\-yy"/>
    <numFmt numFmtId="171" formatCode="ddd\,\ d\-mmm\-yyyy"/>
    <numFmt numFmtId="172" formatCode="0.000000000"/>
    <numFmt numFmtId="173" formatCode="ddd\,\ d\-mmm\-yyyy\,\ hh:mm:ss"/>
    <numFmt numFmtId="174" formatCode="0.000000"/>
    <numFmt numFmtId="175" formatCode="_([$€-2]* #,##0.00_);_([$€-2]* \(#,##0.00\);_([$€-2]* &quot;-&quot;??_)"/>
    <numFmt numFmtId="176" formatCode="General_)"/>
    <numFmt numFmtId="177" formatCode="#,##0.0;#,##0.0"/>
    <numFmt numFmtId="178" formatCode="&quot;£&quot;#,##0;[Red]\-&quot;£&quot;#,##0"/>
    <numFmt numFmtId="179" formatCode="dd\-mmm\-yy"/>
    <numFmt numFmtId="180" formatCode="0.0000"/>
  </numFmts>
  <fonts count="10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Arial"/>
      <family val="2"/>
    </font>
    <font>
      <sz val="8"/>
      <name val="Courier New"/>
      <family val="3"/>
    </font>
    <font>
      <sz val="8"/>
      <color indexed="81"/>
      <name val="Tahoma"/>
      <family val="2"/>
    </font>
    <font>
      <sz val="8"/>
      <color theme="1"/>
      <name val="Courier New"/>
      <family val="3"/>
    </font>
    <font>
      <sz val="10"/>
      <name val="Helv"/>
    </font>
    <font>
      <sz val="12"/>
      <name val="Helv"/>
    </font>
    <font>
      <b/>
      <sz val="12"/>
      <color indexed="16"/>
      <name val="MS Sans Serif"/>
      <family val="2"/>
    </font>
    <font>
      <b/>
      <sz val="8"/>
      <name val="Courier New"/>
      <family val="3"/>
    </font>
  </fonts>
  <fills count="11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65"/>
        <bgColor indexed="64"/>
      </patternFill>
    </fill>
    <fill>
      <patternFill patternType="gray0625">
        <fgColor indexed="22"/>
        <bgColor indexed="9"/>
      </patternFill>
    </fill>
    <fill>
      <patternFill patternType="solid">
        <fgColor rgb="FFFFFF0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lightUp">
        <bgColor theme="8" tint="0.59996337778862885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/>
      <top style="thin">
        <color auto="1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ashed">
        <color indexed="64"/>
      </bottom>
      <diagonal/>
    </border>
  </borders>
  <cellStyleXfs count="13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2" fillId="0" borderId="0"/>
    <xf numFmtId="0" fontId="2" fillId="0" borderId="0"/>
    <xf numFmtId="9" fontId="2" fillId="0" borderId="0" applyFont="0" applyFill="0" applyBorder="0" applyAlignment="0" applyProtection="0"/>
    <xf numFmtId="175" fontId="1" fillId="0" borderId="0" applyFont="0" applyFill="0" applyBorder="0" applyAlignment="0" applyProtection="0"/>
    <xf numFmtId="38" fontId="6" fillId="0" borderId="0" applyFont="0" applyFill="0" applyBorder="0" applyAlignment="0" applyProtection="0"/>
    <xf numFmtId="40" fontId="6" fillId="0" borderId="0" applyFont="0" applyFill="0" applyBorder="0" applyAlignment="0" applyProtection="0"/>
    <xf numFmtId="176" fontId="7" fillId="0" borderId="0"/>
    <xf numFmtId="177" fontId="8" fillId="5" borderId="0">
      <alignment horizontal="center" vertical="center"/>
    </xf>
    <xf numFmtId="178" fontId="6" fillId="0" borderId="0" applyFont="0" applyFill="0" applyBorder="0" applyAlignment="0" applyProtection="0"/>
    <xf numFmtId="178" fontId="6" fillId="0" borderId="0" applyFont="0" applyFill="0" applyBorder="0" applyAlignment="0" applyProtection="0"/>
  </cellStyleXfs>
  <cellXfs count="215">
    <xf numFmtId="0" fontId="0" fillId="0" borderId="0" xfId="0"/>
    <xf numFmtId="165" fontId="3" fillId="2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right"/>
    </xf>
    <xf numFmtId="0" fontId="3" fillId="2" borderId="1" xfId="1" applyNumberFormat="1" applyFont="1" applyFill="1" applyBorder="1" applyAlignment="1">
      <alignment horizontal="left"/>
    </xf>
    <xf numFmtId="0" fontId="5" fillId="0" borderId="6" xfId="0" applyFont="1" applyBorder="1"/>
    <xf numFmtId="168" fontId="5" fillId="0" borderId="6" xfId="0" applyNumberFormat="1" applyFont="1" applyBorder="1"/>
    <xf numFmtId="0" fontId="5" fillId="0" borderId="1" xfId="0" applyFont="1" applyBorder="1"/>
    <xf numFmtId="0" fontId="3" fillId="2" borderId="1" xfId="1" applyNumberFormat="1" applyFont="1" applyFill="1" applyBorder="1" applyAlignment="1">
      <alignment horizontal="center" vertical="center"/>
    </xf>
    <xf numFmtId="165" fontId="3" fillId="2" borderId="1" xfId="1" applyNumberFormat="1" applyFont="1" applyFill="1" applyBorder="1" applyAlignment="1">
      <alignment horizontal="right" vertical="center"/>
    </xf>
    <xf numFmtId="165" fontId="3" fillId="2" borderId="1" xfId="1" applyNumberFormat="1" applyFont="1" applyFill="1" applyBorder="1" applyAlignment="1">
      <alignment horizontal="center" vertical="center"/>
    </xf>
    <xf numFmtId="165" fontId="5" fillId="0" borderId="6" xfId="0" applyNumberFormat="1" applyFont="1" applyBorder="1"/>
    <xf numFmtId="165" fontId="5" fillId="0" borderId="1" xfId="0" applyNumberFormat="1" applyFont="1" applyBorder="1"/>
    <xf numFmtId="168" fontId="5" fillId="0" borderId="1" xfId="0" applyNumberFormat="1" applyFont="1" applyBorder="1"/>
    <xf numFmtId="0" fontId="3" fillId="7" borderId="8" xfId="1" applyFont="1" applyFill="1" applyBorder="1"/>
    <xf numFmtId="0" fontId="3" fillId="7" borderId="6" xfId="1" applyFont="1" applyFill="1" applyBorder="1"/>
    <xf numFmtId="0" fontId="3" fillId="2" borderId="10" xfId="1" applyFont="1" applyFill="1" applyBorder="1" applyAlignment="1">
      <alignment horizontal="center"/>
    </xf>
    <xf numFmtId="0" fontId="3" fillId="7" borderId="1" xfId="1" applyFont="1" applyFill="1" applyBorder="1"/>
    <xf numFmtId="0" fontId="3" fillId="7" borderId="2" xfId="1" applyFont="1" applyFill="1" applyBorder="1"/>
    <xf numFmtId="173" fontId="3" fillId="6" borderId="15" xfId="1" applyNumberFormat="1" applyFont="1" applyFill="1" applyBorder="1" applyAlignment="1">
      <alignment horizontal="center"/>
    </xf>
    <xf numFmtId="0" fontId="9" fillId="7" borderId="8" xfId="1" applyFont="1" applyFill="1" applyBorder="1" applyAlignment="1">
      <alignment horizontal="right"/>
    </xf>
    <xf numFmtId="0" fontId="3" fillId="2" borderId="7" xfId="3" applyFont="1" applyFill="1" applyBorder="1"/>
    <xf numFmtId="0" fontId="9" fillId="7" borderId="1" xfId="1" applyFont="1" applyFill="1" applyBorder="1" applyAlignment="1">
      <alignment horizontal="right"/>
    </xf>
    <xf numFmtId="170" fontId="3" fillId="4" borderId="9" xfId="1" applyNumberFormat="1" applyFont="1" applyFill="1" applyBorder="1" applyAlignment="1">
      <alignment horizontal="center"/>
    </xf>
    <xf numFmtId="0" fontId="9" fillId="7" borderId="6" xfId="1" applyFont="1" applyFill="1" applyBorder="1" applyAlignment="1">
      <alignment horizontal="right"/>
    </xf>
    <xf numFmtId="3" fontId="3" fillId="4" borderId="10" xfId="1" applyNumberFormat="1" applyFont="1" applyFill="1" applyBorder="1" applyAlignment="1">
      <alignment horizontal="center"/>
    </xf>
    <xf numFmtId="11" fontId="3" fillId="4" borderId="10" xfId="1" applyNumberFormat="1" applyFont="1" applyFill="1" applyBorder="1" applyAlignment="1">
      <alignment horizontal="center"/>
    </xf>
    <xf numFmtId="0" fontId="3" fillId="4" borderId="10" xfId="1" applyFont="1" applyFill="1" applyBorder="1" applyAlignment="1">
      <alignment horizontal="center"/>
    </xf>
    <xf numFmtId="0" fontId="3" fillId="4" borderId="3" xfId="1" applyFont="1" applyFill="1" applyBorder="1" applyAlignment="1">
      <alignment horizontal="center"/>
    </xf>
    <xf numFmtId="169" fontId="3" fillId="2" borderId="0" xfId="3" applyNumberFormat="1" applyFont="1" applyFill="1" applyBorder="1" applyAlignment="1">
      <alignment horizontal="center"/>
    </xf>
    <xf numFmtId="171" fontId="3" fillId="2" borderId="8" xfId="1" applyNumberFormat="1" applyFont="1" applyFill="1" applyBorder="1" applyAlignment="1">
      <alignment horizontal="right"/>
    </xf>
    <xf numFmtId="172" fontId="3" fillId="2" borderId="8" xfId="1" applyNumberFormat="1" applyFont="1" applyFill="1" applyBorder="1" applyAlignment="1">
      <alignment horizontal="center"/>
    </xf>
    <xf numFmtId="171" fontId="3" fillId="2" borderId="6" xfId="1" applyNumberFormat="1" applyFont="1" applyFill="1" applyBorder="1" applyAlignment="1">
      <alignment horizontal="right"/>
    </xf>
    <xf numFmtId="172" fontId="3" fillId="2" borderId="6" xfId="1" applyNumberFormat="1" applyFont="1" applyFill="1" applyBorder="1" applyAlignment="1">
      <alignment horizontal="center"/>
    </xf>
    <xf numFmtId="0" fontId="3" fillId="2" borderId="1" xfId="3" applyFont="1" applyFill="1" applyBorder="1" applyAlignment="1">
      <alignment horizontal="right"/>
    </xf>
    <xf numFmtId="0" fontId="3" fillId="2" borderId="3" xfId="3" applyFont="1" applyFill="1" applyBorder="1"/>
    <xf numFmtId="0" fontId="5" fillId="0" borderId="11" xfId="0" applyFont="1" applyBorder="1"/>
    <xf numFmtId="0" fontId="5" fillId="0" borderId="12" xfId="0" applyFont="1" applyBorder="1"/>
    <xf numFmtId="0" fontId="5" fillId="0" borderId="9" xfId="0" applyFont="1" applyBorder="1"/>
    <xf numFmtId="0" fontId="5" fillId="0" borderId="7" xfId="0" applyFont="1" applyBorder="1"/>
    <xf numFmtId="0" fontId="5" fillId="0" borderId="9" xfId="0" applyFont="1" applyBorder="1" applyAlignment="1">
      <alignment horizontal="center" vertical="center"/>
    </xf>
    <xf numFmtId="0" fontId="5" fillId="0" borderId="10" xfId="0" applyFont="1" applyBorder="1"/>
    <xf numFmtId="0" fontId="5" fillId="0" borderId="10" xfId="0" applyFont="1" applyBorder="1" applyAlignment="1">
      <alignment horizontal="center" vertical="center"/>
    </xf>
    <xf numFmtId="0" fontId="5" fillId="0" borderId="5" xfId="0" applyFont="1" applyBorder="1"/>
    <xf numFmtId="0" fontId="5" fillId="0" borderId="4" xfId="0" applyFont="1" applyBorder="1"/>
    <xf numFmtId="0" fontId="5" fillId="0" borderId="3" xfId="0" applyFont="1" applyBorder="1"/>
    <xf numFmtId="0" fontId="5" fillId="0" borderId="13" xfId="0" applyFont="1" applyBorder="1"/>
    <xf numFmtId="0" fontId="5" fillId="8" borderId="0" xfId="0" applyFont="1" applyFill="1"/>
    <xf numFmtId="169" fontId="3" fillId="8" borderId="0" xfId="3" applyNumberFormat="1" applyFont="1" applyFill="1" applyBorder="1" applyAlignment="1">
      <alignment horizontal="center"/>
    </xf>
    <xf numFmtId="0" fontId="5" fillId="8" borderId="0" xfId="0" applyFont="1" applyFill="1" applyBorder="1"/>
    <xf numFmtId="0" fontId="3" fillId="8" borderId="0" xfId="1" applyFont="1" applyFill="1" applyBorder="1"/>
    <xf numFmtId="0" fontId="5" fillId="8" borderId="0" xfId="0" applyFont="1" applyFill="1" applyAlignment="1">
      <alignment horizontal="center" vertical="center"/>
    </xf>
    <xf numFmtId="0" fontId="5" fillId="8" borderId="0" xfId="0" applyFont="1" applyFill="1" applyAlignment="1">
      <alignment horizontal="right" vertical="center"/>
    </xf>
    <xf numFmtId="0" fontId="5" fillId="8" borderId="0" xfId="0" applyFont="1" applyFill="1" applyAlignment="1">
      <alignment horizontal="right"/>
    </xf>
    <xf numFmtId="165" fontId="3" fillId="2" borderId="8" xfId="1" applyNumberFormat="1" applyFont="1" applyFill="1" applyBorder="1" applyAlignment="1"/>
    <xf numFmtId="165" fontId="3" fillId="2" borderId="8" xfId="1" applyNumberFormat="1" applyFont="1" applyFill="1" applyBorder="1" applyAlignment="1">
      <alignment horizontal="right" vertical="center"/>
    </xf>
    <xf numFmtId="0" fontId="3" fillId="2" borderId="8" xfId="1" applyNumberFormat="1" applyFont="1" applyFill="1" applyBorder="1" applyAlignment="1">
      <alignment horizontal="center" vertical="center"/>
    </xf>
    <xf numFmtId="165" fontId="3" fillId="2" borderId="8" xfId="1" applyNumberFormat="1" applyFont="1" applyFill="1" applyBorder="1" applyAlignment="1">
      <alignment horizontal="center" vertical="center"/>
    </xf>
    <xf numFmtId="167" fontId="3" fillId="3" borderId="8" xfId="1" applyNumberFormat="1" applyFont="1" applyFill="1" applyBorder="1" applyAlignment="1">
      <alignment horizontal="right"/>
    </xf>
    <xf numFmtId="0" fontId="3" fillId="2" borderId="8" xfId="1" applyNumberFormat="1" applyFont="1" applyFill="1" applyBorder="1" applyAlignment="1">
      <alignment horizontal="left"/>
    </xf>
    <xf numFmtId="165" fontId="3" fillId="2" borderId="6" xfId="1" applyNumberFormat="1" applyFont="1" applyFill="1" applyBorder="1" applyAlignment="1"/>
    <xf numFmtId="165" fontId="3" fillId="2" borderId="6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center" vertical="center"/>
    </xf>
    <xf numFmtId="165" fontId="3" fillId="2" borderId="6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right"/>
    </xf>
    <xf numFmtId="0" fontId="3" fillId="2" borderId="6" xfId="1" applyNumberFormat="1" applyFont="1" applyFill="1" applyBorder="1" applyAlignment="1">
      <alignment horizontal="left"/>
    </xf>
    <xf numFmtId="0" fontId="9" fillId="7" borderId="2" xfId="1" applyFont="1" applyFill="1" applyBorder="1" applyAlignment="1">
      <alignment horizontal="center" vertical="center" wrapText="1"/>
    </xf>
    <xf numFmtId="0" fontId="3" fillId="7" borderId="12" xfId="0" applyFont="1" applyFill="1" applyBorder="1" applyAlignment="1">
      <alignment horizontal="centerContinuous" vertical="center"/>
    </xf>
    <xf numFmtId="0" fontId="3" fillId="7" borderId="14" xfId="0" applyFont="1" applyFill="1" applyBorder="1" applyAlignment="1">
      <alignment horizontal="centerContinuous" vertical="center"/>
    </xf>
    <xf numFmtId="165" fontId="5" fillId="0" borderId="8" xfId="0" applyNumberFormat="1" applyFont="1" applyBorder="1"/>
    <xf numFmtId="174" fontId="3" fillId="7" borderId="12" xfId="0" applyNumberFormat="1" applyFont="1" applyFill="1" applyBorder="1" applyAlignment="1">
      <alignment horizontal="centerContinuous" vertical="center"/>
    </xf>
    <xf numFmtId="166" fontId="5" fillId="0" borderId="6" xfId="0" applyNumberFormat="1" applyFont="1" applyBorder="1"/>
    <xf numFmtId="165" fontId="5" fillId="3" borderId="6" xfId="0" applyNumberFormat="1" applyFont="1" applyFill="1" applyBorder="1"/>
    <xf numFmtId="165" fontId="5" fillId="3" borderId="1" xfId="0" applyNumberFormat="1" applyFont="1" applyFill="1" applyBorder="1"/>
    <xf numFmtId="0" fontId="3" fillId="7" borderId="2" xfId="0" applyFont="1" applyFill="1" applyBorder="1" applyAlignment="1">
      <alignment horizontal="center" vertical="center" wrapText="1"/>
    </xf>
    <xf numFmtId="0" fontId="3" fillId="7" borderId="11" xfId="0" applyFont="1" applyFill="1" applyBorder="1" applyAlignment="1">
      <alignment horizontal="centerContinuous" vertical="center"/>
    </xf>
    <xf numFmtId="174" fontId="3" fillId="7" borderId="2" xfId="0" applyNumberFormat="1" applyFont="1" applyFill="1" applyBorder="1" applyAlignment="1">
      <alignment horizontal="center" vertical="center" wrapText="1"/>
    </xf>
    <xf numFmtId="172" fontId="5" fillId="0" borderId="8" xfId="0" applyNumberFormat="1" applyFont="1" applyBorder="1"/>
    <xf numFmtId="172" fontId="5" fillId="0" borderId="6" xfId="0" applyNumberFormat="1" applyFont="1" applyBorder="1"/>
    <xf numFmtId="172" fontId="5" fillId="0" borderId="1" xfId="0" applyNumberFormat="1" applyFont="1" applyBorder="1"/>
    <xf numFmtId="166" fontId="5" fillId="0" borderId="1" xfId="0" applyNumberFormat="1" applyFont="1" applyBorder="1"/>
    <xf numFmtId="172" fontId="5" fillId="8" borderId="0" xfId="0" applyNumberFormat="1" applyFont="1" applyFill="1"/>
    <xf numFmtId="0" fontId="3" fillId="2" borderId="9" xfId="1" applyFont="1" applyFill="1" applyBorder="1" applyAlignment="1">
      <alignment horizontal="center"/>
    </xf>
    <xf numFmtId="0" fontId="5" fillId="3" borderId="11" xfId="0" applyFont="1" applyFill="1" applyBorder="1"/>
    <xf numFmtId="0" fontId="5" fillId="3" borderId="12" xfId="0" applyFont="1" applyFill="1" applyBorder="1"/>
    <xf numFmtId="0" fontId="5" fillId="3" borderId="9" xfId="0" applyFont="1" applyFill="1" applyBorder="1"/>
    <xf numFmtId="0" fontId="5" fillId="3" borderId="10" xfId="0" applyFont="1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3" fillId="3" borderId="6" xfId="3" applyFont="1" applyFill="1" applyBorder="1"/>
    <xf numFmtId="0" fontId="3" fillId="3" borderId="7" xfId="3" applyFont="1" applyFill="1" applyBorder="1"/>
    <xf numFmtId="0" fontId="3" fillId="3" borderId="5" xfId="3" applyFont="1" applyFill="1" applyBorder="1"/>
    <xf numFmtId="0" fontId="3" fillId="3" borderId="4" xfId="1" applyFont="1" applyFill="1" applyBorder="1"/>
    <xf numFmtId="173" fontId="3" fillId="3" borderId="4" xfId="1" applyNumberFormat="1" applyFont="1" applyFill="1" applyBorder="1" applyAlignment="1">
      <alignment horizontal="center"/>
    </xf>
    <xf numFmtId="0" fontId="3" fillId="8" borderId="0" xfId="0" applyFont="1" applyFill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3" fillId="7" borderId="15" xfId="0" applyFont="1" applyFill="1" applyBorder="1" applyAlignment="1">
      <alignment horizontal="centerContinuous" vertical="center"/>
    </xf>
    <xf numFmtId="0" fontId="5" fillId="0" borderId="6" xfId="0" applyFont="1" applyBorder="1" applyAlignment="1">
      <alignment horizontal="center"/>
    </xf>
    <xf numFmtId="166" fontId="5" fillId="0" borderId="6" xfId="0" applyNumberFormat="1" applyFont="1" applyBorder="1" applyAlignment="1">
      <alignment horizontal="center"/>
    </xf>
    <xf numFmtId="179" fontId="5" fillId="0" borderId="6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166" fontId="5" fillId="0" borderId="1" xfId="0" applyNumberFormat="1" applyFont="1" applyBorder="1" applyAlignment="1">
      <alignment horizontal="center"/>
    </xf>
    <xf numFmtId="179" fontId="5" fillId="0" borderId="1" xfId="0" applyNumberFormat="1" applyFont="1" applyBorder="1" applyAlignment="1">
      <alignment horizontal="center"/>
    </xf>
    <xf numFmtId="0" fontId="5" fillId="8" borderId="0" xfId="0" applyFont="1" applyFill="1" applyAlignment="1">
      <alignment horizontal="center"/>
    </xf>
    <xf numFmtId="166" fontId="5" fillId="0" borderId="6" xfId="0" applyNumberFormat="1" applyFont="1" applyBorder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3" fillId="7" borderId="13" xfId="0" applyFont="1" applyFill="1" applyBorder="1" applyAlignment="1">
      <alignment horizontal="centerContinuous" vertical="center"/>
    </xf>
    <xf numFmtId="0" fontId="9" fillId="9" borderId="2" xfId="1" applyFont="1" applyFill="1" applyBorder="1" applyAlignment="1">
      <alignment horizontal="right"/>
    </xf>
    <xf numFmtId="3" fontId="3" fillId="4" borderId="2" xfId="1" applyNumberFormat="1" applyFont="1" applyFill="1" applyBorder="1" applyAlignment="1">
      <alignment horizontal="center"/>
    </xf>
    <xf numFmtId="0" fontId="3" fillId="4" borderId="2" xfId="1" applyFont="1" applyFill="1" applyBorder="1" applyAlignment="1">
      <alignment horizontal="center"/>
    </xf>
    <xf numFmtId="165" fontId="3" fillId="2" borderId="2" xfId="1" applyNumberFormat="1" applyFont="1" applyFill="1" applyBorder="1" applyAlignment="1"/>
    <xf numFmtId="165" fontId="3" fillId="2" borderId="2" xfId="1" applyNumberFormat="1" applyFont="1" applyFill="1" applyBorder="1" applyAlignment="1">
      <alignment horizontal="right" vertical="center"/>
    </xf>
    <xf numFmtId="165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center" vertical="center"/>
    </xf>
    <xf numFmtId="0" fontId="3" fillId="2" borderId="2" xfId="1" applyNumberFormat="1" applyFont="1" applyFill="1" applyBorder="1" applyAlignment="1">
      <alignment horizontal="left"/>
    </xf>
    <xf numFmtId="0" fontId="3" fillId="2" borderId="8" xfId="1" applyNumberFormat="1" applyFont="1" applyFill="1" applyBorder="1" applyAlignment="1">
      <alignment horizontal="right" vertical="center"/>
    </xf>
    <xf numFmtId="0" fontId="3" fillId="2" borderId="6" xfId="1" applyNumberFormat="1" applyFont="1" applyFill="1" applyBorder="1" applyAlignment="1">
      <alignment horizontal="right" vertical="center"/>
    </xf>
    <xf numFmtId="0" fontId="3" fillId="2" borderId="1" xfId="1" applyNumberFormat="1" applyFont="1" applyFill="1" applyBorder="1" applyAlignment="1">
      <alignment horizontal="right" vertical="center"/>
    </xf>
    <xf numFmtId="167" fontId="3" fillId="3" borderId="8" xfId="1" applyNumberFormat="1" applyFont="1" applyFill="1" applyBorder="1" applyAlignment="1"/>
    <xf numFmtId="167" fontId="3" fillId="3" borderId="6" xfId="1" applyNumberFormat="1" applyFont="1" applyFill="1" applyBorder="1" applyAlignment="1"/>
    <xf numFmtId="167" fontId="3" fillId="3" borderId="1" xfId="1" applyNumberFormat="1" applyFont="1" applyFill="1" applyBorder="1" applyAlignment="1"/>
    <xf numFmtId="167" fontId="3" fillId="3" borderId="1" xfId="1" applyNumberFormat="1" applyFont="1" applyFill="1" applyBorder="1" applyAlignment="1">
      <alignment horizontal="left"/>
    </xf>
    <xf numFmtId="165" fontId="3" fillId="10" borderId="2" xfId="1" applyNumberFormat="1" applyFont="1" applyFill="1" applyBorder="1" applyAlignment="1">
      <alignment horizontal="center" vertical="center"/>
    </xf>
    <xf numFmtId="165" fontId="3" fillId="10" borderId="6" xfId="1" applyNumberFormat="1" applyFont="1" applyFill="1" applyBorder="1" applyAlignment="1">
      <alignment horizontal="center" vertical="center"/>
    </xf>
    <xf numFmtId="165" fontId="3" fillId="10" borderId="1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/>
    </xf>
    <xf numFmtId="167" fontId="3" fillId="3" borderId="8" xfId="1" applyNumberFormat="1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/>
    </xf>
    <xf numFmtId="165" fontId="3" fillId="10" borderId="8" xfId="1" applyNumberFormat="1" applyFont="1" applyFill="1" applyBorder="1" applyAlignment="1">
      <alignment horizontal="center" vertical="center"/>
    </xf>
    <xf numFmtId="167" fontId="3" fillId="3" borderId="1" xfId="1" applyNumberFormat="1" applyFont="1" applyFill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8" xfId="0" applyFont="1" applyBorder="1" applyAlignment="1">
      <alignment horizontal="center"/>
    </xf>
    <xf numFmtId="166" fontId="5" fillId="0" borderId="8" xfId="0" applyNumberFormat="1" applyFont="1" applyBorder="1" applyAlignment="1">
      <alignment horizontal="center"/>
    </xf>
    <xf numFmtId="179" fontId="5" fillId="0" borderId="8" xfId="0" applyNumberFormat="1" applyFont="1" applyBorder="1" applyAlignment="1">
      <alignment horizontal="center"/>
    </xf>
    <xf numFmtId="165" fontId="5" fillId="3" borderId="8" xfId="0" applyNumberFormat="1" applyFont="1" applyFill="1" applyBorder="1"/>
    <xf numFmtId="0" fontId="5" fillId="3" borderId="8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/>
    </xf>
    <xf numFmtId="166" fontId="5" fillId="3" borderId="8" xfId="0" applyNumberFormat="1" applyFont="1" applyFill="1" applyBorder="1" applyAlignment="1">
      <alignment horizontal="center"/>
    </xf>
    <xf numFmtId="179" fontId="5" fillId="3" borderId="8" xfId="0" applyNumberFormat="1" applyFont="1" applyFill="1" applyBorder="1" applyAlignment="1">
      <alignment horizontal="center"/>
    </xf>
    <xf numFmtId="0" fontId="5" fillId="3" borderId="6" xfId="0" applyFont="1" applyFill="1" applyBorder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166" fontId="5" fillId="3" borderId="6" xfId="0" applyNumberFormat="1" applyFont="1" applyFill="1" applyBorder="1" applyAlignment="1">
      <alignment horizontal="center"/>
    </xf>
    <xf numFmtId="179" fontId="5" fillId="3" borderId="6" xfId="0" applyNumberFormat="1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6" xfId="0" applyFont="1" applyBorder="1" applyAlignment="1"/>
    <xf numFmtId="0" fontId="5" fillId="0" borderId="1" xfId="0" applyFont="1" applyBorder="1" applyAlignment="1"/>
    <xf numFmtId="0" fontId="5" fillId="3" borderId="8" xfId="0" applyFont="1" applyFill="1" applyBorder="1" applyAlignment="1"/>
    <xf numFmtId="0" fontId="5" fillId="3" borderId="6" xfId="0" applyFont="1" applyFill="1" applyBorder="1" applyAlignment="1"/>
    <xf numFmtId="180" fontId="5" fillId="0" borderId="6" xfId="0" applyNumberFormat="1" applyFont="1" applyBorder="1" applyAlignment="1">
      <alignment horizontal="center"/>
    </xf>
    <xf numFmtId="179" fontId="5" fillId="3" borderId="1" xfId="0" applyNumberFormat="1" applyFont="1" applyFill="1" applyBorder="1" applyAlignment="1">
      <alignment horizontal="center"/>
    </xf>
    <xf numFmtId="0" fontId="5" fillId="3" borderId="1" xfId="0" applyFont="1" applyFill="1" applyBorder="1" applyAlignment="1"/>
    <xf numFmtId="166" fontId="5" fillId="3" borderId="1" xfId="0" applyNumberFormat="1" applyFont="1" applyFill="1" applyBorder="1" applyAlignment="1">
      <alignment horizontal="center"/>
    </xf>
    <xf numFmtId="167" fontId="3" fillId="3" borderId="6" xfId="1" applyNumberFormat="1" applyFont="1" applyFill="1" applyBorder="1" applyAlignment="1">
      <alignment vertical="center"/>
    </xf>
    <xf numFmtId="167" fontId="3" fillId="3" borderId="1" xfId="1" applyNumberFormat="1" applyFont="1" applyFill="1" applyBorder="1" applyAlignment="1">
      <alignment vertical="center"/>
    </xf>
    <xf numFmtId="179" fontId="3" fillId="2" borderId="6" xfId="1" applyNumberFormat="1" applyFont="1" applyFill="1" applyBorder="1" applyAlignment="1">
      <alignment horizontal="center" vertical="center"/>
    </xf>
    <xf numFmtId="179" fontId="3" fillId="2" borderId="1" xfId="1" applyNumberFormat="1" applyFont="1" applyFill="1" applyBorder="1" applyAlignment="1">
      <alignment horizontal="center" vertical="center"/>
    </xf>
    <xf numFmtId="173" fontId="3" fillId="2" borderId="8" xfId="1" applyNumberFormat="1" applyFont="1" applyFill="1" applyBorder="1" applyAlignment="1">
      <alignment horizontal="center"/>
    </xf>
    <xf numFmtId="173" fontId="3" fillId="2" borderId="6" xfId="1" applyNumberFormat="1" applyFont="1" applyFill="1" applyBorder="1" applyAlignment="1">
      <alignment horizontal="center"/>
    </xf>
    <xf numFmtId="165" fontId="5" fillId="8" borderId="0" xfId="0" applyNumberFormat="1" applyFont="1" applyFill="1"/>
    <xf numFmtId="11" fontId="5" fillId="8" borderId="0" xfId="0" applyNumberFormat="1" applyFont="1" applyFill="1"/>
    <xf numFmtId="168" fontId="3" fillId="2" borderId="6" xfId="1" applyNumberFormat="1" applyFont="1" applyFill="1" applyBorder="1" applyAlignment="1">
      <alignment horizontal="center"/>
    </xf>
    <xf numFmtId="168" fontId="3" fillId="2" borderId="8" xfId="1" applyNumberFormat="1" applyFont="1" applyFill="1" applyBorder="1" applyAlignment="1">
      <alignment horizontal="center"/>
    </xf>
    <xf numFmtId="173" fontId="3" fillId="2" borderId="1" xfId="1" applyNumberFormat="1" applyFont="1" applyFill="1" applyBorder="1" applyAlignment="1">
      <alignment horizontal="center"/>
    </xf>
    <xf numFmtId="173" fontId="3" fillId="9" borderId="10" xfId="1" applyNumberFormat="1" applyFont="1" applyFill="1" applyBorder="1" applyAlignment="1">
      <alignment horizontal="center"/>
    </xf>
    <xf numFmtId="0" fontId="3" fillId="3" borderId="13" xfId="1" applyFont="1" applyFill="1" applyBorder="1"/>
    <xf numFmtId="173" fontId="3" fillId="3" borderId="13" xfId="1" applyNumberFormat="1" applyFont="1" applyFill="1" applyBorder="1" applyAlignment="1">
      <alignment horizontal="center"/>
    </xf>
    <xf numFmtId="167" fontId="3" fillId="3" borderId="2" xfId="1" applyNumberFormat="1" applyFont="1" applyFill="1" applyBorder="1" applyAlignment="1">
      <alignment horizontal="right"/>
    </xf>
    <xf numFmtId="179" fontId="5" fillId="8" borderId="0" xfId="0" applyNumberFormat="1" applyFont="1" applyFill="1"/>
    <xf numFmtId="166" fontId="5" fillId="8" borderId="0" xfId="0" applyNumberFormat="1" applyFont="1" applyFill="1"/>
    <xf numFmtId="166" fontId="5" fillId="0" borderId="8" xfId="0" applyNumberFormat="1" applyFont="1" applyBorder="1"/>
    <xf numFmtId="11" fontId="5" fillId="8" borderId="10" xfId="0" applyNumberFormat="1" applyFont="1" applyFill="1" applyBorder="1"/>
    <xf numFmtId="11" fontId="5" fillId="8" borderId="0" xfId="0" applyNumberFormat="1" applyFont="1" applyFill="1" applyBorder="1"/>
    <xf numFmtId="172" fontId="5" fillId="8" borderId="0" xfId="0" applyNumberFormat="1" applyFont="1" applyFill="1" applyBorder="1"/>
    <xf numFmtId="166" fontId="3" fillId="2" borderId="8" xfId="1" applyNumberFormat="1" applyFont="1" applyFill="1" applyBorder="1" applyAlignment="1">
      <alignment horizontal="center" vertical="center"/>
    </xf>
    <xf numFmtId="166" fontId="3" fillId="2" borderId="6" xfId="1" applyNumberFormat="1" applyFont="1" applyFill="1" applyBorder="1" applyAlignment="1">
      <alignment horizontal="center" vertical="center"/>
    </xf>
    <xf numFmtId="166" fontId="3" fillId="2" borderId="1" xfId="1" applyNumberFormat="1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167" fontId="3" fillId="3" borderId="6" xfId="1" applyNumberFormat="1" applyFont="1" applyFill="1" applyBorder="1" applyAlignment="1">
      <alignment horizontal="left"/>
    </xf>
    <xf numFmtId="165" fontId="3" fillId="2" borderId="16" xfId="1" applyNumberFormat="1" applyFont="1" applyFill="1" applyBorder="1" applyAlignment="1"/>
    <xf numFmtId="165" fontId="3" fillId="2" borderId="16" xfId="1" applyNumberFormat="1" applyFont="1" applyFill="1" applyBorder="1" applyAlignment="1">
      <alignment horizontal="right" vertical="center"/>
    </xf>
    <xf numFmtId="165" fontId="3" fillId="10" borderId="16" xfId="1" applyNumberFormat="1" applyFont="1" applyFill="1" applyBorder="1" applyAlignment="1">
      <alignment horizontal="center" vertical="center"/>
    </xf>
    <xf numFmtId="0" fontId="3" fillId="2" borderId="16" xfId="1" applyNumberFormat="1" applyFont="1" applyFill="1" applyBorder="1" applyAlignment="1">
      <alignment horizontal="center" vertical="center"/>
    </xf>
    <xf numFmtId="167" fontId="3" fillId="3" borderId="16" xfId="1" applyNumberFormat="1" applyFont="1" applyFill="1" applyBorder="1" applyAlignment="1">
      <alignment horizontal="left"/>
    </xf>
    <xf numFmtId="0" fontId="3" fillId="2" borderId="16" xfId="1" applyNumberFormat="1" applyFont="1" applyFill="1" applyBorder="1" applyAlignment="1">
      <alignment horizontal="left"/>
    </xf>
    <xf numFmtId="165" fontId="3" fillId="2" borderId="17" xfId="1" applyNumberFormat="1" applyFont="1" applyFill="1" applyBorder="1" applyAlignment="1"/>
    <xf numFmtId="165" fontId="3" fillId="2" borderId="17" xfId="1" applyNumberFormat="1" applyFont="1" applyFill="1" applyBorder="1" applyAlignment="1">
      <alignment horizontal="right" vertical="center"/>
    </xf>
    <xf numFmtId="165" fontId="3" fillId="10" borderId="17" xfId="1" applyNumberFormat="1" applyFont="1" applyFill="1" applyBorder="1" applyAlignment="1">
      <alignment horizontal="center" vertical="center"/>
    </xf>
    <xf numFmtId="0" fontId="3" fillId="2" borderId="17" xfId="1" applyNumberFormat="1" applyFont="1" applyFill="1" applyBorder="1" applyAlignment="1">
      <alignment horizontal="center" vertical="center"/>
    </xf>
    <xf numFmtId="167" fontId="3" fillId="3" borderId="17" xfId="1" applyNumberFormat="1" applyFont="1" applyFill="1" applyBorder="1" applyAlignment="1">
      <alignment horizontal="left"/>
    </xf>
    <xf numFmtId="0" fontId="3" fillId="2" borderId="17" xfId="1" applyNumberFormat="1" applyFont="1" applyFill="1" applyBorder="1" applyAlignment="1">
      <alignment horizontal="left"/>
    </xf>
    <xf numFmtId="165" fontId="3" fillId="2" borderId="18" xfId="1" applyNumberFormat="1" applyFont="1" applyFill="1" applyBorder="1" applyAlignment="1"/>
    <xf numFmtId="165" fontId="3" fillId="2" borderId="18" xfId="1" applyNumberFormat="1" applyFont="1" applyFill="1" applyBorder="1" applyAlignment="1">
      <alignment horizontal="right" vertical="center"/>
    </xf>
    <xf numFmtId="165" fontId="3" fillId="10" borderId="18" xfId="1" applyNumberFormat="1" applyFont="1" applyFill="1" applyBorder="1" applyAlignment="1">
      <alignment horizontal="center" vertical="center"/>
    </xf>
    <xf numFmtId="0" fontId="3" fillId="2" borderId="18" xfId="1" applyNumberFormat="1" applyFont="1" applyFill="1" applyBorder="1" applyAlignment="1">
      <alignment horizontal="center" vertical="center"/>
    </xf>
    <xf numFmtId="167" fontId="3" fillId="3" borderId="18" xfId="1" applyNumberFormat="1" applyFont="1" applyFill="1" applyBorder="1" applyAlignment="1">
      <alignment horizontal="left"/>
    </xf>
    <xf numFmtId="0" fontId="3" fillId="2" borderId="18" xfId="1" applyNumberFormat="1" applyFont="1" applyFill="1" applyBorder="1" applyAlignment="1">
      <alignment horizontal="left"/>
    </xf>
    <xf numFmtId="165" fontId="3" fillId="2" borderId="19" xfId="1" applyNumberFormat="1" applyFont="1" applyFill="1" applyBorder="1" applyAlignment="1"/>
    <xf numFmtId="165" fontId="3" fillId="2" borderId="19" xfId="1" applyNumberFormat="1" applyFont="1" applyFill="1" applyBorder="1" applyAlignment="1">
      <alignment horizontal="right" vertical="center"/>
    </xf>
    <xf numFmtId="165" fontId="3" fillId="10" borderId="19" xfId="1" applyNumberFormat="1" applyFont="1" applyFill="1" applyBorder="1" applyAlignment="1">
      <alignment horizontal="center" vertical="center"/>
    </xf>
    <xf numFmtId="0" fontId="3" fillId="2" borderId="19" xfId="1" applyNumberFormat="1" applyFont="1" applyFill="1" applyBorder="1" applyAlignment="1">
      <alignment horizontal="center" vertical="center"/>
    </xf>
    <xf numFmtId="167" fontId="3" fillId="3" borderId="19" xfId="1" applyNumberFormat="1" applyFont="1" applyFill="1" applyBorder="1" applyAlignment="1">
      <alignment horizontal="left"/>
    </xf>
    <xf numFmtId="0" fontId="3" fillId="2" borderId="19" xfId="1" applyNumberFormat="1" applyFont="1" applyFill="1" applyBorder="1" applyAlignment="1">
      <alignment horizontal="left"/>
    </xf>
    <xf numFmtId="165" fontId="3" fillId="3" borderId="16" xfId="1" applyNumberFormat="1" applyFont="1" applyFill="1" applyBorder="1" applyAlignment="1">
      <alignment horizontal="center" vertical="center"/>
    </xf>
    <xf numFmtId="165" fontId="3" fillId="3" borderId="17" xfId="1" applyNumberFormat="1" applyFont="1" applyFill="1" applyBorder="1" applyAlignment="1">
      <alignment horizontal="center" vertical="center"/>
    </xf>
    <xf numFmtId="168" fontId="3" fillId="3" borderId="8" xfId="1" applyNumberFormat="1" applyFont="1" applyFill="1" applyBorder="1" applyAlignment="1"/>
    <xf numFmtId="168" fontId="3" fillId="3" borderId="6" xfId="1" applyNumberFormat="1" applyFont="1" applyFill="1" applyBorder="1" applyAlignment="1"/>
    <xf numFmtId="168" fontId="3" fillId="3" borderId="1" xfId="1" applyNumberFormat="1" applyFont="1" applyFill="1" applyBorder="1" applyAlignment="1"/>
    <xf numFmtId="164" fontId="5" fillId="0" borderId="8" xfId="0" applyNumberFormat="1" applyFont="1" applyBorder="1" applyAlignment="1">
      <alignment horizontal="center"/>
    </xf>
    <xf numFmtId="164" fontId="5" fillId="0" borderId="6" xfId="0" applyNumberFormat="1" applyFont="1" applyBorder="1" applyAlignment="1">
      <alignment horizontal="center"/>
    </xf>
    <xf numFmtId="0" fontId="9" fillId="7" borderId="14" xfId="1" applyFont="1" applyFill="1" applyBorder="1" applyAlignment="1">
      <alignment horizontal="center" vertical="center" wrapText="1"/>
    </xf>
    <xf numFmtId="0" fontId="9" fillId="7" borderId="15" xfId="1" applyFont="1" applyFill="1" applyBorder="1" applyAlignment="1">
      <alignment horizontal="center" vertical="center" wrapText="1"/>
    </xf>
    <xf numFmtId="0" fontId="9" fillId="7" borderId="11" xfId="1" applyFont="1" applyFill="1" applyBorder="1" applyAlignment="1">
      <alignment horizontal="center" vertical="center" wrapText="1"/>
    </xf>
    <xf numFmtId="0" fontId="9" fillId="7" borderId="9" xfId="1" applyFont="1" applyFill="1" applyBorder="1" applyAlignment="1">
      <alignment horizontal="center" vertical="center" wrapText="1"/>
    </xf>
  </cellXfs>
  <cellStyles count="13">
    <cellStyle name="Euro" xfId="6"/>
    <cellStyle name="Migliaia (0)_AZIONI" xfId="7"/>
    <cellStyle name="Migliaia_AZIONI" xfId="8"/>
    <cellStyle name="Normal" xfId="0" builtinId="0"/>
    <cellStyle name="Normal 2" xfId="1"/>
    <cellStyle name="Normal 3" xfId="4"/>
    <cellStyle name="Normal_SwaptionATMVols" xfId="3"/>
    <cellStyle name="Normale_AZIONI" xfId="9"/>
    <cellStyle name="Percent 2" xfId="2"/>
    <cellStyle name="Percent 3" xfId="5"/>
    <cellStyle name="result" xfId="10"/>
    <cellStyle name="Valuta (0)_AZIONI" xfId="11"/>
    <cellStyle name="Valuta_AZIONI" xfId="1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GBP_LCH_Repor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General Settings"/>
      <sheetName val="1M"/>
      <sheetName val="3M"/>
      <sheetName val="6M"/>
      <sheetName val="1Y"/>
      <sheetName val="ON"/>
      <sheetName val="STD"/>
      <sheetName val="REP00078"/>
      <sheetName val="REP00099"/>
      <sheetName val="REP00079"/>
      <sheetName val="REP00100"/>
      <sheetName val="REP0010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>
        <row r="2">
          <cell r="A2" t="str">
            <v>AUD_AONIA_EOD</v>
          </cell>
          <cell r="C2">
            <v>42321</v>
          </cell>
          <cell r="E2">
            <v>1.99994520748366E-2</v>
          </cell>
        </row>
        <row r="3">
          <cell r="A3" t="str">
            <v>AUD_AONIA_EOD</v>
          </cell>
          <cell r="C3">
            <v>42327</v>
          </cell>
          <cell r="E3">
            <v>1.9981992790107601E-2</v>
          </cell>
        </row>
        <row r="4">
          <cell r="A4" t="str">
            <v>AUD_AONIA_EOD</v>
          </cell>
          <cell r="C4">
            <v>42334</v>
          </cell>
          <cell r="E4">
            <v>1.9962065365711198E-2</v>
          </cell>
        </row>
        <row r="5">
          <cell r="A5" t="str">
            <v>AUD_AONIA_EOD</v>
          </cell>
          <cell r="C5">
            <v>42341</v>
          </cell>
          <cell r="E5">
            <v>1.9942211564835E-2</v>
          </cell>
        </row>
        <row r="6">
          <cell r="A6" t="str">
            <v>AUD_AONIA_EOD</v>
          </cell>
          <cell r="C6">
            <v>42350</v>
          </cell>
          <cell r="E6">
            <v>1.9916685249422701E-2</v>
          </cell>
        </row>
        <row r="7">
          <cell r="A7" t="str">
            <v>AUD_AONIA_EOD</v>
          </cell>
          <cell r="C7">
            <v>42380</v>
          </cell>
          <cell r="E7">
            <v>1.9871911500205099E-2</v>
          </cell>
        </row>
        <row r="8">
          <cell r="A8" t="str">
            <v>AUD_AONIA_EOD</v>
          </cell>
          <cell r="C8">
            <v>42411</v>
          </cell>
          <cell r="E8">
            <v>1.9788103881400499E-2</v>
          </cell>
        </row>
        <row r="9">
          <cell r="A9" t="str">
            <v>AUD_AONIA_EOD</v>
          </cell>
          <cell r="C9">
            <v>42441</v>
          </cell>
          <cell r="E9">
            <v>1.96520926004542E-2</v>
          </cell>
        </row>
        <row r="10">
          <cell r="A10" t="str">
            <v>AUD_AONIA_EOD</v>
          </cell>
          <cell r="C10">
            <v>42472</v>
          </cell>
          <cell r="E10">
            <v>1.9489434517598801E-2</v>
          </cell>
        </row>
        <row r="11">
          <cell r="A11" t="str">
            <v>AUD_AONIA_EOD</v>
          </cell>
          <cell r="C11">
            <v>42502</v>
          </cell>
          <cell r="E11">
            <v>1.9415522660618401E-2</v>
          </cell>
        </row>
        <row r="12">
          <cell r="A12" t="str">
            <v>AUD_AONIA_EOD</v>
          </cell>
          <cell r="C12">
            <v>42532</v>
          </cell>
          <cell r="E12">
            <v>1.92967618447119E-2</v>
          </cell>
        </row>
        <row r="13">
          <cell r="A13" t="str">
            <v>AUD_AONIA_EOD</v>
          </cell>
          <cell r="C13">
            <v>42563</v>
          </cell>
          <cell r="E13">
            <v>1.9172340540649199E-2</v>
          </cell>
        </row>
        <row r="14">
          <cell r="A14" t="str">
            <v>AUD_AONIA_EOD</v>
          </cell>
          <cell r="C14">
            <v>42593</v>
          </cell>
          <cell r="E14">
            <v>1.9051932827040201E-2</v>
          </cell>
        </row>
        <row r="15">
          <cell r="A15" t="str">
            <v>AUD_AONIA_EOD</v>
          </cell>
          <cell r="C15">
            <v>42624</v>
          </cell>
          <cell r="E15">
            <v>1.8988738135900299E-2</v>
          </cell>
        </row>
        <row r="16">
          <cell r="A16" t="str">
            <v>AUD_AONIA_EOD</v>
          </cell>
          <cell r="C16">
            <v>42654</v>
          </cell>
          <cell r="E16">
            <v>1.8936359992205599E-2</v>
          </cell>
        </row>
        <row r="17">
          <cell r="A17" t="str">
            <v>AUD_AONIA_EOD</v>
          </cell>
          <cell r="C17">
            <v>42685</v>
          </cell>
          <cell r="E17">
            <v>1.8882235910387599E-2</v>
          </cell>
        </row>
        <row r="18">
          <cell r="A18" t="str">
            <v>AUD_AONIA_EOD</v>
          </cell>
          <cell r="C18">
            <v>42776</v>
          </cell>
          <cell r="E18">
            <v>1.8824750052041199E-2</v>
          </cell>
        </row>
        <row r="19">
          <cell r="A19" t="str">
            <v>AUD_AONIA_EOD</v>
          </cell>
          <cell r="C19">
            <v>42867</v>
          </cell>
          <cell r="E19">
            <v>1.87707208247469E-2</v>
          </cell>
        </row>
        <row r="20">
          <cell r="A20" t="str">
            <v>AUD_AONIA_EOD</v>
          </cell>
          <cell r="C20">
            <v>42958</v>
          </cell>
          <cell r="E20">
            <v>1.8848707198755199E-2</v>
          </cell>
        </row>
        <row r="21">
          <cell r="A21" t="str">
            <v>AUD_AONIA_EOD</v>
          </cell>
          <cell r="C21">
            <v>43050</v>
          </cell>
          <cell r="E21">
            <v>1.8932100554141299E-2</v>
          </cell>
        </row>
        <row r="22">
          <cell r="A22" t="str">
            <v>AUD_AONIA_EOD</v>
          </cell>
          <cell r="C22">
            <v>43415</v>
          </cell>
          <cell r="E22">
            <v>1.9637846122942001E-2</v>
          </cell>
        </row>
        <row r="23">
          <cell r="A23" t="str">
            <v>AUD_AONIA_EOD</v>
          </cell>
          <cell r="C23">
            <v>43780</v>
          </cell>
          <cell r="E23">
            <v>2.0910441137073299E-2</v>
          </cell>
        </row>
        <row r="24">
          <cell r="A24" t="str">
            <v>AUD_AONIA_EOD</v>
          </cell>
          <cell r="C24">
            <v>44145</v>
          </cell>
          <cell r="E24">
            <v>2.2286815174100399E-2</v>
          </cell>
        </row>
        <row r="25">
          <cell r="A25" t="str">
            <v>AUD_BBSW_EOD</v>
          </cell>
          <cell r="C25">
            <v>42321</v>
          </cell>
          <cell r="E25">
            <v>1.99994520748366E-2</v>
          </cell>
        </row>
        <row r="26">
          <cell r="A26" t="str">
            <v>AUD_BBSW_EOD</v>
          </cell>
          <cell r="C26">
            <v>42327</v>
          </cell>
          <cell r="E26">
            <v>2.0099573877958601E-2</v>
          </cell>
        </row>
        <row r="27">
          <cell r="A27" t="str">
            <v>AUD_BBSW_EOD</v>
          </cell>
          <cell r="C27">
            <v>42350</v>
          </cell>
          <cell r="E27">
            <v>2.0401528720387498E-2</v>
          </cell>
        </row>
        <row r="28">
          <cell r="A28" t="str">
            <v>AUD_BBSW_EOD</v>
          </cell>
          <cell r="C28">
            <v>42380</v>
          </cell>
          <cell r="E28">
            <v>2.0795382862686101E-2</v>
          </cell>
        </row>
        <row r="29">
          <cell r="A29" t="str">
            <v>AUD_BBSW_EOD</v>
          </cell>
          <cell r="C29">
            <v>42411</v>
          </cell>
          <cell r="E29">
            <v>2.1202365476394602E-2</v>
          </cell>
        </row>
        <row r="30">
          <cell r="A30" t="str">
            <v>AUD_BBSW_EOD</v>
          </cell>
          <cell r="C30">
            <v>42502</v>
          </cell>
          <cell r="E30">
            <v>2.14680740178744E-2</v>
          </cell>
        </row>
        <row r="31">
          <cell r="A31" t="str">
            <v>AUD_BBSW_EOD</v>
          </cell>
          <cell r="C31">
            <v>42593</v>
          </cell>
          <cell r="E31">
            <v>2.12748574613848E-2</v>
          </cell>
        </row>
        <row r="32">
          <cell r="A32" t="str">
            <v>AUD_BBSW_EOD</v>
          </cell>
          <cell r="C32">
            <v>42685</v>
          </cell>
          <cell r="E32">
            <v>2.1092378341105798E-2</v>
          </cell>
        </row>
        <row r="33">
          <cell r="A33" t="str">
            <v>AUD_BBSW_EOD</v>
          </cell>
          <cell r="C33">
            <v>42867</v>
          </cell>
          <cell r="E33">
            <v>2.0922848690134301E-2</v>
          </cell>
        </row>
        <row r="34">
          <cell r="A34" t="str">
            <v>AUD_BBSW_EOD</v>
          </cell>
          <cell r="C34">
            <v>43050</v>
          </cell>
          <cell r="E34">
            <v>2.1192883915088601E-2</v>
          </cell>
        </row>
        <row r="35">
          <cell r="A35" t="str">
            <v>AUD_BBSW_EOD</v>
          </cell>
          <cell r="C35">
            <v>43415</v>
          </cell>
          <cell r="E35">
            <v>2.1905956930827902E-2</v>
          </cell>
        </row>
        <row r="36">
          <cell r="A36" t="str">
            <v>AUD_BBSW_EOD</v>
          </cell>
          <cell r="C36">
            <v>43780</v>
          </cell>
          <cell r="E36">
            <v>2.4294351128667301E-2</v>
          </cell>
        </row>
        <row r="37">
          <cell r="A37" t="str">
            <v>AUD_BBSW_EOD</v>
          </cell>
          <cell r="C37">
            <v>44145</v>
          </cell>
          <cell r="E37">
            <v>2.5510090360287199E-2</v>
          </cell>
        </row>
        <row r="38">
          <cell r="A38" t="str">
            <v>AUD_BBSW_EOD</v>
          </cell>
          <cell r="C38">
            <v>44510</v>
          </cell>
          <cell r="E38">
            <v>2.6736732631029901E-2</v>
          </cell>
        </row>
        <row r="39">
          <cell r="A39" t="str">
            <v>AUD_BBSW_EOD</v>
          </cell>
          <cell r="C39">
            <v>44875</v>
          </cell>
          <cell r="E39">
            <v>2.7963452793012999E-2</v>
          </cell>
        </row>
        <row r="40">
          <cell r="A40" t="str">
            <v>AUD_BBSW_EOD</v>
          </cell>
          <cell r="C40">
            <v>45240</v>
          </cell>
          <cell r="E40">
            <v>2.8879032786677299E-2</v>
          </cell>
        </row>
        <row r="41">
          <cell r="A41" t="str">
            <v>AUD_BBSW_EOD</v>
          </cell>
          <cell r="C41">
            <v>45605</v>
          </cell>
          <cell r="E41">
            <v>2.97911652438505E-2</v>
          </cell>
        </row>
        <row r="42">
          <cell r="A42" t="str">
            <v>AUD_BBSW_EOD</v>
          </cell>
          <cell r="C42">
            <v>45970</v>
          </cell>
          <cell r="E42">
            <v>3.0703297701023601E-2</v>
          </cell>
        </row>
        <row r="43">
          <cell r="A43" t="str">
            <v>AUD_BBSW_EOD</v>
          </cell>
          <cell r="C43">
            <v>46700</v>
          </cell>
          <cell r="E43">
            <v>3.2324919551962303E-2</v>
          </cell>
        </row>
        <row r="44">
          <cell r="A44" t="str">
            <v>AUD_BBSW_EOD</v>
          </cell>
          <cell r="C44">
            <v>47795</v>
          </cell>
          <cell r="E44">
            <v>3.3856228493542001E-2</v>
          </cell>
        </row>
        <row r="45">
          <cell r="A45" t="str">
            <v>AUD_BBSW_EOD</v>
          </cell>
          <cell r="C45">
            <v>49620</v>
          </cell>
          <cell r="E45">
            <v>3.5281811564070203E-2</v>
          </cell>
        </row>
        <row r="46">
          <cell r="A46" t="str">
            <v>AUD_BBSW_EOD</v>
          </cell>
          <cell r="C46">
            <v>51445</v>
          </cell>
          <cell r="E46">
            <v>3.5766151242589798E-2</v>
          </cell>
        </row>
        <row r="47">
          <cell r="A47" t="str">
            <v>AUD_BBSW_EOD</v>
          </cell>
          <cell r="C47">
            <v>53270</v>
          </cell>
          <cell r="E47">
            <v>3.5083458842611402E-2</v>
          </cell>
        </row>
        <row r="48">
          <cell r="A48" t="str">
            <v>CAD_CDOR_EOD</v>
          </cell>
          <cell r="C48">
            <v>42321</v>
          </cell>
          <cell r="E48">
            <v>4.9999657537035504E-3</v>
          </cell>
        </row>
        <row r="49">
          <cell r="A49" t="str">
            <v>CAD_CDOR_EOD</v>
          </cell>
          <cell r="C49">
            <v>42327</v>
          </cell>
          <cell r="E49">
            <v>5.6638303122607796E-3</v>
          </cell>
        </row>
        <row r="50">
          <cell r="A50" t="str">
            <v>CAD_CDOR_EOD</v>
          </cell>
          <cell r="C50">
            <v>42350</v>
          </cell>
          <cell r="E50">
            <v>8.0035894044224003E-3</v>
          </cell>
        </row>
        <row r="51">
          <cell r="A51" t="str">
            <v>CAD_CDOR_EOD</v>
          </cell>
          <cell r="C51">
            <v>42380</v>
          </cell>
          <cell r="E51">
            <v>8.1919509481732204E-3</v>
          </cell>
        </row>
        <row r="52">
          <cell r="A52" t="str">
            <v>CAD_CDOR_EOD</v>
          </cell>
          <cell r="C52">
            <v>42411</v>
          </cell>
          <cell r="E52">
            <v>8.1752377757824107E-3</v>
          </cell>
        </row>
        <row r="53">
          <cell r="A53" t="str">
            <v>CAD_CDOR_EOD</v>
          </cell>
          <cell r="C53">
            <v>42502</v>
          </cell>
          <cell r="E53">
            <v>8.12486462474671E-3</v>
          </cell>
        </row>
        <row r="54">
          <cell r="A54" t="str">
            <v>CAD_CDOR_EOD</v>
          </cell>
          <cell r="C54">
            <v>42593</v>
          </cell>
          <cell r="E54">
            <v>8.1117716913227805E-3</v>
          </cell>
        </row>
        <row r="55">
          <cell r="A55" t="str">
            <v>CAD_CDOR_EOD</v>
          </cell>
          <cell r="C55">
            <v>42685</v>
          </cell>
          <cell r="E55">
            <v>8.1690357431490404E-3</v>
          </cell>
        </row>
        <row r="56">
          <cell r="A56" t="str">
            <v>CAD_CDOR_EOD</v>
          </cell>
          <cell r="C56">
            <v>42867</v>
          </cell>
          <cell r="E56">
            <v>8.6262281810069296E-3</v>
          </cell>
        </row>
        <row r="57">
          <cell r="A57" t="str">
            <v>CAD_CDOR_EOD</v>
          </cell>
          <cell r="C57">
            <v>43050</v>
          </cell>
          <cell r="E57">
            <v>9.1580003806223595E-3</v>
          </cell>
        </row>
        <row r="58">
          <cell r="A58" t="str">
            <v>CAD_CDOR_EOD</v>
          </cell>
          <cell r="C58">
            <v>43415</v>
          </cell>
          <cell r="E58">
            <v>1.04061378751974E-2</v>
          </cell>
        </row>
        <row r="59">
          <cell r="A59" t="str">
            <v>CAD_CDOR_EOD</v>
          </cell>
          <cell r="C59">
            <v>43780</v>
          </cell>
          <cell r="E59">
            <v>1.17307103169057E-2</v>
          </cell>
        </row>
        <row r="60">
          <cell r="A60" t="str">
            <v>CAD_CDOR_EOD</v>
          </cell>
          <cell r="C60">
            <v>44145</v>
          </cell>
          <cell r="E60">
            <v>1.3220641079820499E-2</v>
          </cell>
        </row>
        <row r="61">
          <cell r="A61" t="str">
            <v>CAD_CDOR_EOD</v>
          </cell>
          <cell r="C61">
            <v>44510</v>
          </cell>
          <cell r="E61">
            <v>1.4823940878093101E-2</v>
          </cell>
        </row>
        <row r="62">
          <cell r="A62" t="str">
            <v>CAD_CDOR_EOD</v>
          </cell>
          <cell r="C62">
            <v>44875</v>
          </cell>
          <cell r="E62">
            <v>1.6449441461831998E-2</v>
          </cell>
        </row>
        <row r="63">
          <cell r="A63" t="str">
            <v>CAD_CDOR_EOD</v>
          </cell>
          <cell r="C63">
            <v>45240</v>
          </cell>
          <cell r="E63">
            <v>1.80148118905008E-2</v>
          </cell>
        </row>
        <row r="64">
          <cell r="A64" t="str">
            <v>CAD_CDOR_EOD</v>
          </cell>
          <cell r="C64">
            <v>45605</v>
          </cell>
          <cell r="E64">
            <v>1.9489868740090101E-2</v>
          </cell>
        </row>
        <row r="65">
          <cell r="A65" t="str">
            <v>CAD_CDOR_EOD</v>
          </cell>
          <cell r="C65">
            <v>45970</v>
          </cell>
          <cell r="E65">
            <v>2.0758843271460999E-2</v>
          </cell>
        </row>
        <row r="66">
          <cell r="A66" t="str">
            <v>CAD_CDOR_EOD</v>
          </cell>
          <cell r="C66">
            <v>46700</v>
          </cell>
          <cell r="E66">
            <v>2.2963625663993299E-2</v>
          </cell>
        </row>
        <row r="67">
          <cell r="A67" t="str">
            <v>CAD_CDOR_EOD</v>
          </cell>
          <cell r="C67">
            <v>47795</v>
          </cell>
          <cell r="E67">
            <v>2.5293334608334099E-2</v>
          </cell>
        </row>
        <row r="68">
          <cell r="A68" t="str">
            <v>CAD_CDOR_EOD</v>
          </cell>
          <cell r="C68">
            <v>49620</v>
          </cell>
          <cell r="E68">
            <v>2.6729190826917701E-2</v>
          </cell>
        </row>
        <row r="69">
          <cell r="A69" t="str">
            <v>CAD_CDOR_EOD</v>
          </cell>
          <cell r="C69">
            <v>51445</v>
          </cell>
          <cell r="E69">
            <v>2.66276775411869E-2</v>
          </cell>
        </row>
        <row r="70">
          <cell r="A70" t="str">
            <v>CAD_CDOR_EOD</v>
          </cell>
          <cell r="C70">
            <v>53270</v>
          </cell>
          <cell r="E70">
            <v>2.6351178085131901E-2</v>
          </cell>
        </row>
        <row r="71">
          <cell r="A71" t="str">
            <v>CAD_CORRA_EOD</v>
          </cell>
          <cell r="C71">
            <v>42321</v>
          </cell>
          <cell r="E71">
            <v>4.9999657537035504E-3</v>
          </cell>
        </row>
        <row r="72">
          <cell r="A72" t="str">
            <v>CAD_CORRA_EOD</v>
          </cell>
          <cell r="C72">
            <v>42327</v>
          </cell>
          <cell r="E72">
            <v>4.9998116554000899E-3</v>
          </cell>
        </row>
        <row r="73">
          <cell r="A73" t="str">
            <v>CAD_CORRA_EOD</v>
          </cell>
          <cell r="C73">
            <v>42334</v>
          </cell>
          <cell r="E73">
            <v>4.9971613196178504E-3</v>
          </cell>
        </row>
        <row r="74">
          <cell r="A74" t="str">
            <v>CAD_CORRA_EOD</v>
          </cell>
          <cell r="C74">
            <v>42341</v>
          </cell>
          <cell r="E74">
            <v>4.9940992247642499E-3</v>
          </cell>
        </row>
        <row r="75">
          <cell r="A75" t="str">
            <v>CAD_CORRA_EOD</v>
          </cell>
          <cell r="C75">
            <v>42350</v>
          </cell>
          <cell r="E75">
            <v>4.9901622456667597E-3</v>
          </cell>
        </row>
        <row r="76">
          <cell r="A76" t="str">
            <v>CAD_CORRA_EOD</v>
          </cell>
          <cell r="C76">
            <v>42380</v>
          </cell>
          <cell r="E76">
            <v>4.9836053423346601E-3</v>
          </cell>
        </row>
        <row r="77">
          <cell r="A77" t="str">
            <v>CAD_CORRA_EOD</v>
          </cell>
          <cell r="C77">
            <v>42411</v>
          </cell>
          <cell r="E77">
            <v>4.9694964581652101E-3</v>
          </cell>
        </row>
        <row r="78">
          <cell r="A78" t="str">
            <v>CAD_CORRA_EOD</v>
          </cell>
          <cell r="C78">
            <v>42441</v>
          </cell>
          <cell r="E78">
            <v>4.9570574652299899E-3</v>
          </cell>
        </row>
        <row r="79">
          <cell r="A79" t="str">
            <v>CAD_CORRA_EOD</v>
          </cell>
          <cell r="C79">
            <v>42472</v>
          </cell>
          <cell r="E79">
            <v>4.9504230559634498E-3</v>
          </cell>
        </row>
        <row r="80">
          <cell r="A80" t="str">
            <v>CAD_CORRA_EOD</v>
          </cell>
          <cell r="C80">
            <v>42502</v>
          </cell>
          <cell r="E80">
            <v>4.9603915969704902E-3</v>
          </cell>
        </row>
        <row r="81">
          <cell r="A81" t="str">
            <v>CAD_CORRA_EOD</v>
          </cell>
          <cell r="C81">
            <v>42532</v>
          </cell>
          <cell r="E81">
            <v>4.9767621436533696E-3</v>
          </cell>
        </row>
        <row r="82">
          <cell r="A82" t="str">
            <v>CAD_CORRA_EOD</v>
          </cell>
          <cell r="C82">
            <v>42563</v>
          </cell>
          <cell r="E82">
            <v>4.9912682799977404E-3</v>
          </cell>
        </row>
        <row r="83">
          <cell r="A83" t="str">
            <v>CAD_CORRA_EOD</v>
          </cell>
          <cell r="C83">
            <v>42593</v>
          </cell>
          <cell r="E83">
            <v>4.9965573894166799E-3</v>
          </cell>
        </row>
        <row r="84">
          <cell r="A84" t="str">
            <v>CAD_CORRA_EOD</v>
          </cell>
          <cell r="C84">
            <v>42624</v>
          </cell>
          <cell r="E84">
            <v>5.0271068562834304E-3</v>
          </cell>
        </row>
        <row r="85">
          <cell r="A85" t="str">
            <v>CAD_CORRA_EOD</v>
          </cell>
          <cell r="C85">
            <v>42654</v>
          </cell>
          <cell r="E85">
            <v>5.0561505135680298E-3</v>
          </cell>
        </row>
        <row r="86">
          <cell r="A86" t="str">
            <v>CAD_CORRA_EOD</v>
          </cell>
          <cell r="C86">
            <v>42685</v>
          </cell>
          <cell r="E86">
            <v>5.0975320619657399E-3</v>
          </cell>
        </row>
        <row r="87">
          <cell r="A87" t="str">
            <v>CAD_CORRA_EOD</v>
          </cell>
          <cell r="C87">
            <v>42776</v>
          </cell>
          <cell r="E87">
            <v>5.2987788168911403E-3</v>
          </cell>
        </row>
        <row r="88">
          <cell r="A88" t="str">
            <v>CAD_CORRA_EOD</v>
          </cell>
          <cell r="C88">
            <v>42867</v>
          </cell>
          <cell r="E88">
            <v>5.5026644789385902E-3</v>
          </cell>
        </row>
        <row r="89">
          <cell r="A89" t="str">
            <v>CAD_CORRA_EOD</v>
          </cell>
          <cell r="C89">
            <v>42958</v>
          </cell>
          <cell r="E89">
            <v>5.8477462694258896E-3</v>
          </cell>
        </row>
        <row r="90">
          <cell r="A90" t="str">
            <v>CAD_CORRA_EOD</v>
          </cell>
          <cell r="C90">
            <v>43050</v>
          </cell>
          <cell r="E90">
            <v>6.2014865675321003E-3</v>
          </cell>
        </row>
        <row r="91">
          <cell r="A91" t="str">
            <v>CAD_CORRA_EOD</v>
          </cell>
          <cell r="C91">
            <v>43415</v>
          </cell>
          <cell r="E91">
            <v>7.4710367705836502E-3</v>
          </cell>
        </row>
        <row r="92">
          <cell r="A92" t="str">
            <v>CAD_CORRA_EOD</v>
          </cell>
          <cell r="C92">
            <v>43780</v>
          </cell>
          <cell r="E92">
            <v>8.7971850317203806E-3</v>
          </cell>
        </row>
        <row r="93">
          <cell r="A93" t="str">
            <v>CAD_CORRA_EOD</v>
          </cell>
          <cell r="C93">
            <v>44145</v>
          </cell>
          <cell r="E93">
            <v>1.02561767826193E-2</v>
          </cell>
        </row>
        <row r="94">
          <cell r="A94" t="str">
            <v>CHF_LIBOR_EOD</v>
          </cell>
          <cell r="C94">
            <v>42321</v>
          </cell>
          <cell r="E94">
            <v>-7.86786257617598E-3</v>
          </cell>
        </row>
        <row r="95">
          <cell r="A95" t="str">
            <v>CHF_LIBOR_EOD</v>
          </cell>
          <cell r="C95">
            <v>42327</v>
          </cell>
          <cell r="E95">
            <v>-7.9372332507146991E-3</v>
          </cell>
        </row>
        <row r="96">
          <cell r="A96" t="str">
            <v>CHF_LIBOR_EOD</v>
          </cell>
          <cell r="C96">
            <v>42350</v>
          </cell>
          <cell r="E96">
            <v>-8.0087151172821801E-3</v>
          </cell>
        </row>
        <row r="97">
          <cell r="A97" t="str">
            <v>CHF_LIBOR_EOD</v>
          </cell>
          <cell r="C97">
            <v>42380</v>
          </cell>
          <cell r="E97">
            <v>-8.3243529492387502E-3</v>
          </cell>
        </row>
        <row r="98">
          <cell r="A98" t="str">
            <v>CHF_LIBOR_EOD</v>
          </cell>
          <cell r="C98">
            <v>42411</v>
          </cell>
          <cell r="E98">
            <v>-8.7059221506976502E-3</v>
          </cell>
        </row>
        <row r="99">
          <cell r="A99" t="str">
            <v>CHF_LIBOR_EOD</v>
          </cell>
          <cell r="C99">
            <v>42502</v>
          </cell>
          <cell r="E99">
            <v>-9.5307511825053794E-3</v>
          </cell>
        </row>
        <row r="100">
          <cell r="A100" t="str">
            <v>CHF_LIBOR_EOD</v>
          </cell>
          <cell r="C100">
            <v>42593</v>
          </cell>
          <cell r="E100">
            <v>-1.00094429466697E-2</v>
          </cell>
        </row>
        <row r="101">
          <cell r="A101" t="str">
            <v>CHF_LIBOR_EOD</v>
          </cell>
          <cell r="C101">
            <v>42685</v>
          </cell>
          <cell r="E101">
            <v>-1.0305744402194899E-2</v>
          </cell>
        </row>
        <row r="102">
          <cell r="A102" t="str">
            <v>CHF_LIBOR_EOD</v>
          </cell>
          <cell r="C102">
            <v>42867</v>
          </cell>
          <cell r="E102">
            <v>-9.8365432072340699E-3</v>
          </cell>
        </row>
        <row r="103">
          <cell r="A103" t="str">
            <v>CHF_LIBOR_EOD</v>
          </cell>
          <cell r="C103">
            <v>43050</v>
          </cell>
          <cell r="E103">
            <v>-9.1041890226697102E-3</v>
          </cell>
        </row>
        <row r="104">
          <cell r="A104" t="str">
            <v>CHF_LIBOR_EOD</v>
          </cell>
          <cell r="C104">
            <v>43415</v>
          </cell>
          <cell r="E104">
            <v>-8.5690384314343407E-3</v>
          </cell>
        </row>
        <row r="105">
          <cell r="A105" t="str">
            <v>CHF_LIBOR_EOD</v>
          </cell>
          <cell r="C105">
            <v>43780</v>
          </cell>
          <cell r="E105">
            <v>-7.4910888455447201E-3</v>
          </cell>
        </row>
        <row r="106">
          <cell r="A106" t="str">
            <v>CHF_LIBOR_EOD</v>
          </cell>
          <cell r="C106">
            <v>44145</v>
          </cell>
          <cell r="E106">
            <v>-6.0676663159858002E-3</v>
          </cell>
        </row>
        <row r="107">
          <cell r="A107" t="str">
            <v>CHF_LIBOR_EOD</v>
          </cell>
          <cell r="C107">
            <v>44510</v>
          </cell>
          <cell r="E107">
            <v>-4.5201198872473003E-3</v>
          </cell>
        </row>
        <row r="108">
          <cell r="A108" t="str">
            <v>CHF_LIBOR_EOD</v>
          </cell>
          <cell r="C108">
            <v>44875</v>
          </cell>
          <cell r="E108">
            <v>-2.9635270897933699E-3</v>
          </cell>
        </row>
        <row r="109">
          <cell r="A109" t="str">
            <v>CHF_LIBOR_EOD</v>
          </cell>
          <cell r="C109">
            <v>45240</v>
          </cell>
          <cell r="E109">
            <v>-1.5768074706077799E-3</v>
          </cell>
        </row>
        <row r="110">
          <cell r="A110" t="str">
            <v>CHF_LIBOR_EOD</v>
          </cell>
          <cell r="C110">
            <v>45605</v>
          </cell>
          <cell r="E110">
            <v>-3.2991624917964001E-4</v>
          </cell>
        </row>
        <row r="111">
          <cell r="A111" t="str">
            <v>CHF_LIBOR_EOD</v>
          </cell>
          <cell r="C111">
            <v>45970</v>
          </cell>
          <cell r="E111">
            <v>7.5252750118307997E-4</v>
          </cell>
        </row>
        <row r="112">
          <cell r="A112" t="str">
            <v>CHF_LIBOR_EOD</v>
          </cell>
          <cell r="C112">
            <v>46700</v>
          </cell>
          <cell r="E112">
            <v>2.4337151620653199E-3</v>
          </cell>
        </row>
        <row r="113">
          <cell r="A113" t="str">
            <v>CHF_LIBOR_EOD</v>
          </cell>
          <cell r="C113">
            <v>47795</v>
          </cell>
          <cell r="E113">
            <v>4.3999759260853503E-3</v>
          </cell>
        </row>
        <row r="114">
          <cell r="A114" t="str">
            <v>CHF_LIBOR_EOD</v>
          </cell>
          <cell r="C114">
            <v>49620</v>
          </cell>
          <cell r="E114">
            <v>6.4313041205229004E-3</v>
          </cell>
        </row>
        <row r="115">
          <cell r="A115" t="str">
            <v>CHF_LIBOR_EOD</v>
          </cell>
          <cell r="C115">
            <v>51445</v>
          </cell>
          <cell r="E115">
            <v>7.6712578318295097E-3</v>
          </cell>
        </row>
        <row r="116">
          <cell r="A116" t="str">
            <v>CHF_LIBOR_EOD</v>
          </cell>
          <cell r="C116">
            <v>53270</v>
          </cell>
          <cell r="E116">
            <v>8.3455705331493008E-3</v>
          </cell>
        </row>
        <row r="117">
          <cell r="A117" t="str">
            <v>CHF_TOIS_EOD</v>
          </cell>
          <cell r="C117">
            <v>42321</v>
          </cell>
          <cell r="E117">
            <v>-5.3229554799926601E-3</v>
          </cell>
        </row>
        <row r="118">
          <cell r="A118" t="str">
            <v>CHF_TOIS_EOD</v>
          </cell>
          <cell r="C118">
            <v>42327</v>
          </cell>
          <cell r="E118">
            <v>-5.3885489928898701E-3</v>
          </cell>
        </row>
        <row r="119">
          <cell r="A119" t="str">
            <v>CHF_TOIS_EOD</v>
          </cell>
          <cell r="C119">
            <v>42334</v>
          </cell>
          <cell r="E119">
            <v>-5.4971050881721202E-3</v>
          </cell>
        </row>
        <row r="120">
          <cell r="A120" t="str">
            <v>CHF_TOIS_EOD</v>
          </cell>
          <cell r="C120">
            <v>42341</v>
          </cell>
          <cell r="E120">
            <v>-5.6056611834543702E-3</v>
          </cell>
        </row>
        <row r="121">
          <cell r="A121" t="str">
            <v>CHF_TOIS_EOD</v>
          </cell>
          <cell r="C121">
            <v>42350</v>
          </cell>
          <cell r="E121">
            <v>-5.7452333059601199E-3</v>
          </cell>
        </row>
        <row r="122">
          <cell r="A122" t="str">
            <v>CHF_TOIS_EOD</v>
          </cell>
          <cell r="C122">
            <v>42380</v>
          </cell>
          <cell r="E122">
            <v>-6.1827625428535803E-3</v>
          </cell>
        </row>
        <row r="123">
          <cell r="A123" t="str">
            <v>CHF_TOIS_EOD</v>
          </cell>
          <cell r="C123">
            <v>42411</v>
          </cell>
          <cell r="E123">
            <v>-6.7786581702337402E-3</v>
          </cell>
        </row>
        <row r="124">
          <cell r="A124" t="str">
            <v>CHF_TOIS_EOD</v>
          </cell>
          <cell r="C124">
            <v>42441</v>
          </cell>
          <cell r="E124">
            <v>-7.3200737556959302E-3</v>
          </cell>
        </row>
        <row r="125">
          <cell r="A125" t="str">
            <v>CHF_TOIS_EOD</v>
          </cell>
          <cell r="C125">
            <v>42472</v>
          </cell>
          <cell r="E125">
            <v>-7.65388868296715E-3</v>
          </cell>
        </row>
        <row r="126">
          <cell r="A126" t="str">
            <v>CHF_TOIS_EOD</v>
          </cell>
          <cell r="C126">
            <v>42502</v>
          </cell>
          <cell r="E126">
            <v>-7.9366766882608408E-3</v>
          </cell>
        </row>
        <row r="127">
          <cell r="A127" t="str">
            <v>CHF_TOIS_EOD</v>
          </cell>
          <cell r="C127">
            <v>42532</v>
          </cell>
          <cell r="E127">
            <v>-8.2033143870200304E-3</v>
          </cell>
        </row>
        <row r="128">
          <cell r="A128" t="str">
            <v>CHF_TOIS_EOD</v>
          </cell>
          <cell r="C128">
            <v>42563</v>
          </cell>
          <cell r="E128">
            <v>-8.3586661303383502E-3</v>
          </cell>
        </row>
        <row r="129">
          <cell r="A129" t="str">
            <v>CHF_TOIS_EOD</v>
          </cell>
          <cell r="C129">
            <v>42593</v>
          </cell>
          <cell r="E129">
            <v>-8.5137299094001605E-3</v>
          </cell>
        </row>
        <row r="130">
          <cell r="A130" t="str">
            <v>CHF_TOIS_EOD</v>
          </cell>
          <cell r="C130">
            <v>42624</v>
          </cell>
          <cell r="E130">
            <v>-8.6243546672513799E-3</v>
          </cell>
        </row>
        <row r="131">
          <cell r="A131" t="str">
            <v>CHF_TOIS_EOD</v>
          </cell>
          <cell r="C131">
            <v>42654</v>
          </cell>
          <cell r="E131">
            <v>-8.7300178120834297E-3</v>
          </cell>
        </row>
        <row r="132">
          <cell r="A132" t="str">
            <v>CHF_TOIS_EOD</v>
          </cell>
          <cell r="C132">
            <v>42685</v>
          </cell>
          <cell r="E132">
            <v>-8.8489365944054692E-3</v>
          </cell>
        </row>
        <row r="133">
          <cell r="A133" t="str">
            <v>CHF_TOIS_EOD</v>
          </cell>
          <cell r="C133">
            <v>42776</v>
          </cell>
          <cell r="E133">
            <v>-8.9772877873522706E-3</v>
          </cell>
        </row>
        <row r="134">
          <cell r="A134" t="str">
            <v>CHF_TOIS_EOD</v>
          </cell>
          <cell r="C134">
            <v>42867</v>
          </cell>
          <cell r="E134">
            <v>-9.1093631888184805E-3</v>
          </cell>
        </row>
        <row r="135">
          <cell r="A135" t="str">
            <v>CHF_TOIS_EOD</v>
          </cell>
          <cell r="C135">
            <v>42958</v>
          </cell>
          <cell r="E135">
            <v>-9.1309928440529101E-3</v>
          </cell>
        </row>
        <row r="136">
          <cell r="A136" t="str">
            <v>CHF_TOIS_EOD</v>
          </cell>
          <cell r="C136">
            <v>43050</v>
          </cell>
          <cell r="E136">
            <v>-9.0771879815020398E-3</v>
          </cell>
        </row>
        <row r="137">
          <cell r="A137" t="str">
            <v>CHF_TOIS_EOD</v>
          </cell>
          <cell r="C137">
            <v>43415</v>
          </cell>
          <cell r="E137">
            <v>-8.8518085125243208E-3</v>
          </cell>
        </row>
        <row r="138">
          <cell r="A138" t="str">
            <v>CHF_TOIS_EOD</v>
          </cell>
          <cell r="C138">
            <v>43780</v>
          </cell>
          <cell r="E138">
            <v>-8.0360542498863902E-3</v>
          </cell>
        </row>
        <row r="139">
          <cell r="A139" t="str">
            <v>CHF_TOIS_EOD</v>
          </cell>
          <cell r="C139">
            <v>44145</v>
          </cell>
          <cell r="E139">
            <v>-7.09756931751678E-3</v>
          </cell>
        </row>
        <row r="140">
          <cell r="A140" t="str">
            <v>CHF_TOIS_EOD</v>
          </cell>
          <cell r="C140">
            <v>44510</v>
          </cell>
          <cell r="E140">
            <v>-5.7989221547165397E-3</v>
          </cell>
        </row>
        <row r="141">
          <cell r="A141" t="str">
            <v>CHF_TOIS_EOD</v>
          </cell>
          <cell r="C141">
            <v>44875</v>
          </cell>
          <cell r="E141">
            <v>-4.4828221678702204E-3</v>
          </cell>
        </row>
        <row r="142">
          <cell r="A142" t="str">
            <v>CHF_TOIS_EOD</v>
          </cell>
          <cell r="C142">
            <v>45240</v>
          </cell>
          <cell r="E142">
            <v>-3.1857437367636501E-3</v>
          </cell>
        </row>
        <row r="143">
          <cell r="A143" t="str">
            <v>CHF_TOIS_EOD</v>
          </cell>
          <cell r="C143">
            <v>45605</v>
          </cell>
          <cell r="E143">
            <v>-2.0423388076971499E-3</v>
          </cell>
        </row>
        <row r="144">
          <cell r="A144" t="str">
            <v>CHF_TOIS_EOD</v>
          </cell>
          <cell r="C144">
            <v>45970</v>
          </cell>
          <cell r="E144">
            <v>-9.5890346196070004E-4</v>
          </cell>
        </row>
        <row r="145">
          <cell r="A145" t="str">
            <v>CHF_TOIS_EOD</v>
          </cell>
          <cell r="C145">
            <v>46700</v>
          </cell>
          <cell r="E145">
            <v>8.6014064708601998E-4</v>
          </cell>
        </row>
        <row r="146">
          <cell r="A146" t="str">
            <v>CHF_TOIS_EOD</v>
          </cell>
          <cell r="C146">
            <v>47795</v>
          </cell>
          <cell r="E146">
            <v>2.7987295636585801E-3</v>
          </cell>
        </row>
        <row r="147">
          <cell r="A147" t="str">
            <v>CHF_TOIS_EOD</v>
          </cell>
          <cell r="C147">
            <v>49620</v>
          </cell>
          <cell r="E147">
            <v>4.9348177827609196E-3</v>
          </cell>
        </row>
        <row r="148">
          <cell r="A148" t="str">
            <v>CHF_TOIS_EOD</v>
          </cell>
          <cell r="C148">
            <v>51445</v>
          </cell>
          <cell r="E148">
            <v>6.23240633568364E-3</v>
          </cell>
        </row>
        <row r="149">
          <cell r="A149" t="str">
            <v>CHF_TOIS_EOD</v>
          </cell>
          <cell r="C149">
            <v>53270</v>
          </cell>
          <cell r="E149">
            <v>6.99139287661591E-3</v>
          </cell>
        </row>
        <row r="150">
          <cell r="A150" t="str">
            <v>CZK_PRIBOR_EOD</v>
          </cell>
          <cell r="C150">
            <v>42321</v>
          </cell>
          <cell r="E150">
            <v>1.31805317577322E-3</v>
          </cell>
        </row>
        <row r="151">
          <cell r="A151" t="str">
            <v>CZK_PRIBOR_EOD</v>
          </cell>
          <cell r="C151">
            <v>42327</v>
          </cell>
          <cell r="E151">
            <v>1.3456974747231901E-3</v>
          </cell>
        </row>
        <row r="152">
          <cell r="A152" t="str">
            <v>CZK_PRIBOR_EOD</v>
          </cell>
          <cell r="C152">
            <v>42350</v>
          </cell>
          <cell r="E152">
            <v>1.8464669199472501E-3</v>
          </cell>
        </row>
        <row r="153">
          <cell r="A153" t="str">
            <v>CZK_PRIBOR_EOD</v>
          </cell>
          <cell r="C153">
            <v>42380</v>
          </cell>
          <cell r="E153">
            <v>2.2016423369606102E-3</v>
          </cell>
        </row>
        <row r="154">
          <cell r="A154" t="str">
            <v>CZK_PRIBOR_EOD</v>
          </cell>
          <cell r="C154">
            <v>42411</v>
          </cell>
          <cell r="E154">
            <v>2.7680776808671698E-3</v>
          </cell>
        </row>
        <row r="155">
          <cell r="A155" t="str">
            <v>CZK_PRIBOR_EOD</v>
          </cell>
          <cell r="C155">
            <v>42502</v>
          </cell>
          <cell r="E155">
            <v>2.7154954312794701E-3</v>
          </cell>
        </row>
        <row r="156">
          <cell r="A156" t="str">
            <v>CZK_PRIBOR_EOD</v>
          </cell>
          <cell r="C156">
            <v>42593</v>
          </cell>
          <cell r="E156">
            <v>2.4951225492512502E-3</v>
          </cell>
        </row>
        <row r="157">
          <cell r="A157" t="str">
            <v>CZK_PRIBOR_EOD</v>
          </cell>
          <cell r="C157">
            <v>42685</v>
          </cell>
          <cell r="E157">
            <v>2.3183762561624398E-3</v>
          </cell>
        </row>
        <row r="158">
          <cell r="A158" t="str">
            <v>CZK_PRIBOR_EOD</v>
          </cell>
          <cell r="C158">
            <v>42867</v>
          </cell>
          <cell r="E158">
            <v>2.6417223805566101E-3</v>
          </cell>
        </row>
        <row r="159">
          <cell r="A159" t="str">
            <v>CZK_PRIBOR_EOD</v>
          </cell>
          <cell r="C159">
            <v>43050</v>
          </cell>
          <cell r="E159">
            <v>2.9858038042354798E-3</v>
          </cell>
        </row>
        <row r="160">
          <cell r="A160" t="str">
            <v>CZK_PRIBOR_EOD</v>
          </cell>
          <cell r="C160">
            <v>43415</v>
          </cell>
          <cell r="E160">
            <v>3.2055193992619798E-3</v>
          </cell>
        </row>
        <row r="161">
          <cell r="A161" t="str">
            <v>CZK_PRIBOR_EOD</v>
          </cell>
          <cell r="C161">
            <v>43780</v>
          </cell>
          <cell r="E161">
            <v>3.8188403789577901E-3</v>
          </cell>
        </row>
        <row r="162">
          <cell r="A162" t="str">
            <v>CZK_PRIBOR_EOD</v>
          </cell>
          <cell r="C162">
            <v>44145</v>
          </cell>
          <cell r="E162">
            <v>4.5129930589481396E-3</v>
          </cell>
        </row>
        <row r="163">
          <cell r="A163" t="str">
            <v>CZK_PRIBOR_EOD</v>
          </cell>
          <cell r="C163">
            <v>44510</v>
          </cell>
          <cell r="E163">
            <v>5.2907519046658203E-3</v>
          </cell>
        </row>
        <row r="164">
          <cell r="A164" t="str">
            <v>CZK_PRIBOR_EOD</v>
          </cell>
          <cell r="C164">
            <v>44875</v>
          </cell>
          <cell r="E164">
            <v>6.2252791220146703E-3</v>
          </cell>
        </row>
        <row r="165">
          <cell r="A165" t="str">
            <v>CZK_PRIBOR_EOD</v>
          </cell>
          <cell r="C165">
            <v>45240</v>
          </cell>
          <cell r="E165">
            <v>7.19973226360833E-3</v>
          </cell>
        </row>
        <row r="166">
          <cell r="A166" t="str">
            <v>CZK_PRIBOR_EOD</v>
          </cell>
          <cell r="C166">
            <v>45605</v>
          </cell>
          <cell r="E166">
            <v>8.2119700606691198E-3</v>
          </cell>
        </row>
        <row r="167">
          <cell r="A167" t="str">
            <v>CZK_PRIBOR_EOD</v>
          </cell>
          <cell r="C167">
            <v>45970</v>
          </cell>
          <cell r="E167">
            <v>9.1701306231336804E-3</v>
          </cell>
        </row>
        <row r="168">
          <cell r="A168" t="str">
            <v>CZK_PRIBOR_EOD</v>
          </cell>
          <cell r="C168">
            <v>46700</v>
          </cell>
          <cell r="E168">
            <v>1.07537143419459E-2</v>
          </cell>
        </row>
        <row r="169">
          <cell r="A169" t="str">
            <v>CZK_PRIBOR_EOD</v>
          </cell>
          <cell r="C169">
            <v>47795</v>
          </cell>
          <cell r="E169">
            <v>1.26646622441086E-2</v>
          </cell>
        </row>
        <row r="170">
          <cell r="A170" t="str">
            <v>CZK_PRIBOR_EOD</v>
          </cell>
          <cell r="C170">
            <v>49620</v>
          </cell>
          <cell r="E170">
            <v>1.43553976582044E-2</v>
          </cell>
        </row>
        <row r="171">
          <cell r="A171" t="str">
            <v>CZK_PRIBOR_EOD</v>
          </cell>
          <cell r="C171">
            <v>51445</v>
          </cell>
          <cell r="E171">
            <v>1.3868391572295601E-2</v>
          </cell>
        </row>
        <row r="172">
          <cell r="A172" t="str">
            <v>CZK_PRIBOR_EOD</v>
          </cell>
          <cell r="C172">
            <v>53270</v>
          </cell>
          <cell r="E172">
            <v>1.38122118012871E-2</v>
          </cell>
        </row>
        <row r="173">
          <cell r="A173" t="str">
            <v>DKK_CIBOR_EOD</v>
          </cell>
          <cell r="C173">
            <v>42321</v>
          </cell>
          <cell r="E173">
            <v>3.5486093863187999E-4</v>
          </cell>
        </row>
        <row r="174">
          <cell r="A174" t="str">
            <v>DKK_CIBOR_EOD</v>
          </cell>
          <cell r="C174">
            <v>42327</v>
          </cell>
          <cell r="E174">
            <v>-8.0654057065026002E-4</v>
          </cell>
        </row>
        <row r="175">
          <cell r="A175" t="str">
            <v>DKK_CIBOR_EOD</v>
          </cell>
          <cell r="C175">
            <v>42350</v>
          </cell>
          <cell r="E175">
            <v>-2.3840380658904201E-3</v>
          </cell>
        </row>
        <row r="176">
          <cell r="A176" t="str">
            <v>DKK_CIBOR_EOD</v>
          </cell>
          <cell r="C176">
            <v>42380</v>
          </cell>
          <cell r="E176">
            <v>-2.19673657039303E-3</v>
          </cell>
        </row>
        <row r="177">
          <cell r="A177" t="str">
            <v>DKK_CIBOR_EOD</v>
          </cell>
          <cell r="C177">
            <v>42411</v>
          </cell>
          <cell r="E177">
            <v>-1.95342073180786E-3</v>
          </cell>
        </row>
        <row r="178">
          <cell r="A178" t="str">
            <v>DKK_CIBOR_EOD</v>
          </cell>
          <cell r="C178">
            <v>42502</v>
          </cell>
          <cell r="E178">
            <v>-1.53852085595467E-3</v>
          </cell>
        </row>
        <row r="179">
          <cell r="A179" t="str">
            <v>DKK_CIBOR_EOD</v>
          </cell>
          <cell r="C179">
            <v>42593</v>
          </cell>
          <cell r="E179">
            <v>-1.33145637351821E-3</v>
          </cell>
        </row>
        <row r="180">
          <cell r="A180" t="str">
            <v>DKK_CIBOR_EOD</v>
          </cell>
          <cell r="C180">
            <v>42685</v>
          </cell>
          <cell r="E180">
            <v>-1.1318966706869099E-3</v>
          </cell>
        </row>
        <row r="181">
          <cell r="A181" t="str">
            <v>DKK_CIBOR_EOD</v>
          </cell>
          <cell r="C181">
            <v>42867</v>
          </cell>
          <cell r="E181">
            <v>-6.8543980751975997E-4</v>
          </cell>
        </row>
        <row r="182">
          <cell r="A182" t="str">
            <v>DKK_CIBOR_EOD</v>
          </cell>
          <cell r="C182">
            <v>43050</v>
          </cell>
          <cell r="E182">
            <v>1.3218912823421401E-3</v>
          </cell>
        </row>
        <row r="183">
          <cell r="A183" t="str">
            <v>DKK_CIBOR_EOD</v>
          </cell>
          <cell r="C183">
            <v>43415</v>
          </cell>
          <cell r="E183">
            <v>2.59743900631866E-3</v>
          </cell>
        </row>
        <row r="184">
          <cell r="A184" t="str">
            <v>DKK_CIBOR_EOD</v>
          </cell>
          <cell r="C184">
            <v>43780</v>
          </cell>
          <cell r="E184">
            <v>4.1616913505934904E-3</v>
          </cell>
        </row>
        <row r="185">
          <cell r="A185" t="str">
            <v>DKK_CIBOR_EOD</v>
          </cell>
          <cell r="C185">
            <v>44145</v>
          </cell>
          <cell r="E185">
            <v>5.7828155310266699E-3</v>
          </cell>
        </row>
        <row r="186">
          <cell r="A186" t="str">
            <v>DKK_CIBOR_EOD</v>
          </cell>
          <cell r="C186">
            <v>44510</v>
          </cell>
          <cell r="E186">
            <v>7.3909286710268102E-3</v>
          </cell>
        </row>
        <row r="187">
          <cell r="A187" t="str">
            <v>DKK_CIBOR_EOD</v>
          </cell>
          <cell r="C187">
            <v>44875</v>
          </cell>
          <cell r="E187">
            <v>8.9827841656120594E-3</v>
          </cell>
        </row>
        <row r="188">
          <cell r="A188" t="str">
            <v>DKK_CIBOR_EOD</v>
          </cell>
          <cell r="C188">
            <v>45240</v>
          </cell>
          <cell r="E188">
            <v>1.05029298749337E-2</v>
          </cell>
        </row>
        <row r="189">
          <cell r="A189" t="str">
            <v>DKK_CIBOR_EOD</v>
          </cell>
          <cell r="C189">
            <v>45605</v>
          </cell>
          <cell r="E189">
            <v>1.18899837505239E-2</v>
          </cell>
        </row>
        <row r="190">
          <cell r="A190" t="str">
            <v>DKK_CIBOR_EOD</v>
          </cell>
          <cell r="C190">
            <v>45970</v>
          </cell>
          <cell r="E190">
            <v>1.31259090650864E-2</v>
          </cell>
        </row>
        <row r="191">
          <cell r="A191" t="str">
            <v>DKK_CIBOR_EOD</v>
          </cell>
          <cell r="C191">
            <v>46700</v>
          </cell>
          <cell r="E191">
            <v>1.52477828408445E-2</v>
          </cell>
        </row>
        <row r="192">
          <cell r="A192" t="str">
            <v>DKK_CIBOR_EOD</v>
          </cell>
          <cell r="C192">
            <v>47795</v>
          </cell>
          <cell r="E192">
            <v>1.7446579338693501E-2</v>
          </cell>
        </row>
        <row r="193">
          <cell r="A193" t="str">
            <v>DKK_CIBOR_EOD</v>
          </cell>
          <cell r="C193">
            <v>49620</v>
          </cell>
          <cell r="E193">
            <v>1.9251017778204E-2</v>
          </cell>
        </row>
        <row r="194">
          <cell r="A194" t="str">
            <v>DKK_CIBOR_EOD</v>
          </cell>
          <cell r="C194">
            <v>51445</v>
          </cell>
          <cell r="E194">
            <v>1.9603975199976802E-2</v>
          </cell>
        </row>
        <row r="195">
          <cell r="A195" t="str">
            <v>DKK_CIBOR_EOD</v>
          </cell>
          <cell r="C195">
            <v>53270</v>
          </cell>
          <cell r="E195">
            <v>1.9579707785556101E-2</v>
          </cell>
        </row>
        <row r="196">
          <cell r="A196" t="str">
            <v>EUR_EONIA_EOD</v>
          </cell>
          <cell r="C196">
            <v>42321</v>
          </cell>
          <cell r="E196">
            <v>-1.3991693484431101E-3</v>
          </cell>
        </row>
        <row r="197">
          <cell r="A197" t="str">
            <v>EUR_EONIA_EOD</v>
          </cell>
          <cell r="C197">
            <v>42327</v>
          </cell>
          <cell r="E197">
            <v>-1.403324501545E-3</v>
          </cell>
        </row>
        <row r="198">
          <cell r="A198" t="str">
            <v>EUR_EONIA_EOD</v>
          </cell>
          <cell r="C198">
            <v>42334</v>
          </cell>
          <cell r="E198">
            <v>-1.40809830378771E-3</v>
          </cell>
        </row>
        <row r="199">
          <cell r="A199" t="str">
            <v>EUR_EONIA_EOD</v>
          </cell>
          <cell r="C199">
            <v>42341</v>
          </cell>
          <cell r="E199">
            <v>-1.4000610624938399E-3</v>
          </cell>
        </row>
        <row r="200">
          <cell r="A200" t="str">
            <v>EUR_EONIA_EOD</v>
          </cell>
          <cell r="C200">
            <v>42350</v>
          </cell>
          <cell r="E200">
            <v>-1.53047913305384E-3</v>
          </cell>
        </row>
        <row r="201">
          <cell r="A201" t="str">
            <v>EUR_EONIA_EOD</v>
          </cell>
          <cell r="C201">
            <v>42380</v>
          </cell>
          <cell r="E201">
            <v>-1.9580324772251701E-3</v>
          </cell>
        </row>
        <row r="202">
          <cell r="A202" t="str">
            <v>EUR_EONIA_EOD</v>
          </cell>
          <cell r="C202">
            <v>42411</v>
          </cell>
          <cell r="E202">
            <v>-2.1841338002373499E-3</v>
          </cell>
        </row>
        <row r="203">
          <cell r="A203" t="str">
            <v>EUR_EONIA_EOD</v>
          </cell>
          <cell r="C203">
            <v>42441</v>
          </cell>
          <cell r="E203">
            <v>-2.3149757694348699E-3</v>
          </cell>
        </row>
        <row r="204">
          <cell r="A204" t="str">
            <v>EUR_EONIA_EOD</v>
          </cell>
          <cell r="C204">
            <v>42472</v>
          </cell>
          <cell r="E204">
            <v>-2.4165986760364602E-3</v>
          </cell>
        </row>
        <row r="205">
          <cell r="A205" t="str">
            <v>EUR_EONIA_EOD</v>
          </cell>
          <cell r="C205">
            <v>42502</v>
          </cell>
          <cell r="E205">
            <v>-2.4924567507378999E-3</v>
          </cell>
        </row>
        <row r="206">
          <cell r="A206" t="str">
            <v>EUR_EONIA_EOD</v>
          </cell>
          <cell r="C206">
            <v>42532</v>
          </cell>
          <cell r="E206">
            <v>-2.5667143491978602E-3</v>
          </cell>
        </row>
        <row r="207">
          <cell r="A207" t="str">
            <v>EUR_EONIA_EOD</v>
          </cell>
          <cell r="C207">
            <v>42563</v>
          </cell>
          <cell r="E207">
            <v>-2.6304417325164302E-3</v>
          </cell>
        </row>
        <row r="208">
          <cell r="A208" t="str">
            <v>EUR_EONIA_EOD</v>
          </cell>
          <cell r="C208">
            <v>42593</v>
          </cell>
          <cell r="E208">
            <v>-2.6846533723254799E-3</v>
          </cell>
        </row>
        <row r="209">
          <cell r="A209" t="str">
            <v>EUR_EONIA_EOD</v>
          </cell>
          <cell r="C209">
            <v>42624</v>
          </cell>
          <cell r="E209">
            <v>-2.7321368791337298E-3</v>
          </cell>
        </row>
        <row r="210">
          <cell r="A210" t="str">
            <v>EUR_EONIA_EOD</v>
          </cell>
          <cell r="C210">
            <v>42654</v>
          </cell>
          <cell r="E210">
            <v>-2.7941152745568098E-3</v>
          </cell>
        </row>
        <row r="211">
          <cell r="A211" t="str">
            <v>EUR_EONIA_EOD</v>
          </cell>
          <cell r="C211">
            <v>42685</v>
          </cell>
          <cell r="E211">
            <v>-2.82397517437824E-3</v>
          </cell>
        </row>
        <row r="212">
          <cell r="A212" t="str">
            <v>EUR_EONIA_EOD</v>
          </cell>
          <cell r="C212">
            <v>42776</v>
          </cell>
          <cell r="E212">
            <v>-2.8578418720037798E-3</v>
          </cell>
        </row>
        <row r="213">
          <cell r="A213" t="str">
            <v>EUR_EONIA_EOD</v>
          </cell>
          <cell r="C213">
            <v>42867</v>
          </cell>
          <cell r="E213">
            <v>-2.86982056977742E-3</v>
          </cell>
        </row>
        <row r="214">
          <cell r="A214" t="str">
            <v>EUR_EONIA_EOD</v>
          </cell>
          <cell r="C214">
            <v>42958</v>
          </cell>
          <cell r="E214">
            <v>-2.89266269034525E-3</v>
          </cell>
        </row>
        <row r="215">
          <cell r="A215" t="str">
            <v>EUR_EONIA_EOD</v>
          </cell>
          <cell r="C215">
            <v>43050</v>
          </cell>
          <cell r="E215">
            <v>-2.7964963063734798E-3</v>
          </cell>
        </row>
        <row r="216">
          <cell r="A216" t="str">
            <v>EUR_EONIA_EOD</v>
          </cell>
          <cell r="C216">
            <v>43415</v>
          </cell>
          <cell r="E216">
            <v>-2.3024273591491099E-3</v>
          </cell>
        </row>
        <row r="217">
          <cell r="A217" t="str">
            <v>EUR_EONIA_EOD</v>
          </cell>
          <cell r="C217">
            <v>43780</v>
          </cell>
          <cell r="E217">
            <v>-1.19284371809869E-3</v>
          </cell>
        </row>
        <row r="218">
          <cell r="A218" t="str">
            <v>EUR_EONIA_EOD</v>
          </cell>
          <cell r="C218">
            <v>44145</v>
          </cell>
          <cell r="E218">
            <v>1.4476091824826E-4</v>
          </cell>
        </row>
        <row r="219">
          <cell r="A219" t="str">
            <v>EUR_EONIA_EOD</v>
          </cell>
          <cell r="C219">
            <v>44510</v>
          </cell>
          <cell r="E219">
            <v>1.6558732144302201E-3</v>
          </cell>
        </row>
        <row r="220">
          <cell r="A220" t="str">
            <v>EUR_EONIA_EOD</v>
          </cell>
          <cell r="C220">
            <v>44875</v>
          </cell>
          <cell r="E220">
            <v>3.2390633328572001E-3</v>
          </cell>
        </row>
        <row r="221">
          <cell r="A221" t="str">
            <v>EUR_EONIA_EOD</v>
          </cell>
          <cell r="C221">
            <v>45240</v>
          </cell>
          <cell r="E221">
            <v>4.7931413145966299E-3</v>
          </cell>
        </row>
        <row r="222">
          <cell r="A222" t="str">
            <v>EUR_EONIA_EOD</v>
          </cell>
          <cell r="C222">
            <v>45605</v>
          </cell>
          <cell r="E222">
            <v>6.2442884486713403E-3</v>
          </cell>
        </row>
        <row r="223">
          <cell r="A223" t="str">
            <v>EUR_EONIA_EOD</v>
          </cell>
          <cell r="C223">
            <v>45970</v>
          </cell>
          <cell r="E223">
            <v>7.5561835513970497E-3</v>
          </cell>
        </row>
        <row r="224">
          <cell r="A224" t="str">
            <v>EUR_EONIA_EOD</v>
          </cell>
          <cell r="C224">
            <v>46700</v>
          </cell>
          <cell r="E224">
            <v>9.8069944326456705E-3</v>
          </cell>
        </row>
        <row r="225">
          <cell r="A225" t="str">
            <v>EUR_EONIA_EOD</v>
          </cell>
          <cell r="C225">
            <v>47795</v>
          </cell>
          <cell r="E225">
            <v>1.2267918788973599E-2</v>
          </cell>
        </row>
        <row r="226">
          <cell r="A226" t="str">
            <v>EUR_EONIA_EOD</v>
          </cell>
          <cell r="C226">
            <v>49620</v>
          </cell>
          <cell r="E226">
            <v>1.46353074066488E-2</v>
          </cell>
        </row>
        <row r="227">
          <cell r="A227" t="str">
            <v>EUR_EONIA_EOD</v>
          </cell>
          <cell r="C227">
            <v>51445</v>
          </cell>
          <cell r="E227">
            <v>1.53598565524247E-2</v>
          </cell>
        </row>
        <row r="228">
          <cell r="A228" t="str">
            <v>EUR_EONIA_EOD</v>
          </cell>
          <cell r="C228">
            <v>53270</v>
          </cell>
          <cell r="E228">
            <v>1.56653963792256E-2</v>
          </cell>
        </row>
        <row r="229">
          <cell r="A229" t="str">
            <v>EUR_EONIA_EOD</v>
          </cell>
          <cell r="C229">
            <v>55095</v>
          </cell>
          <cell r="E229">
            <v>1.58102130351413E-2</v>
          </cell>
        </row>
        <row r="230">
          <cell r="A230" t="str">
            <v>EUR_EONIA_EOD</v>
          </cell>
          <cell r="C230">
            <v>56920</v>
          </cell>
          <cell r="E230">
            <v>1.5953982378933699E-2</v>
          </cell>
        </row>
        <row r="231">
          <cell r="A231" t="str">
            <v>EUR_EONIA_EOD</v>
          </cell>
          <cell r="C231">
            <v>58745</v>
          </cell>
          <cell r="E231">
            <v>1.5733927716634101E-2</v>
          </cell>
        </row>
        <row r="232">
          <cell r="A232" t="str">
            <v>EUR_EONIA_EOD</v>
          </cell>
          <cell r="C232">
            <v>60570</v>
          </cell>
          <cell r="E232">
            <v>1.55110604998975E-2</v>
          </cell>
        </row>
        <row r="233">
          <cell r="A233" t="str">
            <v>EUR_EURIBOR_EOD</v>
          </cell>
          <cell r="C233">
            <v>42321</v>
          </cell>
          <cell r="E233">
            <v>-1.32819686102285E-3</v>
          </cell>
        </row>
        <row r="234">
          <cell r="A234" t="str">
            <v>EUR_EURIBOR_EOD</v>
          </cell>
          <cell r="C234">
            <v>42327</v>
          </cell>
          <cell r="E234">
            <v>-1.3890384648490601E-3</v>
          </cell>
        </row>
        <row r="235">
          <cell r="A235" t="str">
            <v>EUR_EURIBOR_EOD</v>
          </cell>
          <cell r="C235">
            <v>42350</v>
          </cell>
          <cell r="E235">
            <v>-1.3898921097249999E-3</v>
          </cell>
        </row>
        <row r="236">
          <cell r="A236" t="str">
            <v>EUR_EURIBOR_EOD</v>
          </cell>
          <cell r="C236">
            <v>42380</v>
          </cell>
          <cell r="E236">
            <v>-1.3938894831673401E-3</v>
          </cell>
        </row>
        <row r="237">
          <cell r="A237" t="str">
            <v>EUR_EURIBOR_EOD</v>
          </cell>
          <cell r="C237">
            <v>42411</v>
          </cell>
          <cell r="E237">
            <v>-1.4188027358832699E-3</v>
          </cell>
        </row>
        <row r="238">
          <cell r="A238" t="str">
            <v>EUR_EURIBOR_EOD</v>
          </cell>
          <cell r="C238">
            <v>42502</v>
          </cell>
          <cell r="E238">
            <v>-1.56388497901316E-3</v>
          </cell>
        </row>
        <row r="239">
          <cell r="A239" t="str">
            <v>EUR_EURIBOR_EOD</v>
          </cell>
          <cell r="C239">
            <v>42593</v>
          </cell>
          <cell r="E239">
            <v>-1.7213335759016901E-3</v>
          </cell>
        </row>
        <row r="240">
          <cell r="A240" t="str">
            <v>EUR_EURIBOR_EOD</v>
          </cell>
          <cell r="C240">
            <v>42685</v>
          </cell>
          <cell r="E240">
            <v>-1.8288677104544399E-3</v>
          </cell>
        </row>
        <row r="241">
          <cell r="A241" t="str">
            <v>EUR_EURIBOR_EOD</v>
          </cell>
          <cell r="C241">
            <v>42867</v>
          </cell>
          <cell r="E241">
            <v>-1.8993671287521601E-3</v>
          </cell>
        </row>
        <row r="242">
          <cell r="A242" t="str">
            <v>EUR_EURIBOR_EOD</v>
          </cell>
          <cell r="C242">
            <v>43050</v>
          </cell>
          <cell r="E242">
            <v>-1.8123057263058999E-3</v>
          </cell>
        </row>
        <row r="243">
          <cell r="A243" t="str">
            <v>EUR_EURIBOR_EOD</v>
          </cell>
          <cell r="C243">
            <v>43415</v>
          </cell>
          <cell r="E243">
            <v>-1.2380132194493099E-3</v>
          </cell>
        </row>
        <row r="244">
          <cell r="A244" t="str">
            <v>EUR_EURIBOR_EOD</v>
          </cell>
          <cell r="C244">
            <v>43780</v>
          </cell>
          <cell r="E244">
            <v>1.11270338106565E-3</v>
          </cell>
        </row>
        <row r="245">
          <cell r="A245" t="str">
            <v>EUR_EURIBOR_EOD</v>
          </cell>
          <cell r="C245">
            <v>44145</v>
          </cell>
          <cell r="E245">
            <v>2.5170854562554198E-3</v>
          </cell>
        </row>
        <row r="246">
          <cell r="A246" t="str">
            <v>EUR_EURIBOR_EOD</v>
          </cell>
          <cell r="C246">
            <v>44510</v>
          </cell>
          <cell r="E246">
            <v>4.0029640924948897E-3</v>
          </cell>
        </row>
        <row r="247">
          <cell r="A247" t="str">
            <v>EUR_EURIBOR_EOD</v>
          </cell>
          <cell r="C247">
            <v>44875</v>
          </cell>
          <cell r="E247">
            <v>5.5229865985859201E-3</v>
          </cell>
        </row>
        <row r="248">
          <cell r="A248" t="str">
            <v>EUR_EURIBOR_EOD</v>
          </cell>
          <cell r="C248">
            <v>45240</v>
          </cell>
          <cell r="E248">
            <v>7.0054587912628096E-3</v>
          </cell>
        </row>
        <row r="249">
          <cell r="A249" t="str">
            <v>EUR_EURIBOR_EOD</v>
          </cell>
          <cell r="C249">
            <v>45605</v>
          </cell>
          <cell r="E249">
            <v>8.3678417140670997E-3</v>
          </cell>
        </row>
        <row r="250">
          <cell r="A250" t="str">
            <v>EUR_EURIBOR_EOD</v>
          </cell>
          <cell r="C250">
            <v>45970</v>
          </cell>
          <cell r="E250">
            <v>9.5914047547850604E-3</v>
          </cell>
        </row>
        <row r="251">
          <cell r="A251" t="str">
            <v>EUR_EURIBOR_EOD</v>
          </cell>
          <cell r="C251">
            <v>46700</v>
          </cell>
          <cell r="E251">
            <v>1.1687866222044299E-2</v>
          </cell>
        </row>
        <row r="252">
          <cell r="A252" t="str">
            <v>EUR_EURIBOR_EOD</v>
          </cell>
          <cell r="C252">
            <v>47795</v>
          </cell>
          <cell r="E252">
            <v>1.3939606594572799E-2</v>
          </cell>
        </row>
        <row r="253">
          <cell r="A253" t="str">
            <v>EUR_EURIBOR_EOD</v>
          </cell>
          <cell r="C253">
            <v>49620</v>
          </cell>
          <cell r="E253">
            <v>1.5958176036910202E-2</v>
          </cell>
        </row>
        <row r="254">
          <cell r="A254" t="str">
            <v>EUR_EURIBOR_EOD</v>
          </cell>
          <cell r="C254">
            <v>51445</v>
          </cell>
          <cell r="E254">
            <v>1.64604231092737E-2</v>
          </cell>
        </row>
        <row r="255">
          <cell r="A255" t="str">
            <v>EUR_EURIBOR_EOD</v>
          </cell>
          <cell r="C255">
            <v>53270</v>
          </cell>
          <cell r="E255">
            <v>1.65956562035494E-2</v>
          </cell>
        </row>
        <row r="256">
          <cell r="A256" t="str">
            <v>EUR_EURIBOR_EOD</v>
          </cell>
          <cell r="C256">
            <v>55095</v>
          </cell>
          <cell r="E256">
            <v>1.66161360560441E-2</v>
          </cell>
        </row>
        <row r="257">
          <cell r="A257" t="str">
            <v>EUR_EURIBOR_EOD</v>
          </cell>
          <cell r="C257">
            <v>56920</v>
          </cell>
          <cell r="E257">
            <v>1.6635870803371901E-2</v>
          </cell>
        </row>
        <row r="258">
          <cell r="A258" t="str">
            <v>EUR_EURIBOR_EOD</v>
          </cell>
          <cell r="C258">
            <v>58745</v>
          </cell>
          <cell r="E258">
            <v>1.63353982886148E-2</v>
          </cell>
        </row>
        <row r="259">
          <cell r="A259" t="str">
            <v>EUR_EURIBOR_EOD</v>
          </cell>
          <cell r="C259">
            <v>60570</v>
          </cell>
          <cell r="E259">
            <v>1.60324504002138E-2</v>
          </cell>
        </row>
        <row r="260">
          <cell r="A260" t="str">
            <v>EUR_EURIBOR_EOD</v>
          </cell>
          <cell r="C260">
            <v>62395</v>
          </cell>
          <cell r="E260">
            <v>1.5787319557137101E-2</v>
          </cell>
        </row>
        <row r="261">
          <cell r="A261" t="str">
            <v>EUR_EURIBOR_EOD</v>
          </cell>
          <cell r="C261">
            <v>64220</v>
          </cell>
          <cell r="E261">
            <v>1.5542732347783E-2</v>
          </cell>
        </row>
        <row r="262">
          <cell r="A262" t="str">
            <v>GBP_LIBOR_EOD</v>
          </cell>
          <cell r="C262">
            <v>42321</v>
          </cell>
          <cell r="E262">
            <v>4.82496810900557E-3</v>
          </cell>
        </row>
        <row r="263">
          <cell r="A263" t="str">
            <v>GBP_LIBOR_EOD</v>
          </cell>
          <cell r="C263">
            <v>42327</v>
          </cell>
          <cell r="E263">
            <v>4.8622732917089498E-3</v>
          </cell>
        </row>
        <row r="264">
          <cell r="A264" t="str">
            <v>GBP_LIBOR_EOD</v>
          </cell>
          <cell r="C264">
            <v>42350</v>
          </cell>
          <cell r="E264">
            <v>5.0804849779567699E-3</v>
          </cell>
        </row>
        <row r="265">
          <cell r="A265" t="str">
            <v>GBP_LIBOR_EOD</v>
          </cell>
          <cell r="C265">
            <v>42380</v>
          </cell>
          <cell r="E265">
            <v>5.25254572680562E-3</v>
          </cell>
        </row>
        <row r="266">
          <cell r="A266" t="str">
            <v>GBP_LIBOR_EOD</v>
          </cell>
          <cell r="C266">
            <v>42411</v>
          </cell>
          <cell r="E266">
            <v>5.4220335985165902E-3</v>
          </cell>
        </row>
        <row r="267">
          <cell r="A267" t="str">
            <v>GBP_LIBOR_EOD</v>
          </cell>
          <cell r="C267">
            <v>42502</v>
          </cell>
          <cell r="E267">
            <v>5.8129479916598E-3</v>
          </cell>
        </row>
        <row r="268">
          <cell r="A268" t="str">
            <v>GBP_LIBOR_EOD</v>
          </cell>
          <cell r="C268">
            <v>42593</v>
          </cell>
          <cell r="E268">
            <v>6.1957190457399801E-3</v>
          </cell>
        </row>
        <row r="269">
          <cell r="A269" t="str">
            <v>GBP_LIBOR_EOD</v>
          </cell>
          <cell r="C269">
            <v>42685</v>
          </cell>
          <cell r="E269">
            <v>6.6436207603198299E-3</v>
          </cell>
        </row>
        <row r="270">
          <cell r="A270" t="str">
            <v>GBP_LIBOR_EOD</v>
          </cell>
          <cell r="C270">
            <v>42867</v>
          </cell>
          <cell r="E270">
            <v>7.70987535103648E-3</v>
          </cell>
        </row>
        <row r="271">
          <cell r="A271" t="str">
            <v>GBP_LIBOR_EOD</v>
          </cell>
          <cell r="C271">
            <v>43050</v>
          </cell>
          <cell r="E271">
            <v>8.8752470359293699E-3</v>
          </cell>
        </row>
        <row r="272">
          <cell r="A272" t="str">
            <v>GBP_LIBOR_EOD</v>
          </cell>
          <cell r="C272">
            <v>43415</v>
          </cell>
          <cell r="E272">
            <v>1.22827820275136E-2</v>
          </cell>
        </row>
        <row r="273">
          <cell r="A273" t="str">
            <v>GBP_LIBOR_EOD</v>
          </cell>
          <cell r="C273">
            <v>43780</v>
          </cell>
          <cell r="E273">
            <v>1.40498933214281E-2</v>
          </cell>
        </row>
        <row r="274">
          <cell r="A274" t="str">
            <v>GBP_LIBOR_EOD</v>
          </cell>
          <cell r="C274">
            <v>44145</v>
          </cell>
          <cell r="E274">
            <v>1.5513811248416399E-2</v>
          </cell>
        </row>
        <row r="275">
          <cell r="A275" t="str">
            <v>GBP_LIBOR_EOD</v>
          </cell>
          <cell r="C275">
            <v>44510</v>
          </cell>
          <cell r="E275">
            <v>1.6755512877023399E-2</v>
          </cell>
        </row>
        <row r="276">
          <cell r="A276" t="str">
            <v>GBP_LIBOR_EOD</v>
          </cell>
          <cell r="C276">
            <v>44875</v>
          </cell>
          <cell r="E276">
            <v>1.7782890483596998E-2</v>
          </cell>
        </row>
        <row r="277">
          <cell r="A277" t="str">
            <v>GBP_LIBOR_EOD</v>
          </cell>
          <cell r="C277">
            <v>45240</v>
          </cell>
          <cell r="E277">
            <v>1.8633415770140899E-2</v>
          </cell>
        </row>
        <row r="278">
          <cell r="A278" t="str">
            <v>GBP_LIBOR_EOD</v>
          </cell>
          <cell r="C278">
            <v>45605</v>
          </cell>
          <cell r="E278">
            <v>1.9337731154965999E-2</v>
          </cell>
        </row>
        <row r="279">
          <cell r="A279" t="str">
            <v>GBP_LIBOR_EOD</v>
          </cell>
          <cell r="C279">
            <v>45970</v>
          </cell>
          <cell r="E279">
            <v>1.9943140356344501E-2</v>
          </cell>
        </row>
        <row r="280">
          <cell r="A280" t="str">
            <v>GBP_LIBOR_EOD</v>
          </cell>
          <cell r="C280">
            <v>46700</v>
          </cell>
          <cell r="E280">
            <v>2.0899771772707101E-2</v>
          </cell>
        </row>
        <row r="281">
          <cell r="A281" t="str">
            <v>GBP_LIBOR_EOD</v>
          </cell>
          <cell r="C281">
            <v>47795</v>
          </cell>
          <cell r="E281">
            <v>2.1803357105225699E-2</v>
          </cell>
        </row>
        <row r="282">
          <cell r="A282" t="str">
            <v>GBP_LIBOR_EOD</v>
          </cell>
          <cell r="C282">
            <v>49620</v>
          </cell>
          <cell r="E282">
            <v>2.2213703967249299E-2</v>
          </cell>
        </row>
        <row r="283">
          <cell r="A283" t="str">
            <v>GBP_LIBOR_EOD</v>
          </cell>
          <cell r="C283">
            <v>51445</v>
          </cell>
          <cell r="E283">
            <v>2.1927341349193798E-2</v>
          </cell>
        </row>
        <row r="284">
          <cell r="A284" t="str">
            <v>GBP_LIBOR_EOD</v>
          </cell>
          <cell r="C284">
            <v>53270</v>
          </cell>
          <cell r="E284">
            <v>2.1574316544732599E-2</v>
          </cell>
        </row>
        <row r="285">
          <cell r="A285" t="str">
            <v>GBP_LIBOR_EOD</v>
          </cell>
          <cell r="C285">
            <v>55095</v>
          </cell>
          <cell r="E285">
            <v>2.1098130227402801E-2</v>
          </cell>
        </row>
        <row r="286">
          <cell r="A286" t="str">
            <v>GBP_LIBOR_EOD</v>
          </cell>
          <cell r="C286">
            <v>56920</v>
          </cell>
          <cell r="E286">
            <v>2.0621334763795698E-2</v>
          </cell>
        </row>
        <row r="287">
          <cell r="A287" t="str">
            <v>GBP_LIBOR_EOD</v>
          </cell>
          <cell r="C287">
            <v>58745</v>
          </cell>
          <cell r="E287">
            <v>2.0305446149536398E-2</v>
          </cell>
        </row>
        <row r="288">
          <cell r="A288" t="str">
            <v>GBP_LIBOR_EOD</v>
          </cell>
          <cell r="C288">
            <v>60570</v>
          </cell>
          <cell r="E288">
            <v>1.9990444074391898E-2</v>
          </cell>
        </row>
        <row r="289">
          <cell r="A289" t="str">
            <v>GBP_LIBOR_EOD</v>
          </cell>
          <cell r="C289">
            <v>62395</v>
          </cell>
          <cell r="E289">
            <v>1.99846453929001E-2</v>
          </cell>
        </row>
        <row r="290">
          <cell r="A290" t="str">
            <v>GBP_LIBOR_EOD</v>
          </cell>
          <cell r="C290">
            <v>64220</v>
          </cell>
          <cell r="E290">
            <v>1.99810650580515E-2</v>
          </cell>
        </row>
        <row r="291">
          <cell r="A291" t="str">
            <v>GBP_SONIA_EOD</v>
          </cell>
          <cell r="C291">
            <v>42321</v>
          </cell>
          <cell r="E291">
            <v>4.6109708751268502E-3</v>
          </cell>
        </row>
        <row r="292">
          <cell r="A292" t="str">
            <v>GBP_SONIA_EOD</v>
          </cell>
          <cell r="C292">
            <v>42327</v>
          </cell>
          <cell r="E292">
            <v>4.6372937864150102E-3</v>
          </cell>
        </row>
        <row r="293">
          <cell r="A293" t="str">
            <v>GBP_SONIA_EOD</v>
          </cell>
          <cell r="C293">
            <v>42334</v>
          </cell>
          <cell r="E293">
            <v>4.6245898173427101E-3</v>
          </cell>
        </row>
        <row r="294">
          <cell r="A294" t="str">
            <v>GBP_SONIA_EOD</v>
          </cell>
          <cell r="C294">
            <v>42341</v>
          </cell>
          <cell r="E294">
            <v>4.6259397062313502E-3</v>
          </cell>
        </row>
        <row r="295">
          <cell r="A295" t="str">
            <v>GBP_SONIA_EOD</v>
          </cell>
          <cell r="C295">
            <v>42350</v>
          </cell>
          <cell r="E295">
            <v>4.6276752776596101E-3</v>
          </cell>
        </row>
        <row r="296">
          <cell r="A296" t="str">
            <v>GBP_SONIA_EOD</v>
          </cell>
          <cell r="C296">
            <v>42380</v>
          </cell>
          <cell r="E296">
            <v>4.5577758028153299E-3</v>
          </cell>
        </row>
        <row r="297">
          <cell r="A297" t="str">
            <v>GBP_SONIA_EOD</v>
          </cell>
          <cell r="C297">
            <v>42411</v>
          </cell>
          <cell r="E297">
            <v>4.5999655429691498E-3</v>
          </cell>
        </row>
        <row r="298">
          <cell r="A298" t="str">
            <v>GBP_SONIA_EOD</v>
          </cell>
          <cell r="C298">
            <v>42441</v>
          </cell>
          <cell r="E298">
            <v>4.6781776666415297E-3</v>
          </cell>
        </row>
        <row r="299">
          <cell r="A299" t="str">
            <v>GBP_SONIA_EOD</v>
          </cell>
          <cell r="C299">
            <v>42472</v>
          </cell>
          <cell r="E299">
            <v>4.7361596501021199E-3</v>
          </cell>
        </row>
        <row r="300">
          <cell r="A300" t="str">
            <v>GBP_SONIA_EOD</v>
          </cell>
          <cell r="C300">
            <v>42502</v>
          </cell>
          <cell r="E300">
            <v>4.7710703100966399E-3</v>
          </cell>
        </row>
        <row r="301">
          <cell r="A301" t="str">
            <v>GBP_SONIA_EOD</v>
          </cell>
          <cell r="C301">
            <v>42532</v>
          </cell>
          <cell r="E301">
            <v>4.8889782682362704E-3</v>
          </cell>
        </row>
        <row r="302">
          <cell r="A302" t="str">
            <v>GBP_SONIA_EOD</v>
          </cell>
          <cell r="C302">
            <v>42563</v>
          </cell>
          <cell r="E302">
            <v>4.9732577687313104E-3</v>
          </cell>
        </row>
        <row r="303">
          <cell r="A303" t="str">
            <v>GBP_SONIA_EOD</v>
          </cell>
          <cell r="C303">
            <v>42593</v>
          </cell>
          <cell r="E303">
            <v>5.0681707520129696E-3</v>
          </cell>
        </row>
        <row r="304">
          <cell r="A304" t="str">
            <v>GBP_SONIA_EOD</v>
          </cell>
          <cell r="C304">
            <v>42624</v>
          </cell>
          <cell r="E304">
            <v>5.2051824512434099E-3</v>
          </cell>
        </row>
        <row r="305">
          <cell r="A305" t="str">
            <v>GBP_SONIA_EOD</v>
          </cell>
          <cell r="C305">
            <v>42654</v>
          </cell>
          <cell r="E305">
            <v>5.3251304840745903E-3</v>
          </cell>
        </row>
        <row r="306">
          <cell r="A306" t="str">
            <v>GBP_SONIA_EOD</v>
          </cell>
          <cell r="C306">
            <v>42685</v>
          </cell>
          <cell r="E306">
            <v>5.4524204014569401E-3</v>
          </cell>
        </row>
        <row r="307">
          <cell r="A307" t="str">
            <v>GBP_SONIA_EOD</v>
          </cell>
          <cell r="C307">
            <v>42776</v>
          </cell>
          <cell r="E307">
            <v>5.8967223602218498E-3</v>
          </cell>
        </row>
        <row r="308">
          <cell r="A308" t="str">
            <v>GBP_SONIA_EOD</v>
          </cell>
          <cell r="C308">
            <v>42867</v>
          </cell>
          <cell r="E308">
            <v>6.4006574959339603E-3</v>
          </cell>
        </row>
        <row r="309">
          <cell r="A309" t="str">
            <v>GBP_SONIA_EOD</v>
          </cell>
          <cell r="C309">
            <v>42958</v>
          </cell>
          <cell r="E309">
            <v>6.92019674792146E-3</v>
          </cell>
        </row>
        <row r="310">
          <cell r="A310" t="str">
            <v>GBP_SONIA_EOD</v>
          </cell>
          <cell r="C310">
            <v>43050</v>
          </cell>
          <cell r="E310">
            <v>7.4561151995717802E-3</v>
          </cell>
        </row>
        <row r="311">
          <cell r="A311" t="str">
            <v>GBP_SONIA_EOD</v>
          </cell>
          <cell r="C311">
            <v>43415</v>
          </cell>
          <cell r="E311">
            <v>9.3489086913219402E-3</v>
          </cell>
        </row>
        <row r="312">
          <cell r="A312" t="str">
            <v>GBP_SONIA_EOD</v>
          </cell>
          <cell r="C312">
            <v>43780</v>
          </cell>
          <cell r="E312">
            <v>1.0958977905154601E-2</v>
          </cell>
        </row>
        <row r="313">
          <cell r="A313" t="str">
            <v>GBP_SONIA_EOD</v>
          </cell>
          <cell r="C313">
            <v>44145</v>
          </cell>
          <cell r="E313">
            <v>1.2305848438585501E-2</v>
          </cell>
        </row>
        <row r="314">
          <cell r="A314" t="str">
            <v>GBP_SONIA_EOD</v>
          </cell>
          <cell r="C314">
            <v>44510</v>
          </cell>
          <cell r="E314">
            <v>1.35132450795239E-2</v>
          </cell>
        </row>
        <row r="315">
          <cell r="A315" t="str">
            <v>GBP_SONIA_EOD</v>
          </cell>
          <cell r="C315">
            <v>44875</v>
          </cell>
          <cell r="E315">
            <v>1.45582320653199E-2</v>
          </cell>
        </row>
        <row r="316">
          <cell r="A316" t="str">
            <v>GBP_SONIA_EOD</v>
          </cell>
          <cell r="C316">
            <v>45240</v>
          </cell>
          <cell r="E316">
            <v>1.5440150278167201E-2</v>
          </cell>
        </row>
        <row r="317">
          <cell r="A317" t="str">
            <v>GBP_SONIA_EOD</v>
          </cell>
          <cell r="C317">
            <v>45605</v>
          </cell>
          <cell r="E317">
            <v>1.6211057300036701E-2</v>
          </cell>
        </row>
        <row r="318">
          <cell r="A318" t="str">
            <v>GBP_SONIA_EOD</v>
          </cell>
          <cell r="C318">
            <v>45970</v>
          </cell>
          <cell r="E318">
            <v>1.68678131574087E-2</v>
          </cell>
        </row>
        <row r="319">
          <cell r="A319" t="str">
            <v>GBP_SONIA_EOD</v>
          </cell>
          <cell r="C319">
            <v>46700</v>
          </cell>
          <cell r="E319">
            <v>1.80393165066003E-2</v>
          </cell>
        </row>
        <row r="320">
          <cell r="A320" t="str">
            <v>GBP_SONIA_EOD</v>
          </cell>
          <cell r="C320">
            <v>47795</v>
          </cell>
          <cell r="E320">
            <v>1.9213924499116901E-2</v>
          </cell>
        </row>
        <row r="321">
          <cell r="A321" t="str">
            <v>GBP_SONIA_EOD</v>
          </cell>
          <cell r="C321">
            <v>49620</v>
          </cell>
          <cell r="E321">
            <v>2.0023963735561701E-2</v>
          </cell>
        </row>
        <row r="322">
          <cell r="A322" t="str">
            <v>GBP_SONIA_EOD</v>
          </cell>
          <cell r="C322">
            <v>51445</v>
          </cell>
          <cell r="E322">
            <v>1.9999854676402001E-2</v>
          </cell>
        </row>
        <row r="323">
          <cell r="A323" t="str">
            <v>GBP_SONIA_EOD</v>
          </cell>
          <cell r="C323">
            <v>53270</v>
          </cell>
          <cell r="E323">
            <v>1.9829534143390101E-2</v>
          </cell>
        </row>
        <row r="324">
          <cell r="A324" t="str">
            <v>GBP_SONIA_EOD</v>
          </cell>
          <cell r="C324">
            <v>55095</v>
          </cell>
          <cell r="E324">
            <v>1.9466413619767298E-2</v>
          </cell>
        </row>
        <row r="325">
          <cell r="A325" t="str">
            <v>GBP_SONIA_EOD</v>
          </cell>
          <cell r="C325">
            <v>56920</v>
          </cell>
          <cell r="E325">
            <v>1.9102340336037599E-2</v>
          </cell>
        </row>
        <row r="326">
          <cell r="A326" t="str">
            <v>GBP_SONIA_EOD</v>
          </cell>
          <cell r="C326">
            <v>58745</v>
          </cell>
          <cell r="E326">
            <v>1.8869351687651002E-2</v>
          </cell>
        </row>
        <row r="327">
          <cell r="A327" t="str">
            <v>GBP_SONIA_EOD</v>
          </cell>
          <cell r="C327">
            <v>60570</v>
          </cell>
          <cell r="E327">
            <v>1.8637085268660401E-2</v>
          </cell>
        </row>
        <row r="328">
          <cell r="A328" t="str">
            <v>GBP_SONIA_EOD</v>
          </cell>
          <cell r="C328">
            <v>62395</v>
          </cell>
          <cell r="E328">
            <v>1.8685747723332001E-2</v>
          </cell>
        </row>
        <row r="329">
          <cell r="A329" t="str">
            <v>GBP_SONIA_EOD</v>
          </cell>
          <cell r="C329">
            <v>64220</v>
          </cell>
          <cell r="E329">
            <v>1.87364256721303E-2</v>
          </cell>
        </row>
        <row r="330">
          <cell r="A330" t="str">
            <v>HKD_HIBOR_EOD</v>
          </cell>
          <cell r="C330">
            <v>42321</v>
          </cell>
          <cell r="E330">
            <v>4.5709971378360002E-4</v>
          </cell>
        </row>
        <row r="331">
          <cell r="A331" t="str">
            <v>HKD_HIBOR_EOD</v>
          </cell>
          <cell r="C331">
            <v>42327</v>
          </cell>
          <cell r="E331">
            <v>8.8359251345302998E-4</v>
          </cell>
        </row>
        <row r="332">
          <cell r="A332" t="str">
            <v>HKD_HIBOR_EOD</v>
          </cell>
          <cell r="C332">
            <v>42350</v>
          </cell>
          <cell r="E332">
            <v>1.9128257013941101E-3</v>
          </cell>
        </row>
        <row r="333">
          <cell r="A333" t="str">
            <v>HKD_HIBOR_EOD</v>
          </cell>
          <cell r="C333">
            <v>42380</v>
          </cell>
          <cell r="E333">
            <v>2.9272350830118902E-3</v>
          </cell>
        </row>
        <row r="334">
          <cell r="A334" t="str">
            <v>HKD_HIBOR_EOD</v>
          </cell>
          <cell r="C334">
            <v>42411</v>
          </cell>
          <cell r="E334">
            <v>3.7501718883943399E-3</v>
          </cell>
        </row>
        <row r="335">
          <cell r="A335" t="str">
            <v>HKD_HIBOR_EOD</v>
          </cell>
          <cell r="C335">
            <v>42502</v>
          </cell>
          <cell r="E335">
            <v>5.4841946627256499E-3</v>
          </cell>
        </row>
        <row r="336">
          <cell r="A336" t="str">
            <v>HKD_HIBOR_EOD</v>
          </cell>
          <cell r="C336">
            <v>42593</v>
          </cell>
          <cell r="E336">
            <v>6.05324614556181E-3</v>
          </cell>
        </row>
        <row r="337">
          <cell r="A337" t="str">
            <v>HKD_HIBOR_EOD</v>
          </cell>
          <cell r="C337">
            <v>42685</v>
          </cell>
          <cell r="E337">
            <v>6.6285509413961698E-3</v>
          </cell>
        </row>
        <row r="338">
          <cell r="A338" t="str">
            <v>HKD_HIBOR_EOD</v>
          </cell>
          <cell r="C338">
            <v>42867</v>
          </cell>
          <cell r="E338">
            <v>8.3335259620966398E-3</v>
          </cell>
        </row>
        <row r="339">
          <cell r="A339" t="str">
            <v>HKD_HIBOR_EOD</v>
          </cell>
          <cell r="C339">
            <v>43050</v>
          </cell>
          <cell r="E339">
            <v>1.00574218277512E-2</v>
          </cell>
        </row>
        <row r="340">
          <cell r="A340" t="str">
            <v>HKD_HIBOR_EOD</v>
          </cell>
          <cell r="C340">
            <v>43415</v>
          </cell>
          <cell r="E340">
            <v>1.29294442600581E-2</v>
          </cell>
        </row>
        <row r="341">
          <cell r="A341" t="str">
            <v>HKD_HIBOR_EOD</v>
          </cell>
          <cell r="C341">
            <v>43780</v>
          </cell>
          <cell r="E341">
            <v>1.50663425413178E-2</v>
          </cell>
        </row>
        <row r="342">
          <cell r="A342" t="str">
            <v>HKD_HIBOR_EOD</v>
          </cell>
          <cell r="C342">
            <v>44145</v>
          </cell>
          <cell r="E342">
            <v>1.6649496665146601E-2</v>
          </cell>
        </row>
        <row r="343">
          <cell r="A343" t="str">
            <v>HKD_HIBOR_EOD</v>
          </cell>
          <cell r="C343">
            <v>44510</v>
          </cell>
          <cell r="E343">
            <v>1.7812898882042801E-2</v>
          </cell>
        </row>
        <row r="344">
          <cell r="A344" t="str">
            <v>HKD_HIBOR_EOD</v>
          </cell>
          <cell r="C344">
            <v>44875</v>
          </cell>
          <cell r="E344">
            <v>1.8973996767498402E-2</v>
          </cell>
        </row>
        <row r="345">
          <cell r="A345" t="str">
            <v>HKD_HIBOR_EOD</v>
          </cell>
          <cell r="C345">
            <v>45240</v>
          </cell>
          <cell r="E345">
            <v>1.9752806078323401E-2</v>
          </cell>
        </row>
        <row r="346">
          <cell r="A346" t="str">
            <v>HKD_HIBOR_EOD</v>
          </cell>
          <cell r="C346">
            <v>45605</v>
          </cell>
          <cell r="E346">
            <v>2.05273795046651E-2</v>
          </cell>
        </row>
        <row r="347">
          <cell r="A347" t="str">
            <v>HKD_HIBOR_EOD</v>
          </cell>
          <cell r="C347">
            <v>45970</v>
          </cell>
          <cell r="E347">
            <v>2.1301952931006701E-2</v>
          </cell>
        </row>
        <row r="348">
          <cell r="A348" t="str">
            <v>HUF_BUBOR_EOD</v>
          </cell>
          <cell r="C348">
            <v>42321</v>
          </cell>
          <cell r="E348">
            <v>1.2267849388695301E-2</v>
          </cell>
        </row>
        <row r="349">
          <cell r="A349" t="str">
            <v>HUF_BUBOR_EOD</v>
          </cell>
          <cell r="C349">
            <v>42327</v>
          </cell>
          <cell r="E349">
            <v>1.2654312069407699E-2</v>
          </cell>
        </row>
        <row r="350">
          <cell r="A350" t="str">
            <v>HUF_BUBOR_EOD</v>
          </cell>
          <cell r="C350">
            <v>42350</v>
          </cell>
          <cell r="E350">
            <v>1.34538924133118E-2</v>
          </cell>
        </row>
        <row r="351">
          <cell r="A351" t="str">
            <v>HUF_BUBOR_EOD</v>
          </cell>
          <cell r="C351">
            <v>42380</v>
          </cell>
          <cell r="E351">
            <v>1.35718735591942E-2</v>
          </cell>
        </row>
        <row r="352">
          <cell r="A352" t="str">
            <v>HUF_BUBOR_EOD</v>
          </cell>
          <cell r="C352">
            <v>42411</v>
          </cell>
          <cell r="E352">
            <v>1.3602619650853401E-2</v>
          </cell>
        </row>
        <row r="353">
          <cell r="A353" t="str">
            <v>HUF_BUBOR_EOD</v>
          </cell>
          <cell r="C353">
            <v>42502</v>
          </cell>
          <cell r="E353">
            <v>1.3446748186781999E-2</v>
          </cell>
        </row>
        <row r="354">
          <cell r="A354" t="str">
            <v>HUF_BUBOR_EOD</v>
          </cell>
          <cell r="C354">
            <v>42593</v>
          </cell>
          <cell r="E354">
            <v>1.3334665690801099E-2</v>
          </cell>
        </row>
        <row r="355">
          <cell r="A355" t="str">
            <v>HUF_BUBOR_EOD</v>
          </cell>
          <cell r="C355">
            <v>42685</v>
          </cell>
          <cell r="E355">
            <v>1.33481201312918E-2</v>
          </cell>
        </row>
        <row r="356">
          <cell r="A356" t="str">
            <v>HUF_BUBOR_EOD</v>
          </cell>
          <cell r="C356">
            <v>42867</v>
          </cell>
          <cell r="E356">
            <v>1.3758915602313499E-2</v>
          </cell>
        </row>
        <row r="357">
          <cell r="A357" t="str">
            <v>HUF_BUBOR_EOD</v>
          </cell>
          <cell r="C357">
            <v>43050</v>
          </cell>
          <cell r="E357">
            <v>1.4182481623352E-2</v>
          </cell>
        </row>
        <row r="358">
          <cell r="A358" t="str">
            <v>HUF_BUBOR_EOD</v>
          </cell>
          <cell r="C358">
            <v>43415</v>
          </cell>
          <cell r="E358">
            <v>1.53267924233826E-2</v>
          </cell>
        </row>
        <row r="359">
          <cell r="A359" t="str">
            <v>HUF_BUBOR_EOD</v>
          </cell>
          <cell r="C359">
            <v>43780</v>
          </cell>
          <cell r="E359">
            <v>1.6773023332959901E-2</v>
          </cell>
        </row>
        <row r="360">
          <cell r="A360" t="str">
            <v>HUF_BUBOR_EOD</v>
          </cell>
          <cell r="C360">
            <v>44145</v>
          </cell>
          <cell r="E360">
            <v>1.89018545357744E-2</v>
          </cell>
        </row>
        <row r="361">
          <cell r="A361" t="str">
            <v>HUF_BUBOR_EOD</v>
          </cell>
          <cell r="C361">
            <v>44510</v>
          </cell>
          <cell r="E361">
            <v>2.11653080330623E-2</v>
          </cell>
        </row>
        <row r="362">
          <cell r="A362" t="str">
            <v>HUF_BUBOR_EOD</v>
          </cell>
          <cell r="C362">
            <v>44875</v>
          </cell>
          <cell r="E362">
            <v>2.3254290250667602E-2</v>
          </cell>
        </row>
        <row r="363">
          <cell r="A363" t="str">
            <v>HUF_BUBOR_EOD</v>
          </cell>
          <cell r="C363">
            <v>45240</v>
          </cell>
          <cell r="E363">
            <v>2.51608415021E-2</v>
          </cell>
        </row>
        <row r="364">
          <cell r="A364" t="str">
            <v>HUF_BUBOR_EOD</v>
          </cell>
          <cell r="C364">
            <v>45605</v>
          </cell>
          <cell r="E364">
            <v>2.6865639272664301E-2</v>
          </cell>
        </row>
        <row r="365">
          <cell r="A365" t="str">
            <v>HUF_BUBOR_EOD</v>
          </cell>
          <cell r="C365">
            <v>45970</v>
          </cell>
          <cell r="E365">
            <v>2.8174459289029102E-2</v>
          </cell>
        </row>
        <row r="366">
          <cell r="A366" t="str">
            <v>JPY_LIBOR_EOD</v>
          </cell>
          <cell r="C366">
            <v>42321</v>
          </cell>
          <cell r="E366">
            <v>3.7655813912693001E-4</v>
          </cell>
        </row>
        <row r="367">
          <cell r="A367" t="str">
            <v>JPY_LIBOR_EOD</v>
          </cell>
          <cell r="C367">
            <v>42327</v>
          </cell>
          <cell r="E367">
            <v>3.7475794258668999E-4</v>
          </cell>
        </row>
        <row r="368">
          <cell r="A368" t="str">
            <v>JPY_LIBOR_EOD</v>
          </cell>
          <cell r="C368">
            <v>42350</v>
          </cell>
          <cell r="E368">
            <v>4.0708101762009001E-4</v>
          </cell>
        </row>
        <row r="369">
          <cell r="A369" t="str">
            <v>JPY_LIBOR_EOD</v>
          </cell>
          <cell r="C369">
            <v>42380</v>
          </cell>
          <cell r="E369">
            <v>4.9734961262864E-4</v>
          </cell>
        </row>
        <row r="370">
          <cell r="A370" t="str">
            <v>JPY_LIBOR_EOD</v>
          </cell>
          <cell r="C370">
            <v>42411</v>
          </cell>
          <cell r="E370">
            <v>7.0559179672637995E-4</v>
          </cell>
        </row>
        <row r="371">
          <cell r="A371" t="str">
            <v>JPY_LIBOR_EOD</v>
          </cell>
          <cell r="C371">
            <v>42502</v>
          </cell>
          <cell r="E371">
            <v>1.17939250507179E-3</v>
          </cell>
        </row>
        <row r="372">
          <cell r="A372" t="str">
            <v>JPY_LIBOR_EOD</v>
          </cell>
          <cell r="C372">
            <v>42593</v>
          </cell>
          <cell r="E372">
            <v>1.1545104909949199E-3</v>
          </cell>
        </row>
        <row r="373">
          <cell r="A373" t="str">
            <v>JPY_LIBOR_EOD</v>
          </cell>
          <cell r="C373">
            <v>42685</v>
          </cell>
          <cell r="E373">
            <v>1.1068011705163399E-3</v>
          </cell>
        </row>
        <row r="374">
          <cell r="A374" t="str">
            <v>JPY_LIBOR_EOD</v>
          </cell>
          <cell r="C374">
            <v>42867</v>
          </cell>
          <cell r="E374">
            <v>1.05790022428119E-3</v>
          </cell>
        </row>
        <row r="375">
          <cell r="A375" t="str">
            <v>JPY_LIBOR_EOD</v>
          </cell>
          <cell r="C375">
            <v>43050</v>
          </cell>
          <cell r="E375">
            <v>1.0100224115461699E-3</v>
          </cell>
        </row>
        <row r="376">
          <cell r="A376" t="str">
            <v>JPY_LIBOR_EOD</v>
          </cell>
          <cell r="C376">
            <v>43415</v>
          </cell>
          <cell r="E376">
            <v>1.04674088008753E-3</v>
          </cell>
        </row>
        <row r="377">
          <cell r="A377" t="str">
            <v>JPY_LIBOR_EOD</v>
          </cell>
          <cell r="C377">
            <v>43780</v>
          </cell>
          <cell r="E377">
            <v>1.2744029938185999E-3</v>
          </cell>
        </row>
        <row r="378">
          <cell r="A378" t="str">
            <v>JPY_LIBOR_EOD</v>
          </cell>
          <cell r="C378">
            <v>44145</v>
          </cell>
          <cell r="E378">
            <v>1.67908003058899E-3</v>
          </cell>
        </row>
        <row r="379">
          <cell r="A379" t="str">
            <v>JPY_LIBOR_EOD</v>
          </cell>
          <cell r="C379">
            <v>44510</v>
          </cell>
          <cell r="E379">
            <v>2.2042474412955399E-3</v>
          </cell>
        </row>
        <row r="380">
          <cell r="A380" t="str">
            <v>JPY_LIBOR_EOD</v>
          </cell>
          <cell r="C380">
            <v>44875</v>
          </cell>
          <cell r="E380">
            <v>2.7825325553664502E-3</v>
          </cell>
        </row>
        <row r="381">
          <cell r="A381" t="str">
            <v>JPY_LIBOR_EOD</v>
          </cell>
          <cell r="C381">
            <v>45240</v>
          </cell>
          <cell r="E381">
            <v>3.4011748166808899E-3</v>
          </cell>
        </row>
        <row r="382">
          <cell r="A382" t="str">
            <v>JPY_LIBOR_EOD</v>
          </cell>
          <cell r="C382">
            <v>45605</v>
          </cell>
          <cell r="E382">
            <v>4.0430608469787599E-3</v>
          </cell>
        </row>
        <row r="383">
          <cell r="A383" t="str">
            <v>JPY_LIBOR_EOD</v>
          </cell>
          <cell r="C383">
            <v>45970</v>
          </cell>
          <cell r="E383">
            <v>4.7206942398742603E-3</v>
          </cell>
        </row>
        <row r="384">
          <cell r="A384" t="str">
            <v>JPY_LIBOR_EOD</v>
          </cell>
          <cell r="C384">
            <v>46700</v>
          </cell>
          <cell r="E384">
            <v>6.1403104836983699E-3</v>
          </cell>
        </row>
        <row r="385">
          <cell r="A385" t="str">
            <v>JPY_LIBOR_EOD</v>
          </cell>
          <cell r="C385">
            <v>47795</v>
          </cell>
          <cell r="E385">
            <v>8.3716571326036202E-3</v>
          </cell>
        </row>
        <row r="386">
          <cell r="A386" t="str">
            <v>JPY_LIBOR_EOD</v>
          </cell>
          <cell r="C386">
            <v>49620</v>
          </cell>
          <cell r="E386">
            <v>1.1347865680492701E-2</v>
          </cell>
        </row>
        <row r="387">
          <cell r="A387" t="str">
            <v>JPY_LIBOR_EOD</v>
          </cell>
          <cell r="C387">
            <v>51445</v>
          </cell>
          <cell r="E387">
            <v>1.2998100711397301E-2</v>
          </cell>
        </row>
        <row r="388">
          <cell r="A388" t="str">
            <v>JPY_LIBOR_EOD</v>
          </cell>
          <cell r="C388">
            <v>53270</v>
          </cell>
          <cell r="E388">
            <v>1.38909174848777E-2</v>
          </cell>
        </row>
        <row r="389">
          <cell r="A389" t="str">
            <v>JPY_LIBOR_EOD</v>
          </cell>
          <cell r="C389">
            <v>56920</v>
          </cell>
          <cell r="E389">
            <v>1.5375102704916399E-2</v>
          </cell>
        </row>
        <row r="390">
          <cell r="A390" t="str">
            <v>JPY_TONA_EOD</v>
          </cell>
          <cell r="C390">
            <v>42321</v>
          </cell>
          <cell r="E390">
            <v>7.7999916661339005E-4</v>
          </cell>
        </row>
        <row r="391">
          <cell r="A391" t="str">
            <v>JPY_TONA_EOD</v>
          </cell>
          <cell r="C391">
            <v>42327</v>
          </cell>
          <cell r="E391">
            <v>7.5999459494072998E-4</v>
          </cell>
        </row>
        <row r="392">
          <cell r="A392" t="str">
            <v>JPY_TONA_EOD</v>
          </cell>
          <cell r="C392">
            <v>42334</v>
          </cell>
          <cell r="E392">
            <v>7.2053612538537995E-4</v>
          </cell>
        </row>
        <row r="393">
          <cell r="A393" t="str">
            <v>JPY_TONA_EOD</v>
          </cell>
          <cell r="C393">
            <v>42341</v>
          </cell>
          <cell r="E393">
            <v>7.0522859596519995E-4</v>
          </cell>
        </row>
        <row r="394">
          <cell r="A394" t="str">
            <v>JPY_TONA_EOD</v>
          </cell>
          <cell r="C394">
            <v>42350</v>
          </cell>
          <cell r="E394">
            <v>7.0930171113650999E-4</v>
          </cell>
        </row>
        <row r="395">
          <cell r="A395" t="str">
            <v>JPY_TONA_EOD</v>
          </cell>
          <cell r="C395">
            <v>42380</v>
          </cell>
          <cell r="E395">
            <v>6.9585289415196997E-4</v>
          </cell>
        </row>
        <row r="396">
          <cell r="A396" t="str">
            <v>JPY_TONA_EOD</v>
          </cell>
          <cell r="C396">
            <v>42411</v>
          </cell>
          <cell r="E396">
            <v>6.7727810085535002E-4</v>
          </cell>
        </row>
        <row r="397">
          <cell r="A397" t="str">
            <v>JPY_TONA_EOD</v>
          </cell>
          <cell r="C397">
            <v>42441</v>
          </cell>
          <cell r="E397">
            <v>6.5691103363260997E-4</v>
          </cell>
        </row>
        <row r="398">
          <cell r="A398" t="str">
            <v>JPY_TONA_EOD</v>
          </cell>
          <cell r="C398">
            <v>42472</v>
          </cell>
          <cell r="E398">
            <v>6.3781923621025001E-4</v>
          </cell>
        </row>
        <row r="399">
          <cell r="A399" t="str">
            <v>JPY_TONA_EOD</v>
          </cell>
          <cell r="C399">
            <v>42502</v>
          </cell>
          <cell r="E399">
            <v>6.1777106827373002E-4</v>
          </cell>
        </row>
        <row r="400">
          <cell r="A400" t="str">
            <v>JPY_TONA_EOD</v>
          </cell>
          <cell r="C400">
            <v>42532</v>
          </cell>
          <cell r="E400">
            <v>5.9689127189283995E-4</v>
          </cell>
        </row>
        <row r="401">
          <cell r="A401" t="str">
            <v>JPY_TONA_EOD</v>
          </cell>
          <cell r="C401">
            <v>42563</v>
          </cell>
          <cell r="E401">
            <v>5.8140144071929997E-4</v>
          </cell>
        </row>
        <row r="402">
          <cell r="A402" t="str">
            <v>JPY_TONA_EOD</v>
          </cell>
          <cell r="C402">
            <v>42593</v>
          </cell>
          <cell r="E402">
            <v>5.6696352121429999E-4</v>
          </cell>
        </row>
        <row r="403">
          <cell r="A403" t="str">
            <v>JPY_TONA_EOD</v>
          </cell>
          <cell r="C403">
            <v>42624</v>
          </cell>
          <cell r="E403">
            <v>5.4646085633414001E-4</v>
          </cell>
        </row>
        <row r="404">
          <cell r="A404" t="str">
            <v>JPY_TONA_EOD</v>
          </cell>
          <cell r="C404">
            <v>42654</v>
          </cell>
          <cell r="E404">
            <v>5.3478241573092996E-4</v>
          </cell>
        </row>
        <row r="405">
          <cell r="A405" t="str">
            <v>JPY_TONA_EOD</v>
          </cell>
          <cell r="C405">
            <v>42685</v>
          </cell>
          <cell r="E405">
            <v>5.0550014511408002E-4</v>
          </cell>
        </row>
        <row r="406">
          <cell r="A406" t="str">
            <v>JPY_TONA_EOD</v>
          </cell>
          <cell r="C406">
            <v>42776</v>
          </cell>
          <cell r="E406">
            <v>4.6533075972942999E-4</v>
          </cell>
        </row>
        <row r="407">
          <cell r="A407" t="str">
            <v>JPY_TONA_EOD</v>
          </cell>
          <cell r="C407">
            <v>42867</v>
          </cell>
          <cell r="E407">
            <v>4.2860619692331001E-4</v>
          </cell>
        </row>
        <row r="408">
          <cell r="A408" t="str">
            <v>JPY_TONA_EOD</v>
          </cell>
          <cell r="C408">
            <v>42958</v>
          </cell>
          <cell r="E408">
            <v>4.0763766149706001E-4</v>
          </cell>
        </row>
        <row r="409">
          <cell r="A409" t="str">
            <v>JPY_TONA_EOD</v>
          </cell>
          <cell r="C409">
            <v>43050</v>
          </cell>
          <cell r="E409">
            <v>3.8717107826149002E-4</v>
          </cell>
        </row>
        <row r="410">
          <cell r="A410" t="str">
            <v>JPY_TONA_EOD</v>
          </cell>
          <cell r="C410">
            <v>43415</v>
          </cell>
          <cell r="E410">
            <v>3.3659750208215E-4</v>
          </cell>
        </row>
        <row r="411">
          <cell r="A411" t="str">
            <v>JPY_TONA_EOD</v>
          </cell>
          <cell r="C411">
            <v>43780</v>
          </cell>
          <cell r="E411">
            <v>5.0407102137336004E-4</v>
          </cell>
        </row>
        <row r="412">
          <cell r="A412" t="str">
            <v>JPY_TONA_EOD</v>
          </cell>
          <cell r="C412">
            <v>44145</v>
          </cell>
          <cell r="E412">
            <v>8.3946091432295002E-4</v>
          </cell>
        </row>
        <row r="413">
          <cell r="A413" t="str">
            <v>JPY_TONA_EOD</v>
          </cell>
          <cell r="C413">
            <v>44510</v>
          </cell>
          <cell r="E413">
            <v>1.2932673714849E-3</v>
          </cell>
        </row>
        <row r="414">
          <cell r="A414" t="str">
            <v>JPY_TONA_EOD</v>
          </cell>
          <cell r="C414">
            <v>44875</v>
          </cell>
          <cell r="E414">
            <v>1.8013313834702601E-3</v>
          </cell>
        </row>
        <row r="415">
          <cell r="A415" t="str">
            <v>JPY_TONA_EOD</v>
          </cell>
          <cell r="C415">
            <v>45240</v>
          </cell>
          <cell r="E415">
            <v>2.35097293959145E-3</v>
          </cell>
        </row>
        <row r="416">
          <cell r="A416" t="str">
            <v>JPY_TONA_EOD</v>
          </cell>
          <cell r="C416">
            <v>45605</v>
          </cell>
          <cell r="E416">
            <v>2.90845770436177E-3</v>
          </cell>
        </row>
        <row r="417">
          <cell r="A417" t="str">
            <v>JPY_TONA_EOD</v>
          </cell>
          <cell r="C417">
            <v>45970</v>
          </cell>
          <cell r="E417">
            <v>3.49645706347743E-3</v>
          </cell>
        </row>
        <row r="418">
          <cell r="A418" t="str">
            <v>JPY_TONA_EOD</v>
          </cell>
          <cell r="C418">
            <v>46700</v>
          </cell>
          <cell r="E418">
            <v>4.8059665895196502E-3</v>
          </cell>
        </row>
        <row r="419">
          <cell r="A419" t="str">
            <v>JPY_TONA_EOD</v>
          </cell>
          <cell r="C419">
            <v>47795</v>
          </cell>
          <cell r="E419">
            <v>7.0243686637698E-3</v>
          </cell>
        </row>
        <row r="420">
          <cell r="A420" t="str">
            <v>JPY_TONA_EOD</v>
          </cell>
          <cell r="C420">
            <v>49620</v>
          </cell>
          <cell r="E420">
            <v>9.9742541530820697E-3</v>
          </cell>
        </row>
        <row r="421">
          <cell r="A421" t="str">
            <v>JPY_TONA_EOD</v>
          </cell>
          <cell r="C421">
            <v>51445</v>
          </cell>
          <cell r="E421">
            <v>1.16041116039814E-2</v>
          </cell>
        </row>
        <row r="422">
          <cell r="A422" t="str">
            <v>JPY_TONA_EOD</v>
          </cell>
          <cell r="C422">
            <v>53270</v>
          </cell>
          <cell r="E422">
            <v>1.24877582458823E-2</v>
          </cell>
        </row>
        <row r="423">
          <cell r="A423" t="str">
            <v>JPY_TONA_EOD</v>
          </cell>
          <cell r="C423">
            <v>55095</v>
          </cell>
          <cell r="E423">
            <v>1.32092113473876E-2</v>
          </cell>
        </row>
        <row r="424">
          <cell r="A424" t="str">
            <v>JPY_TONA_EOD</v>
          </cell>
          <cell r="C424">
            <v>56920</v>
          </cell>
          <cell r="E424">
            <v>1.39296206004409E-2</v>
          </cell>
        </row>
        <row r="425">
          <cell r="A425" t="str">
            <v>JPY_TONA_EOD</v>
          </cell>
          <cell r="C425">
            <v>58745</v>
          </cell>
          <cell r="E425">
            <v>1.3935147027587601E-2</v>
          </cell>
        </row>
        <row r="426">
          <cell r="A426" t="str">
            <v>JPY_TONA_EOD</v>
          </cell>
          <cell r="C426">
            <v>60570</v>
          </cell>
          <cell r="E426">
            <v>1.3935147027587601E-2</v>
          </cell>
        </row>
        <row r="427">
          <cell r="A427" t="str">
            <v>MXN_TIIE_EOD</v>
          </cell>
          <cell r="C427">
            <v>42321</v>
          </cell>
          <cell r="E427">
            <v>3.4553123721284898E-2</v>
          </cell>
        </row>
        <row r="428">
          <cell r="A428" t="str">
            <v>MXN_TIIE_EOD</v>
          </cell>
          <cell r="C428">
            <v>42327</v>
          </cell>
          <cell r="E428">
            <v>3.4553123721284898E-2</v>
          </cell>
        </row>
        <row r="429">
          <cell r="A429" t="str">
            <v>MXN_TIIE_EOD</v>
          </cell>
          <cell r="C429">
            <v>42350</v>
          </cell>
          <cell r="E429">
            <v>3.4553123721284898E-2</v>
          </cell>
        </row>
        <row r="430">
          <cell r="A430" t="str">
            <v>MXN_TIIE_EOD</v>
          </cell>
          <cell r="C430">
            <v>42380</v>
          </cell>
          <cell r="E430">
            <v>3.4553123721284898E-2</v>
          </cell>
        </row>
        <row r="431">
          <cell r="A431" t="str">
            <v>MXN_TIIE_EOD</v>
          </cell>
          <cell r="C431">
            <v>42411</v>
          </cell>
          <cell r="E431">
            <v>3.4673961480113799E-2</v>
          </cell>
        </row>
        <row r="432">
          <cell r="A432" t="str">
            <v>MXN_TIIE_EOD</v>
          </cell>
          <cell r="C432">
            <v>42502</v>
          </cell>
          <cell r="E432">
            <v>3.6496642981283002E-2</v>
          </cell>
        </row>
        <row r="433">
          <cell r="A433" t="str">
            <v>MXN_TIIE_EOD</v>
          </cell>
          <cell r="C433">
            <v>42593</v>
          </cell>
          <cell r="E433">
            <v>3.8163668015275598E-2</v>
          </cell>
        </row>
        <row r="434">
          <cell r="A434" t="str">
            <v>MXN_TIIE_EOD</v>
          </cell>
          <cell r="C434">
            <v>42685</v>
          </cell>
          <cell r="E434">
            <v>3.9506227644985403E-2</v>
          </cell>
        </row>
        <row r="435">
          <cell r="A435" t="str">
            <v>MXN_TIIE_EOD</v>
          </cell>
          <cell r="C435">
            <v>42867</v>
          </cell>
          <cell r="E435">
            <v>4.2039482005765599E-2</v>
          </cell>
        </row>
        <row r="436">
          <cell r="A436" t="str">
            <v>MXN_TIIE_EOD</v>
          </cell>
          <cell r="C436">
            <v>43050</v>
          </cell>
          <cell r="E436">
            <v>4.4585424116588099E-2</v>
          </cell>
        </row>
        <row r="437">
          <cell r="A437" t="str">
            <v>MXN_TIIE_EOD</v>
          </cell>
          <cell r="C437">
            <v>43415</v>
          </cell>
          <cell r="E437">
            <v>4.9214410731964899E-2</v>
          </cell>
        </row>
        <row r="438">
          <cell r="A438" t="str">
            <v>MXN_TIIE_EOD</v>
          </cell>
          <cell r="C438">
            <v>43780</v>
          </cell>
          <cell r="E438">
            <v>5.3467933648748002E-2</v>
          </cell>
        </row>
        <row r="439">
          <cell r="A439" t="str">
            <v>MXN_TIIE_EOD</v>
          </cell>
          <cell r="C439">
            <v>44145</v>
          </cell>
          <cell r="E439">
            <v>5.7132136429923201E-2</v>
          </cell>
        </row>
        <row r="440">
          <cell r="A440" t="str">
            <v>MXN_TIIE_EOD</v>
          </cell>
          <cell r="C440">
            <v>44510</v>
          </cell>
          <cell r="E440">
            <v>6.0029623068880003E-2</v>
          </cell>
        </row>
        <row r="441">
          <cell r="A441" t="str">
            <v>MXN_TIIE_EOD</v>
          </cell>
          <cell r="C441">
            <v>44875</v>
          </cell>
          <cell r="E441">
            <v>6.2906099893936501E-2</v>
          </cell>
        </row>
        <row r="442">
          <cell r="A442" t="str">
            <v>MXN_TIIE_EOD</v>
          </cell>
          <cell r="C442">
            <v>45240</v>
          </cell>
          <cell r="E442">
            <v>6.4525489520629295E-2</v>
          </cell>
        </row>
        <row r="443">
          <cell r="A443" t="str">
            <v>MXN_TIIE_EOD</v>
          </cell>
          <cell r="C443">
            <v>45605</v>
          </cell>
          <cell r="E443">
            <v>6.61448791473222E-2</v>
          </cell>
        </row>
        <row r="444">
          <cell r="A444" t="str">
            <v>MXN_TIIE_EOD</v>
          </cell>
          <cell r="C444">
            <v>45970</v>
          </cell>
          <cell r="E444">
            <v>6.7751561940759999E-2</v>
          </cell>
        </row>
        <row r="445">
          <cell r="A445" t="str">
            <v>MXN_TIIE_EOD</v>
          </cell>
          <cell r="C445">
            <v>46700</v>
          </cell>
          <cell r="E445">
            <v>6.9959675830126106E-2</v>
          </cell>
        </row>
        <row r="446">
          <cell r="A446" t="str">
            <v>MXN_TIIE_EOD</v>
          </cell>
          <cell r="C446">
            <v>47795</v>
          </cell>
          <cell r="E446">
            <v>7.3256476582156699E-2</v>
          </cell>
        </row>
        <row r="447">
          <cell r="A447" t="str">
            <v>MXN_TIIE_EOD</v>
          </cell>
          <cell r="C447">
            <v>49620</v>
          </cell>
          <cell r="E447">
            <v>7.6758720108149395E-2</v>
          </cell>
        </row>
        <row r="448">
          <cell r="A448" t="str">
            <v>NOK_NIBOR_EOD</v>
          </cell>
          <cell r="C448">
            <v>42321</v>
          </cell>
          <cell r="E448">
            <v>7.6040874577066398E-3</v>
          </cell>
        </row>
        <row r="449">
          <cell r="A449" t="str">
            <v>NOK_NIBOR_EOD</v>
          </cell>
          <cell r="C449">
            <v>42327</v>
          </cell>
          <cell r="E449">
            <v>8.2121030730252301E-3</v>
          </cell>
        </row>
        <row r="450">
          <cell r="A450" t="str">
            <v>NOK_NIBOR_EOD</v>
          </cell>
          <cell r="C450">
            <v>42350</v>
          </cell>
          <cell r="E450">
            <v>9.7692148357983004E-3</v>
          </cell>
        </row>
        <row r="451">
          <cell r="A451" t="str">
            <v>NOK_NIBOR_EOD</v>
          </cell>
          <cell r="C451">
            <v>42380</v>
          </cell>
          <cell r="E451">
            <v>1.0041497889377299E-2</v>
          </cell>
        </row>
        <row r="452">
          <cell r="A452" t="str">
            <v>NOK_NIBOR_EOD</v>
          </cell>
          <cell r="C452">
            <v>42411</v>
          </cell>
          <cell r="E452">
            <v>1.0178821272736701E-2</v>
          </cell>
        </row>
        <row r="453">
          <cell r="A453" t="str">
            <v>NOK_NIBOR_EOD</v>
          </cell>
          <cell r="C453">
            <v>42502</v>
          </cell>
          <cell r="E453">
            <v>9.9154268527086795E-3</v>
          </cell>
        </row>
        <row r="454">
          <cell r="A454" t="str">
            <v>NOK_NIBOR_EOD</v>
          </cell>
          <cell r="C454">
            <v>42593</v>
          </cell>
          <cell r="E454">
            <v>9.3658027904374493E-3</v>
          </cell>
        </row>
        <row r="455">
          <cell r="A455" t="str">
            <v>NOK_NIBOR_EOD</v>
          </cell>
          <cell r="C455">
            <v>42685</v>
          </cell>
          <cell r="E455">
            <v>8.9909929430922794E-3</v>
          </cell>
        </row>
        <row r="456">
          <cell r="A456" t="str">
            <v>NOK_NIBOR_EOD</v>
          </cell>
          <cell r="C456">
            <v>42867</v>
          </cell>
          <cell r="E456">
            <v>9.2562094517797608E-3</v>
          </cell>
        </row>
        <row r="457">
          <cell r="A457" t="str">
            <v>NOK_NIBOR_EOD</v>
          </cell>
          <cell r="C457">
            <v>43050</v>
          </cell>
          <cell r="E457">
            <v>9.7567926898617704E-3</v>
          </cell>
        </row>
        <row r="458">
          <cell r="A458" t="str">
            <v>NOK_NIBOR_EOD</v>
          </cell>
          <cell r="C458">
            <v>43415</v>
          </cell>
          <cell r="E458">
            <v>1.0481586556244499E-2</v>
          </cell>
        </row>
        <row r="459">
          <cell r="A459" t="str">
            <v>NOK_NIBOR_EOD</v>
          </cell>
          <cell r="C459">
            <v>43780</v>
          </cell>
          <cell r="E459">
            <v>1.1833446970462199E-2</v>
          </cell>
        </row>
        <row r="460">
          <cell r="A460" t="str">
            <v>NOK_NIBOR_EOD</v>
          </cell>
          <cell r="C460">
            <v>44145</v>
          </cell>
          <cell r="E460">
            <v>1.3445575954120499E-2</v>
          </cell>
        </row>
        <row r="461">
          <cell r="A461" t="str">
            <v>NOK_NIBOR_EOD</v>
          </cell>
          <cell r="C461">
            <v>44510</v>
          </cell>
          <cell r="E461">
            <v>1.5035537711059499E-2</v>
          </cell>
        </row>
        <row r="462">
          <cell r="A462" t="str">
            <v>NOK_NIBOR_EOD</v>
          </cell>
          <cell r="C462">
            <v>44875</v>
          </cell>
          <cell r="E462">
            <v>1.65415706265497E-2</v>
          </cell>
        </row>
        <row r="463">
          <cell r="A463" t="str">
            <v>NOK_NIBOR_EOD</v>
          </cell>
          <cell r="C463">
            <v>45240</v>
          </cell>
          <cell r="E463">
            <v>1.7816517925849401E-2</v>
          </cell>
        </row>
        <row r="464">
          <cell r="A464" t="str">
            <v>NOK_NIBOR_EOD</v>
          </cell>
          <cell r="C464">
            <v>45605</v>
          </cell>
          <cell r="E464">
            <v>1.8975068351083899E-2</v>
          </cell>
        </row>
        <row r="465">
          <cell r="A465" t="str">
            <v>NOK_NIBOR_EOD</v>
          </cell>
          <cell r="C465">
            <v>45970</v>
          </cell>
          <cell r="E465">
            <v>1.9980187269547402E-2</v>
          </cell>
        </row>
        <row r="466">
          <cell r="A466" t="str">
            <v>NOK_NIBOR_EOD</v>
          </cell>
          <cell r="C466">
            <v>46700</v>
          </cell>
          <cell r="E466">
            <v>2.1294664085769299E-2</v>
          </cell>
        </row>
        <row r="467">
          <cell r="A467" t="str">
            <v>NOK_NIBOR_EOD</v>
          </cell>
          <cell r="C467">
            <v>47795</v>
          </cell>
          <cell r="E467">
            <v>2.2367200890079101E-2</v>
          </cell>
        </row>
        <row r="468">
          <cell r="A468" t="str">
            <v>NOK_NIBOR_EOD</v>
          </cell>
          <cell r="C468">
            <v>49620</v>
          </cell>
          <cell r="E468">
            <v>2.2963020264231301E-2</v>
          </cell>
        </row>
        <row r="469">
          <cell r="A469" t="str">
            <v>NOK_NIBOR_EOD</v>
          </cell>
          <cell r="C469">
            <v>51445</v>
          </cell>
          <cell r="E469">
            <v>2.3106602815394599E-2</v>
          </cell>
        </row>
        <row r="470">
          <cell r="A470" t="str">
            <v>NOK_NIBOR_EOD</v>
          </cell>
          <cell r="C470">
            <v>53270</v>
          </cell>
          <cell r="E470">
            <v>2.29566560501741E-2</v>
          </cell>
        </row>
        <row r="471">
          <cell r="A471" t="str">
            <v>NZD_BKBM_EOD</v>
          </cell>
          <cell r="C471">
            <v>42321</v>
          </cell>
          <cell r="E471">
            <v>2.74989640931033E-2</v>
          </cell>
        </row>
        <row r="472">
          <cell r="A472" t="str">
            <v>NZD_BKBM_EOD</v>
          </cell>
          <cell r="C472">
            <v>42327</v>
          </cell>
          <cell r="E472">
            <v>2.7751234561727602E-2</v>
          </cell>
        </row>
        <row r="473">
          <cell r="A473" t="str">
            <v>NZD_BKBM_EOD</v>
          </cell>
          <cell r="C473">
            <v>42350</v>
          </cell>
          <cell r="E473">
            <v>2.86368204263985E-2</v>
          </cell>
        </row>
        <row r="474">
          <cell r="A474" t="str">
            <v>NZD_BKBM_EOD</v>
          </cell>
          <cell r="C474">
            <v>42380</v>
          </cell>
          <cell r="E474">
            <v>2.8778367529334801E-2</v>
          </cell>
        </row>
        <row r="475">
          <cell r="A475" t="str">
            <v>NZD_BKBM_EOD</v>
          </cell>
          <cell r="C475">
            <v>42411</v>
          </cell>
          <cell r="E475">
            <v>2.8842815711720999E-2</v>
          </cell>
        </row>
        <row r="476">
          <cell r="A476" t="str">
            <v>NZD_BKBM_EOD</v>
          </cell>
          <cell r="C476">
            <v>42502</v>
          </cell>
          <cell r="E476">
            <v>2.9235862232207199E-2</v>
          </cell>
        </row>
        <row r="477">
          <cell r="A477" t="str">
            <v>NZD_BKBM_EOD</v>
          </cell>
          <cell r="C477">
            <v>42593</v>
          </cell>
          <cell r="E477">
            <v>2.83315073319951E-2</v>
          </cell>
        </row>
        <row r="478">
          <cell r="A478" t="str">
            <v>NZD_BKBM_EOD</v>
          </cell>
          <cell r="C478">
            <v>42685</v>
          </cell>
          <cell r="E478">
            <v>2.74172144658466E-2</v>
          </cell>
        </row>
        <row r="479">
          <cell r="A479" t="str">
            <v>NZD_BKBM_EOD</v>
          </cell>
          <cell r="C479">
            <v>42867</v>
          </cell>
          <cell r="E479">
            <v>2.7592934340058901E-2</v>
          </cell>
        </row>
        <row r="480">
          <cell r="A480" t="str">
            <v>NZD_BKBM_EOD</v>
          </cell>
          <cell r="C480">
            <v>43050</v>
          </cell>
          <cell r="E480">
            <v>2.7803061045533501E-2</v>
          </cell>
        </row>
        <row r="481">
          <cell r="A481" t="str">
            <v>NZD_BKBM_EOD</v>
          </cell>
          <cell r="C481">
            <v>43415</v>
          </cell>
          <cell r="E481">
            <v>2.8697534110823701E-2</v>
          </cell>
        </row>
        <row r="482">
          <cell r="A482" t="str">
            <v>NZD_BKBM_EOD</v>
          </cell>
          <cell r="C482">
            <v>43780</v>
          </cell>
          <cell r="E482">
            <v>2.9950233424616699E-2</v>
          </cell>
        </row>
        <row r="483">
          <cell r="A483" t="str">
            <v>NZD_BKBM_EOD</v>
          </cell>
          <cell r="C483">
            <v>44145</v>
          </cell>
          <cell r="E483">
            <v>3.14562723325858E-2</v>
          </cell>
        </row>
        <row r="484">
          <cell r="A484" t="str">
            <v>NZD_BKBM_EOD</v>
          </cell>
          <cell r="C484">
            <v>44510</v>
          </cell>
          <cell r="E484">
            <v>3.2808736932475699E-2</v>
          </cell>
        </row>
        <row r="485">
          <cell r="A485" t="str">
            <v>NZD_BKBM_EOD</v>
          </cell>
          <cell r="C485">
            <v>44875</v>
          </cell>
          <cell r="E485">
            <v>3.4160351573070402E-2</v>
          </cell>
        </row>
        <row r="486">
          <cell r="A486" t="str">
            <v>NZD_BKBM_EOD</v>
          </cell>
          <cell r="C486">
            <v>45240</v>
          </cell>
          <cell r="E486">
            <v>3.51088295436221E-2</v>
          </cell>
        </row>
        <row r="487">
          <cell r="A487" t="str">
            <v>NZD_BKBM_EOD</v>
          </cell>
          <cell r="C487">
            <v>45605</v>
          </cell>
          <cell r="E487">
            <v>3.6052840625863003E-2</v>
          </cell>
        </row>
        <row r="488">
          <cell r="A488" t="str">
            <v>NZD_BKBM_EOD</v>
          </cell>
          <cell r="C488">
            <v>45970</v>
          </cell>
          <cell r="E488">
            <v>3.6996851708103899E-2</v>
          </cell>
        </row>
        <row r="489">
          <cell r="A489" t="str">
            <v>NZD_BKBM_EOD</v>
          </cell>
          <cell r="C489">
            <v>46700</v>
          </cell>
          <cell r="E489">
            <v>3.8042062501015599E-2</v>
          </cell>
        </row>
        <row r="490">
          <cell r="A490" t="str">
            <v>NZD_BKBM_EOD</v>
          </cell>
          <cell r="C490">
            <v>47795</v>
          </cell>
          <cell r="E490">
            <v>3.9839347533840802E-2</v>
          </cell>
        </row>
        <row r="491">
          <cell r="A491" t="str">
            <v>NZD_BKBM_EOD</v>
          </cell>
          <cell r="C491">
            <v>49620</v>
          </cell>
          <cell r="E491">
            <v>4.1315436330991197E-2</v>
          </cell>
        </row>
        <row r="492">
          <cell r="A492" t="str">
            <v>PLN_WIBOR_EOD</v>
          </cell>
          <cell r="C492">
            <v>42321</v>
          </cell>
          <cell r="E492">
            <v>1.49496938405125E-2</v>
          </cell>
        </row>
        <row r="493">
          <cell r="A493" t="str">
            <v>PLN_WIBOR_EOD</v>
          </cell>
          <cell r="C493">
            <v>42327</v>
          </cell>
          <cell r="E493">
            <v>1.53169305061113E-2</v>
          </cell>
        </row>
        <row r="494">
          <cell r="A494" t="str">
            <v>PLN_WIBOR_EOD</v>
          </cell>
          <cell r="C494">
            <v>42350</v>
          </cell>
          <cell r="E494">
            <v>1.6366231416625202E-2</v>
          </cell>
        </row>
        <row r="495">
          <cell r="A495" t="str">
            <v>PLN_WIBOR_EOD</v>
          </cell>
          <cell r="C495">
            <v>42380</v>
          </cell>
          <cell r="E495">
            <v>1.6781681379090099E-2</v>
          </cell>
        </row>
        <row r="496">
          <cell r="A496" t="str">
            <v>PLN_WIBOR_EOD</v>
          </cell>
          <cell r="C496">
            <v>42411</v>
          </cell>
          <cell r="E496">
            <v>1.7113567292683401E-2</v>
          </cell>
        </row>
        <row r="497">
          <cell r="A497" t="str">
            <v>PLN_WIBOR_EOD</v>
          </cell>
          <cell r="C497">
            <v>42502</v>
          </cell>
          <cell r="E497">
            <v>1.6683331744472101E-2</v>
          </cell>
        </row>
        <row r="498">
          <cell r="A498" t="str">
            <v>PLN_WIBOR_EOD</v>
          </cell>
          <cell r="C498">
            <v>42593</v>
          </cell>
          <cell r="E498">
            <v>1.58678217247873E-2</v>
          </cell>
        </row>
        <row r="499">
          <cell r="A499" t="str">
            <v>PLN_WIBOR_EOD</v>
          </cell>
          <cell r="C499">
            <v>42685</v>
          </cell>
          <cell r="E499">
            <v>1.52278940887707E-2</v>
          </cell>
        </row>
        <row r="500">
          <cell r="A500" t="str">
            <v>PLN_WIBOR_EOD</v>
          </cell>
          <cell r="C500">
            <v>42867</v>
          </cell>
          <cell r="E500">
            <v>1.5062747770183E-2</v>
          </cell>
        </row>
        <row r="501">
          <cell r="A501" t="str">
            <v>PLN_WIBOR_EOD</v>
          </cell>
          <cell r="C501">
            <v>43050</v>
          </cell>
          <cell r="E501">
            <v>1.4927319186255301E-2</v>
          </cell>
        </row>
        <row r="502">
          <cell r="A502" t="str">
            <v>PLN_WIBOR_EOD</v>
          </cell>
          <cell r="C502">
            <v>43415</v>
          </cell>
          <cell r="E502">
            <v>1.5487483253163599E-2</v>
          </cell>
        </row>
        <row r="503">
          <cell r="A503" t="str">
            <v>PLN_WIBOR_EOD</v>
          </cell>
          <cell r="C503">
            <v>43780</v>
          </cell>
          <cell r="E503">
            <v>1.6755681967650898E-2</v>
          </cell>
        </row>
        <row r="504">
          <cell r="A504" t="str">
            <v>PLN_WIBOR_EOD</v>
          </cell>
          <cell r="C504">
            <v>44145</v>
          </cell>
          <cell r="E504">
            <v>1.8069880289629699E-2</v>
          </cell>
        </row>
        <row r="505">
          <cell r="A505" t="str">
            <v>PLN_WIBOR_EOD</v>
          </cell>
          <cell r="C505">
            <v>44510</v>
          </cell>
          <cell r="E505">
            <v>1.9384033874036199E-2</v>
          </cell>
        </row>
        <row r="506">
          <cell r="A506" t="str">
            <v>PLN_WIBOR_EOD</v>
          </cell>
          <cell r="C506">
            <v>44875</v>
          </cell>
          <cell r="E506">
            <v>2.0618273314728E-2</v>
          </cell>
        </row>
        <row r="507">
          <cell r="A507" t="str">
            <v>PLN_WIBOR_EOD</v>
          </cell>
          <cell r="C507">
            <v>45240</v>
          </cell>
          <cell r="E507">
            <v>2.1743171001028499E-2</v>
          </cell>
        </row>
        <row r="508">
          <cell r="A508" t="str">
            <v>PLN_WIBOR_EOD</v>
          </cell>
          <cell r="C508">
            <v>45605</v>
          </cell>
          <cell r="E508">
            <v>2.27417906624129E-2</v>
          </cell>
        </row>
        <row r="509">
          <cell r="A509" t="str">
            <v>PLN_WIBOR_EOD</v>
          </cell>
          <cell r="C509">
            <v>45970</v>
          </cell>
          <cell r="E509">
            <v>2.3552970679361601E-2</v>
          </cell>
        </row>
        <row r="510">
          <cell r="A510" t="str">
            <v>PLN_WIBOR_EOD</v>
          </cell>
          <cell r="C510">
            <v>46700</v>
          </cell>
          <cell r="E510">
            <v>2.4682125681150999E-2</v>
          </cell>
        </row>
        <row r="511">
          <cell r="A511" t="str">
            <v>PLN_WIBOR_EOD</v>
          </cell>
          <cell r="C511">
            <v>47795</v>
          </cell>
          <cell r="E511">
            <v>2.5744249149203799E-2</v>
          </cell>
        </row>
        <row r="512">
          <cell r="A512" t="str">
            <v>PLN_WIBOR_EOD</v>
          </cell>
          <cell r="C512">
            <v>49620</v>
          </cell>
          <cell r="E512">
            <v>2.6014325355970501E-2</v>
          </cell>
        </row>
        <row r="513">
          <cell r="A513" t="str">
            <v>PLN_WIBOR_EOD</v>
          </cell>
          <cell r="C513">
            <v>51445</v>
          </cell>
          <cell r="E513">
            <v>2.5494478639804301E-2</v>
          </cell>
        </row>
        <row r="514">
          <cell r="A514" t="str">
            <v>PLN_WIBOR_EOD</v>
          </cell>
          <cell r="C514">
            <v>53270</v>
          </cell>
          <cell r="E514">
            <v>2.4654813461441199E-2</v>
          </cell>
        </row>
        <row r="515">
          <cell r="A515" t="str">
            <v>SEK_STIBOR_EOD</v>
          </cell>
          <cell r="C515">
            <v>42321</v>
          </cell>
          <cell r="E515">
            <v>-2.4536193579993999E-3</v>
          </cell>
        </row>
        <row r="516">
          <cell r="A516" t="str">
            <v>SEK_STIBOR_EOD</v>
          </cell>
          <cell r="C516">
            <v>42327</v>
          </cell>
          <cell r="E516">
            <v>-2.5117128830310399E-3</v>
          </cell>
        </row>
        <row r="517">
          <cell r="A517" t="str">
            <v>SEK_STIBOR_EOD</v>
          </cell>
          <cell r="C517">
            <v>42350</v>
          </cell>
          <cell r="E517">
            <v>-3.0909009833049199E-3</v>
          </cell>
        </row>
        <row r="518">
          <cell r="A518" t="str">
            <v>SEK_STIBOR_EOD</v>
          </cell>
          <cell r="C518">
            <v>42380</v>
          </cell>
          <cell r="E518">
            <v>-3.2700910313544201E-3</v>
          </cell>
        </row>
        <row r="519">
          <cell r="A519" t="str">
            <v>SEK_STIBOR_EOD</v>
          </cell>
          <cell r="C519">
            <v>42411</v>
          </cell>
          <cell r="E519">
            <v>-3.3577962231498902E-3</v>
          </cell>
        </row>
        <row r="520">
          <cell r="A520" t="str">
            <v>SEK_STIBOR_EOD</v>
          </cell>
          <cell r="C520">
            <v>42502</v>
          </cell>
          <cell r="E520">
            <v>-3.4927628542244398E-3</v>
          </cell>
        </row>
        <row r="521">
          <cell r="A521" t="str">
            <v>SEK_STIBOR_EOD</v>
          </cell>
          <cell r="C521">
            <v>42593</v>
          </cell>
          <cell r="E521">
            <v>-3.4945045522486E-3</v>
          </cell>
        </row>
        <row r="522">
          <cell r="A522" t="str">
            <v>SEK_STIBOR_EOD</v>
          </cell>
          <cell r="C522">
            <v>42685</v>
          </cell>
          <cell r="E522">
            <v>-3.40501426558663E-3</v>
          </cell>
        </row>
        <row r="523">
          <cell r="A523" t="str">
            <v>SEK_STIBOR_EOD</v>
          </cell>
          <cell r="C523">
            <v>42867</v>
          </cell>
          <cell r="E523">
            <v>-2.9251150896253599E-3</v>
          </cell>
        </row>
        <row r="524">
          <cell r="A524" t="str">
            <v>SEK_STIBOR_EOD</v>
          </cell>
          <cell r="C524">
            <v>43050</v>
          </cell>
          <cell r="E524">
            <v>-2.1424794302373198E-3</v>
          </cell>
        </row>
        <row r="525">
          <cell r="A525" t="str">
            <v>SEK_STIBOR_EOD</v>
          </cell>
          <cell r="C525">
            <v>43415</v>
          </cell>
          <cell r="E525">
            <v>-9.8468691807810006E-5</v>
          </cell>
        </row>
        <row r="526">
          <cell r="A526" t="str">
            <v>SEK_STIBOR_EOD</v>
          </cell>
          <cell r="C526">
            <v>43780</v>
          </cell>
          <cell r="E526">
            <v>2.3621604877507598E-3</v>
          </cell>
        </row>
        <row r="527">
          <cell r="A527" t="str">
            <v>SEK_STIBOR_EOD</v>
          </cell>
          <cell r="C527">
            <v>44145</v>
          </cell>
          <cell r="E527">
            <v>5.0672698594667401E-3</v>
          </cell>
        </row>
        <row r="528">
          <cell r="A528" t="str">
            <v>SEK_STIBOR_EOD</v>
          </cell>
          <cell r="C528">
            <v>44510</v>
          </cell>
          <cell r="E528">
            <v>7.6409193910777001E-3</v>
          </cell>
        </row>
        <row r="529">
          <cell r="A529" t="str">
            <v>SEK_STIBOR_EOD</v>
          </cell>
          <cell r="C529">
            <v>44875</v>
          </cell>
          <cell r="E529">
            <v>9.9555889323975494E-3</v>
          </cell>
        </row>
        <row r="530">
          <cell r="A530" t="str">
            <v>SEK_STIBOR_EOD</v>
          </cell>
          <cell r="C530">
            <v>45240</v>
          </cell>
          <cell r="E530">
            <v>1.19506296761978E-2</v>
          </cell>
        </row>
        <row r="531">
          <cell r="A531" t="str">
            <v>SEK_STIBOR_EOD</v>
          </cell>
          <cell r="C531">
            <v>45605</v>
          </cell>
          <cell r="E531">
            <v>1.36650288984958E-2</v>
          </cell>
        </row>
        <row r="532">
          <cell r="A532" t="str">
            <v>SEK_STIBOR_EOD</v>
          </cell>
          <cell r="C532">
            <v>45970</v>
          </cell>
          <cell r="E532">
            <v>1.5152717775012601E-2</v>
          </cell>
        </row>
        <row r="533">
          <cell r="A533" t="str">
            <v>SEK_STIBOR_EOD</v>
          </cell>
          <cell r="C533">
            <v>46700</v>
          </cell>
          <cell r="E533">
            <v>1.7694482729160299E-2</v>
          </cell>
        </row>
        <row r="534">
          <cell r="A534" t="str">
            <v>SEK_STIBOR_EOD</v>
          </cell>
          <cell r="C534">
            <v>47795</v>
          </cell>
          <cell r="E534">
            <v>2.05507262551104E-2</v>
          </cell>
        </row>
        <row r="535">
          <cell r="A535" t="str">
            <v>SEK_STIBOR_EOD</v>
          </cell>
          <cell r="C535">
            <v>49620</v>
          </cell>
          <cell r="E535">
            <v>2.34780965112578E-2</v>
          </cell>
        </row>
        <row r="536">
          <cell r="A536" t="str">
            <v>SEK_STIBOR_EOD</v>
          </cell>
          <cell r="C536">
            <v>51445</v>
          </cell>
          <cell r="E536">
            <v>2.4502061983481899E-2</v>
          </cell>
        </row>
        <row r="537">
          <cell r="A537" t="str">
            <v>SEK_STIBOR_EOD</v>
          </cell>
          <cell r="C537">
            <v>53270</v>
          </cell>
          <cell r="E537">
            <v>2.4574668820915899E-2</v>
          </cell>
        </row>
        <row r="538">
          <cell r="A538" t="str">
            <v>SGD_SOR_EOD</v>
          </cell>
          <cell r="C538">
            <v>42321</v>
          </cell>
          <cell r="E538">
            <v>7.14892998968953E-3</v>
          </cell>
        </row>
        <row r="539">
          <cell r="A539" t="str">
            <v>SGD_SOR_EOD</v>
          </cell>
          <cell r="C539">
            <v>42327</v>
          </cell>
          <cell r="E539">
            <v>7.5042676947897702E-3</v>
          </cell>
        </row>
        <row r="540">
          <cell r="A540" t="str">
            <v>SGD_SOR_EOD</v>
          </cell>
          <cell r="C540">
            <v>42350</v>
          </cell>
          <cell r="E540">
            <v>1.18810854452168E-2</v>
          </cell>
        </row>
        <row r="541">
          <cell r="A541" t="str">
            <v>SGD_SOR_EOD</v>
          </cell>
          <cell r="C541">
            <v>42380</v>
          </cell>
          <cell r="E541">
            <v>1.34609263778967E-2</v>
          </cell>
        </row>
        <row r="542">
          <cell r="A542" t="str">
            <v>SGD_SOR_EOD</v>
          </cell>
          <cell r="C542">
            <v>42411</v>
          </cell>
          <cell r="E542">
            <v>1.4272105721801299E-2</v>
          </cell>
        </row>
        <row r="543">
          <cell r="A543" t="str">
            <v>SGD_SOR_EOD</v>
          </cell>
          <cell r="C543">
            <v>42502</v>
          </cell>
          <cell r="E543">
            <v>1.56822893462575E-2</v>
          </cell>
        </row>
        <row r="544">
          <cell r="A544" t="str">
            <v>SGD_SOR_EOD</v>
          </cell>
          <cell r="C544">
            <v>42593</v>
          </cell>
          <cell r="E544">
            <v>1.5905355428364999E-2</v>
          </cell>
        </row>
        <row r="545">
          <cell r="A545" t="str">
            <v>SGD_SOR_EOD</v>
          </cell>
          <cell r="C545">
            <v>42685</v>
          </cell>
          <cell r="E545">
            <v>1.60781022997625E-2</v>
          </cell>
        </row>
        <row r="546">
          <cell r="A546" t="str">
            <v>SGD_SOR_EOD</v>
          </cell>
          <cell r="C546">
            <v>42867</v>
          </cell>
          <cell r="E546">
            <v>1.7536479331659201E-2</v>
          </cell>
        </row>
        <row r="547">
          <cell r="A547" t="str">
            <v>SGD_SOR_EOD</v>
          </cell>
          <cell r="C547">
            <v>43050</v>
          </cell>
          <cell r="E547">
            <v>1.9034586204766699E-2</v>
          </cell>
        </row>
        <row r="548">
          <cell r="A548" t="str">
            <v>SGD_SOR_EOD</v>
          </cell>
          <cell r="C548">
            <v>43415</v>
          </cell>
          <cell r="E548">
            <v>2.1676789928194801E-2</v>
          </cell>
        </row>
        <row r="549">
          <cell r="A549" t="str">
            <v>SGD_SOR_EOD</v>
          </cell>
          <cell r="C549">
            <v>43780</v>
          </cell>
          <cell r="E549">
            <v>2.3869335135525301E-2</v>
          </cell>
        </row>
        <row r="550">
          <cell r="A550" t="str">
            <v>SGD_SOR_EOD</v>
          </cell>
          <cell r="C550">
            <v>44145</v>
          </cell>
          <cell r="E550">
            <v>2.5508351092499399E-2</v>
          </cell>
        </row>
        <row r="551">
          <cell r="A551" t="str">
            <v>SGD_SOR_EOD</v>
          </cell>
          <cell r="C551">
            <v>44510</v>
          </cell>
          <cell r="E551">
            <v>2.6784205536463299E-2</v>
          </cell>
        </row>
        <row r="552">
          <cell r="A552" t="str">
            <v>SGD_SOR_EOD</v>
          </cell>
          <cell r="C552">
            <v>44875</v>
          </cell>
          <cell r="E552">
            <v>2.8054169298673E-2</v>
          </cell>
        </row>
        <row r="553">
          <cell r="A553" t="str">
            <v>SGD_SOR_EOD</v>
          </cell>
          <cell r="C553">
            <v>45240</v>
          </cell>
          <cell r="E553">
            <v>2.8830019043581501E-2</v>
          </cell>
        </row>
        <row r="554">
          <cell r="A554" t="str">
            <v>SGD_SOR_EOD</v>
          </cell>
          <cell r="C554">
            <v>45605</v>
          </cell>
          <cell r="E554">
            <v>2.9597610615498898E-2</v>
          </cell>
        </row>
        <row r="555">
          <cell r="A555" t="str">
            <v>SGD_SOR_EOD</v>
          </cell>
          <cell r="C555">
            <v>45970</v>
          </cell>
          <cell r="E555">
            <v>3.0365202187416299E-2</v>
          </cell>
        </row>
        <row r="556">
          <cell r="A556" t="str">
            <v>USD_FEDFUND_EOD</v>
          </cell>
          <cell r="C556">
            <v>42321</v>
          </cell>
          <cell r="E556">
            <v>1.2166646389013701E-3</v>
          </cell>
        </row>
        <row r="557">
          <cell r="A557" t="str">
            <v>USD_FEDFUND_EOD</v>
          </cell>
          <cell r="C557">
            <v>42327</v>
          </cell>
          <cell r="E557">
            <v>1.24085359931409E-3</v>
          </cell>
        </row>
        <row r="558">
          <cell r="A558" t="str">
            <v>USD_FEDFUND_EOD</v>
          </cell>
          <cell r="C558">
            <v>42334</v>
          </cell>
          <cell r="E558">
            <v>1.2624277042969801E-3</v>
          </cell>
        </row>
        <row r="559">
          <cell r="A559" t="str">
            <v>USD_FEDFUND_EOD</v>
          </cell>
          <cell r="C559">
            <v>42341</v>
          </cell>
          <cell r="E559">
            <v>1.25929729236594E-3</v>
          </cell>
        </row>
        <row r="560">
          <cell r="A560" t="str">
            <v>USD_FEDFUND_EOD</v>
          </cell>
          <cell r="C560">
            <v>42350</v>
          </cell>
          <cell r="E560">
            <v>1.2868941727229701E-3</v>
          </cell>
        </row>
        <row r="561">
          <cell r="A561" t="str">
            <v>USD_FEDFUND_EOD</v>
          </cell>
          <cell r="C561">
            <v>42380</v>
          </cell>
          <cell r="E561">
            <v>1.8894526006785399E-3</v>
          </cell>
        </row>
        <row r="562">
          <cell r="A562" t="str">
            <v>USD_FEDFUND_EOD</v>
          </cell>
          <cell r="C562">
            <v>42411</v>
          </cell>
          <cell r="E562">
            <v>2.3285224791229301E-3</v>
          </cell>
        </row>
        <row r="563">
          <cell r="A563" t="str">
            <v>USD_FEDFUND_EOD</v>
          </cell>
          <cell r="C563">
            <v>42441</v>
          </cell>
          <cell r="E563">
            <v>2.5122379343664601E-3</v>
          </cell>
        </row>
        <row r="564">
          <cell r="A564" t="str">
            <v>USD_FEDFUND_EOD</v>
          </cell>
          <cell r="C564">
            <v>42472</v>
          </cell>
          <cell r="E564">
            <v>2.8169042356424598E-3</v>
          </cell>
        </row>
        <row r="565">
          <cell r="A565" t="str">
            <v>USD_FEDFUND_EOD</v>
          </cell>
          <cell r="C565">
            <v>42502</v>
          </cell>
          <cell r="E565">
            <v>3.1284039210684798E-3</v>
          </cell>
        </row>
        <row r="566">
          <cell r="A566" t="str">
            <v>USD_FEDFUND_EOD</v>
          </cell>
          <cell r="C566">
            <v>42532</v>
          </cell>
          <cell r="E566">
            <v>3.4047078097363898E-3</v>
          </cell>
        </row>
        <row r="567">
          <cell r="A567" t="str">
            <v>USD_FEDFUND_EOD</v>
          </cell>
          <cell r="C567">
            <v>42563</v>
          </cell>
          <cell r="E567">
            <v>3.6670990458825699E-3</v>
          </cell>
        </row>
        <row r="568">
          <cell r="A568" t="str">
            <v>USD_FEDFUND_EOD</v>
          </cell>
          <cell r="C568">
            <v>42593</v>
          </cell>
          <cell r="E568">
            <v>3.9320084941971397E-3</v>
          </cell>
        </row>
        <row r="569">
          <cell r="A569" t="str">
            <v>USD_FEDFUND_EOD</v>
          </cell>
          <cell r="C569">
            <v>42624</v>
          </cell>
          <cell r="E569">
            <v>4.1820002760589803E-3</v>
          </cell>
        </row>
        <row r="570">
          <cell r="A570" t="str">
            <v>USD_FEDFUND_EOD</v>
          </cell>
          <cell r="C570">
            <v>42654</v>
          </cell>
          <cell r="E570">
            <v>4.44975948414684E-3</v>
          </cell>
        </row>
        <row r="571">
          <cell r="A571" t="str">
            <v>USD_FEDFUND_EOD</v>
          </cell>
          <cell r="C571">
            <v>42685</v>
          </cell>
          <cell r="E571">
            <v>4.6738438437874102E-3</v>
          </cell>
        </row>
        <row r="572">
          <cell r="A572" t="str">
            <v>USD_FEDFUND_EOD</v>
          </cell>
          <cell r="C572">
            <v>42776</v>
          </cell>
          <cell r="E572">
            <v>5.4465442985497502E-3</v>
          </cell>
        </row>
        <row r="573">
          <cell r="A573" t="str">
            <v>USD_FEDFUND_EOD</v>
          </cell>
          <cell r="C573">
            <v>42867</v>
          </cell>
          <cell r="E573">
            <v>6.2283416491023197E-3</v>
          </cell>
        </row>
        <row r="574">
          <cell r="A574" t="str">
            <v>USD_FEDFUND_EOD</v>
          </cell>
          <cell r="C574">
            <v>42958</v>
          </cell>
          <cell r="E574">
            <v>6.9958228326430002E-3</v>
          </cell>
        </row>
        <row r="575">
          <cell r="A575" t="str">
            <v>USD_FEDFUND_EOD</v>
          </cell>
          <cell r="C575">
            <v>43050</v>
          </cell>
          <cell r="E575">
            <v>7.7710724276410003E-3</v>
          </cell>
        </row>
        <row r="576">
          <cell r="A576" t="str">
            <v>USD_FEDFUND_EOD</v>
          </cell>
          <cell r="C576">
            <v>43415</v>
          </cell>
          <cell r="E576">
            <v>1.05154050808937E-2</v>
          </cell>
        </row>
        <row r="577">
          <cell r="A577" t="str">
            <v>USD_FEDFUND_EOD</v>
          </cell>
          <cell r="C577">
            <v>43780</v>
          </cell>
          <cell r="E577">
            <v>1.2657830019872701E-2</v>
          </cell>
        </row>
        <row r="578">
          <cell r="A578" t="str">
            <v>USD_FEDFUND_EOD</v>
          </cell>
          <cell r="C578">
            <v>44145</v>
          </cell>
          <cell r="E578">
            <v>1.4409790709594099E-2</v>
          </cell>
        </row>
        <row r="579">
          <cell r="A579" t="str">
            <v>USD_FEDFUND_EOD</v>
          </cell>
          <cell r="C579">
            <v>44510</v>
          </cell>
          <cell r="E579">
            <v>1.5915713539528E-2</v>
          </cell>
        </row>
        <row r="580">
          <cell r="A580" t="str">
            <v>USD_FEDFUND_EOD</v>
          </cell>
          <cell r="C580">
            <v>44875</v>
          </cell>
          <cell r="E580">
            <v>1.72003577484297E-2</v>
          </cell>
        </row>
        <row r="581">
          <cell r="A581" t="str">
            <v>USD_FEDFUND_EOD</v>
          </cell>
          <cell r="C581">
            <v>45240</v>
          </cell>
          <cell r="E581">
            <v>1.8251904102712602E-2</v>
          </cell>
        </row>
        <row r="582">
          <cell r="A582" t="str">
            <v>USD_FEDFUND_EOD</v>
          </cell>
          <cell r="C582">
            <v>45605</v>
          </cell>
          <cell r="E582">
            <v>1.91508918538385E-2</v>
          </cell>
        </row>
        <row r="583">
          <cell r="A583" t="str">
            <v>USD_FEDFUND_EOD</v>
          </cell>
          <cell r="C583">
            <v>45970</v>
          </cell>
          <cell r="E583">
            <v>1.9922891861958499E-2</v>
          </cell>
        </row>
        <row r="584">
          <cell r="A584" t="str">
            <v>USD_FEDFUND_EOD</v>
          </cell>
          <cell r="C584">
            <v>46700</v>
          </cell>
          <cell r="E584">
            <v>2.1271111234343599E-2</v>
          </cell>
        </row>
        <row r="585">
          <cell r="A585" t="str">
            <v>USD_FEDFUND_EOD</v>
          </cell>
          <cell r="C585">
            <v>47795</v>
          </cell>
          <cell r="E585">
            <v>2.2554080285430201E-2</v>
          </cell>
        </row>
        <row r="586">
          <cell r="A586" t="str">
            <v>USD_FEDFUND_EOD</v>
          </cell>
          <cell r="C586">
            <v>49620</v>
          </cell>
          <cell r="E586">
            <v>2.3790593316237701E-2</v>
          </cell>
        </row>
        <row r="587">
          <cell r="A587" t="str">
            <v>USD_FEDFUND_EOD</v>
          </cell>
          <cell r="C587">
            <v>51445</v>
          </cell>
          <cell r="E587">
            <v>2.44137860918744E-2</v>
          </cell>
        </row>
        <row r="588">
          <cell r="A588" t="str">
            <v>USD_FEDFUND_EOD</v>
          </cell>
          <cell r="C588">
            <v>53270</v>
          </cell>
          <cell r="E588">
            <v>2.4671884956370401E-2</v>
          </cell>
        </row>
        <row r="589">
          <cell r="A589" t="str">
            <v>USD_FEDFUND_EOD</v>
          </cell>
          <cell r="C589">
            <v>55095</v>
          </cell>
          <cell r="E589">
            <v>2.4738655409684399E-2</v>
          </cell>
        </row>
        <row r="590">
          <cell r="A590" t="str">
            <v>USD_FEDFUND_EOD</v>
          </cell>
          <cell r="C590">
            <v>56920</v>
          </cell>
          <cell r="E590">
            <v>2.4804174018862299E-2</v>
          </cell>
        </row>
        <row r="591">
          <cell r="A591" t="str">
            <v>USD_FEDFUND_EOD</v>
          </cell>
          <cell r="C591">
            <v>58745</v>
          </cell>
          <cell r="E591">
            <v>2.4600474034143501E-2</v>
          </cell>
        </row>
        <row r="592">
          <cell r="A592" t="str">
            <v>USD_FEDFUND_EOD</v>
          </cell>
          <cell r="C592">
            <v>60570</v>
          </cell>
          <cell r="E592">
            <v>2.43946928454962E-2</v>
          </cell>
        </row>
        <row r="593">
          <cell r="A593" t="str">
            <v>USD_LIBOR_EOD</v>
          </cell>
          <cell r="C593">
            <v>42321</v>
          </cell>
          <cell r="E593">
            <v>1.3231226018240599E-3</v>
          </cell>
        </row>
        <row r="594">
          <cell r="A594" t="str">
            <v>USD_LIBOR_EOD</v>
          </cell>
          <cell r="C594">
            <v>42327</v>
          </cell>
          <cell r="E594">
            <v>1.3943167280480099E-3</v>
          </cell>
        </row>
        <row r="595">
          <cell r="A595" t="str">
            <v>USD_LIBOR_EOD</v>
          </cell>
          <cell r="C595">
            <v>42350</v>
          </cell>
          <cell r="E595">
            <v>1.8433465881155099E-3</v>
          </cell>
        </row>
        <row r="596">
          <cell r="A596" t="str">
            <v>USD_LIBOR_EOD</v>
          </cell>
          <cell r="C596">
            <v>42380</v>
          </cell>
          <cell r="E596">
            <v>2.4562681194884701E-3</v>
          </cell>
        </row>
        <row r="597">
          <cell r="A597" t="str">
            <v>USD_LIBOR_EOD</v>
          </cell>
          <cell r="C597">
            <v>42411</v>
          </cell>
          <cell r="E597">
            <v>3.0981758852134402E-3</v>
          </cell>
        </row>
        <row r="598">
          <cell r="A598" t="str">
            <v>USD_LIBOR_EOD</v>
          </cell>
          <cell r="C598">
            <v>42502</v>
          </cell>
          <cell r="E598">
            <v>4.4395367385338296E-3</v>
          </cell>
        </row>
        <row r="599">
          <cell r="A599" t="str">
            <v>USD_LIBOR_EOD</v>
          </cell>
          <cell r="C599">
            <v>42593</v>
          </cell>
          <cell r="E599">
            <v>5.3734350039607304E-3</v>
          </cell>
        </row>
        <row r="600">
          <cell r="A600" t="str">
            <v>USD_LIBOR_EOD</v>
          </cell>
          <cell r="C600">
            <v>42685</v>
          </cell>
          <cell r="E600">
            <v>6.2562544428328296E-3</v>
          </cell>
        </row>
        <row r="601">
          <cell r="A601" t="str">
            <v>USD_LIBOR_EOD</v>
          </cell>
          <cell r="C601">
            <v>42867</v>
          </cell>
          <cell r="E601">
            <v>7.9949317694251801E-3</v>
          </cell>
        </row>
        <row r="602">
          <cell r="A602" t="str">
            <v>USD_LIBOR_EOD</v>
          </cell>
          <cell r="C602">
            <v>43050</v>
          </cell>
          <cell r="E602">
            <v>9.6636058374273102E-3</v>
          </cell>
        </row>
        <row r="603">
          <cell r="A603" t="str">
            <v>USD_LIBOR_EOD</v>
          </cell>
          <cell r="C603">
            <v>43415</v>
          </cell>
          <cell r="E603">
            <v>1.2626185729279701E-2</v>
          </cell>
        </row>
        <row r="604">
          <cell r="A604" t="str">
            <v>USD_LIBOR_EOD</v>
          </cell>
          <cell r="C604">
            <v>43780</v>
          </cell>
          <cell r="E604">
            <v>1.48329473212173E-2</v>
          </cell>
        </row>
        <row r="605">
          <cell r="A605" t="str">
            <v>USD_LIBOR_EOD</v>
          </cell>
          <cell r="C605">
            <v>44145</v>
          </cell>
          <cell r="E605">
            <v>1.6663870072601401E-2</v>
          </cell>
        </row>
        <row r="606">
          <cell r="A606" t="str">
            <v>USD_LIBOR_EOD</v>
          </cell>
          <cell r="C606">
            <v>44510</v>
          </cell>
          <cell r="E606">
            <v>1.8225257133233301E-2</v>
          </cell>
        </row>
        <row r="607">
          <cell r="A607" t="str">
            <v>USD_LIBOR_EOD</v>
          </cell>
          <cell r="C607">
            <v>44875</v>
          </cell>
          <cell r="E607">
            <v>1.95659729587301E-2</v>
          </cell>
        </row>
        <row r="608">
          <cell r="A608" t="str">
            <v>USD_LIBOR_EOD</v>
          </cell>
          <cell r="C608">
            <v>45240</v>
          </cell>
          <cell r="E608">
            <v>2.06339828006568E-2</v>
          </cell>
        </row>
        <row r="609">
          <cell r="A609" t="str">
            <v>USD_LIBOR_EOD</v>
          </cell>
          <cell r="C609">
            <v>45605</v>
          </cell>
          <cell r="E609">
            <v>2.1548971028144501E-2</v>
          </cell>
        </row>
        <row r="610">
          <cell r="A610" t="str">
            <v>USD_LIBOR_EOD</v>
          </cell>
          <cell r="C610">
            <v>45970</v>
          </cell>
          <cell r="E610">
            <v>2.2337363923963401E-2</v>
          </cell>
        </row>
        <row r="611">
          <cell r="A611" t="str">
            <v>USD_LIBOR_EOD</v>
          </cell>
          <cell r="C611">
            <v>46700</v>
          </cell>
          <cell r="E611">
            <v>2.3706857024233901E-2</v>
          </cell>
        </row>
        <row r="612">
          <cell r="A612" t="str">
            <v>USD_LIBOR_EOD</v>
          </cell>
          <cell r="C612">
            <v>47795</v>
          </cell>
          <cell r="E612">
            <v>2.5054926761639802E-2</v>
          </cell>
        </row>
        <row r="613">
          <cell r="A613" t="str">
            <v>USD_LIBOR_EOD</v>
          </cell>
          <cell r="C613">
            <v>49620</v>
          </cell>
          <cell r="E613">
            <v>2.6329022092246301E-2</v>
          </cell>
        </row>
        <row r="614">
          <cell r="A614" t="str">
            <v>USD_LIBOR_EOD</v>
          </cell>
          <cell r="C614">
            <v>51445</v>
          </cell>
          <cell r="E614">
            <v>2.69695527129242E-2</v>
          </cell>
        </row>
        <row r="615">
          <cell r="A615" t="str">
            <v>USD_LIBOR_EOD</v>
          </cell>
          <cell r="C615">
            <v>53270</v>
          </cell>
          <cell r="E615">
            <v>2.72234743358034E-2</v>
          </cell>
        </row>
        <row r="616">
          <cell r="A616" t="str">
            <v>USD_LIBOR_EOD</v>
          </cell>
          <cell r="C616">
            <v>55095</v>
          </cell>
          <cell r="E616">
            <v>2.7284388923901799E-2</v>
          </cell>
        </row>
        <row r="617">
          <cell r="A617" t="str">
            <v>USD_LIBOR_EOD</v>
          </cell>
          <cell r="C617">
            <v>56920</v>
          </cell>
          <cell r="E617">
            <v>2.73440414168734E-2</v>
          </cell>
        </row>
        <row r="618">
          <cell r="A618" t="str">
            <v>USD_LIBOR_EOD</v>
          </cell>
          <cell r="C618">
            <v>58745</v>
          </cell>
          <cell r="E618">
            <v>2.71220242683008E-2</v>
          </cell>
        </row>
        <row r="619">
          <cell r="A619" t="str">
            <v>USD_LIBOR_EOD</v>
          </cell>
          <cell r="C619">
            <v>60570</v>
          </cell>
          <cell r="E619">
            <v>2.6897829662532399E-2</v>
          </cell>
        </row>
        <row r="620">
          <cell r="A620" t="str">
            <v>ZAR_JIBAR_EOD</v>
          </cell>
          <cell r="C620">
            <v>42321</v>
          </cell>
          <cell r="E620">
            <v>5.76954398093356E-2</v>
          </cell>
        </row>
        <row r="621">
          <cell r="A621" t="str">
            <v>ZAR_JIBAR_EOD</v>
          </cell>
          <cell r="C621">
            <v>42327</v>
          </cell>
          <cell r="E621">
            <v>5.8436897595543498E-2</v>
          </cell>
        </row>
        <row r="622">
          <cell r="A622" t="str">
            <v>ZAR_JIBAR_EOD</v>
          </cell>
          <cell r="C622">
            <v>42350</v>
          </cell>
          <cell r="E622">
            <v>6.1029758856814401E-2</v>
          </cell>
        </row>
        <row r="623">
          <cell r="A623" t="str">
            <v>ZAR_JIBAR_EOD</v>
          </cell>
          <cell r="C623">
            <v>42380</v>
          </cell>
          <cell r="E623">
            <v>6.2067653778116801E-2</v>
          </cell>
        </row>
        <row r="624">
          <cell r="A624" t="str">
            <v>ZAR_JIBAR_EOD</v>
          </cell>
          <cell r="C624">
            <v>42411</v>
          </cell>
          <cell r="E624">
            <v>6.2891934767640198E-2</v>
          </cell>
        </row>
        <row r="625">
          <cell r="A625" t="str">
            <v>ZAR_JIBAR_EOD</v>
          </cell>
          <cell r="C625">
            <v>42502</v>
          </cell>
          <cell r="E625">
            <v>6.4568798606949196E-2</v>
          </cell>
        </row>
        <row r="626">
          <cell r="A626" t="str">
            <v>ZAR_JIBAR_EOD</v>
          </cell>
          <cell r="C626">
            <v>42593</v>
          </cell>
          <cell r="E626">
            <v>6.5836951424634693E-2</v>
          </cell>
        </row>
        <row r="627">
          <cell r="A627" t="str">
            <v>ZAR_JIBAR_EOD</v>
          </cell>
          <cell r="C627">
            <v>42685</v>
          </cell>
          <cell r="E627">
            <v>6.7281231622826093E-2</v>
          </cell>
        </row>
        <row r="628">
          <cell r="A628" t="str">
            <v>ZAR_JIBAR_EOD</v>
          </cell>
          <cell r="C628">
            <v>42867</v>
          </cell>
          <cell r="E628">
            <v>6.95101052401879E-2</v>
          </cell>
        </row>
        <row r="629">
          <cell r="A629" t="str">
            <v>ZAR_JIBAR_EOD</v>
          </cell>
          <cell r="C629">
            <v>43050</v>
          </cell>
          <cell r="E629">
            <v>7.1740578151064105E-2</v>
          </cell>
        </row>
        <row r="630">
          <cell r="A630" t="str">
            <v>ZAR_JIBAR_EOD</v>
          </cell>
          <cell r="C630">
            <v>43415</v>
          </cell>
          <cell r="E630">
            <v>7.5034801056373099E-2</v>
          </cell>
        </row>
        <row r="631">
          <cell r="A631" t="str">
            <v>ZAR_JIBAR_EOD</v>
          </cell>
          <cell r="C631">
            <v>43780</v>
          </cell>
          <cell r="E631">
            <v>7.7459986794604294E-2</v>
          </cell>
        </row>
        <row r="632">
          <cell r="A632" t="str">
            <v>ZAR_JIBAR_EOD</v>
          </cell>
          <cell r="C632">
            <v>44145</v>
          </cell>
          <cell r="E632">
            <v>7.9472899509785394E-2</v>
          </cell>
        </row>
        <row r="633">
          <cell r="A633" t="str">
            <v>ZAR_JIBAR_EOD</v>
          </cell>
          <cell r="C633">
            <v>44510</v>
          </cell>
          <cell r="E633">
            <v>8.1175364832817495E-2</v>
          </cell>
        </row>
        <row r="634">
          <cell r="A634" t="str">
            <v>ZAR_JIBAR_EOD</v>
          </cell>
          <cell r="C634">
            <v>44875</v>
          </cell>
          <cell r="E634">
            <v>8.2598566286741407E-2</v>
          </cell>
        </row>
        <row r="635">
          <cell r="A635" t="str">
            <v>ZAR_JIBAR_EOD</v>
          </cell>
          <cell r="C635">
            <v>45240</v>
          </cell>
          <cell r="E635">
            <v>8.3939256060434994E-2</v>
          </cell>
        </row>
        <row r="636">
          <cell r="A636" t="str">
            <v>ZAR_JIBAR_EOD</v>
          </cell>
          <cell r="C636">
            <v>45605</v>
          </cell>
          <cell r="E636">
            <v>8.5181337546932107E-2</v>
          </cell>
        </row>
        <row r="637">
          <cell r="A637" t="str">
            <v>ZAR_JIBAR_EOD</v>
          </cell>
          <cell r="C637">
            <v>45970</v>
          </cell>
          <cell r="E637">
            <v>8.6353378163936401E-2</v>
          </cell>
        </row>
        <row r="638">
          <cell r="A638" t="str">
            <v>ZAR_JIBAR_EOD</v>
          </cell>
          <cell r="C638">
            <v>46700</v>
          </cell>
          <cell r="E638">
            <v>8.8422540406415701E-2</v>
          </cell>
        </row>
        <row r="639">
          <cell r="A639" t="str">
            <v>ZAR_JIBAR_EOD</v>
          </cell>
          <cell r="C639">
            <v>47795</v>
          </cell>
          <cell r="E639">
            <v>9.0362817794322703E-2</v>
          </cell>
        </row>
        <row r="640">
          <cell r="A640" t="str">
            <v>ZAR_JIBAR_EOD</v>
          </cell>
          <cell r="C640">
            <v>49620</v>
          </cell>
          <cell r="E640">
            <v>9.0268402100321901E-2</v>
          </cell>
        </row>
        <row r="641">
          <cell r="A641" t="str">
            <v>ZAR_JIBAR_EOD</v>
          </cell>
          <cell r="C641">
            <v>51445</v>
          </cell>
          <cell r="E641">
            <v>8.8506894106117603E-2</v>
          </cell>
        </row>
        <row r="642">
          <cell r="A642" t="str">
            <v>ZAR_JIBAR_EOD</v>
          </cell>
          <cell r="C642">
            <v>53270</v>
          </cell>
          <cell r="E642">
            <v>8.4832885943032094E-2</v>
          </cell>
        </row>
      </sheetData>
      <sheetData sheetId="10">
        <row r="2">
          <cell r="A2" t="str">
            <v>AUD_AONIA_EOD</v>
          </cell>
          <cell r="C2">
            <v>42321</v>
          </cell>
          <cell r="E2">
            <v>1.99994520748366E-2</v>
          </cell>
        </row>
        <row r="3">
          <cell r="A3" t="str">
            <v>AUD_AONIA_EOD</v>
          </cell>
          <cell r="C3">
            <v>42328</v>
          </cell>
          <cell r="E3">
            <v>1.99790829093194E-2</v>
          </cell>
        </row>
        <row r="4">
          <cell r="A4" t="str">
            <v>AUD_AONIA_EOD</v>
          </cell>
          <cell r="C4">
            <v>42352</v>
          </cell>
          <cell r="E4">
            <v>1.9911012734886602E-2</v>
          </cell>
        </row>
        <row r="5">
          <cell r="A5" t="str">
            <v>AUD_AONIA_EOD</v>
          </cell>
          <cell r="C5">
            <v>42382</v>
          </cell>
          <cell r="E5">
            <v>1.98691185548707E-2</v>
          </cell>
        </row>
        <row r="6">
          <cell r="A6" t="str">
            <v>AUD_AONIA_EOD</v>
          </cell>
          <cell r="C6">
            <v>42415</v>
          </cell>
          <cell r="E6">
            <v>1.9776929443680501E-2</v>
          </cell>
        </row>
        <row r="7">
          <cell r="A7" t="str">
            <v>AUD_AONIA_EOD</v>
          </cell>
          <cell r="C7">
            <v>42443</v>
          </cell>
          <cell r="E7">
            <v>1.9642489766359801E-2</v>
          </cell>
        </row>
        <row r="8">
          <cell r="A8" t="str">
            <v>AUD_AONIA_EOD</v>
          </cell>
          <cell r="C8">
            <v>42473</v>
          </cell>
          <cell r="E8">
            <v>1.9484156750400199E-2</v>
          </cell>
        </row>
        <row r="9">
          <cell r="A9" t="str">
            <v>AUD_AONIA_EOD</v>
          </cell>
          <cell r="C9">
            <v>42503</v>
          </cell>
          <cell r="E9">
            <v>1.9413155967867302E-2</v>
          </cell>
        </row>
        <row r="10">
          <cell r="A10" t="str">
            <v>AUD_AONIA_EOD</v>
          </cell>
          <cell r="C10">
            <v>42597</v>
          </cell>
          <cell r="E10">
            <v>1.9035878465225701E-2</v>
          </cell>
        </row>
        <row r="11">
          <cell r="A11" t="str">
            <v>AUD_AONIA_EOD</v>
          </cell>
          <cell r="C11">
            <v>42688</v>
          </cell>
          <cell r="E11">
            <v>1.8876998096018099E-2</v>
          </cell>
        </row>
        <row r="12">
          <cell r="A12" t="str">
            <v>AUD_AONIA_EOD</v>
          </cell>
          <cell r="C12">
            <v>42870</v>
          </cell>
          <cell r="E12">
            <v>1.8768939641429502E-2</v>
          </cell>
        </row>
        <row r="13">
          <cell r="A13" t="str">
            <v>AUD_AONIA_EOD</v>
          </cell>
          <cell r="C13">
            <v>43052</v>
          </cell>
          <cell r="E13">
            <v>1.89339134531714E-2</v>
          </cell>
        </row>
        <row r="14">
          <cell r="A14" t="str">
            <v>AUD_AONIA_EOD</v>
          </cell>
          <cell r="C14">
            <v>43417</v>
          </cell>
          <cell r="E14">
            <v>1.9641724539855299E-2</v>
          </cell>
        </row>
        <row r="15">
          <cell r="A15" t="str">
            <v>AUD_AONIA_EOD</v>
          </cell>
          <cell r="C15">
            <v>43782</v>
          </cell>
          <cell r="E15">
            <v>2.09174313111627E-2</v>
          </cell>
        </row>
        <row r="16">
          <cell r="A16" t="str">
            <v>AUD_AONIA_EOD</v>
          </cell>
          <cell r="C16">
            <v>44148</v>
          </cell>
          <cell r="E16">
            <v>2.2298132396108099E-2</v>
          </cell>
        </row>
        <row r="17">
          <cell r="A17" t="str">
            <v>AUD_AONIA_EOD</v>
          </cell>
          <cell r="C17">
            <v>44879</v>
          </cell>
          <cell r="E17">
            <v>2.50467003125277E-2</v>
          </cell>
        </row>
        <row r="18">
          <cell r="A18" t="str">
            <v>AUD_AONIA_EOD</v>
          </cell>
          <cell r="C18">
            <v>45974</v>
          </cell>
          <cell r="E18">
            <v>2.7878527357915399E-2</v>
          </cell>
        </row>
        <row r="19">
          <cell r="A19" t="str">
            <v>AUD_AONIA_EOD</v>
          </cell>
          <cell r="C19">
            <v>46706</v>
          </cell>
          <cell r="E19">
            <v>2.9628026046305801E-2</v>
          </cell>
        </row>
        <row r="20">
          <cell r="A20" t="str">
            <v>AUD_AONIA_EOD</v>
          </cell>
          <cell r="C20">
            <v>47800</v>
          </cell>
          <cell r="E20">
            <v>3.1292073776341002E-2</v>
          </cell>
        </row>
        <row r="21">
          <cell r="A21" t="str">
            <v>AUD_AONIA_EOD</v>
          </cell>
          <cell r="C21">
            <v>49626</v>
          </cell>
          <cell r="E21">
            <v>3.2870671822665398E-2</v>
          </cell>
        </row>
        <row r="22">
          <cell r="A22" t="str">
            <v>AUD_AONIA_EOD</v>
          </cell>
          <cell r="C22">
            <v>51453</v>
          </cell>
          <cell r="E22">
            <v>3.34534974791924E-2</v>
          </cell>
        </row>
        <row r="23">
          <cell r="A23" t="str">
            <v>AUD_AONIA_EOD</v>
          </cell>
          <cell r="C23">
            <v>53279</v>
          </cell>
          <cell r="E23">
            <v>3.2854892630617701E-2</v>
          </cell>
        </row>
        <row r="24">
          <cell r="A24" t="str">
            <v>AUD_AONIA_EOD</v>
          </cell>
          <cell r="C24">
            <v>56933</v>
          </cell>
          <cell r="E24">
            <v>3.1715606515748299E-2</v>
          </cell>
        </row>
        <row r="25">
          <cell r="A25" t="str">
            <v>AUD_BBSW_3M_EOD</v>
          </cell>
          <cell r="C25">
            <v>42412</v>
          </cell>
          <cell r="E25">
            <v>2.20386745919838E-2</v>
          </cell>
        </row>
        <row r="26">
          <cell r="A26" t="str">
            <v>AUD_BBSW_3M_EOD</v>
          </cell>
          <cell r="C26">
            <v>42439</v>
          </cell>
          <cell r="E26">
            <v>2.1961351573382502E-2</v>
          </cell>
        </row>
        <row r="27">
          <cell r="A27" t="str">
            <v>AUD_BBSW_3M_EOD</v>
          </cell>
          <cell r="C27">
            <v>42530</v>
          </cell>
          <cell r="E27">
            <v>2.16445772117967E-2</v>
          </cell>
        </row>
        <row r="28">
          <cell r="A28" t="str">
            <v>AUD_BBSW_3M_EOD</v>
          </cell>
          <cell r="C28">
            <v>42621</v>
          </cell>
          <cell r="E28">
            <v>2.1363844736464601E-2</v>
          </cell>
        </row>
        <row r="29">
          <cell r="A29" t="str">
            <v>AUD_BBSW_3M_EOD</v>
          </cell>
          <cell r="C29">
            <v>42712</v>
          </cell>
          <cell r="E29">
            <v>2.1161946831808599E-2</v>
          </cell>
        </row>
        <row r="30">
          <cell r="A30" t="str">
            <v>AUD_BBSW_3M_EOD</v>
          </cell>
          <cell r="C30">
            <v>42803</v>
          </cell>
          <cell r="E30">
            <v>2.1030877609130399E-2</v>
          </cell>
        </row>
        <row r="31">
          <cell r="A31" t="str">
            <v>AUD_BBSW_3M_EOD</v>
          </cell>
          <cell r="C31">
            <v>42894</v>
          </cell>
          <cell r="E31">
            <v>2.0999096637723501E-2</v>
          </cell>
        </row>
        <row r="32">
          <cell r="A32" t="str">
            <v>AUD_BBSW_3M_EOD</v>
          </cell>
          <cell r="C32">
            <v>43052</v>
          </cell>
          <cell r="E32">
            <v>2.1192319894533199E-2</v>
          </cell>
        </row>
        <row r="33">
          <cell r="A33" t="str">
            <v>AUD_BBSW_3M_EOD</v>
          </cell>
          <cell r="C33">
            <v>43416</v>
          </cell>
          <cell r="E33">
            <v>2.1901281959783001E-2</v>
          </cell>
        </row>
        <row r="34">
          <cell r="A34" t="str">
            <v>AUD_BBSW_3M_EOD</v>
          </cell>
          <cell r="C34">
            <v>43781</v>
          </cell>
          <cell r="E34">
            <v>2.31520895286308E-2</v>
          </cell>
        </row>
        <row r="35">
          <cell r="A35" t="str">
            <v>AUD_BBSW_3M_EOD</v>
          </cell>
          <cell r="C35">
            <v>44147</v>
          </cell>
          <cell r="E35">
            <v>2.4507294996274302E-2</v>
          </cell>
        </row>
        <row r="36">
          <cell r="A36" t="str">
            <v>AUD_BBSW_3M_EOD</v>
          </cell>
          <cell r="C36">
            <v>44879</v>
          </cell>
          <cell r="E36">
            <v>2.71756372129346E-2</v>
          </cell>
        </row>
        <row r="37">
          <cell r="A37" t="str">
            <v>AUD_BBSW_3M_EOD</v>
          </cell>
          <cell r="C37">
            <v>45973</v>
          </cell>
          <cell r="E37">
            <v>3.0035980427841301E-2</v>
          </cell>
        </row>
        <row r="38">
          <cell r="A38" t="str">
            <v>AUD_BBSW_3M_EOD</v>
          </cell>
          <cell r="C38">
            <v>46703</v>
          </cell>
          <cell r="E38">
            <v>3.1756031958713002E-2</v>
          </cell>
        </row>
        <row r="39">
          <cell r="A39" t="str">
            <v>AUD_BBSW_3M_EOD</v>
          </cell>
          <cell r="C39">
            <v>47799</v>
          </cell>
          <cell r="E39">
            <v>3.3419609840489702E-2</v>
          </cell>
        </row>
        <row r="40">
          <cell r="A40" t="str">
            <v>AUD_BBSW_3M_EOD</v>
          </cell>
          <cell r="C40">
            <v>49625</v>
          </cell>
          <cell r="E40">
            <v>3.5032122051348702E-2</v>
          </cell>
        </row>
        <row r="41">
          <cell r="A41" t="str">
            <v>AUD_BBSW_3M_EOD</v>
          </cell>
          <cell r="C41">
            <v>51452</v>
          </cell>
          <cell r="E41">
            <v>3.5614153794788002E-2</v>
          </cell>
        </row>
        <row r="42">
          <cell r="A42" t="str">
            <v>AUD_BBSW_3M_EOD</v>
          </cell>
          <cell r="C42">
            <v>53279</v>
          </cell>
          <cell r="E42">
            <v>3.5014915893935697E-2</v>
          </cell>
        </row>
        <row r="43">
          <cell r="A43" t="str">
            <v>AUD_BBSW_3M_EOD</v>
          </cell>
          <cell r="C43">
            <v>56930</v>
          </cell>
          <cell r="E43">
            <v>3.3875355110571402E-2</v>
          </cell>
        </row>
        <row r="44">
          <cell r="A44" t="str">
            <v>AUD_BBSW_6M_EOD</v>
          </cell>
          <cell r="C44">
            <v>42502</v>
          </cell>
          <cell r="E44">
            <v>2.2869112102808599E-2</v>
          </cell>
        </row>
        <row r="45">
          <cell r="A45" t="str">
            <v>AUD_BBSW_6M_EOD</v>
          </cell>
          <cell r="C45">
            <v>42688</v>
          </cell>
          <cell r="E45">
            <v>2.27352595162944E-2</v>
          </cell>
        </row>
        <row r="46">
          <cell r="A46" t="str">
            <v>AUD_BBSW_6M_EOD</v>
          </cell>
          <cell r="C46">
            <v>43052</v>
          </cell>
          <cell r="E46">
            <v>2.2594951966904399E-2</v>
          </cell>
        </row>
        <row r="47">
          <cell r="A47" t="str">
            <v>AUD_BBSW_6M_EOD</v>
          </cell>
          <cell r="C47">
            <v>43416</v>
          </cell>
          <cell r="E47">
            <v>2.3159561224029498E-2</v>
          </cell>
        </row>
        <row r="48">
          <cell r="A48" t="str">
            <v>AUD_BBSW_6M_EOD</v>
          </cell>
          <cell r="C48">
            <v>43781</v>
          </cell>
          <cell r="E48">
            <v>2.4237173037323999E-2</v>
          </cell>
        </row>
        <row r="49">
          <cell r="A49" t="str">
            <v>AUD_BBSW_6M_EOD</v>
          </cell>
          <cell r="C49">
            <v>44147</v>
          </cell>
          <cell r="E49">
            <v>2.54560053270119E-2</v>
          </cell>
        </row>
        <row r="50">
          <cell r="A50" t="str">
            <v>AUD_BBSW_6M_EOD</v>
          </cell>
          <cell r="C50">
            <v>44879</v>
          </cell>
          <cell r="E50">
            <v>2.79124209193095E-2</v>
          </cell>
        </row>
        <row r="51">
          <cell r="A51" t="str">
            <v>AUD_BBSW_6M_EOD</v>
          </cell>
          <cell r="C51">
            <v>45973</v>
          </cell>
          <cell r="E51">
            <v>3.0634177074461699E-2</v>
          </cell>
        </row>
        <row r="52">
          <cell r="A52" t="str">
            <v>AUD_BBSW_6M_EOD</v>
          </cell>
          <cell r="C52">
            <v>46703</v>
          </cell>
          <cell r="E52">
            <v>3.2243536390612497E-2</v>
          </cell>
        </row>
        <row r="53">
          <cell r="A53" t="str">
            <v>AUD_BBSW_6M_EOD</v>
          </cell>
          <cell r="C53">
            <v>47799</v>
          </cell>
          <cell r="E53">
            <v>3.3764490907176897E-2</v>
          </cell>
        </row>
        <row r="54">
          <cell r="A54" t="str">
            <v>AUD_BBSW_6M_EOD</v>
          </cell>
          <cell r="C54">
            <v>49625</v>
          </cell>
          <cell r="E54">
            <v>3.5180787150869697E-2</v>
          </cell>
        </row>
        <row r="55">
          <cell r="A55" t="str">
            <v>AUD_BBSW_6M_EOD</v>
          </cell>
          <cell r="C55">
            <v>51452</v>
          </cell>
          <cell r="E55">
            <v>3.5667304100495498E-2</v>
          </cell>
        </row>
        <row r="56">
          <cell r="A56" t="str">
            <v>AUD_BBSW_6M_EOD</v>
          </cell>
          <cell r="C56">
            <v>53279</v>
          </cell>
          <cell r="E56">
            <v>3.5011412893183103E-2</v>
          </cell>
        </row>
        <row r="57">
          <cell r="A57" t="str">
            <v>AUD_BBSW_6M_EOD</v>
          </cell>
          <cell r="C57">
            <v>56930</v>
          </cell>
          <cell r="E57">
            <v>3.3912433287390298E-2</v>
          </cell>
        </row>
        <row r="58">
          <cell r="A58" t="str">
            <v>AUD_BBSW_EOD</v>
          </cell>
          <cell r="C58">
            <v>42321</v>
          </cell>
          <cell r="E58">
            <v>1.99994520748366E-2</v>
          </cell>
        </row>
        <row r="59">
          <cell r="A59" t="str">
            <v>AUD_BBSW_EOD</v>
          </cell>
          <cell r="C59">
            <v>42327</v>
          </cell>
          <cell r="E59">
            <v>2.0099573877958601E-2</v>
          </cell>
        </row>
        <row r="60">
          <cell r="A60" t="str">
            <v>AUD_BBSW_EOD</v>
          </cell>
          <cell r="C60">
            <v>42439</v>
          </cell>
          <cell r="E60">
            <v>2.15699626758733E-2</v>
          </cell>
        </row>
        <row r="61">
          <cell r="A61" t="str">
            <v>AUD_BBSW_EOD</v>
          </cell>
          <cell r="C61">
            <v>42530</v>
          </cell>
          <cell r="E61">
            <v>2.1422790169874899E-2</v>
          </cell>
        </row>
        <row r="62">
          <cell r="A62" t="str">
            <v>AUD_BBSW_EOD</v>
          </cell>
          <cell r="C62">
            <v>42621</v>
          </cell>
          <cell r="E62">
            <v>2.12091095909448E-2</v>
          </cell>
        </row>
        <row r="63">
          <cell r="A63" t="str">
            <v>AUD_BBSW_EOD</v>
          </cell>
          <cell r="C63">
            <v>42712</v>
          </cell>
          <cell r="E63">
            <v>2.1043132345079901E-2</v>
          </cell>
        </row>
        <row r="64">
          <cell r="A64" t="str">
            <v>AUD_BBSW_EOD</v>
          </cell>
          <cell r="C64">
            <v>42803</v>
          </cell>
          <cell r="E64">
            <v>2.0934448460478702E-2</v>
          </cell>
        </row>
        <row r="65">
          <cell r="A65" t="str">
            <v>AUD_BBSW_EOD</v>
          </cell>
          <cell r="C65">
            <v>42894</v>
          </cell>
          <cell r="E65">
            <v>2.0917955037020201E-2</v>
          </cell>
        </row>
        <row r="66">
          <cell r="A66" t="str">
            <v>AUD_BBSW_EOD</v>
          </cell>
          <cell r="C66">
            <v>43052</v>
          </cell>
          <cell r="E66">
            <v>2.11964086442946E-2</v>
          </cell>
        </row>
        <row r="67">
          <cell r="A67" t="str">
            <v>AUD_BBSW_EOD</v>
          </cell>
          <cell r="C67">
            <v>43416</v>
          </cell>
          <cell r="E67">
            <v>2.19079116093032E-2</v>
          </cell>
        </row>
        <row r="68">
          <cell r="A68" t="str">
            <v>AUD_BBSW_EOD</v>
          </cell>
          <cell r="C68">
            <v>43781</v>
          </cell>
          <cell r="E68">
            <v>2.4300907281193E-2</v>
          </cell>
        </row>
        <row r="69">
          <cell r="A69" t="str">
            <v>AUD_BBSW_EOD</v>
          </cell>
          <cell r="C69">
            <v>44147</v>
          </cell>
          <cell r="E69">
            <v>2.5516734223359101E-2</v>
          </cell>
        </row>
        <row r="70">
          <cell r="A70" t="str">
            <v>AUD_BBSW_EOD</v>
          </cell>
          <cell r="C70">
            <v>44879</v>
          </cell>
          <cell r="E70">
            <v>2.7976896301637501E-2</v>
          </cell>
        </row>
        <row r="71">
          <cell r="A71" t="str">
            <v>AUD_BBSW_EOD</v>
          </cell>
          <cell r="C71">
            <v>45973</v>
          </cell>
          <cell r="E71">
            <v>3.07107946801237E-2</v>
          </cell>
        </row>
        <row r="72">
          <cell r="A72" t="str">
            <v>AUD_BBSW_EOD</v>
          </cell>
          <cell r="C72">
            <v>46703</v>
          </cell>
          <cell r="E72">
            <v>3.2331580314844698E-2</v>
          </cell>
        </row>
        <row r="73">
          <cell r="A73" t="str">
            <v>AUD_BBSW_EOD</v>
          </cell>
          <cell r="C73">
            <v>47799</v>
          </cell>
          <cell r="E73">
            <v>3.3861813285405301E-2</v>
          </cell>
        </row>
        <row r="74">
          <cell r="A74" t="str">
            <v>AUD_BBSW_EOD</v>
          </cell>
          <cell r="C74">
            <v>49625</v>
          </cell>
          <cell r="E74">
            <v>3.5285710515961098E-2</v>
          </cell>
        </row>
        <row r="75">
          <cell r="A75" t="str">
            <v>AUD_BBSW_EOD</v>
          </cell>
          <cell r="C75">
            <v>51452</v>
          </cell>
          <cell r="E75">
            <v>3.5767999091538397E-2</v>
          </cell>
        </row>
        <row r="76">
          <cell r="A76" t="str">
            <v>AUD_BBSW_EOD</v>
          </cell>
          <cell r="C76">
            <v>53279</v>
          </cell>
          <cell r="E76">
            <v>3.5080070029497902E-2</v>
          </cell>
        </row>
        <row r="77">
          <cell r="A77" t="str">
            <v>AUD_BBSW_EOD</v>
          </cell>
          <cell r="C77">
            <v>56930</v>
          </cell>
          <cell r="E77">
            <v>3.39255683188825E-2</v>
          </cell>
        </row>
        <row r="78">
          <cell r="A78" t="str">
            <v>CAD_CDOR_1M_EOD</v>
          </cell>
          <cell r="C78">
            <v>42352</v>
          </cell>
          <cell r="E78">
            <v>8.2070467167840305E-3</v>
          </cell>
        </row>
        <row r="79">
          <cell r="A79" t="str">
            <v>CAD_CDOR_1M_EOD</v>
          </cell>
          <cell r="C79">
            <v>42381</v>
          </cell>
          <cell r="E79">
            <v>7.3278989154159802E-3</v>
          </cell>
        </row>
        <row r="80">
          <cell r="A80" t="str">
            <v>CAD_CDOR_1M_EOD</v>
          </cell>
          <cell r="C80">
            <v>42412</v>
          </cell>
          <cell r="E80">
            <v>7.1319015827110699E-3</v>
          </cell>
        </row>
        <row r="81">
          <cell r="A81" t="str">
            <v>CAD_CDOR_1M_EOD</v>
          </cell>
          <cell r="C81">
            <v>42502</v>
          </cell>
          <cell r="E81">
            <v>7.7468827944567296E-3</v>
          </cell>
        </row>
        <row r="82">
          <cell r="A82" t="str">
            <v>CAD_CDOR_1M_EOD</v>
          </cell>
          <cell r="C82">
            <v>42594</v>
          </cell>
          <cell r="E82">
            <v>7.8019509262863603E-3</v>
          </cell>
        </row>
        <row r="83">
          <cell r="A83" t="str">
            <v>CAD_CDOR_1M_EOD</v>
          </cell>
          <cell r="C83">
            <v>42688</v>
          </cell>
          <cell r="E83">
            <v>8.7293637455800599E-3</v>
          </cell>
        </row>
        <row r="84">
          <cell r="A84" t="str">
            <v>CAD_CDOR_1M_EOD</v>
          </cell>
          <cell r="C84">
            <v>43053</v>
          </cell>
          <cell r="E84">
            <v>8.7055497926145503E-3</v>
          </cell>
        </row>
        <row r="85">
          <cell r="A85" t="str">
            <v>CAD_CDOR_1M_EOD</v>
          </cell>
          <cell r="C85">
            <v>43417</v>
          </cell>
          <cell r="E85">
            <v>9.8583152925371693E-3</v>
          </cell>
        </row>
        <row r="86">
          <cell r="A86" t="str">
            <v>CAD_CDOR_1M_EOD</v>
          </cell>
          <cell r="C86">
            <v>43781</v>
          </cell>
          <cell r="E86">
            <v>1.1052721604961501E-2</v>
          </cell>
        </row>
        <row r="87">
          <cell r="A87" t="str">
            <v>CAD_CDOR_1M_EOD</v>
          </cell>
          <cell r="C87">
            <v>44147</v>
          </cell>
          <cell r="E87">
            <v>1.2447906215627301E-2</v>
          </cell>
        </row>
        <row r="88">
          <cell r="A88" t="str">
            <v>CAD_CDOR_1M_EOD</v>
          </cell>
          <cell r="C88">
            <v>44512</v>
          </cell>
          <cell r="E88">
            <v>1.4063512874637399E-2</v>
          </cell>
        </row>
        <row r="89">
          <cell r="A89" t="str">
            <v>CAD_CDOR_1M_EOD</v>
          </cell>
          <cell r="C89">
            <v>44879</v>
          </cell>
          <cell r="E89">
            <v>1.5694874930765799E-2</v>
          </cell>
        </row>
        <row r="90">
          <cell r="A90" t="str">
            <v>CAD_CDOR_1M_EOD</v>
          </cell>
          <cell r="C90">
            <v>45244</v>
          </cell>
          <cell r="E90">
            <v>1.7311210659016699E-2</v>
          </cell>
        </row>
        <row r="91">
          <cell r="A91" t="str">
            <v>CAD_CDOR_1M_EOD</v>
          </cell>
          <cell r="C91">
            <v>45608</v>
          </cell>
          <cell r="E91">
            <v>1.8813811130014998E-2</v>
          </cell>
        </row>
        <row r="92">
          <cell r="A92" t="str">
            <v>CAD_CDOR_1M_EOD</v>
          </cell>
          <cell r="C92">
            <v>45973</v>
          </cell>
          <cell r="E92">
            <v>2.0079164888072602E-2</v>
          </cell>
        </row>
        <row r="93">
          <cell r="A93" t="str">
            <v>CAD_CDOR_1M_EOD</v>
          </cell>
          <cell r="C93">
            <v>46703</v>
          </cell>
          <cell r="E93">
            <v>2.2337236612985902E-2</v>
          </cell>
        </row>
        <row r="94">
          <cell r="A94" t="str">
            <v>CAD_CDOR_1M_EOD</v>
          </cell>
          <cell r="C94">
            <v>47799</v>
          </cell>
          <cell r="E94">
            <v>2.4698372581383798E-2</v>
          </cell>
        </row>
        <row r="95">
          <cell r="A95" t="str">
            <v>CAD_CDOR_1M_EOD</v>
          </cell>
          <cell r="C95">
            <v>49626</v>
          </cell>
          <cell r="E95">
            <v>2.6245109812312199E-2</v>
          </cell>
        </row>
        <row r="96">
          <cell r="A96" t="str">
            <v>CAD_CDOR_1M_EOD</v>
          </cell>
          <cell r="C96">
            <v>51453</v>
          </cell>
          <cell r="E96">
            <v>2.62057580918948E-2</v>
          </cell>
        </row>
        <row r="97">
          <cell r="A97" t="str">
            <v>CAD_CDOR_1M_EOD</v>
          </cell>
          <cell r="C97">
            <v>53280</v>
          </cell>
          <cell r="E97">
            <v>2.6051691271840299E-2</v>
          </cell>
        </row>
        <row r="98">
          <cell r="A98" t="str">
            <v>CAD_CDOR_3M_EOD</v>
          </cell>
          <cell r="C98">
            <v>42412</v>
          </cell>
          <cell r="E98">
            <v>8.2015169377585694E-3</v>
          </cell>
        </row>
        <row r="99">
          <cell r="A99" t="str">
            <v>CAD_CDOR_3M_EOD</v>
          </cell>
          <cell r="C99">
            <v>42443</v>
          </cell>
          <cell r="E99">
            <v>8.1565468271003992E-3</v>
          </cell>
        </row>
        <row r="100">
          <cell r="A100" t="str">
            <v>CAD_CDOR_3M_EOD</v>
          </cell>
          <cell r="C100">
            <v>42534</v>
          </cell>
          <cell r="E100">
            <v>8.1060738942801795E-3</v>
          </cell>
        </row>
        <row r="101">
          <cell r="A101" t="str">
            <v>CAD_CDOR_3M_EOD</v>
          </cell>
          <cell r="C101">
            <v>42632</v>
          </cell>
          <cell r="E101">
            <v>8.1144242913416802E-3</v>
          </cell>
        </row>
        <row r="102">
          <cell r="A102" t="str">
            <v>CAD_CDOR_3M_EOD</v>
          </cell>
          <cell r="C102">
            <v>42723</v>
          </cell>
          <cell r="E102">
            <v>8.2073453937930897E-3</v>
          </cell>
        </row>
        <row r="103">
          <cell r="A103" t="str">
            <v>CAD_CDOR_3M_EOD</v>
          </cell>
          <cell r="C103">
            <v>43053</v>
          </cell>
          <cell r="E103">
            <v>9.1631985622491908E-3</v>
          </cell>
        </row>
        <row r="104">
          <cell r="A104" t="str">
            <v>CAD_CDOR_3M_EOD</v>
          </cell>
          <cell r="C104">
            <v>43417</v>
          </cell>
          <cell r="E104">
            <v>1.04060098721799E-2</v>
          </cell>
        </row>
        <row r="105">
          <cell r="A105" t="str">
            <v>CAD_CDOR_3M_EOD</v>
          </cell>
          <cell r="C105">
            <v>43781</v>
          </cell>
          <cell r="E105">
            <v>1.1722720504701901E-2</v>
          </cell>
        </row>
        <row r="106">
          <cell r="A106" t="str">
            <v>CAD_CDOR_3M_EOD</v>
          </cell>
          <cell r="C106">
            <v>44147</v>
          </cell>
          <cell r="E106">
            <v>1.3210472053632599E-2</v>
          </cell>
        </row>
        <row r="107">
          <cell r="A107" t="str">
            <v>CAD_CDOR_3M_EOD</v>
          </cell>
          <cell r="C107">
            <v>44512</v>
          </cell>
          <cell r="E107">
            <v>1.4805398594908099E-2</v>
          </cell>
        </row>
        <row r="108">
          <cell r="A108" t="str">
            <v>CAD_CDOR_3M_EOD</v>
          </cell>
          <cell r="C108">
            <v>44879</v>
          </cell>
          <cell r="E108">
            <v>1.6428378420688099E-2</v>
          </cell>
        </row>
        <row r="109">
          <cell r="A109" t="str">
            <v>CAD_CDOR_3M_EOD</v>
          </cell>
          <cell r="C109">
            <v>45244</v>
          </cell>
          <cell r="E109">
            <v>1.79795936394677E-2</v>
          </cell>
        </row>
        <row r="110">
          <cell r="A110" t="str">
            <v>CAD_CDOR_3M_EOD</v>
          </cell>
          <cell r="C110">
            <v>45608</v>
          </cell>
          <cell r="E110">
            <v>1.94352218332095E-2</v>
          </cell>
        </row>
        <row r="111">
          <cell r="A111" t="str">
            <v>CAD_CDOR_3M_EOD</v>
          </cell>
          <cell r="C111">
            <v>45973</v>
          </cell>
          <cell r="E111">
            <v>2.06912506972988E-2</v>
          </cell>
        </row>
        <row r="112">
          <cell r="A112" t="str">
            <v>CAD_CDOR_3M_EOD</v>
          </cell>
          <cell r="C112">
            <v>46703</v>
          </cell>
          <cell r="E112">
            <v>2.2873245544155402E-2</v>
          </cell>
        </row>
        <row r="113">
          <cell r="A113" t="str">
            <v>CAD_CDOR_3M_EOD</v>
          </cell>
          <cell r="C113">
            <v>47799</v>
          </cell>
          <cell r="E113">
            <v>2.5176214200405601E-2</v>
          </cell>
        </row>
        <row r="114">
          <cell r="A114" t="str">
            <v>CAD_CDOR_3M_EOD</v>
          </cell>
          <cell r="C114">
            <v>49626</v>
          </cell>
          <cell r="E114">
            <v>2.6598893069353501E-2</v>
          </cell>
        </row>
        <row r="115">
          <cell r="A115" t="str">
            <v>CAD_CDOR_3M_EOD</v>
          </cell>
          <cell r="C115">
            <v>51453</v>
          </cell>
          <cell r="E115">
            <v>2.6515487677592101E-2</v>
          </cell>
        </row>
        <row r="116">
          <cell r="A116" t="str">
            <v>CAD_CDOR_3M_EOD</v>
          </cell>
          <cell r="C116">
            <v>53280</v>
          </cell>
          <cell r="E116">
            <v>2.6261711560448101E-2</v>
          </cell>
        </row>
        <row r="117">
          <cell r="A117" t="str">
            <v>CAD_CDOR_EOD</v>
          </cell>
          <cell r="C117">
            <v>42321</v>
          </cell>
          <cell r="E117">
            <v>4.9999657537035504E-3</v>
          </cell>
        </row>
        <row r="118">
          <cell r="A118" t="str">
            <v>CAD_CDOR_EOD</v>
          </cell>
          <cell r="C118">
            <v>42327</v>
          </cell>
          <cell r="E118">
            <v>5.6638303122607796E-3</v>
          </cell>
        </row>
        <row r="119">
          <cell r="A119" t="str">
            <v>CAD_CDOR_EOD</v>
          </cell>
          <cell r="C119">
            <v>42352</v>
          </cell>
          <cell r="E119">
            <v>8.2070467167842803E-3</v>
          </cell>
        </row>
        <row r="120">
          <cell r="A120" t="str">
            <v>CAD_CDOR_EOD</v>
          </cell>
          <cell r="C120">
            <v>42443</v>
          </cell>
          <cell r="E120">
            <v>8.15798546879834E-3</v>
          </cell>
        </row>
        <row r="121">
          <cell r="A121" t="str">
            <v>CAD_CDOR_EOD</v>
          </cell>
          <cell r="C121">
            <v>42534</v>
          </cell>
          <cell r="E121">
            <v>8.1069007771254892E-3</v>
          </cell>
        </row>
        <row r="122">
          <cell r="A122" t="str">
            <v>CAD_CDOR_EOD</v>
          </cell>
          <cell r="C122">
            <v>42632</v>
          </cell>
          <cell r="E122">
            <v>8.1149914481650608E-3</v>
          </cell>
        </row>
        <row r="123">
          <cell r="A123" t="str">
            <v>CAD_CDOR_EOD</v>
          </cell>
          <cell r="C123">
            <v>42723</v>
          </cell>
          <cell r="E123">
            <v>8.2077844829488798E-3</v>
          </cell>
        </row>
        <row r="124">
          <cell r="A124" t="str">
            <v>CAD_CDOR_EOD</v>
          </cell>
          <cell r="C124">
            <v>43053</v>
          </cell>
          <cell r="E124">
            <v>9.1667179576652401E-3</v>
          </cell>
        </row>
        <row r="125">
          <cell r="A125" t="str">
            <v>CAD_CDOR_EOD</v>
          </cell>
          <cell r="C125">
            <v>43417</v>
          </cell>
          <cell r="E125">
            <v>1.04129854990511E-2</v>
          </cell>
        </row>
        <row r="126">
          <cell r="A126" t="str">
            <v>CAD_CDOR_EOD</v>
          </cell>
          <cell r="C126">
            <v>43781</v>
          </cell>
          <cell r="E126">
            <v>1.1734340412822701E-2</v>
          </cell>
        </row>
        <row r="127">
          <cell r="A127" t="str">
            <v>CAD_CDOR_EOD</v>
          </cell>
          <cell r="C127">
            <v>44147</v>
          </cell>
          <cell r="E127">
            <v>1.32288075670018E-2</v>
          </cell>
        </row>
        <row r="128">
          <cell r="A128" t="str">
            <v>CAD_CDOR_EOD</v>
          </cell>
          <cell r="C128">
            <v>44512</v>
          </cell>
          <cell r="E128">
            <v>1.48327294913774E-2</v>
          </cell>
        </row>
        <row r="129">
          <cell r="A129" t="str">
            <v>CAD_CDOR_EOD</v>
          </cell>
          <cell r="C129">
            <v>44879</v>
          </cell>
          <cell r="E129">
            <v>1.6467256469770899E-2</v>
          </cell>
        </row>
        <row r="130">
          <cell r="A130" t="str">
            <v>CAD_CDOR_EOD</v>
          </cell>
          <cell r="C130">
            <v>45244</v>
          </cell>
          <cell r="E130">
            <v>1.80319593189853E-2</v>
          </cell>
        </row>
        <row r="131">
          <cell r="A131" t="str">
            <v>CAD_CDOR_EOD</v>
          </cell>
          <cell r="C131">
            <v>45608</v>
          </cell>
          <cell r="E131">
            <v>1.95019843308472E-2</v>
          </cell>
        </row>
        <row r="132">
          <cell r="A132" t="str">
            <v>CAD_CDOR_EOD</v>
          </cell>
          <cell r="C132">
            <v>45973</v>
          </cell>
          <cell r="E132">
            <v>2.0769259229532398E-2</v>
          </cell>
        </row>
        <row r="133">
          <cell r="A133" t="str">
            <v>CAD_CDOR_EOD</v>
          </cell>
          <cell r="C133">
            <v>46703</v>
          </cell>
          <cell r="E133">
            <v>2.2972680821219501E-2</v>
          </cell>
        </row>
        <row r="134">
          <cell r="A134" t="str">
            <v>CAD_CDOR_EOD</v>
          </cell>
          <cell r="C134">
            <v>47799</v>
          </cell>
          <cell r="E134">
            <v>2.5301835171656802E-2</v>
          </cell>
        </row>
        <row r="135">
          <cell r="A135" t="str">
            <v>CAD_CDOR_EOD</v>
          </cell>
          <cell r="C135">
            <v>49626</v>
          </cell>
          <cell r="E135">
            <v>2.6733893810954801E-2</v>
          </cell>
        </row>
        <row r="136">
          <cell r="A136" t="str">
            <v>CAD_CDOR_EOD</v>
          </cell>
          <cell r="C136">
            <v>51453</v>
          </cell>
          <cell r="E136">
            <v>2.66272103998135E-2</v>
          </cell>
        </row>
        <row r="137">
          <cell r="A137" t="str">
            <v>CAD_CDOR_EOD</v>
          </cell>
          <cell r="C137">
            <v>53280</v>
          </cell>
          <cell r="E137">
            <v>2.63496589199438E-2</v>
          </cell>
        </row>
        <row r="138">
          <cell r="A138" t="str">
            <v>CAD_CORRA_EOD</v>
          </cell>
          <cell r="C138">
            <v>42321</v>
          </cell>
          <cell r="E138">
            <v>4.9999657537035504E-3</v>
          </cell>
        </row>
        <row r="139">
          <cell r="A139" t="str">
            <v>CAD_CORRA_EOD</v>
          </cell>
          <cell r="C139">
            <v>42328</v>
          </cell>
          <cell r="E139">
            <v>4.9997859723495096E-3</v>
          </cell>
        </row>
        <row r="140">
          <cell r="A140" t="str">
            <v>CAD_CORRA_EOD</v>
          </cell>
          <cell r="C140">
            <v>42352</v>
          </cell>
          <cell r="E140">
            <v>4.9892873614228797E-3</v>
          </cell>
        </row>
        <row r="141">
          <cell r="A141" t="str">
            <v>CAD_CORRA_EOD</v>
          </cell>
          <cell r="C141">
            <v>42382</v>
          </cell>
          <cell r="E141">
            <v>4.98319948382836E-3</v>
          </cell>
        </row>
        <row r="142">
          <cell r="A142" t="str">
            <v>CAD_CORRA_EOD</v>
          </cell>
          <cell r="C142">
            <v>42416</v>
          </cell>
          <cell r="E142">
            <v>4.9671338675336303E-3</v>
          </cell>
        </row>
        <row r="143">
          <cell r="A143" t="str">
            <v>CAD_CORRA_EOD</v>
          </cell>
          <cell r="C143">
            <v>42443</v>
          </cell>
          <cell r="E143">
            <v>4.9562513530457004E-3</v>
          </cell>
        </row>
        <row r="144">
          <cell r="A144" t="str">
            <v>CAD_CORRA_EOD</v>
          </cell>
          <cell r="C144">
            <v>42473</v>
          </cell>
          <cell r="E144">
            <v>4.9502220802020002E-3</v>
          </cell>
        </row>
        <row r="145">
          <cell r="A145" t="str">
            <v>CAD_CORRA_EOD</v>
          </cell>
          <cell r="C145">
            <v>42503</v>
          </cell>
          <cell r="E145">
            <v>4.9607422699625096E-3</v>
          </cell>
        </row>
        <row r="146">
          <cell r="A146" t="str">
            <v>CAD_CORRA_EOD</v>
          </cell>
          <cell r="C146">
            <v>42534</v>
          </cell>
          <cell r="E146">
            <v>4.9778669625286003E-3</v>
          </cell>
        </row>
        <row r="147">
          <cell r="A147" t="str">
            <v>CAD_CORRA_EOD</v>
          </cell>
          <cell r="C147">
            <v>42564</v>
          </cell>
          <cell r="E147">
            <v>4.9917303943932297E-3</v>
          </cell>
        </row>
        <row r="148">
          <cell r="A148" t="str">
            <v>CAD_CORRA_EOD</v>
          </cell>
          <cell r="C148">
            <v>42597</v>
          </cell>
          <cell r="E148">
            <v>4.9972231818337098E-3</v>
          </cell>
        </row>
        <row r="149">
          <cell r="A149" t="str">
            <v>CAD_CORRA_EOD</v>
          </cell>
          <cell r="C149">
            <v>42626</v>
          </cell>
          <cell r="E149">
            <v>5.0293204617982198E-3</v>
          </cell>
        </row>
        <row r="150">
          <cell r="A150" t="str">
            <v>CAD_CORRA_EOD</v>
          </cell>
          <cell r="C150">
            <v>42656</v>
          </cell>
          <cell r="E150">
            <v>5.0580669458372999E-3</v>
          </cell>
        </row>
        <row r="151">
          <cell r="A151" t="str">
            <v>CAD_CORRA_EOD</v>
          </cell>
          <cell r="C151">
            <v>42688</v>
          </cell>
          <cell r="E151">
            <v>5.1016146601859198E-3</v>
          </cell>
        </row>
        <row r="152">
          <cell r="A152" t="str">
            <v>CAD_CORRA_EOD</v>
          </cell>
          <cell r="C152">
            <v>42870</v>
          </cell>
          <cell r="E152">
            <v>5.50938598428081E-3</v>
          </cell>
        </row>
        <row r="153">
          <cell r="A153" t="str">
            <v>CAD_CORRA_EOD</v>
          </cell>
          <cell r="C153">
            <v>43053</v>
          </cell>
          <cell r="E153">
            <v>6.2130215772529598E-3</v>
          </cell>
        </row>
        <row r="154">
          <cell r="A154" t="str">
            <v>CAD_CORRA_EOD</v>
          </cell>
          <cell r="C154">
            <v>43417</v>
          </cell>
          <cell r="E154">
            <v>7.4779871307678004E-3</v>
          </cell>
        </row>
        <row r="155">
          <cell r="A155" t="str">
            <v>CAD_CORRA_EOD</v>
          </cell>
          <cell r="C155">
            <v>43782</v>
          </cell>
          <cell r="E155">
            <v>8.8044533397146092E-3</v>
          </cell>
        </row>
        <row r="156">
          <cell r="A156" t="str">
            <v>CAD_CORRA_EOD</v>
          </cell>
          <cell r="C156">
            <v>44148</v>
          </cell>
          <cell r="E156">
            <v>1.02681744970235E-2</v>
          </cell>
        </row>
        <row r="157">
          <cell r="A157" t="str">
            <v>CAD_CORRA_EOD</v>
          </cell>
          <cell r="C157">
            <v>44879</v>
          </cell>
          <cell r="E157">
            <v>1.35335086378305E-2</v>
          </cell>
        </row>
        <row r="158">
          <cell r="A158" t="str">
            <v>CAD_CORRA_EOD</v>
          </cell>
          <cell r="C158">
            <v>45974</v>
          </cell>
          <cell r="E158">
            <v>1.7835897102032601E-2</v>
          </cell>
        </row>
        <row r="159">
          <cell r="A159" t="str">
            <v>CAD_CORRA_EOD</v>
          </cell>
          <cell r="C159">
            <v>46706</v>
          </cell>
          <cell r="E159">
            <v>2.0065577680986602E-2</v>
          </cell>
        </row>
        <row r="160">
          <cell r="A160" t="str">
            <v>CAD_CORRA_EOD</v>
          </cell>
          <cell r="C160">
            <v>47800</v>
          </cell>
          <cell r="E160">
            <v>2.2399140649092798E-2</v>
          </cell>
        </row>
        <row r="161">
          <cell r="A161" t="str">
            <v>CAD_CORRA_EOD</v>
          </cell>
          <cell r="C161">
            <v>49626</v>
          </cell>
          <cell r="E161">
            <v>2.3820363201445899E-2</v>
          </cell>
        </row>
        <row r="162">
          <cell r="A162" t="str">
            <v>CAD_CORRA_EOD</v>
          </cell>
          <cell r="C162">
            <v>53280</v>
          </cell>
          <cell r="E162">
            <v>2.3509500205323299E-2</v>
          </cell>
        </row>
        <row r="163">
          <cell r="A163" t="str">
            <v>CHF_LIBOR_12M_EOD</v>
          </cell>
          <cell r="C163">
            <v>42690</v>
          </cell>
          <cell r="E163">
            <v>-6.8979679198340896E-3</v>
          </cell>
        </row>
        <row r="164">
          <cell r="A164" t="str">
            <v>CHF_LIBOR_12M_EOD</v>
          </cell>
          <cell r="C164">
            <v>43055</v>
          </cell>
          <cell r="E164">
            <v>-7.5929586893953996E-3</v>
          </cell>
        </row>
        <row r="165">
          <cell r="A165" t="str">
            <v>CHF_LIBOR_12M_EOD</v>
          </cell>
          <cell r="C165">
            <v>43420</v>
          </cell>
          <cell r="E165">
            <v>-7.14775280343595E-3</v>
          </cell>
        </row>
        <row r="166">
          <cell r="A166" t="str">
            <v>CHF_LIBOR_12M_EOD</v>
          </cell>
          <cell r="C166">
            <v>43787</v>
          </cell>
          <cell r="E166">
            <v>-6.1592747793371497E-3</v>
          </cell>
        </row>
        <row r="167">
          <cell r="A167" t="str">
            <v>CHF_LIBOR_12M_EOD</v>
          </cell>
          <cell r="C167">
            <v>44151</v>
          </cell>
          <cell r="E167">
            <v>-4.8177055435342899E-3</v>
          </cell>
        </row>
        <row r="168">
          <cell r="A168" t="str">
            <v>CHF_LIBOR_12M_EOD</v>
          </cell>
          <cell r="C168">
            <v>44516</v>
          </cell>
          <cell r="E168">
            <v>-3.32654103643231E-3</v>
          </cell>
        </row>
        <row r="169">
          <cell r="A169" t="str">
            <v>CHF_LIBOR_12M_EOD</v>
          </cell>
          <cell r="C169">
            <v>44881</v>
          </cell>
          <cell r="E169">
            <v>-1.8055251267317799E-3</v>
          </cell>
        </row>
        <row r="170">
          <cell r="A170" t="str">
            <v>CHF_LIBOR_12M_EOD</v>
          </cell>
          <cell r="C170">
            <v>45246</v>
          </cell>
          <cell r="E170">
            <v>-4.5655685630378E-4</v>
          </cell>
        </row>
        <row r="171">
          <cell r="A171" t="str">
            <v>CHF_LIBOR_12M_EOD</v>
          </cell>
          <cell r="C171">
            <v>45614</v>
          </cell>
          <cell r="E171">
            <v>7.6307871682637998E-4</v>
          </cell>
        </row>
        <row r="172">
          <cell r="A172" t="str">
            <v>CHF_LIBOR_12M_EOD</v>
          </cell>
          <cell r="C172">
            <v>45978</v>
          </cell>
          <cell r="E172">
            <v>1.8306279356678501E-3</v>
          </cell>
        </row>
        <row r="173">
          <cell r="A173" t="str">
            <v>CHF_LIBOR_12M_EOD</v>
          </cell>
          <cell r="C173">
            <v>46707</v>
          </cell>
          <cell r="E173">
            <v>3.4935939984827402E-3</v>
          </cell>
        </row>
        <row r="174">
          <cell r="A174" t="str">
            <v>CHF_LIBOR_12M_EOD</v>
          </cell>
          <cell r="C174">
            <v>47805</v>
          </cell>
          <cell r="E174">
            <v>5.44842802307935E-3</v>
          </cell>
        </row>
        <row r="175">
          <cell r="A175" t="str">
            <v>CHF_LIBOR_12M_EOD</v>
          </cell>
          <cell r="C175">
            <v>49629</v>
          </cell>
          <cell r="E175">
            <v>7.4333063489933496E-3</v>
          </cell>
        </row>
        <row r="176">
          <cell r="A176" t="str">
            <v>CHF_LIBOR_12M_EOD</v>
          </cell>
          <cell r="C176">
            <v>51456</v>
          </cell>
          <cell r="E176">
            <v>8.6376359818966398E-3</v>
          </cell>
        </row>
        <row r="177">
          <cell r="A177" t="str">
            <v>CHF_LIBOR_12M_EOD</v>
          </cell>
          <cell r="C177">
            <v>53282</v>
          </cell>
          <cell r="E177">
            <v>9.2811725705177692E-3</v>
          </cell>
        </row>
        <row r="178">
          <cell r="A178" t="str">
            <v>CHF_LIBOR_12M_EOD</v>
          </cell>
          <cell r="C178">
            <v>56934</v>
          </cell>
          <cell r="E178">
            <v>1.0184800962921599E-2</v>
          </cell>
        </row>
        <row r="179">
          <cell r="A179" t="str">
            <v>CHF_LIBOR_3M_EOD</v>
          </cell>
          <cell r="C179">
            <v>42416</v>
          </cell>
          <cell r="E179">
            <v>-7.9365441264130799E-3</v>
          </cell>
        </row>
        <row r="180">
          <cell r="A180" t="str">
            <v>CHF_LIBOR_3M_EOD</v>
          </cell>
          <cell r="C180">
            <v>42445</v>
          </cell>
          <cell r="E180">
            <v>-9.1059804167707408E-3</v>
          </cell>
        </row>
        <row r="181">
          <cell r="A181" t="str">
            <v>CHF_LIBOR_3M_EOD</v>
          </cell>
          <cell r="C181">
            <v>42536</v>
          </cell>
          <cell r="E181">
            <v>-9.7624561643698104E-3</v>
          </cell>
        </row>
        <row r="182">
          <cell r="A182" t="str">
            <v>CHF_LIBOR_3M_EOD</v>
          </cell>
          <cell r="C182">
            <v>42634</v>
          </cell>
          <cell r="E182">
            <v>-1.0172085950381399E-2</v>
          </cell>
        </row>
        <row r="183">
          <cell r="A183" t="str">
            <v>CHF_LIBOR_3M_EOD</v>
          </cell>
          <cell r="C183">
            <v>42725</v>
          </cell>
          <cell r="E183">
            <v>-1.03991276108649E-2</v>
          </cell>
        </row>
        <row r="184">
          <cell r="A184" t="str">
            <v>CHF_LIBOR_3M_EOD</v>
          </cell>
          <cell r="C184">
            <v>43055</v>
          </cell>
          <cell r="E184">
            <v>-1.0377073940269099E-2</v>
          </cell>
        </row>
        <row r="185">
          <cell r="A185" t="str">
            <v>CHF_LIBOR_3M_EOD</v>
          </cell>
          <cell r="C185">
            <v>43420</v>
          </cell>
          <cell r="E185">
            <v>-9.9104740325762202E-3</v>
          </cell>
        </row>
        <row r="186">
          <cell r="A186" t="str">
            <v>CHF_LIBOR_3M_EOD</v>
          </cell>
          <cell r="C186">
            <v>43787</v>
          </cell>
          <cell r="E186">
            <v>-8.9224755950991393E-3</v>
          </cell>
        </row>
        <row r="187">
          <cell r="A187" t="str">
            <v>CHF_LIBOR_3M_EOD</v>
          </cell>
          <cell r="C187">
            <v>44151</v>
          </cell>
          <cell r="E187">
            <v>-7.5761029163184399E-3</v>
          </cell>
        </row>
        <row r="188">
          <cell r="A188" t="str">
            <v>CHF_LIBOR_3M_EOD</v>
          </cell>
          <cell r="C188">
            <v>44516</v>
          </cell>
          <cell r="E188">
            <v>-6.0824054258537697E-3</v>
          </cell>
        </row>
        <row r="189">
          <cell r="A189" t="str">
            <v>CHF_LIBOR_3M_EOD</v>
          </cell>
          <cell r="C189">
            <v>44881</v>
          </cell>
          <cell r="E189">
            <v>-4.5331863311569897E-3</v>
          </cell>
        </row>
        <row r="190">
          <cell r="A190" t="str">
            <v>CHF_LIBOR_3M_EOD</v>
          </cell>
          <cell r="C190">
            <v>45246</v>
          </cell>
          <cell r="E190">
            <v>-3.1563040002109801E-3</v>
          </cell>
        </row>
        <row r="191">
          <cell r="A191" t="str">
            <v>CHF_LIBOR_3M_EOD</v>
          </cell>
          <cell r="C191">
            <v>45614</v>
          </cell>
          <cell r="E191">
            <v>-1.88289872366266E-3</v>
          </cell>
        </row>
        <row r="192">
          <cell r="A192" t="str">
            <v>CHF_LIBOR_3M_EOD</v>
          </cell>
          <cell r="C192">
            <v>45978</v>
          </cell>
          <cell r="E192">
            <v>-7.6279193301386004E-4</v>
          </cell>
        </row>
        <row r="193">
          <cell r="A193" t="str">
            <v>CHF_LIBOR_3M_EOD</v>
          </cell>
          <cell r="C193">
            <v>46707</v>
          </cell>
          <cell r="E193">
            <v>1.0048665674301401E-3</v>
          </cell>
        </row>
        <row r="194">
          <cell r="A194" t="str">
            <v>CHF_LIBOR_3M_EOD</v>
          </cell>
          <cell r="C194">
            <v>47805</v>
          </cell>
          <cell r="E194">
            <v>3.1447988968957602E-3</v>
          </cell>
        </row>
        <row r="195">
          <cell r="A195" t="str">
            <v>CHF_LIBOR_3M_EOD</v>
          </cell>
          <cell r="C195">
            <v>49629</v>
          </cell>
          <cell r="E195">
            <v>5.3697838004010999E-3</v>
          </cell>
        </row>
        <row r="196">
          <cell r="A196" t="str">
            <v>CHF_LIBOR_3M_EOD</v>
          </cell>
          <cell r="C196">
            <v>51456</v>
          </cell>
          <cell r="E196">
            <v>6.70937031137333E-3</v>
          </cell>
        </row>
        <row r="197">
          <cell r="A197" t="str">
            <v>CHF_LIBOR_3M_EOD</v>
          </cell>
          <cell r="C197">
            <v>53282</v>
          </cell>
          <cell r="E197">
            <v>7.4620152285807999E-3</v>
          </cell>
        </row>
        <row r="198">
          <cell r="A198" t="str">
            <v>CHF_LIBOR_3M_EOD</v>
          </cell>
          <cell r="C198">
            <v>56934</v>
          </cell>
          <cell r="E198">
            <v>7.3854927273894998E-3</v>
          </cell>
        </row>
        <row r="199">
          <cell r="A199" t="str">
            <v>CHF_LIBOR_6M_EOD</v>
          </cell>
          <cell r="C199">
            <v>42507</v>
          </cell>
          <cell r="E199">
            <v>-7.6797661404918597E-3</v>
          </cell>
        </row>
        <row r="200">
          <cell r="A200" t="str">
            <v>CHF_LIBOR_6M_EOD</v>
          </cell>
          <cell r="C200">
            <v>42690</v>
          </cell>
          <cell r="E200">
            <v>-8.7552135056902809E-3</v>
          </cell>
        </row>
        <row r="201">
          <cell r="A201" t="str">
            <v>CHF_LIBOR_6M_EOD</v>
          </cell>
          <cell r="C201">
            <v>42871</v>
          </cell>
          <cell r="E201">
            <v>-9.0554797023863799E-3</v>
          </cell>
        </row>
        <row r="202">
          <cell r="A202" t="str">
            <v>CHF_LIBOR_6M_EOD</v>
          </cell>
          <cell r="C202">
            <v>43055</v>
          </cell>
          <cell r="E202">
            <v>-9.0764334094430108E-3</v>
          </cell>
        </row>
        <row r="203">
          <cell r="A203" t="str">
            <v>CHF_LIBOR_6M_EOD</v>
          </cell>
          <cell r="C203">
            <v>43420</v>
          </cell>
          <cell r="E203">
            <v>-8.5579321860267694E-3</v>
          </cell>
        </row>
        <row r="204">
          <cell r="A204" t="str">
            <v>CHF_LIBOR_6M_EOD</v>
          </cell>
          <cell r="C204">
            <v>43787</v>
          </cell>
          <cell r="E204">
            <v>-7.4697025769850803E-3</v>
          </cell>
        </row>
        <row r="205">
          <cell r="A205" t="str">
            <v>CHF_LIBOR_6M_EOD</v>
          </cell>
          <cell r="C205">
            <v>44151</v>
          </cell>
          <cell r="E205">
            <v>-6.0507076904277304E-3</v>
          </cell>
        </row>
        <row r="206">
          <cell r="A206" t="str">
            <v>CHF_LIBOR_6M_EOD</v>
          </cell>
          <cell r="C206">
            <v>44516</v>
          </cell>
          <cell r="E206">
            <v>-4.5083175426874596E-3</v>
          </cell>
        </row>
        <row r="207">
          <cell r="A207" t="str">
            <v>CHF_LIBOR_6M_EOD</v>
          </cell>
          <cell r="C207">
            <v>44881</v>
          </cell>
          <cell r="E207">
            <v>-2.9599342627920498E-3</v>
          </cell>
        </row>
        <row r="208">
          <cell r="A208" t="str">
            <v>CHF_LIBOR_6M_EOD</v>
          </cell>
          <cell r="C208">
            <v>45246</v>
          </cell>
          <cell r="E208">
            <v>-1.5839280953145499E-3</v>
          </cell>
        </row>
        <row r="209">
          <cell r="A209" t="str">
            <v>CHF_LIBOR_6M_EOD</v>
          </cell>
          <cell r="C209">
            <v>45614</v>
          </cell>
          <cell r="E209">
            <v>-3.3692572978462999E-4</v>
          </cell>
        </row>
        <row r="210">
          <cell r="A210" t="str">
            <v>CHF_LIBOR_6M_EOD</v>
          </cell>
          <cell r="C210">
            <v>45978</v>
          </cell>
          <cell r="E210">
            <v>7.3140726645495998E-4</v>
          </cell>
        </row>
        <row r="211">
          <cell r="A211" t="str">
            <v>CHF_LIBOR_6M_EOD</v>
          </cell>
          <cell r="C211">
            <v>46707</v>
          </cell>
          <cell r="E211">
            <v>2.3973970832085901E-3</v>
          </cell>
        </row>
        <row r="212">
          <cell r="A212" t="str">
            <v>CHF_LIBOR_6M_EOD</v>
          </cell>
          <cell r="C212">
            <v>47805</v>
          </cell>
          <cell r="E212">
            <v>4.3554147593420503E-3</v>
          </cell>
        </row>
        <row r="213">
          <cell r="A213" t="str">
            <v>CHF_LIBOR_6M_EOD</v>
          </cell>
          <cell r="C213">
            <v>49629</v>
          </cell>
          <cell r="E213">
            <v>6.3693292336548203E-3</v>
          </cell>
        </row>
        <row r="214">
          <cell r="A214" t="str">
            <v>CHF_LIBOR_6M_EOD</v>
          </cell>
          <cell r="C214">
            <v>51456</v>
          </cell>
          <cell r="E214">
            <v>7.6023721322430703E-3</v>
          </cell>
        </row>
        <row r="215">
          <cell r="A215" t="str">
            <v>CHF_LIBOR_6M_EOD</v>
          </cell>
          <cell r="C215">
            <v>53282</v>
          </cell>
          <cell r="E215">
            <v>8.2741685686138801E-3</v>
          </cell>
        </row>
        <row r="216">
          <cell r="A216" t="str">
            <v>CHF_LIBOR_6M_EOD</v>
          </cell>
          <cell r="C216">
            <v>56934</v>
          </cell>
          <cell r="E216">
            <v>8.2056219327599992E-3</v>
          </cell>
        </row>
        <row r="217">
          <cell r="A217" t="str">
            <v>CHF_LIBOR_EOD</v>
          </cell>
          <cell r="C217">
            <v>42321</v>
          </cell>
          <cell r="E217">
            <v>-7.86786257617598E-3</v>
          </cell>
        </row>
        <row r="218">
          <cell r="A218" t="str">
            <v>CHF_LIBOR_EOD</v>
          </cell>
          <cell r="C218">
            <v>42324</v>
          </cell>
          <cell r="E218">
            <v>-7.8679897792269197E-3</v>
          </cell>
        </row>
        <row r="219">
          <cell r="A219" t="str">
            <v>CHF_LIBOR_EOD</v>
          </cell>
          <cell r="C219">
            <v>42331</v>
          </cell>
          <cell r="E219">
            <v>-8.02955787936507E-3</v>
          </cell>
        </row>
        <row r="220">
          <cell r="A220" t="str">
            <v>CHF_LIBOR_EOD</v>
          </cell>
          <cell r="C220">
            <v>42354</v>
          </cell>
          <cell r="E220">
            <v>-8.0043271673700001E-3</v>
          </cell>
        </row>
        <row r="221">
          <cell r="A221" t="str">
            <v>CHF_LIBOR_EOD</v>
          </cell>
          <cell r="C221">
            <v>42445</v>
          </cell>
          <cell r="E221">
            <v>-9.1244174039106299E-3</v>
          </cell>
        </row>
        <row r="222">
          <cell r="A222" t="str">
            <v>CHF_LIBOR_EOD</v>
          </cell>
          <cell r="C222">
            <v>42536</v>
          </cell>
          <cell r="E222">
            <v>-9.7731257171057608E-3</v>
          </cell>
        </row>
        <row r="223">
          <cell r="A223" t="str">
            <v>CHF_LIBOR_EOD</v>
          </cell>
          <cell r="C223">
            <v>42634</v>
          </cell>
          <cell r="E223">
            <v>-1.0179425515303301E-2</v>
          </cell>
        </row>
        <row r="224">
          <cell r="A224" t="str">
            <v>CHF_LIBOR_EOD</v>
          </cell>
          <cell r="C224">
            <v>42725</v>
          </cell>
          <cell r="E224">
            <v>-1.04048180389725E-2</v>
          </cell>
        </row>
        <row r="225">
          <cell r="A225" t="str">
            <v>CHF_LIBOR_EOD</v>
          </cell>
          <cell r="C225">
            <v>43055</v>
          </cell>
          <cell r="E225">
            <v>-9.0841793454958207E-3</v>
          </cell>
        </row>
        <row r="226">
          <cell r="A226" t="str">
            <v>CHF_LIBOR_EOD</v>
          </cell>
          <cell r="C226">
            <v>43420</v>
          </cell>
          <cell r="E226">
            <v>-8.5618836965168192E-3</v>
          </cell>
        </row>
        <row r="227">
          <cell r="A227" t="str">
            <v>CHF_LIBOR_EOD</v>
          </cell>
          <cell r="C227">
            <v>43787</v>
          </cell>
          <cell r="E227">
            <v>-7.4702678345535999E-3</v>
          </cell>
        </row>
        <row r="228">
          <cell r="A228" t="str">
            <v>CHF_LIBOR_EOD</v>
          </cell>
          <cell r="C228">
            <v>44151</v>
          </cell>
          <cell r="E228">
            <v>-6.0441590279651097E-3</v>
          </cell>
        </row>
        <row r="229">
          <cell r="A229" t="str">
            <v>CHF_LIBOR_EOD</v>
          </cell>
          <cell r="C229">
            <v>44516</v>
          </cell>
          <cell r="E229">
            <v>-4.4946484809957497E-3</v>
          </cell>
        </row>
        <row r="230">
          <cell r="A230" t="str">
            <v>CHF_LIBOR_EOD</v>
          </cell>
          <cell r="C230">
            <v>44881</v>
          </cell>
          <cell r="E230">
            <v>-2.9379373172384502E-3</v>
          </cell>
        </row>
        <row r="231">
          <cell r="A231" t="str">
            <v>CHF_LIBOR_EOD</v>
          </cell>
          <cell r="C231">
            <v>45246</v>
          </cell>
          <cell r="E231">
            <v>-1.55405878236325E-3</v>
          </cell>
        </row>
        <row r="232">
          <cell r="A232" t="str">
            <v>CHF_LIBOR_EOD</v>
          </cell>
          <cell r="C232">
            <v>45614</v>
          </cell>
          <cell r="E232">
            <v>-2.9922743915554E-4</v>
          </cell>
        </row>
        <row r="233">
          <cell r="A233" t="str">
            <v>CHF_LIBOR_EOD</v>
          </cell>
          <cell r="C233">
            <v>45978</v>
          </cell>
          <cell r="E233">
            <v>7.7616244366259998E-4</v>
          </cell>
        </row>
        <row r="234">
          <cell r="A234" t="str">
            <v>CHF_LIBOR_EOD</v>
          </cell>
          <cell r="C234">
            <v>46707</v>
          </cell>
          <cell r="E234">
            <v>2.4497856177839099E-3</v>
          </cell>
        </row>
        <row r="235">
          <cell r="A235" t="str">
            <v>CHF_LIBOR_EOD</v>
          </cell>
          <cell r="C235">
            <v>47805</v>
          </cell>
          <cell r="E235">
            <v>4.4179004693601798E-3</v>
          </cell>
        </row>
        <row r="236">
          <cell r="A236" t="str">
            <v>CHF_LIBOR_EOD</v>
          </cell>
          <cell r="C236">
            <v>49629</v>
          </cell>
          <cell r="E236">
            <v>6.4412879402807304E-3</v>
          </cell>
        </row>
        <row r="237">
          <cell r="A237" t="str">
            <v>CHF_LIBOR_EOD</v>
          </cell>
          <cell r="C237">
            <v>51456</v>
          </cell>
          <cell r="E237">
            <v>7.6787080899831696E-3</v>
          </cell>
        </row>
        <row r="238">
          <cell r="A238" t="str">
            <v>CHF_LIBOR_EOD</v>
          </cell>
          <cell r="C238">
            <v>53282</v>
          </cell>
          <cell r="E238">
            <v>8.3499819715825898E-3</v>
          </cell>
        </row>
        <row r="239">
          <cell r="A239" t="str">
            <v>CHF_LIBOR_EOD</v>
          </cell>
          <cell r="C239">
            <v>56934</v>
          </cell>
          <cell r="E239">
            <v>8.2615816750936898E-3</v>
          </cell>
        </row>
        <row r="240">
          <cell r="A240" t="str">
            <v>CHF_TOIS_EOD</v>
          </cell>
          <cell r="C240">
            <v>42321</v>
          </cell>
          <cell r="E240">
            <v>-5.3229554799926601E-3</v>
          </cell>
        </row>
        <row r="241">
          <cell r="A241" t="str">
            <v>CHF_TOIS_EOD</v>
          </cell>
          <cell r="C241">
            <v>42324</v>
          </cell>
          <cell r="E241">
            <v>-5.3420249520546199E-3</v>
          </cell>
        </row>
        <row r="242">
          <cell r="A242" t="str">
            <v>CHF_TOIS_EOD</v>
          </cell>
          <cell r="C242">
            <v>42354</v>
          </cell>
          <cell r="E242">
            <v>-5.8072653604071198E-3</v>
          </cell>
        </row>
        <row r="243">
          <cell r="A243" t="str">
            <v>CHF_TOIS_EOD</v>
          </cell>
          <cell r="C243">
            <v>42387</v>
          </cell>
          <cell r="E243">
            <v>-6.2838579381276297E-3</v>
          </cell>
        </row>
        <row r="244">
          <cell r="A244" t="str">
            <v>CHF_TOIS_EOD</v>
          </cell>
          <cell r="C244">
            <v>42416</v>
          </cell>
          <cell r="E244">
            <v>-6.8817415519225097E-3</v>
          </cell>
        </row>
        <row r="245">
          <cell r="A245" t="str">
            <v>CHF_TOIS_EOD</v>
          </cell>
          <cell r="C245">
            <v>42445</v>
          </cell>
          <cell r="E245">
            <v>-7.3902069082996801E-3</v>
          </cell>
        </row>
        <row r="246">
          <cell r="A246" t="str">
            <v>CHF_TOIS_EOD</v>
          </cell>
          <cell r="C246">
            <v>42478</v>
          </cell>
          <cell r="E246">
            <v>-7.7124846328932503E-3</v>
          </cell>
        </row>
        <row r="247">
          <cell r="A247" t="str">
            <v>CHF_TOIS_EOD</v>
          </cell>
          <cell r="C247">
            <v>42507</v>
          </cell>
          <cell r="E247">
            <v>-7.98338336646243E-3</v>
          </cell>
        </row>
        <row r="248">
          <cell r="A248" t="str">
            <v>CHF_TOIS_EOD</v>
          </cell>
          <cell r="C248">
            <v>42537</v>
          </cell>
          <cell r="E248">
            <v>-8.2473005911315508E-3</v>
          </cell>
        </row>
        <row r="249">
          <cell r="A249" t="str">
            <v>CHF_TOIS_EOD</v>
          </cell>
          <cell r="C249">
            <v>42569</v>
          </cell>
          <cell r="E249">
            <v>-8.3843658701553102E-3</v>
          </cell>
        </row>
        <row r="250">
          <cell r="A250" t="str">
            <v>CHF_TOIS_EOD</v>
          </cell>
          <cell r="C250">
            <v>42598</v>
          </cell>
          <cell r="E250">
            <v>-8.5406807509095101E-3</v>
          </cell>
        </row>
        <row r="251">
          <cell r="A251" t="str">
            <v>CHF_TOIS_EOD</v>
          </cell>
          <cell r="C251">
            <v>42629</v>
          </cell>
          <cell r="E251">
            <v>-8.6404458050094394E-3</v>
          </cell>
        </row>
        <row r="252">
          <cell r="A252" t="str">
            <v>CHF_TOIS_EOD</v>
          </cell>
          <cell r="C252">
            <v>42660</v>
          </cell>
          <cell r="E252">
            <v>-8.7515150937811995E-3</v>
          </cell>
        </row>
        <row r="253">
          <cell r="A253" t="str">
            <v>CHF_TOIS_EOD</v>
          </cell>
          <cell r="C253">
            <v>42690</v>
          </cell>
          <cell r="E253">
            <v>-8.8684208945303197E-3</v>
          </cell>
        </row>
        <row r="254">
          <cell r="A254" t="str">
            <v>CHF_TOIS_EOD</v>
          </cell>
          <cell r="C254">
            <v>42782</v>
          </cell>
          <cell r="E254">
            <v>-8.9848831519677604E-3</v>
          </cell>
        </row>
        <row r="255">
          <cell r="A255" t="str">
            <v>CHF_TOIS_EOD</v>
          </cell>
          <cell r="C255">
            <v>42871</v>
          </cell>
          <cell r="E255">
            <v>-9.1152210729055702E-3</v>
          </cell>
        </row>
        <row r="256">
          <cell r="A256" t="str">
            <v>CHF_TOIS_EOD</v>
          </cell>
          <cell r="C256">
            <v>42963</v>
          </cell>
          <cell r="E256">
            <v>-9.1318992676820698E-3</v>
          </cell>
        </row>
        <row r="257">
          <cell r="A257" t="str">
            <v>CHF_TOIS_EOD</v>
          </cell>
          <cell r="C257">
            <v>43055</v>
          </cell>
          <cell r="E257">
            <v>-9.0740436547100799E-3</v>
          </cell>
        </row>
        <row r="258">
          <cell r="A258" t="str">
            <v>CHF_TOIS_EOD</v>
          </cell>
          <cell r="C258">
            <v>43420</v>
          </cell>
          <cell r="E258">
            <v>-8.8487219133272996E-3</v>
          </cell>
        </row>
        <row r="259">
          <cell r="A259" t="str">
            <v>CHF_TOIS_EOD</v>
          </cell>
          <cell r="C259">
            <v>43787</v>
          </cell>
          <cell r="E259">
            <v>-8.0202523786528195E-3</v>
          </cell>
        </row>
        <row r="260">
          <cell r="A260" t="str">
            <v>CHF_TOIS_EOD</v>
          </cell>
          <cell r="C260">
            <v>44151</v>
          </cell>
          <cell r="E260">
            <v>-7.0821053555982999E-3</v>
          </cell>
        </row>
        <row r="261">
          <cell r="A261" t="str">
            <v>CHF_TOIS_EOD</v>
          </cell>
          <cell r="C261">
            <v>44516</v>
          </cell>
          <cell r="E261">
            <v>-5.7774761959274298E-3</v>
          </cell>
        </row>
        <row r="262">
          <cell r="A262" t="str">
            <v>CHF_TOIS_EOD</v>
          </cell>
          <cell r="C262">
            <v>44881</v>
          </cell>
          <cell r="E262">
            <v>-4.4611844960920997E-3</v>
          </cell>
        </row>
        <row r="263">
          <cell r="A263" t="str">
            <v>CHF_TOIS_EOD</v>
          </cell>
          <cell r="C263">
            <v>45246</v>
          </cell>
          <cell r="E263">
            <v>-3.1644271781119202E-3</v>
          </cell>
        </row>
        <row r="264">
          <cell r="A264" t="str">
            <v>CHF_TOIS_EOD</v>
          </cell>
          <cell r="C264">
            <v>45614</v>
          </cell>
          <cell r="E264">
            <v>-2.0142084585781199E-3</v>
          </cell>
        </row>
        <row r="265">
          <cell r="A265" t="str">
            <v>CHF_TOIS_EOD</v>
          </cell>
          <cell r="C265">
            <v>45978</v>
          </cell>
          <cell r="E265">
            <v>-9.3518874293558999E-4</v>
          </cell>
        </row>
        <row r="266">
          <cell r="A266" t="str">
            <v>CHF_TOIS_EOD</v>
          </cell>
          <cell r="C266">
            <v>46707</v>
          </cell>
          <cell r="E266">
            <v>8.7754688770949997E-4</v>
          </cell>
        </row>
        <row r="267">
          <cell r="A267" t="str">
            <v>CHF_TOIS_EOD</v>
          </cell>
          <cell r="C267">
            <v>47805</v>
          </cell>
          <cell r="E267">
            <v>2.8163874926654701E-3</v>
          </cell>
        </row>
        <row r="268">
          <cell r="A268" t="str">
            <v>CHF_TOIS_EOD</v>
          </cell>
          <cell r="C268">
            <v>49629</v>
          </cell>
          <cell r="E268">
            <v>4.9453223957696604E-3</v>
          </cell>
        </row>
        <row r="269">
          <cell r="A269" t="str">
            <v>CHF_TOIS_EOD</v>
          </cell>
          <cell r="C269">
            <v>51456</v>
          </cell>
          <cell r="E269">
            <v>6.2402025489760697E-3</v>
          </cell>
        </row>
        <row r="270">
          <cell r="A270" t="str">
            <v>CHF_TOIS_EOD</v>
          </cell>
          <cell r="C270">
            <v>53282</v>
          </cell>
          <cell r="E270">
            <v>6.9963621621350301E-3</v>
          </cell>
        </row>
        <row r="271">
          <cell r="A271" t="str">
            <v>CHF_TOIS_EOD</v>
          </cell>
          <cell r="C271">
            <v>56934</v>
          </cell>
          <cell r="E271">
            <v>6.7688978223333102E-3</v>
          </cell>
        </row>
        <row r="272">
          <cell r="A272" t="str">
            <v>CZK_PRIBOR_3M_EOD</v>
          </cell>
          <cell r="C272">
            <v>42416</v>
          </cell>
          <cell r="E272">
            <v>2.9391887795250302E-3</v>
          </cell>
        </row>
        <row r="273">
          <cell r="A273" t="str">
            <v>CZK_PRIBOR_3M_EOD</v>
          </cell>
          <cell r="C273">
            <v>42506</v>
          </cell>
          <cell r="E273">
            <v>2.7430960401168998E-3</v>
          </cell>
        </row>
        <row r="274">
          <cell r="A274" t="str">
            <v>CZK_PRIBOR_3M_EOD</v>
          </cell>
          <cell r="C274">
            <v>42598</v>
          </cell>
          <cell r="E274">
            <v>2.50620057534947E-3</v>
          </cell>
        </row>
        <row r="275">
          <cell r="A275" t="str">
            <v>CZK_PRIBOR_3M_EOD</v>
          </cell>
          <cell r="C275">
            <v>42690</v>
          </cell>
          <cell r="E275">
            <v>2.3264481439330201E-3</v>
          </cell>
        </row>
        <row r="276">
          <cell r="A276" t="str">
            <v>CZK_PRIBOR_3M_EOD</v>
          </cell>
          <cell r="C276">
            <v>43055</v>
          </cell>
          <cell r="E276">
            <v>2.1671313076631099E-3</v>
          </cell>
        </row>
        <row r="277">
          <cell r="A277" t="str">
            <v>CZK_PRIBOR_3M_EOD</v>
          </cell>
          <cell r="C277">
            <v>43420</v>
          </cell>
          <cell r="E277">
            <v>2.3394099221923999E-3</v>
          </cell>
        </row>
        <row r="278">
          <cell r="A278" t="str">
            <v>CZK_PRIBOR_3M_EOD</v>
          </cell>
          <cell r="C278">
            <v>43787</v>
          </cell>
          <cell r="E278">
            <v>2.9393469215539302E-3</v>
          </cell>
        </row>
        <row r="279">
          <cell r="A279" t="str">
            <v>CZK_PRIBOR_3M_EOD</v>
          </cell>
          <cell r="C279">
            <v>44151</v>
          </cell>
          <cell r="E279">
            <v>3.5738044059017001E-3</v>
          </cell>
        </row>
        <row r="280">
          <cell r="A280" t="str">
            <v>CZK_PRIBOR_3M_EOD</v>
          </cell>
          <cell r="C280">
            <v>44516</v>
          </cell>
          <cell r="E280">
            <v>4.2947609445353604E-3</v>
          </cell>
        </row>
        <row r="281">
          <cell r="A281" t="str">
            <v>CZK_PRIBOR_3M_EOD</v>
          </cell>
          <cell r="C281">
            <v>44881</v>
          </cell>
          <cell r="E281">
            <v>5.1016638994974602E-3</v>
          </cell>
        </row>
        <row r="282">
          <cell r="A282" t="str">
            <v>CZK_PRIBOR_3M_EOD</v>
          </cell>
          <cell r="C282">
            <v>45246</v>
          </cell>
          <cell r="E282">
            <v>5.9875166104975596E-3</v>
          </cell>
        </row>
        <row r="283">
          <cell r="A283" t="str">
            <v>CZK_PRIBOR_3M_EOD</v>
          </cell>
          <cell r="C283">
            <v>45614</v>
          </cell>
          <cell r="E283">
            <v>6.9189638351245097E-3</v>
          </cell>
        </row>
        <row r="284">
          <cell r="A284" t="str">
            <v>CZK_PRIBOR_3M_EOD</v>
          </cell>
          <cell r="C284">
            <v>45979</v>
          </cell>
          <cell r="E284">
            <v>7.8309481605617001E-3</v>
          </cell>
        </row>
        <row r="285">
          <cell r="A285" t="str">
            <v>CZK_PRIBOR_3M_EOD</v>
          </cell>
          <cell r="C285">
            <v>46707</v>
          </cell>
          <cell r="E285">
            <v>9.3851968658537899E-3</v>
          </cell>
        </row>
        <row r="286">
          <cell r="A286" t="str">
            <v>CZK_PRIBOR_3M_EOD</v>
          </cell>
          <cell r="C286">
            <v>47805</v>
          </cell>
          <cell r="E286">
            <v>1.13735461420294E-2</v>
          </cell>
        </row>
        <row r="287">
          <cell r="A287" t="str">
            <v>CZK_PRIBOR_3M_EOD</v>
          </cell>
          <cell r="C287">
            <v>49629</v>
          </cell>
          <cell r="E287">
            <v>1.3183081010813801E-2</v>
          </cell>
        </row>
        <row r="288">
          <cell r="A288" t="str">
            <v>CZK_PRIBOR_3M_EOD</v>
          </cell>
          <cell r="C288">
            <v>51456</v>
          </cell>
          <cell r="E288">
            <v>1.28010827301962E-2</v>
          </cell>
        </row>
        <row r="289">
          <cell r="A289" t="str">
            <v>CZK_PRIBOR_3M_EOD</v>
          </cell>
          <cell r="C289">
            <v>53282</v>
          </cell>
          <cell r="E289">
            <v>1.2871439849319599E-2</v>
          </cell>
        </row>
        <row r="290">
          <cell r="A290" t="str">
            <v>CZK_PRIBOR_6M_EOD</v>
          </cell>
          <cell r="C290">
            <v>42506</v>
          </cell>
          <cell r="E290">
            <v>3.74788466743859E-3</v>
          </cell>
        </row>
        <row r="291">
          <cell r="A291" t="str">
            <v>CZK_PRIBOR_6M_EOD</v>
          </cell>
          <cell r="C291">
            <v>42690</v>
          </cell>
          <cell r="E291">
            <v>3.2665884472655501E-3</v>
          </cell>
        </row>
        <row r="292">
          <cell r="A292" t="str">
            <v>CZK_PRIBOR_6M_EOD</v>
          </cell>
          <cell r="C292">
            <v>42871</v>
          </cell>
          <cell r="E292">
            <v>3.0192156124502299E-3</v>
          </cell>
        </row>
        <row r="293">
          <cell r="A293" t="str">
            <v>CZK_PRIBOR_6M_EOD</v>
          </cell>
          <cell r="C293">
            <v>43055</v>
          </cell>
          <cell r="E293">
            <v>3.0069715675045002E-3</v>
          </cell>
        </row>
        <row r="294">
          <cell r="A294" t="str">
            <v>CZK_PRIBOR_6M_EOD</v>
          </cell>
          <cell r="C294">
            <v>43420</v>
          </cell>
          <cell r="E294">
            <v>3.2163021153068499E-3</v>
          </cell>
        </row>
        <row r="295">
          <cell r="A295" t="str">
            <v>CZK_PRIBOR_6M_EOD</v>
          </cell>
          <cell r="C295">
            <v>43787</v>
          </cell>
          <cell r="E295">
            <v>3.8366038601517602E-3</v>
          </cell>
        </row>
        <row r="296">
          <cell r="A296" t="str">
            <v>CZK_PRIBOR_6M_EOD</v>
          </cell>
          <cell r="C296">
            <v>44151</v>
          </cell>
          <cell r="E296">
            <v>4.5283042366944899E-3</v>
          </cell>
        </row>
        <row r="297">
          <cell r="A297" t="str">
            <v>CZK_PRIBOR_6M_EOD</v>
          </cell>
          <cell r="C297">
            <v>44516</v>
          </cell>
          <cell r="E297">
            <v>5.3055521429550201E-3</v>
          </cell>
        </row>
        <row r="298">
          <cell r="A298" t="str">
            <v>CZK_PRIBOR_6M_EOD</v>
          </cell>
          <cell r="C298">
            <v>44881</v>
          </cell>
          <cell r="E298">
            <v>6.24239245521025E-3</v>
          </cell>
        </row>
        <row r="299">
          <cell r="A299" t="str">
            <v>CZK_PRIBOR_6M_EOD</v>
          </cell>
          <cell r="C299">
            <v>45246</v>
          </cell>
          <cell r="E299">
            <v>7.2172563007433703E-3</v>
          </cell>
        </row>
        <row r="300">
          <cell r="A300" t="str">
            <v>CZK_PRIBOR_6M_EOD</v>
          </cell>
          <cell r="C300">
            <v>45614</v>
          </cell>
          <cell r="E300">
            <v>8.2382729392447701E-3</v>
          </cell>
        </row>
        <row r="301">
          <cell r="A301" t="str">
            <v>CZK_PRIBOR_6M_EOD</v>
          </cell>
          <cell r="C301">
            <v>45979</v>
          </cell>
          <cell r="E301">
            <v>9.1944713419976794E-3</v>
          </cell>
        </row>
        <row r="302">
          <cell r="A302" t="str">
            <v>CZK_PRIBOR_6M_EOD</v>
          </cell>
          <cell r="C302">
            <v>46707</v>
          </cell>
          <cell r="E302">
            <v>1.07698671614279E-2</v>
          </cell>
        </row>
        <row r="303">
          <cell r="A303" t="str">
            <v>CZK_PRIBOR_6M_EOD</v>
          </cell>
          <cell r="C303">
            <v>47805</v>
          </cell>
          <cell r="E303">
            <v>1.26828921339583E-2</v>
          </cell>
        </row>
        <row r="304">
          <cell r="A304" t="str">
            <v>CZK_PRIBOR_6M_EOD</v>
          </cell>
          <cell r="C304">
            <v>49629</v>
          </cell>
          <cell r="E304">
            <v>1.43640865508818E-2</v>
          </cell>
        </row>
        <row r="305">
          <cell r="A305" t="str">
            <v>CZK_PRIBOR_6M_EOD</v>
          </cell>
          <cell r="C305">
            <v>51456</v>
          </cell>
          <cell r="E305">
            <v>1.38657107258822E-2</v>
          </cell>
        </row>
        <row r="306">
          <cell r="A306" t="str">
            <v>CZK_PRIBOR_6M_EOD</v>
          </cell>
          <cell r="C306">
            <v>53282</v>
          </cell>
          <cell r="E306">
            <v>1.3812107624654501E-2</v>
          </cell>
        </row>
        <row r="307">
          <cell r="A307" t="str">
            <v>CZK_PRIBOR_EOD</v>
          </cell>
          <cell r="C307">
            <v>42321</v>
          </cell>
          <cell r="E307">
            <v>1.31805317577322E-3</v>
          </cell>
        </row>
        <row r="308">
          <cell r="A308" t="str">
            <v>CZK_PRIBOR_EOD</v>
          </cell>
          <cell r="C308">
            <v>42324</v>
          </cell>
          <cell r="E308">
            <v>1.3180496060272899E-3</v>
          </cell>
        </row>
        <row r="309">
          <cell r="A309" t="str">
            <v>CZK_PRIBOR_EOD</v>
          </cell>
          <cell r="C309">
            <v>42331</v>
          </cell>
          <cell r="E309">
            <v>1.3825612996510601E-3</v>
          </cell>
        </row>
        <row r="310">
          <cell r="A310" t="str">
            <v>CZK_PRIBOR_EOD</v>
          </cell>
          <cell r="C310">
            <v>42354</v>
          </cell>
          <cell r="E310">
            <v>1.94413126106224E-3</v>
          </cell>
        </row>
        <row r="311">
          <cell r="A311" t="str">
            <v>CZK_PRIBOR_EOD</v>
          </cell>
          <cell r="C311">
            <v>42387</v>
          </cell>
          <cell r="E311">
            <v>2.2709722420101702E-3</v>
          </cell>
        </row>
        <row r="312">
          <cell r="A312" t="str">
            <v>CZK_PRIBOR_EOD</v>
          </cell>
          <cell r="C312">
            <v>42416</v>
          </cell>
          <cell r="E312">
            <v>2.8716413139623699E-3</v>
          </cell>
        </row>
        <row r="313">
          <cell r="A313" t="str">
            <v>CZK_PRIBOR_EOD</v>
          </cell>
          <cell r="C313">
            <v>42506</v>
          </cell>
          <cell r="E313">
            <v>2.7082328320845398E-3</v>
          </cell>
        </row>
        <row r="314">
          <cell r="A314" t="str">
            <v>CZK_PRIBOR_EOD</v>
          </cell>
          <cell r="C314">
            <v>42598</v>
          </cell>
          <cell r="E314">
            <v>2.48287483184668E-3</v>
          </cell>
        </row>
        <row r="315">
          <cell r="A315" t="str">
            <v>CZK_PRIBOR_EOD</v>
          </cell>
          <cell r="C315">
            <v>42690</v>
          </cell>
          <cell r="E315">
            <v>2.3089223150310301E-3</v>
          </cell>
        </row>
        <row r="316">
          <cell r="A316" t="str">
            <v>CZK_PRIBOR_EOD</v>
          </cell>
          <cell r="C316">
            <v>43055</v>
          </cell>
          <cell r="E316">
            <v>2.99520493603E-3</v>
          </cell>
        </row>
        <row r="317">
          <cell r="A317" t="str">
            <v>CZK_PRIBOR_EOD</v>
          </cell>
          <cell r="C317">
            <v>43420</v>
          </cell>
          <cell r="E317">
            <v>3.20844043347353E-3</v>
          </cell>
        </row>
        <row r="318">
          <cell r="A318" t="str">
            <v>CZK_PRIBOR_EOD</v>
          </cell>
          <cell r="C318">
            <v>43787</v>
          </cell>
          <cell r="E318">
            <v>3.8307092667866699E-3</v>
          </cell>
        </row>
        <row r="319">
          <cell r="A319" t="str">
            <v>CZK_PRIBOR_EOD</v>
          </cell>
          <cell r="C319">
            <v>44151</v>
          </cell>
          <cell r="E319">
            <v>4.5244279828391201E-3</v>
          </cell>
        </row>
        <row r="320">
          <cell r="A320" t="str">
            <v>CZK_PRIBOR_EOD</v>
          </cell>
          <cell r="C320">
            <v>44516</v>
          </cell>
          <cell r="E320">
            <v>5.30355954681337E-3</v>
          </cell>
        </row>
        <row r="321">
          <cell r="A321" t="str">
            <v>CZK_PRIBOR_EOD</v>
          </cell>
          <cell r="C321">
            <v>44881</v>
          </cell>
          <cell r="E321">
            <v>6.2406839060013403E-3</v>
          </cell>
        </row>
        <row r="322">
          <cell r="A322" t="str">
            <v>CZK_PRIBOR_EOD</v>
          </cell>
          <cell r="C322">
            <v>45246</v>
          </cell>
          <cell r="E322">
            <v>7.2157609269666604E-3</v>
          </cell>
        </row>
        <row r="323">
          <cell r="A323" t="str">
            <v>CZK_PRIBOR_EOD</v>
          </cell>
          <cell r="C323">
            <v>45614</v>
          </cell>
          <cell r="E323">
            <v>8.2369446629067897E-3</v>
          </cell>
        </row>
        <row r="324">
          <cell r="A324" t="str">
            <v>CZK_PRIBOR_EOD</v>
          </cell>
          <cell r="C324">
            <v>45979</v>
          </cell>
          <cell r="E324">
            <v>9.1937224030270593E-3</v>
          </cell>
        </row>
        <row r="325">
          <cell r="A325" t="str">
            <v>CZK_PRIBOR_EOD</v>
          </cell>
          <cell r="C325">
            <v>46707</v>
          </cell>
          <cell r="E325">
            <v>1.0768859894750901E-2</v>
          </cell>
        </row>
        <row r="326">
          <cell r="A326" t="str">
            <v>CZK_PRIBOR_EOD</v>
          </cell>
          <cell r="C326">
            <v>47805</v>
          </cell>
          <cell r="E326">
            <v>1.26820868980549E-2</v>
          </cell>
        </row>
        <row r="327">
          <cell r="A327" t="str">
            <v>CZK_PRIBOR_EOD</v>
          </cell>
          <cell r="C327">
            <v>49629</v>
          </cell>
          <cell r="E327">
            <v>1.43636950669324E-2</v>
          </cell>
        </row>
        <row r="328">
          <cell r="A328" t="str">
            <v>CZK_PRIBOR_EOD</v>
          </cell>
          <cell r="C328">
            <v>51456</v>
          </cell>
          <cell r="E328">
            <v>1.3865391385929401E-2</v>
          </cell>
        </row>
        <row r="329">
          <cell r="A329" t="str">
            <v>CZK_PRIBOR_EOD</v>
          </cell>
          <cell r="C329">
            <v>53282</v>
          </cell>
          <cell r="E329">
            <v>1.38118600069014E-2</v>
          </cell>
        </row>
        <row r="330">
          <cell r="A330" t="str">
            <v>DKK_CIBOR_3M_EOD</v>
          </cell>
          <cell r="C330">
            <v>42416</v>
          </cell>
          <cell r="E330">
            <v>-1.5718391098022901E-3</v>
          </cell>
        </row>
        <row r="331">
          <cell r="A331" t="str">
            <v>DKK_CIBOR_3M_EOD</v>
          </cell>
          <cell r="C331">
            <v>42445</v>
          </cell>
          <cell r="E331">
            <v>-1.4610786830958E-3</v>
          </cell>
        </row>
        <row r="332">
          <cell r="A332" t="str">
            <v>DKK_CIBOR_3M_EOD</v>
          </cell>
          <cell r="C332">
            <v>42536</v>
          </cell>
          <cell r="E332">
            <v>-1.3197320482432699E-3</v>
          </cell>
        </row>
        <row r="333">
          <cell r="A333" t="str">
            <v>DKK_CIBOR_3M_EOD</v>
          </cell>
          <cell r="C333">
            <v>42634</v>
          </cell>
          <cell r="E333">
            <v>-1.15627047691328E-3</v>
          </cell>
        </row>
        <row r="334">
          <cell r="A334" t="str">
            <v>DKK_CIBOR_3M_EOD</v>
          </cell>
          <cell r="C334">
            <v>42725</v>
          </cell>
          <cell r="E334">
            <v>-9.7278676860186001E-4</v>
          </cell>
        </row>
        <row r="335">
          <cell r="A335" t="str">
            <v>DKK_CIBOR_3M_EOD</v>
          </cell>
          <cell r="C335">
            <v>42809</v>
          </cell>
          <cell r="E335">
            <v>-7.7520404705666004E-4</v>
          </cell>
        </row>
        <row r="336">
          <cell r="A336" t="str">
            <v>DKK_CIBOR_3M_EOD</v>
          </cell>
          <cell r="C336">
            <v>42907</v>
          </cell>
          <cell r="E336">
            <v>-5.3576792257693003E-4</v>
          </cell>
        </row>
        <row r="337">
          <cell r="A337" t="str">
            <v>DKK_CIBOR_3M_EOD</v>
          </cell>
          <cell r="C337">
            <v>43055</v>
          </cell>
          <cell r="E337">
            <v>-1.8717906364751E-4</v>
          </cell>
        </row>
        <row r="338">
          <cell r="A338" t="str">
            <v>DKK_CIBOR_3M_EOD</v>
          </cell>
          <cell r="C338">
            <v>43420</v>
          </cell>
          <cell r="E338">
            <v>1.0829739612526501E-3</v>
          </cell>
        </row>
        <row r="339">
          <cell r="A339" t="str">
            <v>DKK_CIBOR_3M_EOD</v>
          </cell>
          <cell r="C339">
            <v>43787</v>
          </cell>
          <cell r="E339">
            <v>2.7232536915272102E-3</v>
          </cell>
        </row>
        <row r="340">
          <cell r="A340" t="str">
            <v>DKK_CIBOR_3M_EOD</v>
          </cell>
          <cell r="C340">
            <v>44151</v>
          </cell>
          <cell r="E340">
            <v>4.4003058591005999E-3</v>
          </cell>
        </row>
        <row r="341">
          <cell r="A341" t="str">
            <v>DKK_CIBOR_3M_EOD</v>
          </cell>
          <cell r="C341">
            <v>44516</v>
          </cell>
          <cell r="E341">
            <v>6.0663736643523499E-3</v>
          </cell>
        </row>
        <row r="342">
          <cell r="A342" t="str">
            <v>DKK_CIBOR_3M_EOD</v>
          </cell>
          <cell r="C342">
            <v>44881</v>
          </cell>
          <cell r="E342">
            <v>7.7156974427497003E-3</v>
          </cell>
        </row>
        <row r="343">
          <cell r="A343" t="str">
            <v>DKK_CIBOR_3M_EOD</v>
          </cell>
          <cell r="C343">
            <v>45246</v>
          </cell>
          <cell r="E343">
            <v>9.2917322134201605E-3</v>
          </cell>
        </row>
        <row r="344">
          <cell r="A344" t="str">
            <v>DKK_CIBOR_3M_EOD</v>
          </cell>
          <cell r="C344">
            <v>45614</v>
          </cell>
          <cell r="E344">
            <v>1.0755312273901099E-2</v>
          </cell>
        </row>
        <row r="345">
          <cell r="A345" t="str">
            <v>DKK_CIBOR_3M_EOD</v>
          </cell>
          <cell r="C345">
            <v>45978</v>
          </cell>
          <cell r="E345">
            <v>1.20580912887551E-2</v>
          </cell>
        </row>
        <row r="346">
          <cell r="A346" t="str">
            <v>DKK_CIBOR_3M_EOD</v>
          </cell>
          <cell r="C346">
            <v>46707</v>
          </cell>
          <cell r="E346">
            <v>1.4343334280949201E-2</v>
          </cell>
        </row>
        <row r="347">
          <cell r="A347" t="str">
            <v>DKK_CIBOR_3M_EOD</v>
          </cell>
          <cell r="C347">
            <v>47805</v>
          </cell>
          <cell r="E347">
            <v>1.6735413092595301E-2</v>
          </cell>
        </row>
        <row r="348">
          <cell r="A348" t="str">
            <v>DKK_CIBOR_3M_EOD</v>
          </cell>
          <cell r="C348">
            <v>49629</v>
          </cell>
          <cell r="E348">
            <v>1.8789639022912499E-2</v>
          </cell>
        </row>
        <row r="349">
          <cell r="A349" t="str">
            <v>DKK_CIBOR_3M_EOD</v>
          </cell>
          <cell r="C349">
            <v>51456</v>
          </cell>
          <cell r="E349">
            <v>1.9270226889443E-2</v>
          </cell>
        </row>
        <row r="350">
          <cell r="A350" t="str">
            <v>DKK_CIBOR_3M_EOD</v>
          </cell>
          <cell r="C350">
            <v>53282</v>
          </cell>
          <cell r="E350">
            <v>1.93007058478607E-2</v>
          </cell>
        </row>
        <row r="351">
          <cell r="A351" t="str">
            <v>DKK_CIBOR_6M_EOD</v>
          </cell>
          <cell r="C351">
            <v>42507</v>
          </cell>
          <cell r="E351">
            <v>2.2811195509660001E-4</v>
          </cell>
        </row>
        <row r="352">
          <cell r="A352" t="str">
            <v>DKK_CIBOR_6M_EOD</v>
          </cell>
          <cell r="C352">
            <v>42690</v>
          </cell>
          <cell r="E352">
            <v>5.4098519877255995E-4</v>
          </cell>
        </row>
        <row r="353">
          <cell r="A353" t="str">
            <v>DKK_CIBOR_6M_EOD</v>
          </cell>
          <cell r="C353">
            <v>43055</v>
          </cell>
          <cell r="E353">
            <v>1.3857891461498801E-3</v>
          </cell>
        </row>
        <row r="354">
          <cell r="A354" t="str">
            <v>DKK_CIBOR_6M_EOD</v>
          </cell>
          <cell r="C354">
            <v>43420</v>
          </cell>
          <cell r="E354">
            <v>2.6124027873044701E-3</v>
          </cell>
        </row>
        <row r="355">
          <cell r="A355" t="str">
            <v>DKK_CIBOR_6M_EOD</v>
          </cell>
          <cell r="C355">
            <v>43787</v>
          </cell>
          <cell r="E355">
            <v>4.1904112762607597E-3</v>
          </cell>
        </row>
        <row r="356">
          <cell r="A356" t="str">
            <v>DKK_CIBOR_6M_EOD</v>
          </cell>
          <cell r="C356">
            <v>44151</v>
          </cell>
          <cell r="E356">
            <v>5.8075301485693504E-3</v>
          </cell>
        </row>
        <row r="357">
          <cell r="A357" t="str">
            <v>DKK_CIBOR_6M_EOD</v>
          </cell>
          <cell r="C357">
            <v>44516</v>
          </cell>
          <cell r="E357">
            <v>7.4153805835068401E-3</v>
          </cell>
        </row>
        <row r="358">
          <cell r="A358" t="str">
            <v>DKK_CIBOR_6M_EOD</v>
          </cell>
          <cell r="C358">
            <v>44881</v>
          </cell>
          <cell r="E358">
            <v>9.0072504180337201E-3</v>
          </cell>
        </row>
        <row r="359">
          <cell r="A359" t="str">
            <v>DKK_CIBOR_6M_EOD</v>
          </cell>
          <cell r="C359">
            <v>45246</v>
          </cell>
          <cell r="E359">
            <v>1.05264138468791E-2</v>
          </cell>
        </row>
        <row r="360">
          <cell r="A360" t="str">
            <v>DKK_CIBOR_6M_EOD</v>
          </cell>
          <cell r="C360">
            <v>45614</v>
          </cell>
          <cell r="E360">
            <v>1.1922811590474E-2</v>
          </cell>
        </row>
        <row r="361">
          <cell r="A361" t="str">
            <v>DKK_CIBOR_6M_EOD</v>
          </cell>
          <cell r="C361">
            <v>45978</v>
          </cell>
          <cell r="E361">
            <v>1.3152243445181001E-2</v>
          </cell>
        </row>
        <row r="362">
          <cell r="A362" t="str">
            <v>DKK_CIBOR_6M_EOD</v>
          </cell>
          <cell r="C362">
            <v>46707</v>
          </cell>
          <cell r="E362">
            <v>1.52686479739808E-2</v>
          </cell>
        </row>
        <row r="363">
          <cell r="A363" t="str">
            <v>DKK_CIBOR_6M_EOD</v>
          </cell>
          <cell r="C363">
            <v>47805</v>
          </cell>
          <cell r="E363">
            <v>1.74670456339997E-2</v>
          </cell>
        </row>
        <row r="364">
          <cell r="A364" t="str">
            <v>DKK_CIBOR_6M_EOD</v>
          </cell>
          <cell r="C364">
            <v>49629</v>
          </cell>
          <cell r="E364">
            <v>1.9259974805651999E-2</v>
          </cell>
        </row>
        <row r="365">
          <cell r="A365" t="str">
            <v>DKK_CIBOR_6M_EOD</v>
          </cell>
          <cell r="C365">
            <v>51456</v>
          </cell>
          <cell r="E365">
            <v>1.96060987146226E-2</v>
          </cell>
        </row>
        <row r="366">
          <cell r="A366" t="str">
            <v>DKK_CIBOR_6M_EOD</v>
          </cell>
          <cell r="C366">
            <v>53282</v>
          </cell>
          <cell r="E366">
            <v>1.9579524330049999E-2</v>
          </cell>
        </row>
        <row r="367">
          <cell r="A367" t="str">
            <v>DKK_CIBOR_EOD</v>
          </cell>
          <cell r="C367">
            <v>42321</v>
          </cell>
          <cell r="E367">
            <v>3.5486093863187999E-4</v>
          </cell>
        </row>
        <row r="368">
          <cell r="A368" t="str">
            <v>DKK_CIBOR_EOD</v>
          </cell>
          <cell r="C368">
            <v>42324</v>
          </cell>
          <cell r="E368">
            <v>3.1683994949085001E-4</v>
          </cell>
        </row>
        <row r="369">
          <cell r="A369" t="str">
            <v>DKK_CIBOR_EOD</v>
          </cell>
          <cell r="C369">
            <v>42331</v>
          </cell>
          <cell r="E369">
            <v>-2.3043812641717399E-3</v>
          </cell>
        </row>
        <row r="370">
          <cell r="A370" t="str">
            <v>DKK_CIBOR_EOD</v>
          </cell>
          <cell r="C370">
            <v>42354</v>
          </cell>
          <cell r="E370">
            <v>-2.4008079188838302E-3</v>
          </cell>
        </row>
        <row r="371">
          <cell r="A371" t="str">
            <v>DKK_CIBOR_EOD</v>
          </cell>
          <cell r="C371">
            <v>42445</v>
          </cell>
          <cell r="E371">
            <v>-1.6865581991660501E-3</v>
          </cell>
        </row>
        <row r="372">
          <cell r="A372" t="str">
            <v>DKK_CIBOR_EOD</v>
          </cell>
          <cell r="C372">
            <v>42536</v>
          </cell>
          <cell r="E372">
            <v>-1.4502178793022601E-3</v>
          </cell>
        </row>
        <row r="373">
          <cell r="A373" t="str">
            <v>DKK_CIBOR_EOD</v>
          </cell>
          <cell r="C373">
            <v>42634</v>
          </cell>
          <cell r="E373">
            <v>-1.2460314307612701E-3</v>
          </cell>
        </row>
        <row r="374">
          <cell r="A374" t="str">
            <v>DKK_CIBOR_EOD</v>
          </cell>
          <cell r="C374">
            <v>42725</v>
          </cell>
          <cell r="E374">
            <v>-1.04237921180505E-3</v>
          </cell>
        </row>
        <row r="375">
          <cell r="A375" t="str">
            <v>DKK_CIBOR_EOD</v>
          </cell>
          <cell r="C375">
            <v>42809</v>
          </cell>
          <cell r="E375">
            <v>-8.3284195991726998E-4</v>
          </cell>
        </row>
        <row r="376">
          <cell r="A376" t="str">
            <v>DKK_CIBOR_EOD</v>
          </cell>
          <cell r="C376">
            <v>42907</v>
          </cell>
          <cell r="E376">
            <v>-5.8378315069388005E-4</v>
          </cell>
        </row>
        <row r="377">
          <cell r="A377" t="str">
            <v>DKK_CIBOR_EOD</v>
          </cell>
          <cell r="C377">
            <v>43055</v>
          </cell>
          <cell r="E377">
            <v>1.3885232555252099E-3</v>
          </cell>
        </row>
        <row r="378">
          <cell r="A378" t="str">
            <v>DKK_CIBOR_EOD</v>
          </cell>
          <cell r="C378">
            <v>43420</v>
          </cell>
          <cell r="E378">
            <v>2.6142295028574502E-3</v>
          </cell>
        </row>
        <row r="379">
          <cell r="A379" t="str">
            <v>DKK_CIBOR_EOD</v>
          </cell>
          <cell r="C379">
            <v>43787</v>
          </cell>
          <cell r="E379">
            <v>4.1917808865216902E-3</v>
          </cell>
        </row>
        <row r="380">
          <cell r="A380" t="str">
            <v>DKK_CIBOR_EOD</v>
          </cell>
          <cell r="C380">
            <v>44151</v>
          </cell>
          <cell r="E380">
            <v>5.8094809161301003E-3</v>
          </cell>
        </row>
        <row r="381">
          <cell r="A381" t="str">
            <v>DKK_CIBOR_EOD</v>
          </cell>
          <cell r="C381">
            <v>44516</v>
          </cell>
          <cell r="E381">
            <v>7.4173595527242397E-3</v>
          </cell>
        </row>
        <row r="382">
          <cell r="A382" t="str">
            <v>DKK_CIBOR_EOD</v>
          </cell>
          <cell r="C382">
            <v>44881</v>
          </cell>
          <cell r="E382">
            <v>9.00894725106423E-3</v>
          </cell>
        </row>
        <row r="383">
          <cell r="A383" t="str">
            <v>DKK_CIBOR_EOD</v>
          </cell>
          <cell r="C383">
            <v>45246</v>
          </cell>
          <cell r="E383">
            <v>1.0527898943856299E-2</v>
          </cell>
        </row>
        <row r="384">
          <cell r="A384" t="str">
            <v>DKK_CIBOR_EOD</v>
          </cell>
          <cell r="C384">
            <v>45614</v>
          </cell>
          <cell r="E384">
            <v>1.1924130723393E-2</v>
          </cell>
        </row>
        <row r="385">
          <cell r="A385" t="str">
            <v>DKK_CIBOR_EOD</v>
          </cell>
          <cell r="C385">
            <v>45978</v>
          </cell>
          <cell r="E385">
            <v>1.31529153199559E-2</v>
          </cell>
        </row>
        <row r="386">
          <cell r="A386" t="str">
            <v>DKK_CIBOR_EOD</v>
          </cell>
          <cell r="C386">
            <v>46707</v>
          </cell>
          <cell r="E386">
            <v>1.526809319077E-2</v>
          </cell>
        </row>
        <row r="387">
          <cell r="A387" t="str">
            <v>DKK_CIBOR_EOD</v>
          </cell>
          <cell r="C387">
            <v>47805</v>
          </cell>
          <cell r="E387">
            <v>1.7466602189317799E-2</v>
          </cell>
        </row>
        <row r="388">
          <cell r="A388" t="str">
            <v>DKK_CIBOR_EOD</v>
          </cell>
          <cell r="C388">
            <v>49629</v>
          </cell>
          <cell r="E388">
            <v>1.9259866119967099E-2</v>
          </cell>
        </row>
        <row r="389">
          <cell r="A389" t="str">
            <v>DKK_CIBOR_EOD</v>
          </cell>
          <cell r="C389">
            <v>51456</v>
          </cell>
          <cell r="E389">
            <v>1.96060595611443E-2</v>
          </cell>
        </row>
        <row r="390">
          <cell r="A390" t="str">
            <v>DKK_CIBOR_EOD</v>
          </cell>
          <cell r="C390">
            <v>53282</v>
          </cell>
          <cell r="E390">
            <v>1.95795334628951E-2</v>
          </cell>
        </row>
        <row r="391">
          <cell r="A391" t="str">
            <v>EUR_EONIA_EOD</v>
          </cell>
          <cell r="C391">
            <v>42321</v>
          </cell>
          <cell r="E391">
            <v>-1.3991693484431101E-3</v>
          </cell>
        </row>
        <row r="392">
          <cell r="A392" t="str">
            <v>EUR_EONIA_EOD</v>
          </cell>
          <cell r="C392">
            <v>42324</v>
          </cell>
          <cell r="E392">
            <v>-1.39917337107117E-3</v>
          </cell>
        </row>
        <row r="393">
          <cell r="A393" t="str">
            <v>EUR_EONIA_EOD</v>
          </cell>
          <cell r="C393">
            <v>42331</v>
          </cell>
          <cell r="E393">
            <v>-1.4088593421767699E-3</v>
          </cell>
        </row>
        <row r="394">
          <cell r="A394" t="str">
            <v>EUR_EONIA_EOD</v>
          </cell>
          <cell r="C394">
            <v>42338</v>
          </cell>
          <cell r="E394">
            <v>-1.40708358593564E-3</v>
          </cell>
        </row>
        <row r="395">
          <cell r="A395" t="str">
            <v>EUR_EONIA_EOD</v>
          </cell>
          <cell r="C395">
            <v>42345</v>
          </cell>
          <cell r="E395">
            <v>-1.39069769790477E-3</v>
          </cell>
        </row>
        <row r="396">
          <cell r="A396" t="str">
            <v>EUR_EONIA_EOD</v>
          </cell>
          <cell r="C396">
            <v>42354</v>
          </cell>
          <cell r="E396">
            <v>-1.64230428117309E-3</v>
          </cell>
        </row>
        <row r="397">
          <cell r="A397" t="str">
            <v>EUR_EONIA_EOD</v>
          </cell>
          <cell r="C397">
            <v>42387</v>
          </cell>
          <cell r="E397">
            <v>-2.0430362223161202E-3</v>
          </cell>
        </row>
        <row r="398">
          <cell r="A398" t="str">
            <v>EUR_EONIA_EOD</v>
          </cell>
          <cell r="C398">
            <v>42416</v>
          </cell>
          <cell r="E398">
            <v>-2.2135291289709399E-3</v>
          </cell>
        </row>
        <row r="399">
          <cell r="A399" t="str">
            <v>EUR_EONIA_EOD</v>
          </cell>
          <cell r="C399">
            <v>42445</v>
          </cell>
          <cell r="E399">
            <v>-2.3312072319091001E-3</v>
          </cell>
        </row>
        <row r="400">
          <cell r="A400" t="str">
            <v>EUR_EONIA_EOD</v>
          </cell>
          <cell r="C400">
            <v>42478</v>
          </cell>
          <cell r="E400">
            <v>-2.4355745525092101E-3</v>
          </cell>
        </row>
        <row r="401">
          <cell r="A401" t="str">
            <v>EUR_EONIA_EOD</v>
          </cell>
          <cell r="C401">
            <v>42506</v>
          </cell>
          <cell r="E401">
            <v>-2.5019371171093501E-3</v>
          </cell>
        </row>
        <row r="402">
          <cell r="A402" t="str">
            <v>EUR_EONIA_EOD</v>
          </cell>
          <cell r="C402">
            <v>42537</v>
          </cell>
          <cell r="E402">
            <v>-2.5791715092148902E-3</v>
          </cell>
        </row>
        <row r="403">
          <cell r="A403" t="str">
            <v>EUR_EONIA_EOD</v>
          </cell>
          <cell r="C403">
            <v>42569</v>
          </cell>
          <cell r="E403">
            <v>-2.6422733225090998E-3</v>
          </cell>
        </row>
        <row r="404">
          <cell r="A404" t="str">
            <v>EUR_EONIA_EOD</v>
          </cell>
          <cell r="C404">
            <v>42598</v>
          </cell>
          <cell r="E404">
            <v>-2.69348254937055E-3</v>
          </cell>
        </row>
        <row r="405">
          <cell r="A405" t="str">
            <v>EUR_EONIA_EOD</v>
          </cell>
          <cell r="C405">
            <v>42629</v>
          </cell>
          <cell r="E405">
            <v>-2.7395704040881902E-3</v>
          </cell>
        </row>
        <row r="406">
          <cell r="A406" t="str">
            <v>EUR_EONIA_EOD</v>
          </cell>
          <cell r="C406">
            <v>42660</v>
          </cell>
          <cell r="E406">
            <v>-2.8072060434692699E-3</v>
          </cell>
        </row>
        <row r="407">
          <cell r="A407" t="str">
            <v>EUR_EONIA_EOD</v>
          </cell>
          <cell r="C407">
            <v>42690</v>
          </cell>
          <cell r="E407">
            <v>-2.8273290005600398E-3</v>
          </cell>
        </row>
        <row r="408">
          <cell r="A408" t="str">
            <v>EUR_EONIA_EOD</v>
          </cell>
          <cell r="C408">
            <v>42782</v>
          </cell>
          <cell r="E408">
            <v>-2.8599706769882301E-3</v>
          </cell>
        </row>
        <row r="409">
          <cell r="A409" t="str">
            <v>EUR_EONIA_EOD</v>
          </cell>
          <cell r="C409">
            <v>42871</v>
          </cell>
          <cell r="E409">
            <v>-2.8702840941439698E-3</v>
          </cell>
        </row>
        <row r="410">
          <cell r="A410" t="str">
            <v>EUR_EONIA_EOD</v>
          </cell>
          <cell r="C410">
            <v>42963</v>
          </cell>
          <cell r="E410">
            <v>-2.8939488165637202E-3</v>
          </cell>
        </row>
        <row r="411">
          <cell r="A411" t="str">
            <v>EUR_EONIA_EOD</v>
          </cell>
          <cell r="C411">
            <v>43055</v>
          </cell>
          <cell r="E411">
            <v>-2.7908955873970302E-3</v>
          </cell>
        </row>
        <row r="412">
          <cell r="A412" t="str">
            <v>EUR_EONIA_EOD</v>
          </cell>
          <cell r="C412">
            <v>43420</v>
          </cell>
          <cell r="E412">
            <v>-2.2956430782012302E-3</v>
          </cell>
        </row>
        <row r="413">
          <cell r="A413" t="str">
            <v>EUR_EONIA_EOD</v>
          </cell>
          <cell r="C413">
            <v>43787</v>
          </cell>
          <cell r="E413">
            <v>-1.17140039720781E-3</v>
          </cell>
        </row>
        <row r="414">
          <cell r="A414" t="str">
            <v>EUR_EONIA_EOD</v>
          </cell>
          <cell r="C414">
            <v>44151</v>
          </cell>
          <cell r="E414">
            <v>1.6681948778105E-4</v>
          </cell>
        </row>
        <row r="415">
          <cell r="A415" t="str">
            <v>EUR_EONIA_EOD</v>
          </cell>
          <cell r="C415">
            <v>44516</v>
          </cell>
          <cell r="E415">
            <v>1.6807599062405199E-3</v>
          </cell>
        </row>
        <row r="416">
          <cell r="A416" t="str">
            <v>EUR_EONIA_EOD</v>
          </cell>
          <cell r="C416">
            <v>44881</v>
          </cell>
          <cell r="E416">
            <v>3.2651074012686201E-3</v>
          </cell>
        </row>
        <row r="417">
          <cell r="A417" t="str">
            <v>EUR_EONIA_EOD</v>
          </cell>
          <cell r="C417">
            <v>45246</v>
          </cell>
          <cell r="E417">
            <v>4.8186794858500201E-3</v>
          </cell>
        </row>
        <row r="418">
          <cell r="A418" t="str">
            <v>EUR_EONIA_EOD</v>
          </cell>
          <cell r="C418">
            <v>45614</v>
          </cell>
          <cell r="E418">
            <v>6.28002794913204E-3</v>
          </cell>
        </row>
        <row r="419">
          <cell r="A419" t="str">
            <v>EUR_EONIA_EOD</v>
          </cell>
          <cell r="C419">
            <v>45978</v>
          </cell>
          <cell r="E419">
            <v>7.5848612053805303E-3</v>
          </cell>
        </row>
        <row r="420">
          <cell r="A420" t="str">
            <v>EUR_EONIA_EOD</v>
          </cell>
          <cell r="C420">
            <v>46707</v>
          </cell>
          <cell r="E420">
            <v>9.8285386606108503E-3</v>
          </cell>
        </row>
        <row r="421">
          <cell r="A421" t="str">
            <v>EUR_EONIA_EOD</v>
          </cell>
          <cell r="C421">
            <v>47805</v>
          </cell>
          <cell r="E421">
            <v>1.22903395622123E-2</v>
          </cell>
        </row>
        <row r="422">
          <cell r="A422" t="str">
            <v>EUR_EONIA_EOD</v>
          </cell>
          <cell r="C422">
            <v>49629</v>
          </cell>
          <cell r="E422">
            <v>1.46469353463733E-2</v>
          </cell>
        </row>
        <row r="423">
          <cell r="A423" t="str">
            <v>EUR_EONIA_EOD</v>
          </cell>
          <cell r="C423">
            <v>51456</v>
          </cell>
          <cell r="E423">
            <v>1.5364174907747699E-2</v>
          </cell>
        </row>
        <row r="424">
          <cell r="A424" t="str">
            <v>EUR_EONIA_EOD</v>
          </cell>
          <cell r="C424">
            <v>53282</v>
          </cell>
          <cell r="E424">
            <v>1.56673890240203E-2</v>
          </cell>
        </row>
        <row r="425">
          <cell r="A425" t="str">
            <v>EUR_EONIA_EOD</v>
          </cell>
          <cell r="C425">
            <v>56934</v>
          </cell>
          <cell r="E425">
            <v>1.5955085267050501E-2</v>
          </cell>
        </row>
        <row r="426">
          <cell r="A426" t="str">
            <v>EUR_EONIA_EOD</v>
          </cell>
          <cell r="C426">
            <v>60587</v>
          </cell>
          <cell r="E426">
            <v>1.5508984476508701E-2</v>
          </cell>
        </row>
        <row r="427">
          <cell r="A427" t="str">
            <v>EUR_EONIA_EOD</v>
          </cell>
          <cell r="C427">
            <v>64241</v>
          </cell>
          <cell r="E427">
            <v>1.49816846631417E-2</v>
          </cell>
        </row>
        <row r="428">
          <cell r="A428" t="str">
            <v>EUR_EURIBOR_12M_EOD</v>
          </cell>
          <cell r="C428">
            <v>42690</v>
          </cell>
          <cell r="E428">
            <v>8.5130321191211999E-4</v>
          </cell>
        </row>
        <row r="429">
          <cell r="A429" t="str">
            <v>EUR_EURIBOR_12M_EOD</v>
          </cell>
          <cell r="C429">
            <v>42720</v>
          </cell>
          <cell r="E429">
            <v>4.3873200531134002E-4</v>
          </cell>
        </row>
        <row r="430">
          <cell r="A430" t="str">
            <v>EUR_EURIBOR_12M_EOD</v>
          </cell>
          <cell r="C430">
            <v>42751</v>
          </cell>
          <cell r="E430">
            <v>3.9108834249518E-4</v>
          </cell>
        </row>
        <row r="431">
          <cell r="A431" t="str">
            <v>EUR_EURIBOR_12M_EOD</v>
          </cell>
          <cell r="C431">
            <v>42782</v>
          </cell>
          <cell r="E431">
            <v>4.2183545661570999E-4</v>
          </cell>
        </row>
        <row r="432">
          <cell r="A432" t="str">
            <v>EUR_EURIBOR_12M_EOD</v>
          </cell>
          <cell r="C432">
            <v>42810</v>
          </cell>
          <cell r="E432">
            <v>3.6442716414061002E-4</v>
          </cell>
        </row>
        <row r="433">
          <cell r="A433" t="str">
            <v>EUR_EURIBOR_12M_EOD</v>
          </cell>
          <cell r="C433">
            <v>42843</v>
          </cell>
          <cell r="E433">
            <v>3.3854954629847998E-4</v>
          </cell>
        </row>
        <row r="434">
          <cell r="A434" t="str">
            <v>EUR_EURIBOR_12M_EOD</v>
          </cell>
          <cell r="C434">
            <v>42871</v>
          </cell>
          <cell r="E434">
            <v>3.6124821498380999E-4</v>
          </cell>
        </row>
        <row r="435">
          <cell r="A435" t="str">
            <v>EUR_EURIBOR_12M_EOD</v>
          </cell>
          <cell r="C435">
            <v>42902</v>
          </cell>
          <cell r="E435">
            <v>3.7463492693812E-4</v>
          </cell>
        </row>
        <row r="436">
          <cell r="A436" t="str">
            <v>EUR_EURIBOR_12M_EOD</v>
          </cell>
          <cell r="C436">
            <v>42933</v>
          </cell>
          <cell r="E436">
            <v>4.3270804637814998E-4</v>
          </cell>
        </row>
        <row r="437">
          <cell r="A437" t="str">
            <v>EUR_EURIBOR_12M_EOD</v>
          </cell>
          <cell r="C437">
            <v>42963</v>
          </cell>
          <cell r="E437">
            <v>5.2055602412204999E-4</v>
          </cell>
        </row>
        <row r="438">
          <cell r="A438" t="str">
            <v>EUR_EURIBOR_12M_EOD</v>
          </cell>
          <cell r="C438">
            <v>42996</v>
          </cell>
          <cell r="E438">
            <v>5.2672358862165E-4</v>
          </cell>
        </row>
        <row r="439">
          <cell r="A439" t="str">
            <v>EUR_EURIBOR_12M_EOD</v>
          </cell>
          <cell r="C439">
            <v>43024</v>
          </cell>
          <cell r="E439">
            <v>5.8703240859136997E-4</v>
          </cell>
        </row>
        <row r="440">
          <cell r="A440" t="str">
            <v>EUR_EURIBOR_12M_EOD</v>
          </cell>
          <cell r="C440">
            <v>43055</v>
          </cell>
          <cell r="E440">
            <v>6.4802866762724996E-4</v>
          </cell>
        </row>
        <row r="441">
          <cell r="A441" t="str">
            <v>EUR_EURIBOR_12M_EOD</v>
          </cell>
          <cell r="C441">
            <v>43420</v>
          </cell>
          <cell r="E441">
            <v>1.2500943712879999E-3</v>
          </cell>
        </row>
        <row r="442">
          <cell r="A442" t="str">
            <v>EUR_EURIBOR_12M_EOD</v>
          </cell>
          <cell r="C442">
            <v>43787</v>
          </cell>
          <cell r="E442">
            <v>2.4152869314550398E-3</v>
          </cell>
        </row>
        <row r="443">
          <cell r="A443" t="str">
            <v>EUR_EURIBOR_12M_EOD</v>
          </cell>
          <cell r="C443">
            <v>44151</v>
          </cell>
          <cell r="E443">
            <v>3.7817295534908501E-3</v>
          </cell>
        </row>
        <row r="444">
          <cell r="A444" t="str">
            <v>EUR_EURIBOR_12M_EOD</v>
          </cell>
          <cell r="C444">
            <v>44516</v>
          </cell>
          <cell r="E444">
            <v>5.25053418602531E-3</v>
          </cell>
        </row>
        <row r="445">
          <cell r="A445" t="str">
            <v>EUR_EURIBOR_12M_EOD</v>
          </cell>
          <cell r="C445">
            <v>44881</v>
          </cell>
          <cell r="E445">
            <v>6.7407494385434003E-3</v>
          </cell>
        </row>
        <row r="446">
          <cell r="A446" t="str">
            <v>EUR_EURIBOR_12M_EOD</v>
          </cell>
          <cell r="C446">
            <v>45246</v>
          </cell>
          <cell r="E446">
            <v>8.1915757250536902E-3</v>
          </cell>
        </row>
        <row r="447">
          <cell r="A447" t="str">
            <v>EUR_EURIBOR_12M_EOD</v>
          </cell>
          <cell r="C447">
            <v>45614</v>
          </cell>
          <cell r="E447">
            <v>9.4976691150645796E-3</v>
          </cell>
        </row>
        <row r="448">
          <cell r="A448" t="str">
            <v>EUR_EURIBOR_12M_EOD</v>
          </cell>
          <cell r="C448">
            <v>45978</v>
          </cell>
          <cell r="E448">
            <v>1.06455162847986E-2</v>
          </cell>
        </row>
        <row r="449">
          <cell r="A449" t="str">
            <v>EUR_EURIBOR_12M_EOD</v>
          </cell>
          <cell r="C449">
            <v>46707</v>
          </cell>
          <cell r="E449">
            <v>1.26345431420423E-2</v>
          </cell>
        </row>
        <row r="450">
          <cell r="A450" t="str">
            <v>EUR_EURIBOR_12M_EOD</v>
          </cell>
          <cell r="C450">
            <v>47805</v>
          </cell>
          <cell r="E450">
            <v>1.4747536593503099E-2</v>
          </cell>
        </row>
        <row r="451">
          <cell r="A451" t="str">
            <v>EUR_EURIBOR_12M_EOD</v>
          </cell>
          <cell r="C451">
            <v>49629</v>
          </cell>
          <cell r="E451">
            <v>1.6648834899432599E-2</v>
          </cell>
        </row>
        <row r="452">
          <cell r="A452" t="str">
            <v>EUR_EURIBOR_12M_EOD</v>
          </cell>
          <cell r="C452">
            <v>51456</v>
          </cell>
          <cell r="E452">
            <v>1.7072950598728799E-2</v>
          </cell>
        </row>
        <row r="453">
          <cell r="A453" t="str">
            <v>EUR_EURIBOR_12M_EOD</v>
          </cell>
          <cell r="C453">
            <v>53282</v>
          </cell>
          <cell r="E453">
            <v>1.7166783747009098E-2</v>
          </cell>
        </row>
        <row r="454">
          <cell r="A454" t="str">
            <v>EUR_EURIBOR_12M_EOD</v>
          </cell>
          <cell r="C454">
            <v>56934</v>
          </cell>
          <cell r="E454">
            <v>1.7167729677446002E-2</v>
          </cell>
        </row>
        <row r="455">
          <cell r="A455" t="str">
            <v>EUR_EURIBOR_12M_EOD</v>
          </cell>
          <cell r="C455">
            <v>60587</v>
          </cell>
          <cell r="E455">
            <v>1.64892647471701E-2</v>
          </cell>
        </row>
        <row r="456">
          <cell r="A456" t="str">
            <v>EUR_EURIBOR_12M_EOD</v>
          </cell>
          <cell r="C456">
            <v>64241</v>
          </cell>
          <cell r="E456">
            <v>1.6019857821329801E-2</v>
          </cell>
        </row>
        <row r="457">
          <cell r="A457" t="str">
            <v>EUR_EURIBOR_1M_EOD</v>
          </cell>
          <cell r="C457">
            <v>42354</v>
          </cell>
          <cell r="E457">
            <v>-1.37896703183037E-3</v>
          </cell>
        </row>
        <row r="458">
          <cell r="A458" t="str">
            <v>EUR_EURIBOR_1M_EOD</v>
          </cell>
          <cell r="C458">
            <v>42387</v>
          </cell>
          <cell r="E458">
            <v>-1.7477982600723301E-3</v>
          </cell>
        </row>
        <row r="459">
          <cell r="A459" t="str">
            <v>EUR_EURIBOR_1M_EOD</v>
          </cell>
          <cell r="C459">
            <v>42416</v>
          </cell>
          <cell r="E459">
            <v>-1.91443527699772E-3</v>
          </cell>
        </row>
        <row r="460">
          <cell r="A460" t="str">
            <v>EUR_EURIBOR_1M_EOD</v>
          </cell>
          <cell r="C460">
            <v>42506</v>
          </cell>
          <cell r="E460">
            <v>-2.2378233709454999E-3</v>
          </cell>
        </row>
        <row r="461">
          <cell r="A461" t="str">
            <v>EUR_EURIBOR_1M_EOD</v>
          </cell>
          <cell r="C461">
            <v>42598</v>
          </cell>
          <cell r="E461">
            <v>-2.4378747787648499E-3</v>
          </cell>
        </row>
        <row r="462">
          <cell r="A462" t="str">
            <v>EUR_EURIBOR_1M_EOD</v>
          </cell>
          <cell r="C462">
            <v>42690</v>
          </cell>
          <cell r="E462">
            <v>-2.5648118396751698E-3</v>
          </cell>
        </row>
        <row r="463">
          <cell r="A463" t="str">
            <v>EUR_EURIBOR_1M_EOD</v>
          </cell>
          <cell r="C463">
            <v>43055</v>
          </cell>
          <cell r="E463">
            <v>-2.58651355148859E-3</v>
          </cell>
        </row>
        <row r="464">
          <cell r="A464" t="str">
            <v>EUR_EURIBOR_1M_EOD</v>
          </cell>
          <cell r="C464">
            <v>43420</v>
          </cell>
          <cell r="E464">
            <v>-1.9910036711333601E-3</v>
          </cell>
        </row>
        <row r="465">
          <cell r="A465" t="str">
            <v>EUR_EURIBOR_1M_EOD</v>
          </cell>
          <cell r="C465">
            <v>43787</v>
          </cell>
          <cell r="E465">
            <v>-8.8276403553969995E-4</v>
          </cell>
        </row>
        <row r="466">
          <cell r="A466" t="str">
            <v>EUR_EURIBOR_1M_EOD</v>
          </cell>
          <cell r="C466">
            <v>44151</v>
          </cell>
          <cell r="E466">
            <v>4.6072277240694998E-4</v>
          </cell>
        </row>
        <row r="467">
          <cell r="A467" t="str">
            <v>EUR_EURIBOR_1M_EOD</v>
          </cell>
          <cell r="C467">
            <v>44516</v>
          </cell>
          <cell r="E467">
            <v>1.9737088139367802E-3</v>
          </cell>
        </row>
        <row r="468">
          <cell r="A468" t="str">
            <v>EUR_EURIBOR_1M_EOD</v>
          </cell>
          <cell r="C468">
            <v>44881</v>
          </cell>
          <cell r="E468">
            <v>3.5507197061563399E-3</v>
          </cell>
        </row>
        <row r="469">
          <cell r="A469" t="str">
            <v>EUR_EURIBOR_1M_EOD</v>
          </cell>
          <cell r="C469">
            <v>45246</v>
          </cell>
          <cell r="E469">
            <v>5.1094362158354998E-3</v>
          </cell>
        </row>
        <row r="470">
          <cell r="A470" t="str">
            <v>EUR_EURIBOR_1M_EOD</v>
          </cell>
          <cell r="C470">
            <v>45614</v>
          </cell>
          <cell r="E470">
            <v>6.58064926474629E-3</v>
          </cell>
        </row>
        <row r="471">
          <cell r="A471" t="str">
            <v>EUR_EURIBOR_1M_EOD</v>
          </cell>
          <cell r="C471">
            <v>45978</v>
          </cell>
          <cell r="E471">
            <v>7.8940844323730497E-3</v>
          </cell>
        </row>
        <row r="472">
          <cell r="A472" t="str">
            <v>EUR_EURIBOR_1M_EOD</v>
          </cell>
          <cell r="C472">
            <v>46707</v>
          </cell>
          <cell r="E472">
            <v>1.01346547627042E-2</v>
          </cell>
        </row>
        <row r="473">
          <cell r="A473" t="str">
            <v>EUR_EURIBOR_1M_EOD</v>
          </cell>
          <cell r="C473">
            <v>47805</v>
          </cell>
          <cell r="E473">
            <v>1.26102914053413E-2</v>
          </cell>
        </row>
        <row r="474">
          <cell r="A474" t="str">
            <v>EUR_EURIBOR_1M_EOD</v>
          </cell>
          <cell r="C474">
            <v>49629</v>
          </cell>
          <cell r="E474">
            <v>1.49296815583728E-2</v>
          </cell>
        </row>
        <row r="475">
          <cell r="A475" t="str">
            <v>EUR_EURIBOR_1M_EOD</v>
          </cell>
          <cell r="C475">
            <v>51456</v>
          </cell>
          <cell r="E475">
            <v>1.56389952252706E-2</v>
          </cell>
        </row>
        <row r="476">
          <cell r="A476" t="str">
            <v>EUR_EURIBOR_1M_EOD</v>
          </cell>
          <cell r="C476">
            <v>53282</v>
          </cell>
          <cell r="E476">
            <v>1.59213306932669E-2</v>
          </cell>
        </row>
        <row r="477">
          <cell r="A477" t="str">
            <v>EUR_EURIBOR_1M_EOD</v>
          </cell>
          <cell r="C477">
            <v>56934</v>
          </cell>
          <cell r="E477">
            <v>1.61484557733916E-2</v>
          </cell>
        </row>
        <row r="478">
          <cell r="A478" t="str">
            <v>EUR_EURIBOR_1M_EOD</v>
          </cell>
          <cell r="C478">
            <v>60587</v>
          </cell>
          <cell r="E478">
            <v>1.56337843038587E-2</v>
          </cell>
        </row>
        <row r="479">
          <cell r="A479" t="str">
            <v>EUR_EURIBOR_1M_EOD</v>
          </cell>
          <cell r="C479">
            <v>64241</v>
          </cell>
          <cell r="E479">
            <v>1.5214596780177701E-2</v>
          </cell>
        </row>
        <row r="480">
          <cell r="A480" t="str">
            <v>EUR_EURIBOR_3M_EOD</v>
          </cell>
          <cell r="C480">
            <v>42416</v>
          </cell>
          <cell r="E480">
            <v>-8.2133501110706999E-4</v>
          </cell>
        </row>
        <row r="481">
          <cell r="A481" t="str">
            <v>EUR_EURIBOR_3M_EOD</v>
          </cell>
          <cell r="C481">
            <v>42445</v>
          </cell>
          <cell r="E481">
            <v>-1.2960755683720201E-3</v>
          </cell>
        </row>
        <row r="482">
          <cell r="A482" t="str">
            <v>EUR_EURIBOR_3M_EOD</v>
          </cell>
          <cell r="C482">
            <v>42536</v>
          </cell>
          <cell r="E482">
            <v>-1.54729132177669E-3</v>
          </cell>
        </row>
        <row r="483">
          <cell r="A483" t="str">
            <v>EUR_EURIBOR_3M_EOD</v>
          </cell>
          <cell r="C483">
            <v>42634</v>
          </cell>
          <cell r="E483">
            <v>-1.72432756291374E-3</v>
          </cell>
        </row>
        <row r="484">
          <cell r="A484" t="str">
            <v>EUR_EURIBOR_3M_EOD</v>
          </cell>
          <cell r="C484">
            <v>42725</v>
          </cell>
          <cell r="E484">
            <v>-1.81769776616464E-3</v>
          </cell>
        </row>
        <row r="485">
          <cell r="A485" t="str">
            <v>EUR_EURIBOR_3M_EOD</v>
          </cell>
          <cell r="C485">
            <v>42809</v>
          </cell>
          <cell r="E485">
            <v>-1.8606624473505801E-3</v>
          </cell>
        </row>
        <row r="486">
          <cell r="A486" t="str">
            <v>EUR_EURIBOR_3M_EOD</v>
          </cell>
          <cell r="C486">
            <v>42907</v>
          </cell>
          <cell r="E486">
            <v>-1.8676541016283399E-3</v>
          </cell>
        </row>
        <row r="487">
          <cell r="A487" t="str">
            <v>EUR_EURIBOR_3M_EOD</v>
          </cell>
          <cell r="C487">
            <v>42998</v>
          </cell>
          <cell r="E487">
            <v>-1.83040074924734E-3</v>
          </cell>
        </row>
        <row r="488">
          <cell r="A488" t="str">
            <v>EUR_EURIBOR_3M_EOD</v>
          </cell>
          <cell r="C488">
            <v>43089</v>
          </cell>
          <cell r="E488">
            <v>-1.7535955376213801E-3</v>
          </cell>
        </row>
        <row r="489">
          <cell r="A489" t="str">
            <v>EUR_EURIBOR_3M_EOD</v>
          </cell>
          <cell r="C489">
            <v>43180</v>
          </cell>
          <cell r="E489">
            <v>-1.64775981207161E-3</v>
          </cell>
        </row>
        <row r="490">
          <cell r="A490" t="str">
            <v>EUR_EURIBOR_3M_EOD</v>
          </cell>
          <cell r="C490">
            <v>43271</v>
          </cell>
          <cell r="E490">
            <v>-1.50949174350256E-3</v>
          </cell>
        </row>
        <row r="491">
          <cell r="A491" t="str">
            <v>EUR_EURIBOR_3M_EOD</v>
          </cell>
          <cell r="C491">
            <v>43362</v>
          </cell>
          <cell r="E491">
            <v>-1.3389726800489201E-3</v>
          </cell>
        </row>
        <row r="492">
          <cell r="A492" t="str">
            <v>EUR_EURIBOR_3M_EOD</v>
          </cell>
          <cell r="C492">
            <v>43453</v>
          </cell>
          <cell r="E492">
            <v>-1.1361665863951799E-3</v>
          </cell>
        </row>
        <row r="493">
          <cell r="A493" t="str">
            <v>EUR_EURIBOR_3M_EOD</v>
          </cell>
          <cell r="C493">
            <v>43787</v>
          </cell>
          <cell r="E493">
            <v>1.3173165448255E-4</v>
          </cell>
        </row>
        <row r="494">
          <cell r="A494" t="str">
            <v>EUR_EURIBOR_3M_EOD</v>
          </cell>
          <cell r="C494">
            <v>44151</v>
          </cell>
          <cell r="E494">
            <v>1.48370227147746E-3</v>
          </cell>
        </row>
        <row r="495">
          <cell r="A495" t="str">
            <v>EUR_EURIBOR_3M_EOD</v>
          </cell>
          <cell r="C495">
            <v>44516</v>
          </cell>
          <cell r="E495">
            <v>2.9750076418187301E-3</v>
          </cell>
        </row>
        <row r="496">
          <cell r="A496" t="str">
            <v>EUR_EURIBOR_3M_EOD</v>
          </cell>
          <cell r="C496">
            <v>44881</v>
          </cell>
          <cell r="E496">
            <v>4.52083586493992E-3</v>
          </cell>
        </row>
        <row r="497">
          <cell r="A497" t="str">
            <v>EUR_EURIBOR_3M_EOD</v>
          </cell>
          <cell r="C497">
            <v>45246</v>
          </cell>
          <cell r="E497">
            <v>6.0312477571017901E-3</v>
          </cell>
        </row>
        <row r="498">
          <cell r="A498" t="str">
            <v>EUR_EURIBOR_3M_EOD</v>
          </cell>
          <cell r="C498">
            <v>45614</v>
          </cell>
          <cell r="E498">
            <v>7.4485667272486296E-3</v>
          </cell>
        </row>
        <row r="499">
          <cell r="A499" t="str">
            <v>EUR_EURIBOR_3M_EOD</v>
          </cell>
          <cell r="C499">
            <v>45978</v>
          </cell>
          <cell r="E499">
            <v>8.7188056685814693E-3</v>
          </cell>
        </row>
        <row r="500">
          <cell r="A500" t="str">
            <v>EUR_EURIBOR_3M_EOD</v>
          </cell>
          <cell r="C500">
            <v>46707</v>
          </cell>
          <cell r="E500">
            <v>1.08981819508253E-2</v>
          </cell>
        </row>
        <row r="501">
          <cell r="A501" t="str">
            <v>EUR_EURIBOR_3M_EOD</v>
          </cell>
          <cell r="C501">
            <v>47805</v>
          </cell>
          <cell r="E501">
            <v>1.3262991276057E-2</v>
          </cell>
        </row>
        <row r="502">
          <cell r="A502" t="str">
            <v>EUR_EURIBOR_3M_EOD</v>
          </cell>
          <cell r="C502">
            <v>49629</v>
          </cell>
          <cell r="E502">
            <v>1.54095309082792E-2</v>
          </cell>
        </row>
        <row r="503">
          <cell r="A503" t="str">
            <v>EUR_EURIBOR_3M_EOD</v>
          </cell>
          <cell r="C503">
            <v>51456</v>
          </cell>
          <cell r="E503">
            <v>1.6000049859037E-2</v>
          </cell>
        </row>
        <row r="504">
          <cell r="A504" t="str">
            <v>EUR_EURIBOR_3M_EOD</v>
          </cell>
          <cell r="C504">
            <v>53282</v>
          </cell>
          <cell r="E504">
            <v>1.6199502989589099E-2</v>
          </cell>
        </row>
        <row r="505">
          <cell r="A505" t="str">
            <v>EUR_EURIBOR_3M_EOD</v>
          </cell>
          <cell r="C505">
            <v>56934</v>
          </cell>
          <cell r="E505">
            <v>1.6326346086174601E-2</v>
          </cell>
        </row>
        <row r="506">
          <cell r="A506" t="str">
            <v>EUR_EURIBOR_3M_EOD</v>
          </cell>
          <cell r="C506">
            <v>60587</v>
          </cell>
          <cell r="E506">
            <v>1.5775244589148401E-2</v>
          </cell>
        </row>
        <row r="507">
          <cell r="A507" t="str">
            <v>EUR_EURIBOR_3M_EOD</v>
          </cell>
          <cell r="C507">
            <v>64241</v>
          </cell>
          <cell r="E507">
            <v>1.53059418240327E-2</v>
          </cell>
        </row>
        <row r="508">
          <cell r="A508" t="str">
            <v>EUR_EURIBOR_6M_EOD</v>
          </cell>
          <cell r="C508">
            <v>42506</v>
          </cell>
          <cell r="E508">
            <v>-1.1153087898424999E-4</v>
          </cell>
        </row>
        <row r="509">
          <cell r="A509" t="str">
            <v>EUR_EURIBOR_6M_EOD</v>
          </cell>
          <cell r="C509">
            <v>42537</v>
          </cell>
          <cell r="E509">
            <v>-5.1346582392959995E-4</v>
          </cell>
        </row>
        <row r="510">
          <cell r="A510" t="str">
            <v>EUR_EURIBOR_6M_EOD</v>
          </cell>
          <cell r="C510">
            <v>42569</v>
          </cell>
          <cell r="E510">
            <v>-5.8592227471032004E-4</v>
          </cell>
        </row>
        <row r="511">
          <cell r="A511" t="str">
            <v>EUR_EURIBOR_6M_EOD</v>
          </cell>
          <cell r="C511">
            <v>42598</v>
          </cell>
          <cell r="E511">
            <v>-6.6924627135180005E-4</v>
          </cell>
        </row>
        <row r="512">
          <cell r="A512" t="str">
            <v>EUR_EURIBOR_6M_EOD</v>
          </cell>
          <cell r="C512">
            <v>42629</v>
          </cell>
          <cell r="E512">
            <v>-6.7921447911864995E-4</v>
          </cell>
        </row>
        <row r="513">
          <cell r="A513" t="str">
            <v>EUR_EURIBOR_6M_EOD</v>
          </cell>
          <cell r="C513">
            <v>42660</v>
          </cell>
          <cell r="E513">
            <v>-6.2269982555236995E-4</v>
          </cell>
        </row>
        <row r="514">
          <cell r="A514" t="str">
            <v>EUR_EURIBOR_6M_EOD</v>
          </cell>
          <cell r="C514">
            <v>42690</v>
          </cell>
          <cell r="E514">
            <v>-6.3607218296321002E-4</v>
          </cell>
        </row>
        <row r="515">
          <cell r="A515" t="str">
            <v>EUR_EURIBOR_6M_EOD</v>
          </cell>
          <cell r="C515">
            <v>42871</v>
          </cell>
          <cell r="E515">
            <v>-7.5526799050322003E-4</v>
          </cell>
        </row>
        <row r="516">
          <cell r="A516" t="str">
            <v>EUR_EURIBOR_6M_EOD</v>
          </cell>
          <cell r="C516">
            <v>43055</v>
          </cell>
          <cell r="E516">
            <v>-6.3949842241806001E-4</v>
          </cell>
        </row>
        <row r="517">
          <cell r="A517" t="str">
            <v>EUR_EURIBOR_6M_EOD</v>
          </cell>
          <cell r="C517">
            <v>43420</v>
          </cell>
          <cell r="E517">
            <v>-3.19120164769E-6</v>
          </cell>
        </row>
        <row r="518">
          <cell r="A518" t="str">
            <v>EUR_EURIBOR_6M_EOD</v>
          </cell>
          <cell r="C518">
            <v>43787</v>
          </cell>
          <cell r="E518">
            <v>1.15763395115662E-3</v>
          </cell>
        </row>
        <row r="519">
          <cell r="A519" t="str">
            <v>EUR_EURIBOR_6M_EOD</v>
          </cell>
          <cell r="C519">
            <v>44151</v>
          </cell>
          <cell r="E519">
            <v>2.5277284443191899E-3</v>
          </cell>
        </row>
        <row r="520">
          <cell r="A520" t="str">
            <v>EUR_EURIBOR_6M_EOD</v>
          </cell>
          <cell r="C520">
            <v>44516</v>
          </cell>
          <cell r="E520">
            <v>4.0071857432699099E-3</v>
          </cell>
        </row>
        <row r="521">
          <cell r="A521" t="str">
            <v>EUR_EURIBOR_6M_EOD</v>
          </cell>
          <cell r="C521">
            <v>44881</v>
          </cell>
          <cell r="E521">
            <v>5.5196608817982698E-3</v>
          </cell>
        </row>
        <row r="522">
          <cell r="A522" t="str">
            <v>EUR_EURIBOR_6M_EOD</v>
          </cell>
          <cell r="C522">
            <v>45246</v>
          </cell>
          <cell r="E522">
            <v>6.9934562534479201E-3</v>
          </cell>
        </row>
        <row r="523">
          <cell r="A523" t="str">
            <v>EUR_EURIBOR_6M_EOD</v>
          </cell>
          <cell r="C523">
            <v>45614</v>
          </cell>
          <cell r="E523">
            <v>8.3577130702650101E-3</v>
          </cell>
        </row>
        <row r="524">
          <cell r="A524" t="str">
            <v>EUR_EURIBOR_6M_EOD</v>
          </cell>
          <cell r="C524">
            <v>45978</v>
          </cell>
          <cell r="E524">
            <v>9.5677281763942405E-3</v>
          </cell>
        </row>
        <row r="525">
          <cell r="A525" t="str">
            <v>EUR_EURIBOR_6M_EOD</v>
          </cell>
          <cell r="C525">
            <v>46707</v>
          </cell>
          <cell r="E525">
            <v>1.1647878830930301E-2</v>
          </cell>
        </row>
        <row r="526">
          <cell r="A526" t="str">
            <v>EUR_EURIBOR_6M_EOD</v>
          </cell>
          <cell r="C526">
            <v>47805</v>
          </cell>
          <cell r="E526">
            <v>1.3891297435338099E-2</v>
          </cell>
        </row>
        <row r="527">
          <cell r="A527" t="str">
            <v>EUR_EURIBOR_6M_EOD</v>
          </cell>
          <cell r="C527">
            <v>49629</v>
          </cell>
          <cell r="E527">
            <v>1.58978978294156E-2</v>
          </cell>
        </row>
        <row r="528">
          <cell r="A528" t="str">
            <v>EUR_EURIBOR_6M_EOD</v>
          </cell>
          <cell r="C528">
            <v>51456</v>
          </cell>
          <cell r="E528">
            <v>1.6402182635309102E-2</v>
          </cell>
        </row>
        <row r="529">
          <cell r="A529" t="str">
            <v>EUR_EURIBOR_6M_EOD</v>
          </cell>
          <cell r="C529">
            <v>53282</v>
          </cell>
          <cell r="E529">
            <v>1.6543646647199001E-2</v>
          </cell>
        </row>
        <row r="530">
          <cell r="A530" t="str">
            <v>EUR_EURIBOR_6M_EOD</v>
          </cell>
          <cell r="C530">
            <v>56934</v>
          </cell>
          <cell r="E530">
            <v>1.65952636460499E-2</v>
          </cell>
        </row>
        <row r="531">
          <cell r="A531" t="str">
            <v>EUR_EURIBOR_6M_EOD</v>
          </cell>
          <cell r="C531">
            <v>60587</v>
          </cell>
          <cell r="E531">
            <v>1.5999173912342401E-2</v>
          </cell>
        </row>
        <row r="532">
          <cell r="A532" t="str">
            <v>EUR_EURIBOR_6M_EOD</v>
          </cell>
          <cell r="C532">
            <v>64241</v>
          </cell>
          <cell r="E532">
            <v>1.5518143389234801E-2</v>
          </cell>
        </row>
        <row r="533">
          <cell r="A533" t="str">
            <v>EUR_EURIBOR_EOD</v>
          </cell>
          <cell r="C533">
            <v>42321</v>
          </cell>
          <cell r="E533">
            <v>-1.32819686102285E-3</v>
          </cell>
        </row>
        <row r="534">
          <cell r="A534" t="str">
            <v>EUR_EURIBOR_EOD</v>
          </cell>
          <cell r="C534">
            <v>42324</v>
          </cell>
          <cell r="E534">
            <v>-1.3282004859252101E-3</v>
          </cell>
        </row>
        <row r="535">
          <cell r="A535" t="str">
            <v>EUR_EURIBOR_EOD</v>
          </cell>
          <cell r="C535">
            <v>42331</v>
          </cell>
          <cell r="E535">
            <v>-1.4701557700808499E-3</v>
          </cell>
        </row>
        <row r="536">
          <cell r="A536" t="str">
            <v>EUR_EURIBOR_EOD</v>
          </cell>
          <cell r="C536">
            <v>42354</v>
          </cell>
          <cell r="E536">
            <v>-1.3729944970184999E-3</v>
          </cell>
        </row>
        <row r="537">
          <cell r="A537" t="str">
            <v>EUR_EURIBOR_EOD</v>
          </cell>
          <cell r="C537">
            <v>42445</v>
          </cell>
          <cell r="E537">
            <v>-1.44612694853944E-3</v>
          </cell>
        </row>
        <row r="538">
          <cell r="A538" t="str">
            <v>EUR_EURIBOR_EOD</v>
          </cell>
          <cell r="C538">
            <v>42536</v>
          </cell>
          <cell r="E538">
            <v>-1.6341266112255501E-3</v>
          </cell>
        </row>
        <row r="539">
          <cell r="A539" t="str">
            <v>EUR_EURIBOR_EOD</v>
          </cell>
          <cell r="C539">
            <v>42634</v>
          </cell>
          <cell r="E539">
            <v>-1.78406139259856E-3</v>
          </cell>
        </row>
        <row r="540">
          <cell r="A540" t="str">
            <v>EUR_EURIBOR_EOD</v>
          </cell>
          <cell r="C540">
            <v>42725</v>
          </cell>
          <cell r="E540">
            <v>-1.86400992053749E-3</v>
          </cell>
        </row>
        <row r="541">
          <cell r="A541" t="str">
            <v>EUR_EURIBOR_EOD</v>
          </cell>
          <cell r="C541">
            <v>42809</v>
          </cell>
          <cell r="E541">
            <v>-1.89901913962269E-3</v>
          </cell>
        </row>
        <row r="542">
          <cell r="A542" t="str">
            <v>EUR_EURIBOR_EOD</v>
          </cell>
          <cell r="C542">
            <v>42907</v>
          </cell>
          <cell r="E542">
            <v>-1.89960712125524E-3</v>
          </cell>
        </row>
        <row r="543">
          <cell r="A543" t="str">
            <v>EUR_EURIBOR_EOD</v>
          </cell>
          <cell r="C543">
            <v>42998</v>
          </cell>
          <cell r="E543">
            <v>-1.8580650892488801E-3</v>
          </cell>
        </row>
        <row r="544">
          <cell r="A544" t="str">
            <v>EUR_EURIBOR_EOD</v>
          </cell>
          <cell r="C544">
            <v>43089</v>
          </cell>
          <cell r="E544">
            <v>-1.7779862040986599E-3</v>
          </cell>
        </row>
        <row r="545">
          <cell r="A545" t="str">
            <v>EUR_EURIBOR_EOD</v>
          </cell>
          <cell r="C545">
            <v>43180</v>
          </cell>
          <cell r="E545">
            <v>-1.6695696057007199E-3</v>
          </cell>
        </row>
        <row r="546">
          <cell r="A546" t="str">
            <v>EUR_EURIBOR_EOD</v>
          </cell>
          <cell r="C546">
            <v>43271</v>
          </cell>
          <cell r="E546">
            <v>-1.5292145852703E-3</v>
          </cell>
        </row>
        <row r="547">
          <cell r="A547" t="str">
            <v>EUR_EURIBOR_EOD</v>
          </cell>
          <cell r="C547">
            <v>43362</v>
          </cell>
          <cell r="E547">
            <v>-1.3569730855394499E-3</v>
          </cell>
        </row>
        <row r="548">
          <cell r="A548" t="str">
            <v>EUR_EURIBOR_EOD</v>
          </cell>
          <cell r="C548">
            <v>43453</v>
          </cell>
          <cell r="E548">
            <v>-1.1527212399884499E-3</v>
          </cell>
        </row>
        <row r="549">
          <cell r="A549" t="str">
            <v>EUR_EURIBOR_EOD</v>
          </cell>
          <cell r="C549">
            <v>43787</v>
          </cell>
          <cell r="E549">
            <v>1.16119870934509E-3</v>
          </cell>
        </row>
        <row r="550">
          <cell r="A550" t="str">
            <v>EUR_EURIBOR_EOD</v>
          </cell>
          <cell r="C550">
            <v>44151</v>
          </cell>
          <cell r="E550">
            <v>2.53980981514218E-3</v>
          </cell>
        </row>
        <row r="551">
          <cell r="A551" t="str">
            <v>EUR_EURIBOR_EOD</v>
          </cell>
          <cell r="C551">
            <v>44516</v>
          </cell>
          <cell r="E551">
            <v>4.0274179244283604E-3</v>
          </cell>
        </row>
        <row r="552">
          <cell r="A552" t="str">
            <v>EUR_EURIBOR_EOD</v>
          </cell>
          <cell r="C552">
            <v>44881</v>
          </cell>
          <cell r="E552">
            <v>5.5479821753127902E-3</v>
          </cell>
        </row>
        <row r="553">
          <cell r="A553" t="str">
            <v>EUR_EURIBOR_EOD</v>
          </cell>
          <cell r="C553">
            <v>45246</v>
          </cell>
          <cell r="E553">
            <v>7.02981773191936E-3</v>
          </cell>
        </row>
        <row r="554">
          <cell r="A554" t="str">
            <v>EUR_EURIBOR_EOD</v>
          </cell>
          <cell r="C554">
            <v>45614</v>
          </cell>
          <cell r="E554">
            <v>8.4013854907783302E-3</v>
          </cell>
        </row>
        <row r="555">
          <cell r="A555" t="str">
            <v>EUR_EURIBOR_EOD</v>
          </cell>
          <cell r="C555">
            <v>45978</v>
          </cell>
          <cell r="E555">
            <v>9.6181467607178005E-3</v>
          </cell>
        </row>
        <row r="556">
          <cell r="A556" t="str">
            <v>EUR_EURIBOR_EOD</v>
          </cell>
          <cell r="C556">
            <v>46707</v>
          </cell>
          <cell r="E556">
            <v>1.17079327542178E-2</v>
          </cell>
        </row>
        <row r="557">
          <cell r="A557" t="str">
            <v>EUR_EURIBOR_EOD</v>
          </cell>
          <cell r="C557">
            <v>47805</v>
          </cell>
          <cell r="E557">
            <v>1.39601183026643E-2</v>
          </cell>
        </row>
        <row r="558">
          <cell r="A558" t="str">
            <v>EUR_EURIBOR_EOD</v>
          </cell>
          <cell r="C558">
            <v>49629</v>
          </cell>
          <cell r="E558">
            <v>1.5968083761212198E-2</v>
          </cell>
        </row>
        <row r="559">
          <cell r="A559" t="str">
            <v>EUR_EURIBOR_EOD</v>
          </cell>
          <cell r="C559">
            <v>51456</v>
          </cell>
          <cell r="E559">
            <v>1.64634053410075E-2</v>
          </cell>
        </row>
        <row r="560">
          <cell r="A560" t="str">
            <v>EUR_EURIBOR_EOD</v>
          </cell>
          <cell r="C560">
            <v>53282</v>
          </cell>
          <cell r="E560">
            <v>1.6596531071438402E-2</v>
          </cell>
        </row>
        <row r="561">
          <cell r="A561" t="str">
            <v>EUR_EURIBOR_EOD</v>
          </cell>
          <cell r="C561">
            <v>56934</v>
          </cell>
          <cell r="E561">
            <v>1.66360221932144E-2</v>
          </cell>
        </row>
        <row r="562">
          <cell r="A562" t="str">
            <v>EUR_EURIBOR_EOD</v>
          </cell>
          <cell r="C562">
            <v>60587</v>
          </cell>
          <cell r="E562">
            <v>1.60296284198835E-2</v>
          </cell>
        </row>
        <row r="563">
          <cell r="A563" t="str">
            <v>EUR_EURIBOR_EOD</v>
          </cell>
          <cell r="C563">
            <v>64241</v>
          </cell>
          <cell r="E563">
            <v>1.55399179196205E-2</v>
          </cell>
        </row>
        <row r="564">
          <cell r="A564" t="str">
            <v>GBP_LIBOR_12M_EOD</v>
          </cell>
          <cell r="C564">
            <v>42688</v>
          </cell>
          <cell r="E564">
            <v>1.0385437821150799E-2</v>
          </cell>
        </row>
        <row r="565">
          <cell r="A565" t="str">
            <v>GBP_LIBOR_12M_EOD</v>
          </cell>
          <cell r="C565">
            <v>42716</v>
          </cell>
          <cell r="E565">
            <v>1.09257475173218E-2</v>
          </cell>
        </row>
        <row r="566">
          <cell r="A566" t="str">
            <v>GBP_LIBOR_12M_EOD</v>
          </cell>
          <cell r="C566">
            <v>42747</v>
          </cell>
          <cell r="E566">
            <v>1.1157260992933699E-2</v>
          </cell>
        </row>
        <row r="567">
          <cell r="A567" t="str">
            <v>GBP_LIBOR_12M_EOD</v>
          </cell>
          <cell r="C567">
            <v>42779</v>
          </cell>
          <cell r="E567">
            <v>1.13819165071182E-2</v>
          </cell>
        </row>
        <row r="568">
          <cell r="A568" t="str">
            <v>GBP_LIBOR_12M_EOD</v>
          </cell>
          <cell r="C568">
            <v>42807</v>
          </cell>
          <cell r="E568">
            <v>1.15322374099726E-2</v>
          </cell>
        </row>
        <row r="569">
          <cell r="A569" t="str">
            <v>GBP_LIBOR_12M_EOD</v>
          </cell>
          <cell r="C569">
            <v>42837</v>
          </cell>
          <cell r="E569">
            <v>1.1753878501372401E-2</v>
          </cell>
        </row>
        <row r="570">
          <cell r="A570" t="str">
            <v>GBP_LIBOR_12M_EOD</v>
          </cell>
          <cell r="C570">
            <v>42867</v>
          </cell>
          <cell r="E570">
            <v>1.1843582361639E-2</v>
          </cell>
        </row>
        <row r="571">
          <cell r="A571" t="str">
            <v>GBP_LIBOR_12M_EOD</v>
          </cell>
          <cell r="C571">
            <v>42961</v>
          </cell>
          <cell r="E571">
            <v>1.23425746720267E-2</v>
          </cell>
        </row>
        <row r="572">
          <cell r="A572" t="str">
            <v>GBP_LIBOR_12M_EOD</v>
          </cell>
          <cell r="C572">
            <v>43052</v>
          </cell>
          <cell r="E572">
            <v>1.2274874233945099E-2</v>
          </cell>
        </row>
        <row r="573">
          <cell r="A573" t="str">
            <v>GBP_LIBOR_12M_EOD</v>
          </cell>
          <cell r="C573">
            <v>43416</v>
          </cell>
          <cell r="E573">
            <v>1.41691465894874E-2</v>
          </cell>
        </row>
        <row r="574">
          <cell r="A574" t="str">
            <v>GBP_LIBOR_12M_EOD</v>
          </cell>
          <cell r="C574">
            <v>43781</v>
          </cell>
          <cell r="E574">
            <v>1.5773364050020999E-2</v>
          </cell>
        </row>
        <row r="575">
          <cell r="A575" t="str">
            <v>GBP_LIBOR_12M_EOD</v>
          </cell>
          <cell r="C575">
            <v>44147</v>
          </cell>
          <cell r="E575">
            <v>1.7144002009818901E-2</v>
          </cell>
        </row>
        <row r="576">
          <cell r="A576" t="str">
            <v>GBP_LIBOR_12M_EOD</v>
          </cell>
          <cell r="C576">
            <v>44512</v>
          </cell>
          <cell r="E576">
            <v>1.83004458785469E-2</v>
          </cell>
        </row>
        <row r="577">
          <cell r="A577" t="str">
            <v>GBP_LIBOR_12M_EOD</v>
          </cell>
          <cell r="C577">
            <v>44879</v>
          </cell>
          <cell r="E577">
            <v>1.9274444942109701E-2</v>
          </cell>
        </row>
        <row r="578">
          <cell r="A578" t="str">
            <v>GBP_LIBOR_12M_EOD</v>
          </cell>
          <cell r="C578">
            <v>45243</v>
          </cell>
          <cell r="E578">
            <v>2.0050406541149601E-2</v>
          </cell>
        </row>
        <row r="579">
          <cell r="A579" t="str">
            <v>GBP_LIBOR_12M_EOD</v>
          </cell>
          <cell r="C579">
            <v>45608</v>
          </cell>
          <cell r="E579">
            <v>2.0683807023317E-2</v>
          </cell>
        </row>
        <row r="580">
          <cell r="A580" t="str">
            <v>GBP_LIBOR_12M_EOD</v>
          </cell>
          <cell r="C580">
            <v>45973</v>
          </cell>
          <cell r="E580">
            <v>2.12320332456205E-2</v>
          </cell>
        </row>
        <row r="581">
          <cell r="A581" t="str">
            <v>GBP_LIBOR_12M_EOD</v>
          </cell>
          <cell r="C581">
            <v>46703</v>
          </cell>
          <cell r="E581">
            <v>2.2035509747702599E-2</v>
          </cell>
        </row>
        <row r="582">
          <cell r="A582" t="str">
            <v>GBP_LIBOR_12M_EOD</v>
          </cell>
          <cell r="C582">
            <v>47799</v>
          </cell>
          <cell r="E582">
            <v>2.2773849362192601E-2</v>
          </cell>
        </row>
        <row r="583">
          <cell r="A583" t="str">
            <v>GBP_LIBOR_12M_EOD</v>
          </cell>
          <cell r="C583">
            <v>49625</v>
          </cell>
          <cell r="E583">
            <v>2.3101291360312901E-2</v>
          </cell>
        </row>
        <row r="584">
          <cell r="A584" t="str">
            <v>GBP_LIBOR_12M_EOD</v>
          </cell>
          <cell r="C584">
            <v>51452</v>
          </cell>
          <cell r="E584">
            <v>2.26378818903911E-2</v>
          </cell>
        </row>
        <row r="585">
          <cell r="A585" t="str">
            <v>GBP_LIBOR_12M_EOD</v>
          </cell>
          <cell r="C585">
            <v>53279</v>
          </cell>
          <cell r="E585">
            <v>2.2214377681326399E-2</v>
          </cell>
        </row>
        <row r="586">
          <cell r="A586" t="str">
            <v>GBP_LIBOR_12M_EOD</v>
          </cell>
          <cell r="C586">
            <v>56930</v>
          </cell>
          <cell r="E586">
            <v>2.13125939616725E-2</v>
          </cell>
        </row>
        <row r="587">
          <cell r="A587" t="str">
            <v>GBP_LIBOR_12M_EOD</v>
          </cell>
          <cell r="C587">
            <v>60583</v>
          </cell>
          <cell r="E587">
            <v>2.0452519125738099E-2</v>
          </cell>
        </row>
        <row r="588">
          <cell r="A588" t="str">
            <v>GBP_LIBOR_12M_EOD</v>
          </cell>
          <cell r="C588">
            <v>64235</v>
          </cell>
          <cell r="E588">
            <v>2.0387181174979899E-2</v>
          </cell>
        </row>
        <row r="589">
          <cell r="A589" t="str">
            <v>GBP_LIBOR_1M_EOD</v>
          </cell>
          <cell r="C589">
            <v>42352</v>
          </cell>
          <cell r="E589">
            <v>5.0994599071957497E-3</v>
          </cell>
        </row>
        <row r="590">
          <cell r="A590" t="str">
            <v>GBP_LIBOR_1M_EOD</v>
          </cell>
          <cell r="C590">
            <v>42381</v>
          </cell>
          <cell r="E590">
            <v>5.0750883560478502E-3</v>
          </cell>
        </row>
        <row r="591">
          <cell r="A591" t="str">
            <v>GBP_LIBOR_1M_EOD</v>
          </cell>
          <cell r="C591">
            <v>42412</v>
          </cell>
          <cell r="E591">
            <v>5.1075180329826896E-3</v>
          </cell>
        </row>
        <row r="592">
          <cell r="A592" t="str">
            <v>GBP_LIBOR_1M_EOD</v>
          </cell>
          <cell r="C592">
            <v>42502</v>
          </cell>
          <cell r="E592">
            <v>5.3188481300918697E-3</v>
          </cell>
        </row>
        <row r="593">
          <cell r="A593" t="str">
            <v>GBP_LIBOR_1M_EOD</v>
          </cell>
          <cell r="C593">
            <v>42594</v>
          </cell>
          <cell r="E593">
            <v>5.6503318803059E-3</v>
          </cell>
        </row>
        <row r="594">
          <cell r="A594" t="str">
            <v>GBP_LIBOR_1M_EOD</v>
          </cell>
          <cell r="C594">
            <v>42688</v>
          </cell>
          <cell r="E594">
            <v>6.0619409388079498E-3</v>
          </cell>
        </row>
        <row r="595">
          <cell r="A595" t="str">
            <v>GBP_LIBOR_1M_EOD</v>
          </cell>
          <cell r="C595">
            <v>43052</v>
          </cell>
          <cell r="E595">
            <v>8.2500871183400892E-3</v>
          </cell>
        </row>
        <row r="596">
          <cell r="A596" t="str">
            <v>GBP_LIBOR_1M_EOD</v>
          </cell>
          <cell r="C596">
            <v>43416</v>
          </cell>
          <cell r="E596">
            <v>1.0339529663645399E-2</v>
          </cell>
        </row>
        <row r="597">
          <cell r="A597" t="str">
            <v>GBP_LIBOR_1M_EOD</v>
          </cell>
          <cell r="C597">
            <v>43781</v>
          </cell>
          <cell r="E597">
            <v>1.20888585579108E-2</v>
          </cell>
        </row>
        <row r="598">
          <cell r="A598" t="str">
            <v>GBP_LIBOR_1M_EOD</v>
          </cell>
          <cell r="C598">
            <v>44147</v>
          </cell>
          <cell r="E598">
            <v>1.35395147140996E-2</v>
          </cell>
        </row>
        <row r="599">
          <cell r="A599" t="str">
            <v>GBP_LIBOR_1M_EOD</v>
          </cell>
          <cell r="C599">
            <v>44512</v>
          </cell>
          <cell r="E599">
            <v>1.48144211231113E-2</v>
          </cell>
        </row>
        <row r="600">
          <cell r="A600" t="str">
            <v>GBP_LIBOR_1M_EOD</v>
          </cell>
          <cell r="C600">
            <v>44879</v>
          </cell>
          <cell r="E600">
            <v>1.5894074379576701E-2</v>
          </cell>
        </row>
        <row r="601">
          <cell r="A601" t="str">
            <v>GBP_LIBOR_1M_EOD</v>
          </cell>
          <cell r="C601">
            <v>45243</v>
          </cell>
          <cell r="E601">
            <v>1.6788911705462199E-2</v>
          </cell>
        </row>
        <row r="602">
          <cell r="A602" t="str">
            <v>GBP_LIBOR_1M_EOD</v>
          </cell>
          <cell r="C602">
            <v>45608</v>
          </cell>
          <cell r="E602">
            <v>1.75286097333603E-2</v>
          </cell>
        </row>
        <row r="603">
          <cell r="A603" t="str">
            <v>GBP_LIBOR_1M_EOD</v>
          </cell>
          <cell r="C603">
            <v>45973</v>
          </cell>
          <cell r="E603">
            <v>1.8170222043246202E-2</v>
          </cell>
        </row>
        <row r="604">
          <cell r="A604" t="str">
            <v>GBP_LIBOR_1M_EOD</v>
          </cell>
          <cell r="C604">
            <v>46703</v>
          </cell>
          <cell r="E604">
            <v>1.9243211771403899E-2</v>
          </cell>
        </row>
        <row r="605">
          <cell r="A605" t="str">
            <v>GBP_LIBOR_1M_EOD</v>
          </cell>
          <cell r="C605">
            <v>47799</v>
          </cell>
          <cell r="E605">
            <v>2.03681583863079E-2</v>
          </cell>
        </row>
        <row r="606">
          <cell r="A606" t="str">
            <v>GBP_LIBOR_1M_EOD</v>
          </cell>
          <cell r="C606">
            <v>49625</v>
          </cell>
          <cell r="E606">
            <v>2.0949804866712499E-2</v>
          </cell>
        </row>
        <row r="607">
          <cell r="A607" t="str">
            <v>GBP_LIBOR_1M_EOD</v>
          </cell>
          <cell r="C607">
            <v>51452</v>
          </cell>
          <cell r="E607">
            <v>2.0835193380407999E-2</v>
          </cell>
        </row>
        <row r="608">
          <cell r="A608" t="str">
            <v>GBP_LIBOR_1M_EOD</v>
          </cell>
          <cell r="C608">
            <v>53279</v>
          </cell>
          <cell r="E608">
            <v>2.0627481317957101E-2</v>
          </cell>
        </row>
        <row r="609">
          <cell r="A609" t="str">
            <v>GBP_LIBOR_1M_EOD</v>
          </cell>
          <cell r="C609">
            <v>56930</v>
          </cell>
          <cell r="E609">
            <v>1.9844830102936101E-2</v>
          </cell>
        </row>
        <row r="610">
          <cell r="A610" t="str">
            <v>GBP_LIBOR_1M_EOD</v>
          </cell>
          <cell r="C610">
            <v>60583</v>
          </cell>
          <cell r="E610">
            <v>1.92230199309954E-2</v>
          </cell>
        </row>
        <row r="611">
          <cell r="A611" t="str">
            <v>GBP_LIBOR_1M_EOD</v>
          </cell>
          <cell r="C611">
            <v>64235</v>
          </cell>
          <cell r="E611">
            <v>1.9196440264511099E-2</v>
          </cell>
        </row>
        <row r="612">
          <cell r="A612" t="str">
            <v>GBP_LIBOR_3M_EOD</v>
          </cell>
          <cell r="C612">
            <v>42412</v>
          </cell>
          <cell r="E612">
            <v>5.7458372407918797E-3</v>
          </cell>
        </row>
        <row r="613">
          <cell r="A613" t="str">
            <v>GBP_LIBOR_3M_EOD</v>
          </cell>
          <cell r="C613">
            <v>42445</v>
          </cell>
          <cell r="E613">
            <v>5.78076391828658E-3</v>
          </cell>
        </row>
        <row r="614">
          <cell r="A614" t="str">
            <v>GBP_LIBOR_3M_EOD</v>
          </cell>
          <cell r="C614">
            <v>42536</v>
          </cell>
          <cell r="E614">
            <v>6.0352666664460599E-3</v>
          </cell>
        </row>
        <row r="615">
          <cell r="A615" t="str">
            <v>GBP_LIBOR_3M_EOD</v>
          </cell>
          <cell r="C615">
            <v>42634</v>
          </cell>
          <cell r="E615">
            <v>6.4518846905865703E-3</v>
          </cell>
        </row>
        <row r="616">
          <cell r="A616" t="str">
            <v>GBP_LIBOR_3M_EOD</v>
          </cell>
          <cell r="C616">
            <v>42725</v>
          </cell>
          <cell r="E616">
            <v>6.90131319671287E-3</v>
          </cell>
        </row>
        <row r="617">
          <cell r="A617" t="str">
            <v>GBP_LIBOR_3M_EOD</v>
          </cell>
          <cell r="C617">
            <v>42809</v>
          </cell>
          <cell r="E617">
            <v>7.3874520969204396E-3</v>
          </cell>
        </row>
        <row r="618">
          <cell r="A618" t="str">
            <v>GBP_LIBOR_3M_EOD</v>
          </cell>
          <cell r="C618">
            <v>42907</v>
          </cell>
          <cell r="E618">
            <v>7.9995125098784401E-3</v>
          </cell>
        </row>
        <row r="619">
          <cell r="A619" t="str">
            <v>GBP_LIBOR_3M_EOD</v>
          </cell>
          <cell r="C619">
            <v>42998</v>
          </cell>
          <cell r="E619">
            <v>8.5797824969448908E-3</v>
          </cell>
        </row>
        <row r="620">
          <cell r="A620" t="str">
            <v>GBP_LIBOR_3M_EOD</v>
          </cell>
          <cell r="C620">
            <v>43089</v>
          </cell>
          <cell r="E620">
            <v>9.1488398240427808E-3</v>
          </cell>
        </row>
        <row r="621">
          <cell r="A621" t="str">
            <v>GBP_LIBOR_3M_EOD</v>
          </cell>
          <cell r="C621">
            <v>43416</v>
          </cell>
          <cell r="E621">
            <v>1.1047394919655701E-2</v>
          </cell>
        </row>
        <row r="622">
          <cell r="A622" t="str">
            <v>GBP_LIBOR_3M_EOD</v>
          </cell>
          <cell r="C622">
            <v>43781</v>
          </cell>
          <cell r="E622">
            <v>1.28075033071781E-2</v>
          </cell>
        </row>
        <row r="623">
          <cell r="A623" t="str">
            <v>GBP_LIBOR_3M_EOD</v>
          </cell>
          <cell r="C623">
            <v>44147</v>
          </cell>
          <cell r="E623">
            <v>1.4258286568848E-2</v>
          </cell>
        </row>
        <row r="624">
          <cell r="A624" t="str">
            <v>GBP_LIBOR_3M_EOD</v>
          </cell>
          <cell r="C624">
            <v>44512</v>
          </cell>
          <cell r="E624">
            <v>1.5502051861560701E-2</v>
          </cell>
        </row>
        <row r="625">
          <cell r="A625" t="str">
            <v>GBP_LIBOR_3M_EOD</v>
          </cell>
          <cell r="C625">
            <v>44879</v>
          </cell>
          <cell r="E625">
            <v>1.6549832511566501E-2</v>
          </cell>
        </row>
        <row r="626">
          <cell r="A626" t="str">
            <v>GBP_LIBOR_3M_EOD</v>
          </cell>
          <cell r="C626">
            <v>45243</v>
          </cell>
          <cell r="E626">
            <v>1.7413050470169299E-2</v>
          </cell>
        </row>
        <row r="627">
          <cell r="A627" t="str">
            <v>GBP_LIBOR_3M_EOD</v>
          </cell>
          <cell r="C627">
            <v>45608</v>
          </cell>
          <cell r="E627">
            <v>1.8141834954767899E-2</v>
          </cell>
        </row>
        <row r="628">
          <cell r="A628" t="str">
            <v>GBP_LIBOR_3M_EOD</v>
          </cell>
          <cell r="C628">
            <v>45973</v>
          </cell>
          <cell r="E628">
            <v>1.8783682467046502E-2</v>
          </cell>
        </row>
        <row r="629">
          <cell r="A629" t="str">
            <v>GBP_LIBOR_3M_EOD</v>
          </cell>
          <cell r="C629">
            <v>46703</v>
          </cell>
          <cell r="E629">
            <v>1.9843740663208199E-2</v>
          </cell>
        </row>
        <row r="630">
          <cell r="A630" t="str">
            <v>GBP_LIBOR_3M_EOD</v>
          </cell>
          <cell r="C630">
            <v>47799</v>
          </cell>
          <cell r="E630">
            <v>2.09056700344038E-2</v>
          </cell>
        </row>
        <row r="631">
          <cell r="A631" t="str">
            <v>GBP_LIBOR_3M_EOD</v>
          </cell>
          <cell r="C631">
            <v>49625</v>
          </cell>
          <cell r="E631">
            <v>2.1512107128916099E-2</v>
          </cell>
        </row>
        <row r="632">
          <cell r="A632" t="str">
            <v>GBP_LIBOR_3M_EOD</v>
          </cell>
          <cell r="C632">
            <v>51452</v>
          </cell>
          <cell r="E632">
            <v>2.1355193362885799E-2</v>
          </cell>
        </row>
        <row r="633">
          <cell r="A633" t="str">
            <v>GBP_LIBOR_3M_EOD</v>
          </cell>
          <cell r="C633">
            <v>53279</v>
          </cell>
          <cell r="E633">
            <v>2.1097427787484399E-2</v>
          </cell>
        </row>
        <row r="634">
          <cell r="A634" t="str">
            <v>GBP_LIBOR_3M_EOD</v>
          </cell>
          <cell r="C634">
            <v>56930</v>
          </cell>
          <cell r="E634">
            <v>2.0252173502215198E-2</v>
          </cell>
        </row>
        <row r="635">
          <cell r="A635" t="str">
            <v>GBP_LIBOR_3M_EOD</v>
          </cell>
          <cell r="C635">
            <v>60583</v>
          </cell>
          <cell r="E635">
            <v>1.9694870674707099E-2</v>
          </cell>
        </row>
        <row r="636">
          <cell r="A636" t="str">
            <v>GBP_LIBOR_3M_EOD</v>
          </cell>
          <cell r="C636">
            <v>64235</v>
          </cell>
          <cell r="E636">
            <v>1.9732893951101699E-2</v>
          </cell>
        </row>
        <row r="637">
          <cell r="A637" t="str">
            <v>GBP_LIBOR_6M_EOD</v>
          </cell>
          <cell r="C637">
            <v>42502</v>
          </cell>
          <cell r="E637">
            <v>7.3926578275692696E-3</v>
          </cell>
        </row>
        <row r="638">
          <cell r="A638" t="str">
            <v>GBP_LIBOR_6M_EOD</v>
          </cell>
          <cell r="C638">
            <v>42688</v>
          </cell>
          <cell r="E638">
            <v>8.0512632674335505E-3</v>
          </cell>
        </row>
        <row r="639">
          <cell r="A639" t="str">
            <v>GBP_LIBOR_6M_EOD</v>
          </cell>
          <cell r="C639">
            <v>42867</v>
          </cell>
          <cell r="E639">
            <v>9.0398347286986102E-3</v>
          </cell>
        </row>
        <row r="640">
          <cell r="A640" t="str">
            <v>GBP_LIBOR_6M_EOD</v>
          </cell>
          <cell r="C640">
            <v>43052</v>
          </cell>
          <cell r="E640">
            <v>1.01734425884861E-2</v>
          </cell>
        </row>
        <row r="641">
          <cell r="A641" t="str">
            <v>GBP_LIBOR_6M_EOD</v>
          </cell>
          <cell r="C641">
            <v>43416</v>
          </cell>
          <cell r="E641">
            <v>1.2261643636814101E-2</v>
          </cell>
        </row>
        <row r="642">
          <cell r="A642" t="str">
            <v>GBP_LIBOR_6M_EOD</v>
          </cell>
          <cell r="C642">
            <v>43781</v>
          </cell>
          <cell r="E642">
            <v>1.40207793997191E-2</v>
          </cell>
        </row>
        <row r="643">
          <cell r="A643" t="str">
            <v>GBP_LIBOR_6M_EOD</v>
          </cell>
          <cell r="C643">
            <v>44147</v>
          </cell>
          <cell r="E643">
            <v>1.54829573575448E-2</v>
          </cell>
        </row>
        <row r="644">
          <cell r="A644" t="str">
            <v>GBP_LIBOR_6M_EOD</v>
          </cell>
          <cell r="C644">
            <v>44512</v>
          </cell>
          <cell r="E644">
            <v>1.67178750850762E-2</v>
          </cell>
        </row>
        <row r="645">
          <cell r="A645" t="str">
            <v>GBP_LIBOR_6M_EOD</v>
          </cell>
          <cell r="C645">
            <v>44879</v>
          </cell>
          <cell r="E645">
            <v>1.77444684087434E-2</v>
          </cell>
        </row>
        <row r="646">
          <cell r="A646" t="str">
            <v>GBP_LIBOR_6M_EOD</v>
          </cell>
          <cell r="C646">
            <v>45243</v>
          </cell>
          <cell r="E646">
            <v>1.8585568798107601E-2</v>
          </cell>
        </row>
        <row r="647">
          <cell r="A647" t="str">
            <v>GBP_LIBOR_6M_EOD</v>
          </cell>
          <cell r="C647">
            <v>45608</v>
          </cell>
          <cell r="E647">
            <v>1.92850498251242E-2</v>
          </cell>
        </row>
        <row r="648">
          <cell r="A648" t="str">
            <v>GBP_LIBOR_6M_EOD</v>
          </cell>
          <cell r="C648">
            <v>45973</v>
          </cell>
          <cell r="E648">
            <v>1.9886258713572601E-2</v>
          </cell>
        </row>
        <row r="649">
          <cell r="A649" t="str">
            <v>GBP_LIBOR_6M_EOD</v>
          </cell>
          <cell r="C649">
            <v>46703</v>
          </cell>
          <cell r="E649">
            <v>2.0837083055894001E-2</v>
          </cell>
        </row>
        <row r="650">
          <cell r="A650" t="str">
            <v>GBP_LIBOR_6M_EOD</v>
          </cell>
          <cell r="C650">
            <v>47799</v>
          </cell>
          <cell r="E650">
            <v>2.1738415566447199E-2</v>
          </cell>
        </row>
        <row r="651">
          <cell r="A651" t="str">
            <v>GBP_LIBOR_6M_EOD</v>
          </cell>
          <cell r="C651">
            <v>49625</v>
          </cell>
          <cell r="E651">
            <v>2.2155888214836099E-2</v>
          </cell>
        </row>
        <row r="652">
          <cell r="A652" t="str">
            <v>GBP_LIBOR_6M_EOD</v>
          </cell>
          <cell r="C652">
            <v>51452</v>
          </cell>
          <cell r="E652">
            <v>2.1882769991087399E-2</v>
          </cell>
        </row>
        <row r="653">
          <cell r="A653" t="str">
            <v>GBP_LIBOR_6M_EOD</v>
          </cell>
          <cell r="C653">
            <v>53279</v>
          </cell>
          <cell r="E653">
            <v>2.1542135153142801E-2</v>
          </cell>
        </row>
        <row r="654">
          <cell r="A654" t="str">
            <v>GBP_LIBOR_6M_EOD</v>
          </cell>
          <cell r="C654">
            <v>56930</v>
          </cell>
          <cell r="E654">
            <v>2.0615132785961401E-2</v>
          </cell>
        </row>
        <row r="655">
          <cell r="A655" t="str">
            <v>GBP_LIBOR_6M_EOD</v>
          </cell>
          <cell r="C655">
            <v>60583</v>
          </cell>
          <cell r="E655">
            <v>2.0001585543271898E-2</v>
          </cell>
        </row>
        <row r="656">
          <cell r="A656" t="str">
            <v>GBP_LIBOR_6M_EOD</v>
          </cell>
          <cell r="C656">
            <v>64235</v>
          </cell>
          <cell r="E656">
            <v>1.9994010104097501E-2</v>
          </cell>
        </row>
        <row r="657">
          <cell r="A657" t="str">
            <v>GBP_LIBOR_EOD</v>
          </cell>
          <cell r="C657">
            <v>42321</v>
          </cell>
          <cell r="E657">
            <v>4.82496810900557E-3</v>
          </cell>
        </row>
        <row r="658">
          <cell r="A658" t="str">
            <v>GBP_LIBOR_EOD</v>
          </cell>
          <cell r="C658">
            <v>42327</v>
          </cell>
          <cell r="E658">
            <v>4.8622732917089498E-3</v>
          </cell>
        </row>
        <row r="659">
          <cell r="A659" t="str">
            <v>GBP_LIBOR_EOD</v>
          </cell>
          <cell r="C659">
            <v>42352</v>
          </cell>
          <cell r="E659">
            <v>5.0994599071957098E-3</v>
          </cell>
        </row>
        <row r="660">
          <cell r="A660" t="str">
            <v>GBP_LIBOR_EOD</v>
          </cell>
          <cell r="C660">
            <v>42445</v>
          </cell>
          <cell r="E660">
            <v>5.6079235223286299E-3</v>
          </cell>
        </row>
        <row r="661">
          <cell r="A661" t="str">
            <v>GBP_LIBOR_EOD</v>
          </cell>
          <cell r="C661">
            <v>42536</v>
          </cell>
          <cell r="E661">
            <v>5.9352432891555803E-3</v>
          </cell>
        </row>
        <row r="662">
          <cell r="A662" t="str">
            <v>GBP_LIBOR_EOD</v>
          </cell>
          <cell r="C662">
            <v>42634</v>
          </cell>
          <cell r="E662">
            <v>6.3830788004761302E-3</v>
          </cell>
        </row>
        <row r="663">
          <cell r="A663" t="str">
            <v>GBP_LIBOR_EOD</v>
          </cell>
          <cell r="C663">
            <v>42725</v>
          </cell>
          <cell r="E663">
            <v>6.8479673954913601E-3</v>
          </cell>
        </row>
        <row r="664">
          <cell r="A664" t="str">
            <v>GBP_LIBOR_EOD</v>
          </cell>
          <cell r="C664">
            <v>42809</v>
          </cell>
          <cell r="E664">
            <v>7.34326999161401E-3</v>
          </cell>
        </row>
        <row r="665">
          <cell r="A665" t="str">
            <v>GBP_LIBOR_EOD</v>
          </cell>
          <cell r="C665">
            <v>42907</v>
          </cell>
          <cell r="E665">
            <v>7.9627066333968106E-3</v>
          </cell>
        </row>
        <row r="666">
          <cell r="A666" t="str">
            <v>GBP_LIBOR_EOD</v>
          </cell>
          <cell r="C666">
            <v>42998</v>
          </cell>
          <cell r="E666">
            <v>8.5479166422328008E-3</v>
          </cell>
        </row>
        <row r="667">
          <cell r="A667" t="str">
            <v>GBP_LIBOR_EOD</v>
          </cell>
          <cell r="C667">
            <v>43089</v>
          </cell>
          <cell r="E667">
            <v>9.1207448312017898E-3</v>
          </cell>
        </row>
        <row r="668">
          <cell r="A668" t="str">
            <v>GBP_LIBOR_EOD</v>
          </cell>
          <cell r="C668">
            <v>43416</v>
          </cell>
          <cell r="E668">
            <v>1.22924815281158E-2</v>
          </cell>
        </row>
        <row r="669">
          <cell r="A669" t="str">
            <v>GBP_LIBOR_EOD</v>
          </cell>
          <cell r="C669">
            <v>43781</v>
          </cell>
          <cell r="E669">
            <v>1.4054721375805299E-2</v>
          </cell>
        </row>
        <row r="670">
          <cell r="A670" t="str">
            <v>GBP_LIBOR_EOD</v>
          </cell>
          <cell r="C670">
            <v>44147</v>
          </cell>
          <cell r="E670">
            <v>1.55218282257385E-2</v>
          </cell>
        </row>
        <row r="671">
          <cell r="A671" t="str">
            <v>GBP_LIBOR_EOD</v>
          </cell>
          <cell r="C671">
            <v>44512</v>
          </cell>
          <cell r="E671">
            <v>1.6762310037636601E-2</v>
          </cell>
        </row>
        <row r="672">
          <cell r="A672" t="str">
            <v>GBP_LIBOR_EOD</v>
          </cell>
          <cell r="C672">
            <v>44879</v>
          </cell>
          <cell r="E672">
            <v>1.7794136549117202E-2</v>
          </cell>
        </row>
        <row r="673">
          <cell r="A673" t="str">
            <v>GBP_LIBOR_EOD</v>
          </cell>
          <cell r="C673">
            <v>45243</v>
          </cell>
          <cell r="E673">
            <v>1.8640390389706201E-2</v>
          </cell>
        </row>
        <row r="674">
          <cell r="A674" t="str">
            <v>GBP_LIBOR_EOD</v>
          </cell>
          <cell r="C674">
            <v>45608</v>
          </cell>
          <cell r="E674">
            <v>1.93435102220814E-2</v>
          </cell>
        </row>
        <row r="675">
          <cell r="A675" t="str">
            <v>GBP_LIBOR_EOD</v>
          </cell>
          <cell r="C675">
            <v>45973</v>
          </cell>
          <cell r="E675">
            <v>1.9948109666849401E-2</v>
          </cell>
        </row>
        <row r="676">
          <cell r="A676" t="str">
            <v>GBP_LIBOR_EOD</v>
          </cell>
          <cell r="C676">
            <v>46703</v>
          </cell>
          <cell r="E676">
            <v>2.0903698851548299E-2</v>
          </cell>
        </row>
        <row r="677">
          <cell r="A677" t="str">
            <v>GBP_LIBOR_EOD</v>
          </cell>
          <cell r="C677">
            <v>47799</v>
          </cell>
          <cell r="E677">
            <v>2.18066525567043E-2</v>
          </cell>
        </row>
        <row r="678">
          <cell r="A678" t="str">
            <v>GBP_LIBOR_EOD</v>
          </cell>
          <cell r="C678">
            <v>49625</v>
          </cell>
          <cell r="E678">
            <v>2.22148216262569E-2</v>
          </cell>
        </row>
        <row r="679">
          <cell r="A679" t="str">
            <v>GBP_LIBOR_EOD</v>
          </cell>
          <cell r="C679">
            <v>51452</v>
          </cell>
          <cell r="E679">
            <v>2.1926235655820501E-2</v>
          </cell>
        </row>
        <row r="680">
          <cell r="A680" t="str">
            <v>GBP_LIBOR_EOD</v>
          </cell>
          <cell r="C680">
            <v>53279</v>
          </cell>
          <cell r="E680">
            <v>2.1572574370915299E-2</v>
          </cell>
        </row>
        <row r="681">
          <cell r="A681" t="str">
            <v>GBP_LIBOR_EOD</v>
          </cell>
          <cell r="C681">
            <v>56930</v>
          </cell>
          <cell r="E681">
            <v>2.0618722185912899E-2</v>
          </cell>
        </row>
        <row r="682">
          <cell r="A682" t="str">
            <v>GBP_LIBOR_EOD</v>
          </cell>
          <cell r="C682">
            <v>60583</v>
          </cell>
          <cell r="E682">
            <v>1.99882002239937E-2</v>
          </cell>
        </row>
        <row r="683">
          <cell r="A683" t="str">
            <v>GBP_LIBOR_EOD</v>
          </cell>
          <cell r="C683">
            <v>64235</v>
          </cell>
          <cell r="E683">
            <v>1.99810356306417E-2</v>
          </cell>
        </row>
        <row r="684">
          <cell r="A684" t="str">
            <v>GBP_SONIA_EOD</v>
          </cell>
          <cell r="C684">
            <v>42321</v>
          </cell>
          <cell r="E684">
            <v>4.6109708751268502E-3</v>
          </cell>
        </row>
        <row r="685">
          <cell r="A685" t="str">
            <v>GBP_SONIA_EOD</v>
          </cell>
          <cell r="C685">
            <v>42327</v>
          </cell>
          <cell r="E685">
            <v>4.6372937864150102E-3</v>
          </cell>
        </row>
        <row r="686">
          <cell r="A686" t="str">
            <v>GBP_SONIA_EOD</v>
          </cell>
          <cell r="C686">
            <v>42334</v>
          </cell>
          <cell r="E686">
            <v>4.6245898173427101E-3</v>
          </cell>
        </row>
        <row r="687">
          <cell r="A687" t="str">
            <v>GBP_SONIA_EOD</v>
          </cell>
          <cell r="C687">
            <v>42352</v>
          </cell>
          <cell r="E687">
            <v>4.6280609601992203E-3</v>
          </cell>
        </row>
        <row r="688">
          <cell r="A688" t="str">
            <v>GBP_SONIA_EOD</v>
          </cell>
          <cell r="C688">
            <v>42381</v>
          </cell>
          <cell r="E688">
            <v>4.5552656186230497E-3</v>
          </cell>
        </row>
        <row r="689">
          <cell r="A689" t="str">
            <v>GBP_SONIA_EOD</v>
          </cell>
          <cell r="C689">
            <v>42412</v>
          </cell>
          <cell r="E689">
            <v>4.6014555404473604E-3</v>
          </cell>
        </row>
        <row r="690">
          <cell r="A690" t="str">
            <v>GBP_SONIA_EOD</v>
          </cell>
          <cell r="C690">
            <v>42443</v>
          </cell>
          <cell r="E690">
            <v>4.6834688477583701E-3</v>
          </cell>
        </row>
        <row r="691">
          <cell r="A691" t="str">
            <v>GBP_SONIA_EOD</v>
          </cell>
          <cell r="C691">
            <v>42472</v>
          </cell>
          <cell r="E691">
            <v>4.7361596501021199E-3</v>
          </cell>
        </row>
        <row r="692">
          <cell r="A692" t="str">
            <v>GBP_SONIA_EOD</v>
          </cell>
          <cell r="C692">
            <v>42502</v>
          </cell>
          <cell r="E692">
            <v>4.7710703100966399E-3</v>
          </cell>
        </row>
        <row r="693">
          <cell r="A693" t="str">
            <v>GBP_SONIA_EOD</v>
          </cell>
          <cell r="C693">
            <v>42534</v>
          </cell>
          <cell r="E693">
            <v>4.8968387987789099E-3</v>
          </cell>
        </row>
        <row r="694">
          <cell r="A694" t="str">
            <v>GBP_SONIA_EOD</v>
          </cell>
          <cell r="C694">
            <v>42563</v>
          </cell>
          <cell r="E694">
            <v>4.9732577687313104E-3</v>
          </cell>
        </row>
        <row r="695">
          <cell r="A695" t="str">
            <v>GBP_SONIA_EOD</v>
          </cell>
          <cell r="C695">
            <v>42594</v>
          </cell>
          <cell r="E695">
            <v>5.0713345181223604E-3</v>
          </cell>
        </row>
        <row r="696">
          <cell r="A696" t="str">
            <v>GBP_SONIA_EOD</v>
          </cell>
          <cell r="C696">
            <v>42625</v>
          </cell>
          <cell r="E696">
            <v>5.2096440490141099E-3</v>
          </cell>
        </row>
        <row r="697">
          <cell r="A697" t="str">
            <v>GBP_SONIA_EOD</v>
          </cell>
          <cell r="C697">
            <v>42655</v>
          </cell>
          <cell r="E697">
            <v>5.3291127749387499E-3</v>
          </cell>
        </row>
        <row r="698">
          <cell r="A698" t="str">
            <v>GBP_SONIA_EOD</v>
          </cell>
          <cell r="C698">
            <v>42688</v>
          </cell>
          <cell r="E698">
            <v>5.4647511641087599E-3</v>
          </cell>
        </row>
        <row r="699">
          <cell r="A699" t="str">
            <v>GBP_SONIA_EOD</v>
          </cell>
          <cell r="C699">
            <v>42779</v>
          </cell>
          <cell r="E699">
            <v>5.9114486509984398E-3</v>
          </cell>
        </row>
        <row r="700">
          <cell r="A700" t="str">
            <v>GBP_SONIA_EOD</v>
          </cell>
          <cell r="C700">
            <v>42867</v>
          </cell>
          <cell r="E700">
            <v>6.4006574959339603E-3</v>
          </cell>
        </row>
        <row r="701">
          <cell r="A701" t="str">
            <v>GBP_SONIA_EOD</v>
          </cell>
          <cell r="C701">
            <v>42961</v>
          </cell>
          <cell r="E701">
            <v>6.9373244155694E-3</v>
          </cell>
        </row>
        <row r="702">
          <cell r="A702" t="str">
            <v>GBP_SONIA_EOD</v>
          </cell>
          <cell r="C702">
            <v>43052</v>
          </cell>
          <cell r="E702">
            <v>7.4677734194370004E-3</v>
          </cell>
        </row>
        <row r="703">
          <cell r="A703" t="str">
            <v>GBP_SONIA_EOD</v>
          </cell>
          <cell r="C703">
            <v>43416</v>
          </cell>
          <cell r="E703">
            <v>9.35409088215358E-3</v>
          </cell>
        </row>
        <row r="704">
          <cell r="A704" t="str">
            <v>GBP_SONIA_EOD</v>
          </cell>
          <cell r="C704">
            <v>43781</v>
          </cell>
          <cell r="E704">
            <v>1.0963386935437599E-2</v>
          </cell>
        </row>
        <row r="705">
          <cell r="A705" t="str">
            <v>GBP_SONIA_EOD</v>
          </cell>
          <cell r="C705">
            <v>44147</v>
          </cell>
          <cell r="E705">
            <v>1.23132246006907E-2</v>
          </cell>
        </row>
        <row r="706">
          <cell r="A706" t="str">
            <v>GBP_SONIA_EOD</v>
          </cell>
          <cell r="C706">
            <v>44512</v>
          </cell>
          <cell r="E706">
            <v>1.3519856762602801E-2</v>
          </cell>
        </row>
        <row r="707">
          <cell r="A707" t="str">
            <v>GBP_SONIA_EOD</v>
          </cell>
          <cell r="C707">
            <v>44879</v>
          </cell>
          <cell r="E707">
            <v>1.4569674217415901E-2</v>
          </cell>
        </row>
        <row r="708">
          <cell r="A708" t="str">
            <v>GBP_SONIA_EOD</v>
          </cell>
          <cell r="C708">
            <v>45243</v>
          </cell>
          <cell r="E708">
            <v>1.5447384151248199E-2</v>
          </cell>
        </row>
        <row r="709">
          <cell r="A709" t="str">
            <v>GBP_SONIA_EOD</v>
          </cell>
          <cell r="C709">
            <v>45608</v>
          </cell>
          <cell r="E709">
            <v>1.6217386083037699E-2</v>
          </cell>
        </row>
        <row r="710">
          <cell r="A710" t="str">
            <v>GBP_SONIA_EOD</v>
          </cell>
          <cell r="C710">
            <v>45973</v>
          </cell>
          <cell r="E710">
            <v>1.6873203437030599E-2</v>
          </cell>
        </row>
        <row r="711">
          <cell r="A711" t="str">
            <v>GBP_SONIA_EOD</v>
          </cell>
          <cell r="C711">
            <v>46703</v>
          </cell>
          <cell r="E711">
            <v>1.80441285275201E-2</v>
          </cell>
        </row>
        <row r="712">
          <cell r="A712" t="str">
            <v>GBP_SONIA_EOD</v>
          </cell>
          <cell r="C712">
            <v>47799</v>
          </cell>
          <cell r="E712">
            <v>1.9218209466045799E-2</v>
          </cell>
        </row>
        <row r="713">
          <cell r="A713" t="str">
            <v>GBP_SONIA_EOD</v>
          </cell>
          <cell r="C713">
            <v>49625</v>
          </cell>
          <cell r="E713">
            <v>2.0026176130590601E-2</v>
          </cell>
        </row>
        <row r="714">
          <cell r="A714" t="str">
            <v>GBP_SONIA_EOD</v>
          </cell>
          <cell r="C714">
            <v>51452</v>
          </cell>
          <cell r="E714">
            <v>1.9999753440039701E-2</v>
          </cell>
        </row>
        <row r="715">
          <cell r="A715" t="str">
            <v>GBP_SONIA_EOD</v>
          </cell>
          <cell r="C715">
            <v>53279</v>
          </cell>
          <cell r="E715">
            <v>1.98286914736047E-2</v>
          </cell>
        </row>
        <row r="716">
          <cell r="A716" t="str">
            <v>GBP_SONIA_EOD</v>
          </cell>
          <cell r="C716">
            <v>56930</v>
          </cell>
          <cell r="E716">
            <v>1.9100345413934901E-2</v>
          </cell>
        </row>
        <row r="717">
          <cell r="A717" t="str">
            <v>GBP_SONIA_EOD</v>
          </cell>
          <cell r="C717">
            <v>60583</v>
          </cell>
          <cell r="E717">
            <v>1.86354307681415E-2</v>
          </cell>
        </row>
        <row r="718">
          <cell r="A718" t="str">
            <v>GBP_SONIA_EOD</v>
          </cell>
          <cell r="C718">
            <v>64235</v>
          </cell>
          <cell r="E718">
            <v>1.8736842203216302E-2</v>
          </cell>
        </row>
        <row r="719">
          <cell r="A719" t="str">
            <v>HKD_HIBOR_3M_EOD</v>
          </cell>
          <cell r="C719">
            <v>42412</v>
          </cell>
          <cell r="E719">
            <v>3.7765020309032901E-3</v>
          </cell>
        </row>
        <row r="720">
          <cell r="A720" t="str">
            <v>HKD_HIBOR_3M_EOD</v>
          </cell>
          <cell r="C720">
            <v>42502</v>
          </cell>
          <cell r="E720">
            <v>4.8244632587551304E-3</v>
          </cell>
        </row>
        <row r="721">
          <cell r="A721" t="str">
            <v>HKD_HIBOR_3M_EOD</v>
          </cell>
          <cell r="C721">
            <v>42594</v>
          </cell>
          <cell r="E721">
            <v>5.75395426129273E-3</v>
          </cell>
        </row>
        <row r="722">
          <cell r="A722" t="str">
            <v>HKD_HIBOR_3M_EOD</v>
          </cell>
          <cell r="C722">
            <v>42688</v>
          </cell>
          <cell r="E722">
            <v>6.68237954148467E-3</v>
          </cell>
        </row>
        <row r="723">
          <cell r="A723" t="str">
            <v>HKD_HIBOR_3M_EOD</v>
          </cell>
          <cell r="C723">
            <v>43052</v>
          </cell>
          <cell r="E723">
            <v>1.00721679778155E-2</v>
          </cell>
        </row>
        <row r="724">
          <cell r="A724" t="str">
            <v>HKD_HIBOR_3M_EOD</v>
          </cell>
          <cell r="C724">
            <v>43416</v>
          </cell>
          <cell r="E724">
            <v>1.29344718204179E-2</v>
          </cell>
        </row>
        <row r="725">
          <cell r="A725" t="str">
            <v>HKD_HIBOR_3M_EOD</v>
          </cell>
          <cell r="C725">
            <v>43781</v>
          </cell>
          <cell r="E725">
            <v>1.5069266380490399E-2</v>
          </cell>
        </row>
        <row r="726">
          <cell r="A726" t="str">
            <v>HKD_HIBOR_3M_EOD</v>
          </cell>
          <cell r="C726">
            <v>44147</v>
          </cell>
          <cell r="E726">
            <v>1.6655824419065601E-2</v>
          </cell>
        </row>
        <row r="727">
          <cell r="A727" t="str">
            <v>HKD_HIBOR_3M_EOD</v>
          </cell>
          <cell r="C727">
            <v>44879</v>
          </cell>
          <cell r="E727">
            <v>1.8983838182870801E-2</v>
          </cell>
        </row>
        <row r="728">
          <cell r="A728" t="str">
            <v>HKD_HIBOR_3M_EOD</v>
          </cell>
          <cell r="C728">
            <v>45973</v>
          </cell>
          <cell r="E728">
            <v>2.1305773903895899E-2</v>
          </cell>
        </row>
        <row r="729">
          <cell r="A729" t="str">
            <v>HKD_HIBOR_3M_EOD</v>
          </cell>
          <cell r="C729">
            <v>46703</v>
          </cell>
          <cell r="E729">
            <v>2.2151303374088702E-2</v>
          </cell>
        </row>
        <row r="730">
          <cell r="A730" t="str">
            <v>HKD_HIBOR_3M_EOD</v>
          </cell>
          <cell r="C730">
            <v>47799</v>
          </cell>
          <cell r="E730">
            <v>2.3355685390612099E-2</v>
          </cell>
        </row>
        <row r="731">
          <cell r="A731" t="str">
            <v>HKD_HIBOR_6M_EOD</v>
          </cell>
          <cell r="C731">
            <v>42502</v>
          </cell>
          <cell r="E731">
            <v>5.4841946627254704E-3</v>
          </cell>
        </row>
        <row r="732">
          <cell r="A732" t="str">
            <v>HKD_HIBOR_6M_EOD</v>
          </cell>
          <cell r="C732">
            <v>42688</v>
          </cell>
          <cell r="E732">
            <v>8.1446523938817593E-3</v>
          </cell>
        </row>
        <row r="733">
          <cell r="A733" t="str">
            <v>HKD_HIBOR_6M_EOD</v>
          </cell>
          <cell r="C733">
            <v>43052</v>
          </cell>
          <cell r="E733">
            <v>1.1464011939643E-2</v>
          </cell>
        </row>
        <row r="734">
          <cell r="A734" t="str">
            <v>HKD_HIBOR_6M_EOD</v>
          </cell>
          <cell r="C734">
            <v>43416</v>
          </cell>
          <cell r="E734">
            <v>1.4226216610647E-2</v>
          </cell>
        </row>
        <row r="735">
          <cell r="A735" t="str">
            <v>HKD_HIBOR_6M_EOD</v>
          </cell>
          <cell r="C735">
            <v>43781</v>
          </cell>
          <cell r="E735">
            <v>1.6260721679808202E-2</v>
          </cell>
        </row>
        <row r="736">
          <cell r="A736" t="str">
            <v>HKD_HIBOR_6M_EOD</v>
          </cell>
          <cell r="C736">
            <v>44147</v>
          </cell>
          <cell r="E736">
            <v>1.77437071843408E-2</v>
          </cell>
        </row>
        <row r="737">
          <cell r="A737" t="str">
            <v>HKD_HIBOR_6M_EOD</v>
          </cell>
          <cell r="C737">
            <v>44879</v>
          </cell>
          <cell r="E737">
            <v>1.9968599401338001E-2</v>
          </cell>
        </row>
        <row r="738">
          <cell r="A738" t="str">
            <v>HKD_HIBOR_6M_EOD</v>
          </cell>
          <cell r="C738">
            <v>45973</v>
          </cell>
          <cell r="E738">
            <v>2.2291964846225198E-2</v>
          </cell>
        </row>
        <row r="739">
          <cell r="A739" t="str">
            <v>HKD_HIBOR_6M_EOD</v>
          </cell>
          <cell r="C739">
            <v>46703</v>
          </cell>
          <cell r="E739">
            <v>2.3250798390145599E-2</v>
          </cell>
        </row>
        <row r="740">
          <cell r="A740" t="str">
            <v>HKD_HIBOR_6M_EOD</v>
          </cell>
          <cell r="C740">
            <v>47799</v>
          </cell>
          <cell r="E740">
            <v>2.44541329626871E-2</v>
          </cell>
        </row>
        <row r="741">
          <cell r="A741" t="str">
            <v>HKD_HIBOR_EOD</v>
          </cell>
          <cell r="C741">
            <v>42321</v>
          </cell>
          <cell r="E741">
            <v>4.5709971377663001E-4</v>
          </cell>
        </row>
        <row r="742">
          <cell r="A742" t="str">
            <v>HKD_HIBOR_EOD</v>
          </cell>
          <cell r="C742">
            <v>42327</v>
          </cell>
          <cell r="E742">
            <v>8.8359251346094997E-4</v>
          </cell>
        </row>
        <row r="743">
          <cell r="A743" t="str">
            <v>HKD_HIBOR_EOD</v>
          </cell>
          <cell r="C743">
            <v>42352</v>
          </cell>
          <cell r="E743">
            <v>2.0023242394751999E-3</v>
          </cell>
        </row>
        <row r="744">
          <cell r="A744" t="str">
            <v>HKD_HIBOR_EOD</v>
          </cell>
          <cell r="C744">
            <v>42381</v>
          </cell>
          <cell r="E744">
            <v>2.9602676131375602E-3</v>
          </cell>
        </row>
        <row r="745">
          <cell r="A745" t="str">
            <v>HKD_HIBOR_EOD</v>
          </cell>
          <cell r="C745">
            <v>42412</v>
          </cell>
          <cell r="E745">
            <v>3.7765020309032901E-3</v>
          </cell>
        </row>
        <row r="746">
          <cell r="A746" t="str">
            <v>HKD_HIBOR_EOD</v>
          </cell>
          <cell r="C746">
            <v>42502</v>
          </cell>
          <cell r="E746">
            <v>5.4841946627254704E-3</v>
          </cell>
        </row>
        <row r="747">
          <cell r="A747" t="str">
            <v>HKD_HIBOR_EOD</v>
          </cell>
          <cell r="C747">
            <v>42688</v>
          </cell>
          <cell r="E747">
            <v>6.6473108803908098E-3</v>
          </cell>
        </row>
        <row r="748">
          <cell r="A748" t="str">
            <v>HKD_HIBOR_EOD</v>
          </cell>
          <cell r="C748">
            <v>43052</v>
          </cell>
          <cell r="E748">
            <v>1.00762622197256E-2</v>
          </cell>
        </row>
        <row r="749">
          <cell r="A749" t="str">
            <v>HKD_HIBOR_EOD</v>
          </cell>
          <cell r="C749">
            <v>43416</v>
          </cell>
          <cell r="E749">
            <v>1.2937304265678899E-2</v>
          </cell>
        </row>
        <row r="750">
          <cell r="A750" t="str">
            <v>HKD_HIBOR_EOD</v>
          </cell>
          <cell r="C750">
            <v>43781</v>
          </cell>
          <cell r="E750">
            <v>1.5072191547569501E-2</v>
          </cell>
        </row>
        <row r="751">
          <cell r="A751" t="str">
            <v>HKD_HIBOR_EOD</v>
          </cell>
          <cell r="C751">
            <v>44147</v>
          </cell>
          <cell r="E751">
            <v>1.6658163176781499E-2</v>
          </cell>
        </row>
        <row r="752">
          <cell r="A752" t="str">
            <v>HKD_HIBOR_EOD</v>
          </cell>
          <cell r="C752">
            <v>44879</v>
          </cell>
          <cell r="E752">
            <v>1.8986721127887001E-2</v>
          </cell>
        </row>
        <row r="753">
          <cell r="A753" t="str">
            <v>HKD_HIBOR_EOD</v>
          </cell>
          <cell r="C753">
            <v>45973</v>
          </cell>
          <cell r="E753">
            <v>2.1308319287935501E-2</v>
          </cell>
        </row>
        <row r="754">
          <cell r="A754" t="str">
            <v>HKD_HIBOR_EOD</v>
          </cell>
          <cell r="C754">
            <v>46703</v>
          </cell>
          <cell r="E754">
            <v>2.2153424208495701E-2</v>
          </cell>
        </row>
        <row r="755">
          <cell r="A755" t="str">
            <v>HKD_HIBOR_EOD</v>
          </cell>
          <cell r="C755">
            <v>47799</v>
          </cell>
          <cell r="E755">
            <v>2.3357777175312299E-2</v>
          </cell>
        </row>
        <row r="756">
          <cell r="A756" t="str">
            <v>HUF_BUBOR_3M_EOD</v>
          </cell>
          <cell r="C756">
            <v>42416</v>
          </cell>
          <cell r="E756">
            <v>1.3663943227529301E-2</v>
          </cell>
        </row>
        <row r="757">
          <cell r="A757" t="str">
            <v>HUF_BUBOR_3M_EOD</v>
          </cell>
          <cell r="C757">
            <v>42507</v>
          </cell>
          <cell r="E757">
            <v>1.34673729118554E-2</v>
          </cell>
        </row>
        <row r="758">
          <cell r="A758" t="str">
            <v>HUF_BUBOR_3M_EOD</v>
          </cell>
          <cell r="C758">
            <v>42598</v>
          </cell>
          <cell r="E758">
            <v>1.33487611291657E-2</v>
          </cell>
        </row>
        <row r="759">
          <cell r="A759" t="str">
            <v>HUF_BUBOR_3M_EOD</v>
          </cell>
          <cell r="C759">
            <v>42690</v>
          </cell>
          <cell r="E759">
            <v>1.3364319897377399E-2</v>
          </cell>
        </row>
        <row r="760">
          <cell r="A760" t="str">
            <v>HUF_BUBOR_3M_EOD</v>
          </cell>
          <cell r="C760">
            <v>43055</v>
          </cell>
          <cell r="E760">
            <v>1.4250904950985299E-2</v>
          </cell>
        </row>
        <row r="761">
          <cell r="A761" t="str">
            <v>HUF_BUBOR_3M_EOD</v>
          </cell>
          <cell r="C761">
            <v>43420</v>
          </cell>
          <cell r="E761">
            <v>1.5507230369098001E-2</v>
          </cell>
        </row>
        <row r="762">
          <cell r="A762" t="str">
            <v>HUF_BUBOR_3M_EOD</v>
          </cell>
          <cell r="C762">
            <v>43787</v>
          </cell>
          <cell r="E762">
            <v>1.7094368678672901E-2</v>
          </cell>
        </row>
        <row r="763">
          <cell r="A763" t="str">
            <v>HUF_BUBOR_3M_EOD</v>
          </cell>
          <cell r="C763">
            <v>44151</v>
          </cell>
          <cell r="E763">
            <v>1.9402256992839401E-2</v>
          </cell>
        </row>
        <row r="764">
          <cell r="A764" t="str">
            <v>HUF_BUBOR_3M_EOD</v>
          </cell>
          <cell r="C764">
            <v>44516</v>
          </cell>
          <cell r="E764">
            <v>2.1727631456933998E-2</v>
          </cell>
        </row>
        <row r="765">
          <cell r="A765" t="str">
            <v>HUF_BUBOR_3M_EOD</v>
          </cell>
          <cell r="C765">
            <v>44881</v>
          </cell>
          <cell r="E765">
            <v>2.38112641044597E-2</v>
          </cell>
        </row>
        <row r="766">
          <cell r="A766" t="str">
            <v>HUF_BUBOR_3M_EOD</v>
          </cell>
          <cell r="C766">
            <v>45246</v>
          </cell>
          <cell r="E766">
            <v>2.57129089361635E-2</v>
          </cell>
        </row>
        <row r="767">
          <cell r="A767" t="str">
            <v>HUF_BUBOR_3M_EOD</v>
          </cell>
          <cell r="C767">
            <v>45614</v>
          </cell>
          <cell r="E767">
            <v>2.74156370760462E-2</v>
          </cell>
        </row>
        <row r="768">
          <cell r="A768" t="str">
            <v>HUF_BUBOR_3M_EOD</v>
          </cell>
          <cell r="C768">
            <v>45978</v>
          </cell>
          <cell r="E768">
            <v>2.8699674738613699E-2</v>
          </cell>
        </row>
        <row r="769">
          <cell r="A769" t="str">
            <v>HUF_BUBOR_3M_EOD</v>
          </cell>
          <cell r="C769">
            <v>46707</v>
          </cell>
          <cell r="E769">
            <v>2.9847308316179499E-2</v>
          </cell>
        </row>
        <row r="770">
          <cell r="A770" t="str">
            <v>HUF_BUBOR_3M_EOD</v>
          </cell>
          <cell r="C770">
            <v>47805</v>
          </cell>
          <cell r="E770">
            <v>2.9697285406632801E-2</v>
          </cell>
        </row>
        <row r="771">
          <cell r="A771" t="str">
            <v>HUF_BUBOR_3M_EOD</v>
          </cell>
          <cell r="C771">
            <v>49629</v>
          </cell>
          <cell r="E771">
            <v>3.0787649653878701E-2</v>
          </cell>
        </row>
        <row r="772">
          <cell r="A772" t="str">
            <v>HUF_BUBOR_6M_EOD</v>
          </cell>
          <cell r="C772">
            <v>42507</v>
          </cell>
          <cell r="E772">
            <v>1.36407485317208E-2</v>
          </cell>
        </row>
        <row r="773">
          <cell r="A773" t="str">
            <v>HUF_BUBOR_6M_EOD</v>
          </cell>
          <cell r="C773">
            <v>42690</v>
          </cell>
          <cell r="E773">
            <v>1.34144045707832E-2</v>
          </cell>
        </row>
        <row r="774">
          <cell r="A774" t="str">
            <v>HUF_BUBOR_6M_EOD</v>
          </cell>
          <cell r="C774">
            <v>42871</v>
          </cell>
          <cell r="E774">
            <v>1.36791130484717E-2</v>
          </cell>
        </row>
        <row r="775">
          <cell r="A775" t="str">
            <v>HUF_BUBOR_6M_EOD</v>
          </cell>
          <cell r="C775">
            <v>43055</v>
          </cell>
          <cell r="E775">
            <v>1.4200454453657601E-2</v>
          </cell>
        </row>
        <row r="776">
          <cell r="A776" t="str">
            <v>HUF_BUBOR_6M_EOD</v>
          </cell>
          <cell r="C776">
            <v>43420</v>
          </cell>
          <cell r="E776">
            <v>1.53467997579332E-2</v>
          </cell>
        </row>
        <row r="777">
          <cell r="A777" t="str">
            <v>HUF_BUBOR_6M_EOD</v>
          </cell>
          <cell r="C777">
            <v>43787</v>
          </cell>
          <cell r="E777">
            <v>1.6804043320968701E-2</v>
          </cell>
        </row>
        <row r="778">
          <cell r="A778" t="str">
            <v>HUF_BUBOR_6M_EOD</v>
          </cell>
          <cell r="C778">
            <v>44151</v>
          </cell>
          <cell r="E778">
            <v>1.8937576541553602E-2</v>
          </cell>
        </row>
        <row r="779">
          <cell r="A779" t="str">
            <v>HUF_BUBOR_6M_EOD</v>
          </cell>
          <cell r="C779">
            <v>44516</v>
          </cell>
          <cell r="E779">
            <v>2.12028172435361E-2</v>
          </cell>
        </row>
        <row r="780">
          <cell r="A780" t="str">
            <v>HUF_BUBOR_6M_EOD</v>
          </cell>
          <cell r="C780">
            <v>44881</v>
          </cell>
          <cell r="E780">
            <v>2.3288811329815601E-2</v>
          </cell>
        </row>
        <row r="781">
          <cell r="A781" t="str">
            <v>HUF_BUBOR_6M_EOD</v>
          </cell>
          <cell r="C781">
            <v>45246</v>
          </cell>
          <cell r="E781">
            <v>2.5192334172172301E-2</v>
          </cell>
        </row>
        <row r="782">
          <cell r="A782" t="str">
            <v>HUF_BUBOR_6M_EOD</v>
          </cell>
          <cell r="C782">
            <v>45614</v>
          </cell>
          <cell r="E782">
            <v>2.69077723725736E-2</v>
          </cell>
        </row>
        <row r="783">
          <cell r="A783" t="str">
            <v>HUF_BUBOR_6M_EOD</v>
          </cell>
          <cell r="C783">
            <v>45978</v>
          </cell>
          <cell r="E783">
            <v>2.8202250515883601E-2</v>
          </cell>
        </row>
        <row r="784">
          <cell r="A784" t="str">
            <v>HUF_BUBOR_6M_EOD</v>
          </cell>
          <cell r="C784">
            <v>46707</v>
          </cell>
          <cell r="E784">
            <v>2.9366074434054899E-2</v>
          </cell>
        </row>
        <row r="785">
          <cell r="A785" t="str">
            <v>HUF_BUBOR_6M_EOD</v>
          </cell>
          <cell r="C785">
            <v>47805</v>
          </cell>
          <cell r="E785">
            <v>2.9252506954211499E-2</v>
          </cell>
        </row>
        <row r="786">
          <cell r="A786" t="str">
            <v>HUF_BUBOR_6M_EOD</v>
          </cell>
          <cell r="C786">
            <v>49629</v>
          </cell>
          <cell r="E786">
            <v>3.03926995450623E-2</v>
          </cell>
        </row>
        <row r="787">
          <cell r="A787" t="str">
            <v>HUF_BUBOR_EOD</v>
          </cell>
          <cell r="C787">
            <v>42321</v>
          </cell>
          <cell r="E787">
            <v>1.2267849388695301E-2</v>
          </cell>
        </row>
        <row r="788">
          <cell r="A788" t="str">
            <v>HUF_BUBOR_EOD</v>
          </cell>
          <cell r="C788">
            <v>42324</v>
          </cell>
          <cell r="E788">
            <v>1.2267540159205699E-2</v>
          </cell>
        </row>
        <row r="789">
          <cell r="A789" t="str">
            <v>HUF_BUBOR_EOD</v>
          </cell>
          <cell r="C789">
            <v>42331</v>
          </cell>
          <cell r="E789">
            <v>1.31700079496771E-2</v>
          </cell>
        </row>
        <row r="790">
          <cell r="A790" t="str">
            <v>HUF_BUBOR_EOD</v>
          </cell>
          <cell r="C790">
            <v>42354</v>
          </cell>
          <cell r="E790">
            <v>1.3513657563550699E-2</v>
          </cell>
        </row>
        <row r="791">
          <cell r="A791" t="str">
            <v>HUF_BUBOR_EOD</v>
          </cell>
          <cell r="C791">
            <v>42387</v>
          </cell>
          <cell r="E791">
            <v>1.35875470964829E-2</v>
          </cell>
        </row>
        <row r="792">
          <cell r="A792" t="str">
            <v>HUF_BUBOR_EOD</v>
          </cell>
          <cell r="C792">
            <v>42416</v>
          </cell>
          <cell r="E792">
            <v>1.3605759766347199E-2</v>
          </cell>
        </row>
        <row r="793">
          <cell r="A793" t="str">
            <v>HUF_BUBOR_EOD</v>
          </cell>
          <cell r="C793">
            <v>42507</v>
          </cell>
          <cell r="E793">
            <v>1.3437503327505301E-2</v>
          </cell>
        </row>
        <row r="794">
          <cell r="A794" t="str">
            <v>HUF_BUBOR_EOD</v>
          </cell>
          <cell r="C794">
            <v>42598</v>
          </cell>
          <cell r="E794">
            <v>1.3328686758434599E-2</v>
          </cell>
        </row>
        <row r="795">
          <cell r="A795" t="str">
            <v>HUF_BUBOR_EOD</v>
          </cell>
          <cell r="C795">
            <v>42690</v>
          </cell>
          <cell r="E795">
            <v>1.3349236991800999E-2</v>
          </cell>
        </row>
        <row r="796">
          <cell r="A796" t="str">
            <v>HUF_BUBOR_EOD</v>
          </cell>
          <cell r="C796">
            <v>43055</v>
          </cell>
          <cell r="E796">
            <v>1.41940544654569E-2</v>
          </cell>
        </row>
        <row r="797">
          <cell r="A797" t="str">
            <v>HUF_BUBOR_EOD</v>
          </cell>
          <cell r="C797">
            <v>43420</v>
          </cell>
          <cell r="E797">
            <v>1.53425248950204E-2</v>
          </cell>
        </row>
        <row r="798">
          <cell r="A798" t="str">
            <v>HUF_BUBOR_EOD</v>
          </cell>
          <cell r="C798">
            <v>43787</v>
          </cell>
          <cell r="E798">
            <v>1.68008385803643E-2</v>
          </cell>
        </row>
        <row r="799">
          <cell r="A799" t="str">
            <v>HUF_BUBOR_EOD</v>
          </cell>
          <cell r="C799">
            <v>44151</v>
          </cell>
          <cell r="E799">
            <v>1.89370670936863E-2</v>
          </cell>
        </row>
        <row r="800">
          <cell r="A800" t="str">
            <v>HUF_BUBOR_EOD</v>
          </cell>
          <cell r="C800">
            <v>44516</v>
          </cell>
          <cell r="E800">
            <v>2.12025488287064E-2</v>
          </cell>
        </row>
        <row r="801">
          <cell r="A801" t="str">
            <v>HUF_BUBOR_EOD</v>
          </cell>
          <cell r="C801">
            <v>44881</v>
          </cell>
          <cell r="E801">
            <v>2.3288581193652999E-2</v>
          </cell>
        </row>
        <row r="802">
          <cell r="A802" t="str">
            <v>HUF_BUBOR_EOD</v>
          </cell>
          <cell r="C802">
            <v>45246</v>
          </cell>
          <cell r="E802">
            <v>2.5192132760737E-2</v>
          </cell>
        </row>
        <row r="803">
          <cell r="A803" t="str">
            <v>HUF_BUBOR_EOD</v>
          </cell>
          <cell r="C803">
            <v>45614</v>
          </cell>
          <cell r="E803">
            <v>2.69075934749132E-2</v>
          </cell>
        </row>
        <row r="804">
          <cell r="A804" t="str">
            <v>HUF_BUBOR_EOD</v>
          </cell>
          <cell r="C804">
            <v>45978</v>
          </cell>
          <cell r="E804">
            <v>2.8202928183728399E-2</v>
          </cell>
        </row>
        <row r="805">
          <cell r="A805" t="str">
            <v>HUF_BUBOR_EOD</v>
          </cell>
          <cell r="C805">
            <v>46707</v>
          </cell>
          <cell r="E805">
            <v>2.9363902203337199E-2</v>
          </cell>
        </row>
        <row r="806">
          <cell r="A806" t="str">
            <v>HUF_BUBOR_EOD</v>
          </cell>
          <cell r="C806">
            <v>47805</v>
          </cell>
          <cell r="E806">
            <v>2.9250770790402801E-2</v>
          </cell>
        </row>
        <row r="807">
          <cell r="A807" t="str">
            <v>HUF_BUBOR_EOD</v>
          </cell>
          <cell r="C807">
            <v>49629</v>
          </cell>
          <cell r="E807">
            <v>3.0391676822645E-2</v>
          </cell>
        </row>
        <row r="808">
          <cell r="A808" t="str">
            <v>JPY_LIBOR_1M_EOD</v>
          </cell>
          <cell r="C808">
            <v>42354</v>
          </cell>
          <cell r="E808">
            <v>4.2004691564943999E-4</v>
          </cell>
        </row>
        <row r="809">
          <cell r="A809" t="str">
            <v>JPY_LIBOR_1M_EOD</v>
          </cell>
          <cell r="C809">
            <v>42387</v>
          </cell>
          <cell r="E809">
            <v>5.4367972255505001E-4</v>
          </cell>
        </row>
        <row r="810">
          <cell r="A810" t="str">
            <v>JPY_LIBOR_1M_EOD</v>
          </cell>
          <cell r="C810">
            <v>42416</v>
          </cell>
          <cell r="E810">
            <v>4.6370738673336001E-4</v>
          </cell>
        </row>
        <row r="811">
          <cell r="A811" t="str">
            <v>JPY_LIBOR_1M_EOD</v>
          </cell>
          <cell r="C811">
            <v>42506</v>
          </cell>
          <cell r="E811">
            <v>4.5358250286334998E-4</v>
          </cell>
        </row>
        <row r="812">
          <cell r="A812" t="str">
            <v>JPY_LIBOR_1M_EOD</v>
          </cell>
          <cell r="C812">
            <v>42598</v>
          </cell>
          <cell r="E812">
            <v>4.4866523894979002E-4</v>
          </cell>
        </row>
        <row r="813">
          <cell r="A813" t="str">
            <v>JPY_LIBOR_1M_EOD</v>
          </cell>
          <cell r="C813">
            <v>42690</v>
          </cell>
          <cell r="E813">
            <v>4.3626521277173998E-4</v>
          </cell>
        </row>
        <row r="814">
          <cell r="A814" t="str">
            <v>JPY_LIBOR_1M_EOD</v>
          </cell>
          <cell r="C814">
            <v>43055</v>
          </cell>
          <cell r="E814">
            <v>3.7490741187198E-4</v>
          </cell>
        </row>
        <row r="815">
          <cell r="A815" t="str">
            <v>JPY_LIBOR_1M_EOD</v>
          </cell>
          <cell r="C815">
            <v>43420</v>
          </cell>
          <cell r="E815">
            <v>4.1228514845724999E-4</v>
          </cell>
        </row>
        <row r="816">
          <cell r="A816" t="str">
            <v>JPY_LIBOR_1M_EOD</v>
          </cell>
          <cell r="C816">
            <v>43787</v>
          </cell>
          <cell r="E816">
            <v>6.4299725091668996E-4</v>
          </cell>
        </row>
        <row r="817">
          <cell r="A817" t="str">
            <v>JPY_LIBOR_1M_EOD</v>
          </cell>
          <cell r="C817">
            <v>44151</v>
          </cell>
          <cell r="E817">
            <v>1.0365056712401399E-3</v>
          </cell>
        </row>
        <row r="818">
          <cell r="A818" t="str">
            <v>JPY_LIBOR_1M_EOD</v>
          </cell>
          <cell r="C818">
            <v>44516</v>
          </cell>
          <cell r="E818">
            <v>1.54958307331823E-3</v>
          </cell>
        </row>
        <row r="819">
          <cell r="A819" t="str">
            <v>JPY_LIBOR_1M_EOD</v>
          </cell>
          <cell r="C819">
            <v>44881</v>
          </cell>
          <cell r="E819">
            <v>2.1143812264360299E-3</v>
          </cell>
        </row>
        <row r="820">
          <cell r="A820" t="str">
            <v>JPY_LIBOR_1M_EOD</v>
          </cell>
          <cell r="C820">
            <v>45246</v>
          </cell>
          <cell r="E820">
            <v>2.7317050646213201E-3</v>
          </cell>
        </row>
        <row r="821">
          <cell r="A821" t="str">
            <v>JPY_LIBOR_1M_EOD</v>
          </cell>
          <cell r="C821">
            <v>45614</v>
          </cell>
          <cell r="E821">
            <v>3.35138393973318E-3</v>
          </cell>
        </row>
        <row r="822">
          <cell r="A822" t="str">
            <v>JPY_LIBOR_1M_EOD</v>
          </cell>
          <cell r="C822">
            <v>45978</v>
          </cell>
          <cell r="E822">
            <v>3.9993545510603502E-3</v>
          </cell>
        </row>
        <row r="823">
          <cell r="A823" t="str">
            <v>JPY_LIBOR_1M_EOD</v>
          </cell>
          <cell r="C823">
            <v>46707</v>
          </cell>
          <cell r="E823">
            <v>5.40894998156619E-3</v>
          </cell>
        </row>
        <row r="824">
          <cell r="A824" t="str">
            <v>JPY_LIBOR_1M_EOD</v>
          </cell>
          <cell r="C824">
            <v>47805</v>
          </cell>
          <cell r="E824">
            <v>7.7226789085686302E-3</v>
          </cell>
        </row>
        <row r="825">
          <cell r="A825" t="str">
            <v>JPY_LIBOR_1M_EOD</v>
          </cell>
          <cell r="C825">
            <v>49629</v>
          </cell>
          <cell r="E825">
            <v>1.07353719658569E-2</v>
          </cell>
        </row>
        <row r="826">
          <cell r="A826" t="str">
            <v>JPY_LIBOR_1M_EOD</v>
          </cell>
          <cell r="C826">
            <v>51456</v>
          </cell>
          <cell r="E826">
            <v>1.2423254558105799E-2</v>
          </cell>
        </row>
        <row r="827">
          <cell r="A827" t="str">
            <v>JPY_LIBOR_1M_EOD</v>
          </cell>
          <cell r="C827">
            <v>53282</v>
          </cell>
          <cell r="E827">
            <v>1.3364395620861801E-2</v>
          </cell>
        </row>
        <row r="828">
          <cell r="A828" t="str">
            <v>JPY_LIBOR_1M_EOD</v>
          </cell>
          <cell r="C828">
            <v>56934</v>
          </cell>
          <cell r="E828">
            <v>1.4822711780093799E-2</v>
          </cell>
        </row>
        <row r="829">
          <cell r="A829" t="str">
            <v>JPY_LIBOR_3M_EOD</v>
          </cell>
          <cell r="C829">
            <v>42416</v>
          </cell>
          <cell r="E829">
            <v>7.6034380271275002E-4</v>
          </cell>
        </row>
        <row r="830">
          <cell r="A830" t="str">
            <v>JPY_LIBOR_3M_EOD</v>
          </cell>
          <cell r="C830">
            <v>42445</v>
          </cell>
          <cell r="E830">
            <v>7.6034437921583997E-4</v>
          </cell>
        </row>
        <row r="831">
          <cell r="A831" t="str">
            <v>JPY_LIBOR_3M_EOD</v>
          </cell>
          <cell r="C831">
            <v>42478</v>
          </cell>
          <cell r="E831">
            <v>7.5304627255556996E-4</v>
          </cell>
        </row>
        <row r="832">
          <cell r="A832" t="str">
            <v>JPY_LIBOR_3M_EOD</v>
          </cell>
          <cell r="C832">
            <v>42506</v>
          </cell>
          <cell r="E832">
            <v>7.6034456906801996E-4</v>
          </cell>
        </row>
        <row r="833">
          <cell r="A833" t="str">
            <v>JPY_LIBOR_3M_EOD</v>
          </cell>
          <cell r="C833">
            <v>42537</v>
          </cell>
          <cell r="E833">
            <v>7.4959987203250002E-4</v>
          </cell>
        </row>
        <row r="834">
          <cell r="A834" t="str">
            <v>JPY_LIBOR_3M_EOD</v>
          </cell>
          <cell r="C834">
            <v>42570</v>
          </cell>
          <cell r="E834">
            <v>7.4174271119059002E-4</v>
          </cell>
        </row>
        <row r="835">
          <cell r="A835" t="str">
            <v>JPY_LIBOR_3M_EOD</v>
          </cell>
          <cell r="C835">
            <v>42598</v>
          </cell>
          <cell r="E835">
            <v>7.4357084446840995E-4</v>
          </cell>
        </row>
        <row r="836">
          <cell r="A836" t="str">
            <v>JPY_LIBOR_3M_EOD</v>
          </cell>
          <cell r="C836">
            <v>42629</v>
          </cell>
          <cell r="E836">
            <v>7.3393531263741998E-4</v>
          </cell>
        </row>
        <row r="837">
          <cell r="A837" t="str">
            <v>JPY_LIBOR_3M_EOD</v>
          </cell>
          <cell r="C837">
            <v>42660</v>
          </cell>
          <cell r="E837">
            <v>7.2633802166302997E-4</v>
          </cell>
        </row>
        <row r="838">
          <cell r="A838" t="str">
            <v>JPY_LIBOR_3M_EOD</v>
          </cell>
          <cell r="C838">
            <v>42690</v>
          </cell>
          <cell r="E838">
            <v>7.2568646454771997E-4</v>
          </cell>
        </row>
        <row r="839">
          <cell r="A839" t="str">
            <v>JPY_LIBOR_3M_EOD</v>
          </cell>
          <cell r="C839">
            <v>43055</v>
          </cell>
          <cell r="E839">
            <v>6.6293605899154996E-4</v>
          </cell>
        </row>
        <row r="840">
          <cell r="A840" t="str">
            <v>JPY_LIBOR_3M_EOD</v>
          </cell>
          <cell r="C840">
            <v>43420</v>
          </cell>
          <cell r="E840">
            <v>6.7522259022120997E-4</v>
          </cell>
        </row>
        <row r="841">
          <cell r="A841" t="str">
            <v>JPY_LIBOR_3M_EOD</v>
          </cell>
          <cell r="C841">
            <v>43787</v>
          </cell>
          <cell r="E841">
            <v>9.0569639201890995E-4</v>
          </cell>
        </row>
        <row r="842">
          <cell r="A842" t="str">
            <v>JPY_LIBOR_3M_EOD</v>
          </cell>
          <cell r="C842">
            <v>44151</v>
          </cell>
          <cell r="E842">
            <v>1.28616230985011E-3</v>
          </cell>
        </row>
        <row r="843">
          <cell r="A843" t="str">
            <v>JPY_LIBOR_3M_EOD</v>
          </cell>
          <cell r="C843">
            <v>44516</v>
          </cell>
          <cell r="E843">
            <v>1.8120165519185201E-3</v>
          </cell>
        </row>
        <row r="844">
          <cell r="A844" t="str">
            <v>JPY_LIBOR_3M_EOD</v>
          </cell>
          <cell r="C844">
            <v>44881</v>
          </cell>
          <cell r="E844">
            <v>2.36447051897624E-3</v>
          </cell>
        </row>
        <row r="845">
          <cell r="A845" t="str">
            <v>JPY_LIBOR_3M_EOD</v>
          </cell>
          <cell r="C845">
            <v>45246</v>
          </cell>
          <cell r="E845">
            <v>2.9817418440997601E-3</v>
          </cell>
        </row>
        <row r="846">
          <cell r="A846" t="str">
            <v>JPY_LIBOR_3M_EOD</v>
          </cell>
          <cell r="C846">
            <v>45614</v>
          </cell>
          <cell r="E846">
            <v>3.6013559378331801E-3</v>
          </cell>
        </row>
        <row r="847">
          <cell r="A847" t="str">
            <v>JPY_LIBOR_3M_EOD</v>
          </cell>
          <cell r="C847">
            <v>45978</v>
          </cell>
          <cell r="E847">
            <v>4.2488017958144499E-3</v>
          </cell>
        </row>
        <row r="848">
          <cell r="A848" t="str">
            <v>JPY_LIBOR_3M_EOD</v>
          </cell>
          <cell r="C848">
            <v>46707</v>
          </cell>
          <cell r="E848">
            <v>5.6892013627800903E-3</v>
          </cell>
        </row>
        <row r="849">
          <cell r="A849" t="str">
            <v>JPY_LIBOR_3M_EOD</v>
          </cell>
          <cell r="C849">
            <v>47805</v>
          </cell>
          <cell r="E849">
            <v>7.9577049711505605E-3</v>
          </cell>
        </row>
        <row r="850">
          <cell r="A850" t="str">
            <v>JPY_LIBOR_3M_EOD</v>
          </cell>
          <cell r="C850">
            <v>49629</v>
          </cell>
          <cell r="E850">
            <v>1.09565745589693E-2</v>
          </cell>
        </row>
        <row r="851">
          <cell r="A851" t="str">
            <v>JPY_LIBOR_3M_EOD</v>
          </cell>
          <cell r="C851">
            <v>51456</v>
          </cell>
          <cell r="E851">
            <v>1.26300636396478E-2</v>
          </cell>
        </row>
        <row r="852">
          <cell r="A852" t="str">
            <v>JPY_LIBOR_3M_EOD</v>
          </cell>
          <cell r="C852">
            <v>53282</v>
          </cell>
          <cell r="E852">
            <v>1.35563199749557E-2</v>
          </cell>
        </row>
        <row r="853">
          <cell r="A853" t="str">
            <v>JPY_LIBOR_3M_EOD</v>
          </cell>
          <cell r="C853">
            <v>56934</v>
          </cell>
          <cell r="E853">
            <v>1.5015280812253199E-2</v>
          </cell>
        </row>
        <row r="854">
          <cell r="A854" t="str">
            <v>JPY_LIBOR_6M_EOD</v>
          </cell>
          <cell r="C854">
            <v>42506</v>
          </cell>
          <cell r="E854">
            <v>1.21771634364082E-3</v>
          </cell>
        </row>
        <row r="855">
          <cell r="A855" t="str">
            <v>JPY_LIBOR_6M_EOD</v>
          </cell>
          <cell r="C855">
            <v>42537</v>
          </cell>
          <cell r="E855">
            <v>1.1844739077360601E-3</v>
          </cell>
        </row>
        <row r="856">
          <cell r="A856" t="str">
            <v>JPY_LIBOR_6M_EOD</v>
          </cell>
          <cell r="C856">
            <v>42570</v>
          </cell>
          <cell r="E856">
            <v>1.1610468311349801E-3</v>
          </cell>
        </row>
        <row r="857">
          <cell r="A857" t="str">
            <v>JPY_LIBOR_6M_EOD</v>
          </cell>
          <cell r="C857">
            <v>42598</v>
          </cell>
          <cell r="E857">
            <v>1.1421567737364901E-3</v>
          </cell>
        </row>
        <row r="858">
          <cell r="A858" t="str">
            <v>JPY_LIBOR_6M_EOD</v>
          </cell>
          <cell r="C858">
            <v>42629</v>
          </cell>
          <cell r="E858">
            <v>1.1263603011605499E-3</v>
          </cell>
        </row>
        <row r="859">
          <cell r="A859" t="str">
            <v>JPY_LIBOR_6M_EOD</v>
          </cell>
          <cell r="C859">
            <v>42660</v>
          </cell>
          <cell r="E859">
            <v>1.11407917337746E-3</v>
          </cell>
        </row>
        <row r="860">
          <cell r="A860" t="str">
            <v>JPY_LIBOR_6M_EOD</v>
          </cell>
          <cell r="C860">
            <v>42690</v>
          </cell>
          <cell r="E860">
            <v>1.14142170275848E-3</v>
          </cell>
        </row>
        <row r="861">
          <cell r="A861" t="str">
            <v>JPY_LIBOR_6M_EOD</v>
          </cell>
          <cell r="C861">
            <v>43055</v>
          </cell>
          <cell r="E861">
            <v>1.01333140236712E-3</v>
          </cell>
        </row>
        <row r="862">
          <cell r="A862" t="str">
            <v>JPY_LIBOR_6M_EOD</v>
          </cell>
          <cell r="C862">
            <v>43420</v>
          </cell>
          <cell r="E862">
            <v>1.0503243942418001E-3</v>
          </cell>
        </row>
        <row r="863">
          <cell r="A863" t="str">
            <v>JPY_LIBOR_6M_EOD</v>
          </cell>
          <cell r="C863">
            <v>43787</v>
          </cell>
          <cell r="E863">
            <v>1.28080953947895E-3</v>
          </cell>
        </row>
        <row r="864">
          <cell r="A864" t="str">
            <v>JPY_LIBOR_6M_EOD</v>
          </cell>
          <cell r="C864">
            <v>44151</v>
          </cell>
          <cell r="E864">
            <v>1.6857347757028699E-3</v>
          </cell>
        </row>
        <row r="865">
          <cell r="A865" t="str">
            <v>JPY_LIBOR_6M_EOD</v>
          </cell>
          <cell r="C865">
            <v>44516</v>
          </cell>
          <cell r="E865">
            <v>2.2112230781521701E-3</v>
          </cell>
        </row>
        <row r="866">
          <cell r="A866" t="str">
            <v>JPY_LIBOR_6M_EOD</v>
          </cell>
          <cell r="C866">
            <v>44881</v>
          </cell>
          <cell r="E866">
            <v>2.78861999702018E-3</v>
          </cell>
        </row>
        <row r="867">
          <cell r="A867" t="str">
            <v>JPY_LIBOR_6M_EOD</v>
          </cell>
          <cell r="C867">
            <v>45246</v>
          </cell>
          <cell r="E867">
            <v>3.4056744560228701E-3</v>
          </cell>
        </row>
        <row r="868">
          <cell r="A868" t="str">
            <v>JPY_LIBOR_6M_EOD</v>
          </cell>
          <cell r="C868">
            <v>45614</v>
          </cell>
          <cell r="E868">
            <v>4.0503466999831797E-3</v>
          </cell>
        </row>
        <row r="869">
          <cell r="A869" t="str">
            <v>JPY_LIBOR_6M_EOD</v>
          </cell>
          <cell r="C869">
            <v>45978</v>
          </cell>
          <cell r="E869">
            <v>4.7230540515324701E-3</v>
          </cell>
        </row>
        <row r="870">
          <cell r="A870" t="str">
            <v>JPY_LIBOR_6M_EOD</v>
          </cell>
          <cell r="C870">
            <v>46707</v>
          </cell>
          <cell r="E870">
            <v>6.13171284079161E-3</v>
          </cell>
        </row>
        <row r="871">
          <cell r="A871" t="str">
            <v>JPY_LIBOR_6M_EOD</v>
          </cell>
          <cell r="C871">
            <v>47805</v>
          </cell>
          <cell r="E871">
            <v>8.35246237653995E-3</v>
          </cell>
        </row>
        <row r="872">
          <cell r="A872" t="str">
            <v>JPY_LIBOR_6M_EOD</v>
          </cell>
          <cell r="C872">
            <v>49629</v>
          </cell>
          <cell r="E872">
            <v>1.1296287485787201E-2</v>
          </cell>
        </row>
        <row r="873">
          <cell r="A873" t="str">
            <v>JPY_LIBOR_6M_EOD</v>
          </cell>
          <cell r="C873">
            <v>51456</v>
          </cell>
          <cell r="E873">
            <v>1.29271763785573E-2</v>
          </cell>
        </row>
        <row r="874">
          <cell r="A874" t="str">
            <v>JPY_LIBOR_6M_EOD</v>
          </cell>
          <cell r="C874">
            <v>53282</v>
          </cell>
          <cell r="E874">
            <v>1.3809351375927099E-2</v>
          </cell>
        </row>
        <row r="875">
          <cell r="A875" t="str">
            <v>JPY_LIBOR_6M_EOD</v>
          </cell>
          <cell r="C875">
            <v>56934</v>
          </cell>
          <cell r="E875">
            <v>1.5272843589121E-2</v>
          </cell>
        </row>
        <row r="876">
          <cell r="A876" t="str">
            <v>JPY_LIBOR_EOD</v>
          </cell>
          <cell r="C876">
            <v>42321</v>
          </cell>
          <cell r="E876">
            <v>3.7655813919235999E-4</v>
          </cell>
        </row>
        <row r="877">
          <cell r="A877" t="str">
            <v>JPY_LIBOR_EOD</v>
          </cell>
          <cell r="C877">
            <v>42324</v>
          </cell>
          <cell r="E877">
            <v>3.7655784776480998E-4</v>
          </cell>
        </row>
        <row r="878">
          <cell r="A878" t="str">
            <v>JPY_LIBOR_EOD</v>
          </cell>
          <cell r="C878">
            <v>42332</v>
          </cell>
          <cell r="E878">
            <v>3.7175810067480001E-4</v>
          </cell>
        </row>
        <row r="879">
          <cell r="A879" t="str">
            <v>JPY_LIBOR_EOD</v>
          </cell>
          <cell r="C879">
            <v>42354</v>
          </cell>
          <cell r="E879">
            <v>4.1493055472060001E-4</v>
          </cell>
        </row>
        <row r="880">
          <cell r="A880" t="str">
            <v>JPY_LIBOR_EOD</v>
          </cell>
          <cell r="C880">
            <v>42387</v>
          </cell>
          <cell r="E880">
            <v>5.1953935898923001E-4</v>
          </cell>
        </row>
        <row r="881">
          <cell r="A881" t="str">
            <v>JPY_LIBOR_EOD</v>
          </cell>
          <cell r="C881">
            <v>42416</v>
          </cell>
          <cell r="E881">
            <v>7.4435272125627995E-4</v>
          </cell>
        </row>
        <row r="882">
          <cell r="A882" t="str">
            <v>JPY_LIBOR_EOD</v>
          </cell>
          <cell r="C882">
            <v>42506</v>
          </cell>
          <cell r="E882">
            <v>1.1996269136215799E-3</v>
          </cell>
        </row>
        <row r="883">
          <cell r="A883" t="str">
            <v>JPY_LIBOR_EOD</v>
          </cell>
          <cell r="C883">
            <v>42690</v>
          </cell>
          <cell r="E883">
            <v>1.1042082726643501E-3</v>
          </cell>
        </row>
        <row r="884">
          <cell r="A884" t="str">
            <v>JPY_LIBOR_EOD</v>
          </cell>
          <cell r="C884">
            <v>43055</v>
          </cell>
          <cell r="E884">
            <v>1.00871427458624E-3</v>
          </cell>
        </row>
        <row r="885">
          <cell r="A885" t="str">
            <v>JPY_LIBOR_EOD</v>
          </cell>
          <cell r="C885">
            <v>43420</v>
          </cell>
          <cell r="E885">
            <v>1.0472690273862499E-3</v>
          </cell>
        </row>
        <row r="886">
          <cell r="A886" t="str">
            <v>JPY_LIBOR_EOD</v>
          </cell>
          <cell r="C886">
            <v>43787</v>
          </cell>
          <cell r="E886">
            <v>1.2788194876103599E-3</v>
          </cell>
        </row>
        <row r="887">
          <cell r="A887" t="str">
            <v>JPY_LIBOR_EOD</v>
          </cell>
          <cell r="C887">
            <v>44151</v>
          </cell>
          <cell r="E887">
            <v>1.6857883078456499E-3</v>
          </cell>
        </row>
        <row r="888">
          <cell r="A888" t="str">
            <v>JPY_LIBOR_EOD</v>
          </cell>
          <cell r="C888">
            <v>44516</v>
          </cell>
          <cell r="E888">
            <v>2.21291249645072E-3</v>
          </cell>
        </row>
        <row r="889">
          <cell r="A889" t="str">
            <v>JPY_LIBOR_EOD</v>
          </cell>
          <cell r="C889">
            <v>44881</v>
          </cell>
          <cell r="E889">
            <v>2.79205266777175E-3</v>
          </cell>
        </row>
        <row r="890">
          <cell r="A890" t="str">
            <v>JPY_LIBOR_EOD</v>
          </cell>
          <cell r="C890">
            <v>45246</v>
          </cell>
          <cell r="E890">
            <v>3.4113551311473699E-3</v>
          </cell>
        </row>
        <row r="891">
          <cell r="A891" t="str">
            <v>JPY_LIBOR_EOD</v>
          </cell>
          <cell r="C891">
            <v>45614</v>
          </cell>
          <cell r="E891">
            <v>4.0588974805232598E-3</v>
          </cell>
        </row>
        <row r="892">
          <cell r="A892" t="str">
            <v>JPY_LIBOR_EOD</v>
          </cell>
          <cell r="C892">
            <v>45978</v>
          </cell>
          <cell r="E892">
            <v>4.7355660771630798E-3</v>
          </cell>
        </row>
        <row r="893">
          <cell r="A893" t="str">
            <v>JPY_LIBOR_EOD</v>
          </cell>
          <cell r="C893">
            <v>46707</v>
          </cell>
          <cell r="E893">
            <v>6.1539298893018898E-3</v>
          </cell>
        </row>
        <row r="894">
          <cell r="A894" t="str">
            <v>JPY_LIBOR_EOD</v>
          </cell>
          <cell r="C894">
            <v>47805</v>
          </cell>
          <cell r="E894">
            <v>8.3920406550604693E-3</v>
          </cell>
        </row>
        <row r="895">
          <cell r="A895" t="str">
            <v>JPY_LIBOR_EOD</v>
          </cell>
          <cell r="C895">
            <v>49629</v>
          </cell>
          <cell r="E895">
            <v>1.1362522664089899E-2</v>
          </cell>
        </row>
        <row r="896">
          <cell r="A896" t="str">
            <v>JPY_LIBOR_EOD</v>
          </cell>
          <cell r="C896">
            <v>51456</v>
          </cell>
          <cell r="E896">
            <v>1.30080078471464E-2</v>
          </cell>
        </row>
        <row r="897">
          <cell r="A897" t="str">
            <v>JPY_LIBOR_EOD</v>
          </cell>
          <cell r="C897">
            <v>53282</v>
          </cell>
          <cell r="E897">
            <v>1.3896758121951999E-2</v>
          </cell>
        </row>
        <row r="898">
          <cell r="A898" t="str">
            <v>JPY_LIBOR_EOD</v>
          </cell>
          <cell r="C898">
            <v>56934</v>
          </cell>
          <cell r="E898">
            <v>1.53807917714809E-2</v>
          </cell>
        </row>
        <row r="899">
          <cell r="A899" t="str">
            <v>JPY_TONA_EOD</v>
          </cell>
          <cell r="C899">
            <v>42321</v>
          </cell>
          <cell r="E899">
            <v>7.7999916661339005E-4</v>
          </cell>
        </row>
        <row r="900">
          <cell r="A900" t="str">
            <v>JPY_TONA_EOD</v>
          </cell>
          <cell r="C900">
            <v>42324</v>
          </cell>
          <cell r="E900">
            <v>7.7999791647342996E-4</v>
          </cell>
        </row>
        <row r="901">
          <cell r="A901" t="str">
            <v>JPY_TONA_EOD</v>
          </cell>
          <cell r="C901">
            <v>42332</v>
          </cell>
          <cell r="E901">
            <v>7.2665572571957004E-4</v>
          </cell>
        </row>
        <row r="902">
          <cell r="A902" t="str">
            <v>JPY_TONA_EOD</v>
          </cell>
          <cell r="C902">
            <v>42338</v>
          </cell>
          <cell r="E902">
            <v>7.0829692471700996E-4</v>
          </cell>
        </row>
        <row r="903">
          <cell r="A903" t="str">
            <v>JPY_TONA_EOD</v>
          </cell>
          <cell r="C903">
            <v>42345</v>
          </cell>
          <cell r="E903">
            <v>7.0113749096280004E-4</v>
          </cell>
        </row>
        <row r="904">
          <cell r="A904" t="str">
            <v>JPY_TONA_EOD</v>
          </cell>
          <cell r="C904">
            <v>42354</v>
          </cell>
          <cell r="E904">
            <v>7.1583308727547995E-4</v>
          </cell>
        </row>
        <row r="905">
          <cell r="A905" t="str">
            <v>JPY_TONA_EOD</v>
          </cell>
          <cell r="C905">
            <v>42387</v>
          </cell>
          <cell r="E905">
            <v>6.9047361138793999E-4</v>
          </cell>
        </row>
        <row r="906">
          <cell r="A906" t="str">
            <v>JPY_TONA_EOD</v>
          </cell>
          <cell r="C906">
            <v>42416</v>
          </cell>
          <cell r="E906">
            <v>6.7452903616104995E-4</v>
          </cell>
        </row>
        <row r="907">
          <cell r="A907" t="str">
            <v>JPY_TONA_EOD</v>
          </cell>
          <cell r="C907">
            <v>42445</v>
          </cell>
          <cell r="E907">
            <v>6.5409215322806001E-4</v>
          </cell>
        </row>
        <row r="908">
          <cell r="A908" t="str">
            <v>JPY_TONA_EOD</v>
          </cell>
          <cell r="C908">
            <v>42478</v>
          </cell>
          <cell r="E908">
            <v>6.3420303242852001E-4</v>
          </cell>
        </row>
        <row r="909">
          <cell r="A909" t="str">
            <v>JPY_TONA_EOD</v>
          </cell>
          <cell r="C909">
            <v>42506</v>
          </cell>
          <cell r="E909">
            <v>6.1503240758127001E-4</v>
          </cell>
        </row>
        <row r="910">
          <cell r="A910" t="str">
            <v>JPY_TONA_EOD</v>
          </cell>
          <cell r="C910">
            <v>42537</v>
          </cell>
          <cell r="E910">
            <v>5.9340259195274998E-4</v>
          </cell>
        </row>
        <row r="911">
          <cell r="A911" t="str">
            <v>JPY_TONA_EOD</v>
          </cell>
          <cell r="C911">
            <v>42570</v>
          </cell>
          <cell r="E911">
            <v>5.7817036154106003E-4</v>
          </cell>
        </row>
        <row r="912">
          <cell r="A912" t="str">
            <v>JPY_TONA_EOD</v>
          </cell>
          <cell r="C912">
            <v>42598</v>
          </cell>
          <cell r="E912">
            <v>5.6452725157804995E-4</v>
          </cell>
        </row>
        <row r="913">
          <cell r="A913" t="str">
            <v>JPY_TONA_EOD</v>
          </cell>
          <cell r="C913">
            <v>42629</v>
          </cell>
          <cell r="E913">
            <v>5.4298654955646996E-4</v>
          </cell>
        </row>
        <row r="914">
          <cell r="A914" t="str">
            <v>JPY_TONA_EOD</v>
          </cell>
          <cell r="C914">
            <v>42660</v>
          </cell>
          <cell r="E914">
            <v>5.3281342361281001E-4</v>
          </cell>
        </row>
        <row r="915">
          <cell r="A915" t="str">
            <v>JPY_TONA_EOD</v>
          </cell>
          <cell r="C915">
            <v>42690</v>
          </cell>
          <cell r="E915">
            <v>5.0003748941432997E-4</v>
          </cell>
        </row>
        <row r="916">
          <cell r="A916" t="str">
            <v>JPY_TONA_EOD</v>
          </cell>
          <cell r="C916">
            <v>42871</v>
          </cell>
          <cell r="E916">
            <v>4.2699193042634002E-4</v>
          </cell>
        </row>
        <row r="917">
          <cell r="A917" t="str">
            <v>JPY_TONA_EOD</v>
          </cell>
          <cell r="C917">
            <v>43055</v>
          </cell>
          <cell r="E917">
            <v>3.8605876395521001E-4</v>
          </cell>
        </row>
        <row r="918">
          <cell r="A918" t="str">
            <v>JPY_TONA_EOD</v>
          </cell>
          <cell r="C918">
            <v>43420</v>
          </cell>
          <cell r="E918">
            <v>3.3591054011168999E-4</v>
          </cell>
        </row>
        <row r="919">
          <cell r="A919" t="str">
            <v>JPY_TONA_EOD</v>
          </cell>
          <cell r="C919">
            <v>43787</v>
          </cell>
          <cell r="E919">
            <v>5.0734080850899999E-4</v>
          </cell>
        </row>
        <row r="920">
          <cell r="A920" t="str">
            <v>JPY_TONA_EOD</v>
          </cell>
          <cell r="C920">
            <v>44151</v>
          </cell>
          <cell r="E920">
            <v>8.4502717307961004E-4</v>
          </cell>
        </row>
        <row r="921">
          <cell r="A921" t="str">
            <v>JPY_TONA_EOD</v>
          </cell>
          <cell r="C921">
            <v>44516</v>
          </cell>
          <cell r="E921">
            <v>1.30075885112399E-3</v>
          </cell>
        </row>
        <row r="922">
          <cell r="A922" t="str">
            <v>JPY_TONA_EOD</v>
          </cell>
          <cell r="C922">
            <v>44881</v>
          </cell>
          <cell r="E922">
            <v>1.8096974982169901E-3</v>
          </cell>
        </row>
        <row r="923">
          <cell r="A923" t="str">
            <v>JPY_TONA_EOD</v>
          </cell>
          <cell r="C923">
            <v>45246</v>
          </cell>
          <cell r="E923">
            <v>2.36001932579826E-3</v>
          </cell>
        </row>
        <row r="924">
          <cell r="A924" t="str">
            <v>JPY_TONA_EOD</v>
          </cell>
          <cell r="C924">
            <v>45614</v>
          </cell>
          <cell r="E924">
            <v>2.9222068559134999E-3</v>
          </cell>
        </row>
        <row r="925">
          <cell r="A925" t="str">
            <v>JPY_TONA_EOD</v>
          </cell>
          <cell r="C925">
            <v>45978</v>
          </cell>
          <cell r="E925">
            <v>3.50936156252381E-3</v>
          </cell>
        </row>
        <row r="926">
          <cell r="A926" t="str">
            <v>JPY_TONA_EOD</v>
          </cell>
          <cell r="C926">
            <v>46707</v>
          </cell>
          <cell r="E926">
            <v>4.8185375523852603E-3</v>
          </cell>
        </row>
        <row r="927">
          <cell r="A927" t="str">
            <v>JPY_TONA_EOD</v>
          </cell>
          <cell r="C927">
            <v>47805</v>
          </cell>
          <cell r="E927">
            <v>7.0446428467788504E-3</v>
          </cell>
        </row>
        <row r="928">
          <cell r="A928" t="str">
            <v>JPY_TONA_EOD</v>
          </cell>
          <cell r="C928">
            <v>49629</v>
          </cell>
          <cell r="E928">
            <v>9.9887811512951504E-3</v>
          </cell>
        </row>
        <row r="929">
          <cell r="A929" t="str">
            <v>JPY_TONA_EOD</v>
          </cell>
          <cell r="C929">
            <v>51456</v>
          </cell>
          <cell r="E929">
            <v>1.1613896094608901E-2</v>
          </cell>
        </row>
        <row r="930">
          <cell r="A930" t="str">
            <v>JPY_TONA_EOD</v>
          </cell>
          <cell r="C930">
            <v>53282</v>
          </cell>
          <cell r="E930">
            <v>1.2493539031888601E-2</v>
          </cell>
        </row>
        <row r="931">
          <cell r="A931" t="str">
            <v>JPY_TONA_EOD</v>
          </cell>
          <cell r="C931">
            <v>56934</v>
          </cell>
          <cell r="E931">
            <v>1.3935147027587601E-2</v>
          </cell>
        </row>
        <row r="932">
          <cell r="A932" t="str">
            <v>MXN_TIIE_EOD</v>
          </cell>
          <cell r="C932">
            <v>42405</v>
          </cell>
          <cell r="E932">
            <v>3.4553123716273698E-2</v>
          </cell>
        </row>
        <row r="933">
          <cell r="A933" t="str">
            <v>MXN_TIIE_EOD</v>
          </cell>
          <cell r="C933">
            <v>42489</v>
          </cell>
          <cell r="E933">
            <v>3.6243619095303201E-2</v>
          </cell>
        </row>
        <row r="934">
          <cell r="A934" t="str">
            <v>MXN_TIIE_EOD</v>
          </cell>
          <cell r="C934">
            <v>42573</v>
          </cell>
          <cell r="E934">
            <v>3.7868742258725503E-2</v>
          </cell>
        </row>
        <row r="935">
          <cell r="A935" t="str">
            <v>MXN_TIIE_EOD</v>
          </cell>
          <cell r="C935">
            <v>42685</v>
          </cell>
          <cell r="E935">
            <v>3.9497120815592597E-2</v>
          </cell>
        </row>
        <row r="936">
          <cell r="A936" t="str">
            <v>MXN_TIIE_EOD</v>
          </cell>
          <cell r="C936">
            <v>43049</v>
          </cell>
          <cell r="E936">
            <v>4.4547777638619203E-2</v>
          </cell>
        </row>
        <row r="937">
          <cell r="A937" t="str">
            <v>MXN_TIIE_EOD</v>
          </cell>
          <cell r="C937">
            <v>43413</v>
          </cell>
          <cell r="E937">
            <v>4.9130841762747103E-2</v>
          </cell>
        </row>
        <row r="938">
          <cell r="A938" t="str">
            <v>MXN_TIIE_EOD</v>
          </cell>
          <cell r="C938">
            <v>43777</v>
          </cell>
          <cell r="E938">
            <v>5.3326964566173897E-2</v>
          </cell>
        </row>
        <row r="939">
          <cell r="A939" t="str">
            <v>MXN_TIIE_EOD</v>
          </cell>
          <cell r="C939">
            <v>44141</v>
          </cell>
          <cell r="E939">
            <v>5.6923758735159202E-2</v>
          </cell>
        </row>
        <row r="940">
          <cell r="A940" t="str">
            <v>MXN_TIIE_EOD</v>
          </cell>
          <cell r="C940">
            <v>44869</v>
          </cell>
          <cell r="E940">
            <v>6.2541243188432002E-2</v>
          </cell>
        </row>
        <row r="941">
          <cell r="A941" t="str">
            <v>MXN_TIIE_EOD</v>
          </cell>
          <cell r="C941">
            <v>45961</v>
          </cell>
          <cell r="E941">
            <v>6.7197385760969106E-2</v>
          </cell>
        </row>
        <row r="942">
          <cell r="A942" t="str">
            <v>MXN_TIIE_EOD</v>
          </cell>
          <cell r="C942">
            <v>47781</v>
          </cell>
          <cell r="E942">
            <v>7.2320479560657694E-2</v>
          </cell>
        </row>
        <row r="943">
          <cell r="A943" t="str">
            <v>MXN_TIIE_EOD</v>
          </cell>
          <cell r="C943">
            <v>49601</v>
          </cell>
          <cell r="E943">
            <v>7.5385724799529902E-2</v>
          </cell>
        </row>
        <row r="944">
          <cell r="A944" t="str">
            <v>MXN_TIIE_EOD</v>
          </cell>
          <cell r="C944">
            <v>53241</v>
          </cell>
          <cell r="E944">
            <v>7.8515905354190896E-2</v>
          </cell>
        </row>
        <row r="945">
          <cell r="A945" t="str">
            <v>MXN_USDMXNBASIS_EOD</v>
          </cell>
          <cell r="C945">
            <v>42326</v>
          </cell>
          <cell r="E945">
            <v>2.7629065769764202E-2</v>
          </cell>
        </row>
        <row r="946">
          <cell r="A946" t="str">
            <v>MXN_USDMXNBASIS_EOD</v>
          </cell>
          <cell r="C946">
            <v>42355</v>
          </cell>
          <cell r="E946">
            <v>2.9126715354777399E-2</v>
          </cell>
        </row>
        <row r="947">
          <cell r="A947" t="str">
            <v>MXN_USDMXNBASIS_EOD</v>
          </cell>
          <cell r="C947">
            <v>42388</v>
          </cell>
          <cell r="E947">
            <v>2.75772699137555E-2</v>
          </cell>
        </row>
        <row r="948">
          <cell r="A948" t="str">
            <v>MXN_USDMXNBASIS_EOD</v>
          </cell>
          <cell r="C948">
            <v>42417</v>
          </cell>
          <cell r="E948">
            <v>2.8940331442418001E-2</v>
          </cell>
        </row>
        <row r="949">
          <cell r="A949" t="str">
            <v>MXN_USDMXNBASIS_EOD</v>
          </cell>
          <cell r="C949">
            <v>42507</v>
          </cell>
          <cell r="E949">
            <v>3.08940323480414E-2</v>
          </cell>
        </row>
        <row r="950">
          <cell r="A950" t="str">
            <v>MXN_USDMXNBASIS_EOD</v>
          </cell>
          <cell r="C950">
            <v>42599</v>
          </cell>
          <cell r="E950">
            <v>3.2523530260490999E-2</v>
          </cell>
        </row>
        <row r="951">
          <cell r="A951" t="str">
            <v>MXN_USDMXNBASIS_EOD</v>
          </cell>
          <cell r="C951">
            <v>42691</v>
          </cell>
          <cell r="E951">
            <v>3.3681513137604098E-2</v>
          </cell>
        </row>
        <row r="952">
          <cell r="A952" t="str">
            <v>MXN_USDMXNBASIS_EOD</v>
          </cell>
          <cell r="C952">
            <v>42872</v>
          </cell>
          <cell r="E952">
            <v>3.6054602658719202E-2</v>
          </cell>
        </row>
        <row r="953">
          <cell r="A953" t="str">
            <v>MXN_USDMXNBASIS_EOD</v>
          </cell>
          <cell r="C953">
            <v>43053</v>
          </cell>
          <cell r="E953">
            <v>3.7652415590854797E-2</v>
          </cell>
        </row>
        <row r="954">
          <cell r="A954" t="str">
            <v>MXN_USDMXNBASIS_EOD</v>
          </cell>
          <cell r="C954">
            <v>43417</v>
          </cell>
          <cell r="E954">
            <v>4.1328207280292399E-2</v>
          </cell>
        </row>
        <row r="955">
          <cell r="A955" t="str">
            <v>MXN_USDMXNBASIS_EOD</v>
          </cell>
          <cell r="C955">
            <v>43781</v>
          </cell>
          <cell r="E955">
            <v>4.4680857001257603E-2</v>
          </cell>
        </row>
        <row r="956">
          <cell r="A956" t="str">
            <v>MXN_USDMXNBASIS_EOD</v>
          </cell>
          <cell r="C956">
            <v>44145</v>
          </cell>
          <cell r="E956">
            <v>4.7090702526491397E-2</v>
          </cell>
        </row>
        <row r="957">
          <cell r="A957" t="str">
            <v>MXN_USDMXNBASIS_EOD</v>
          </cell>
          <cell r="C957">
            <v>44873</v>
          </cell>
          <cell r="E957">
            <v>5.1352588211750698E-2</v>
          </cell>
        </row>
        <row r="958">
          <cell r="A958" t="str">
            <v>MXN_USDMXNBASIS_EOD</v>
          </cell>
          <cell r="C958">
            <v>45965</v>
          </cell>
          <cell r="E958">
            <v>5.5372187493575101E-2</v>
          </cell>
        </row>
        <row r="959">
          <cell r="A959" t="str">
            <v>MXN_USDMXNBASIS_EOD</v>
          </cell>
          <cell r="C959">
            <v>47785</v>
          </cell>
          <cell r="E959">
            <v>5.9438446476450697E-2</v>
          </cell>
        </row>
        <row r="960">
          <cell r="A960" t="str">
            <v>MXN_USDMXNBASIS_EOD</v>
          </cell>
          <cell r="C960">
            <v>49605</v>
          </cell>
          <cell r="E960">
            <v>6.1044408586583498E-2</v>
          </cell>
        </row>
        <row r="961">
          <cell r="A961" t="str">
            <v>MXN_USDMXNBASIS_EOD</v>
          </cell>
          <cell r="C961">
            <v>53245</v>
          </cell>
          <cell r="E961">
            <v>6.0814693630267501E-2</v>
          </cell>
        </row>
        <row r="962">
          <cell r="A962" t="str">
            <v>NOK_NIBOR_3M_EOD</v>
          </cell>
          <cell r="C962">
            <v>42416</v>
          </cell>
          <cell r="E962">
            <v>1.17437129063915E-2</v>
          </cell>
        </row>
        <row r="963">
          <cell r="A963" t="str">
            <v>NOK_NIBOR_3M_EOD</v>
          </cell>
          <cell r="C963">
            <v>42445</v>
          </cell>
          <cell r="E963">
            <v>1.0823763950954499E-2</v>
          </cell>
        </row>
        <row r="964">
          <cell r="A964" t="str">
            <v>NOK_NIBOR_3M_EOD</v>
          </cell>
          <cell r="C964">
            <v>42536</v>
          </cell>
          <cell r="E964">
            <v>9.9545457758455306E-3</v>
          </cell>
        </row>
        <row r="965">
          <cell r="A965" t="str">
            <v>NOK_NIBOR_3M_EOD</v>
          </cell>
          <cell r="C965">
            <v>42634</v>
          </cell>
          <cell r="E965">
            <v>9.3448784431441802E-3</v>
          </cell>
        </row>
        <row r="966">
          <cell r="A966" t="str">
            <v>NOK_NIBOR_3M_EOD</v>
          </cell>
          <cell r="C966">
            <v>42725</v>
          </cell>
          <cell r="E966">
            <v>9.0203497097177208E-3</v>
          </cell>
        </row>
        <row r="967">
          <cell r="A967" t="str">
            <v>NOK_NIBOR_3M_EOD</v>
          </cell>
          <cell r="C967">
            <v>43055</v>
          </cell>
          <cell r="E967">
            <v>8.8195162505456098E-3</v>
          </cell>
        </row>
        <row r="968">
          <cell r="A968" t="str">
            <v>NOK_NIBOR_3M_EOD</v>
          </cell>
          <cell r="C968">
            <v>43420</v>
          </cell>
          <cell r="E968">
            <v>9.5732934992609903E-3</v>
          </cell>
        </row>
        <row r="969">
          <cell r="A969" t="str">
            <v>NOK_NIBOR_3M_EOD</v>
          </cell>
          <cell r="C969">
            <v>43787</v>
          </cell>
          <cell r="E969">
            <v>1.09775984110046E-2</v>
          </cell>
        </row>
        <row r="970">
          <cell r="A970" t="str">
            <v>NOK_NIBOR_3M_EOD</v>
          </cell>
          <cell r="C970">
            <v>44151</v>
          </cell>
          <cell r="E970">
            <v>1.26192173448037E-2</v>
          </cell>
        </row>
        <row r="971">
          <cell r="A971" t="str">
            <v>NOK_NIBOR_3M_EOD</v>
          </cell>
          <cell r="C971">
            <v>44516</v>
          </cell>
          <cell r="E971">
            <v>1.4238474067998899E-2</v>
          </cell>
        </row>
        <row r="972">
          <cell r="A972" t="str">
            <v>NOK_NIBOR_3M_EOD</v>
          </cell>
          <cell r="C972">
            <v>44881</v>
          </cell>
          <cell r="E972">
            <v>1.57530903496917E-2</v>
          </cell>
        </row>
        <row r="973">
          <cell r="A973" t="str">
            <v>NOK_NIBOR_3M_EOD</v>
          </cell>
          <cell r="C973">
            <v>45246</v>
          </cell>
          <cell r="E973">
            <v>1.70344529540871E-2</v>
          </cell>
        </row>
        <row r="974">
          <cell r="A974" t="str">
            <v>NOK_NIBOR_3M_EOD</v>
          </cell>
          <cell r="C974">
            <v>45614</v>
          </cell>
          <cell r="E974">
            <v>1.8211380536952398E-2</v>
          </cell>
        </row>
        <row r="975">
          <cell r="A975" t="str">
            <v>NOK_NIBOR_3M_EOD</v>
          </cell>
          <cell r="C975">
            <v>45978</v>
          </cell>
          <cell r="E975">
            <v>1.9221063638207699E-2</v>
          </cell>
        </row>
        <row r="976">
          <cell r="A976" t="str">
            <v>NOK_NIBOR_3M_EOD</v>
          </cell>
          <cell r="C976">
            <v>46707</v>
          </cell>
          <cell r="E976">
            <v>2.0536176773748901E-2</v>
          </cell>
        </row>
        <row r="977">
          <cell r="A977" t="str">
            <v>NOK_NIBOR_3M_EOD</v>
          </cell>
          <cell r="C977">
            <v>47805</v>
          </cell>
          <cell r="E977">
            <v>2.1616321085885699E-2</v>
          </cell>
        </row>
        <row r="978">
          <cell r="A978" t="str">
            <v>NOK_NIBOR_3M_EOD</v>
          </cell>
          <cell r="C978">
            <v>49629</v>
          </cell>
          <cell r="E978">
            <v>2.2288116774972399E-2</v>
          </cell>
        </row>
        <row r="979">
          <cell r="A979" t="str">
            <v>NOK_NIBOR_3M_EOD</v>
          </cell>
          <cell r="C979">
            <v>51456</v>
          </cell>
          <cell r="E979">
            <v>2.2449848508842601E-2</v>
          </cell>
        </row>
        <row r="980">
          <cell r="A980" t="str">
            <v>NOK_NIBOR_3M_EOD</v>
          </cell>
          <cell r="C980">
            <v>53282</v>
          </cell>
          <cell r="E980">
            <v>2.2309121829164499E-2</v>
          </cell>
        </row>
        <row r="981">
          <cell r="A981" t="str">
            <v>NOK_NIBOR_6M_EOD</v>
          </cell>
          <cell r="C981">
            <v>42508</v>
          </cell>
          <cell r="E981">
            <v>1.15247902885794E-2</v>
          </cell>
        </row>
        <row r="982">
          <cell r="A982" t="str">
            <v>NOK_NIBOR_6M_EOD</v>
          </cell>
          <cell r="C982">
            <v>42690</v>
          </cell>
          <cell r="E982">
            <v>1.02807096388715E-2</v>
          </cell>
        </row>
        <row r="983">
          <cell r="A983" t="str">
            <v>NOK_NIBOR_6M_EOD</v>
          </cell>
          <cell r="C983">
            <v>43055</v>
          </cell>
          <cell r="E983">
            <v>9.7817845808898692E-3</v>
          </cell>
        </row>
        <row r="984">
          <cell r="A984" t="str">
            <v>NOK_NIBOR_6M_EOD</v>
          </cell>
          <cell r="C984">
            <v>43420</v>
          </cell>
          <cell r="E984">
            <v>1.04990217004567E-2</v>
          </cell>
        </row>
        <row r="985">
          <cell r="A985" t="str">
            <v>NOK_NIBOR_6M_EOD</v>
          </cell>
          <cell r="C985">
            <v>43787</v>
          </cell>
          <cell r="E985">
            <v>1.1865207808235001E-2</v>
          </cell>
        </row>
        <row r="986">
          <cell r="A986" t="str">
            <v>NOK_NIBOR_6M_EOD</v>
          </cell>
          <cell r="C986">
            <v>44151</v>
          </cell>
          <cell r="E986">
            <v>1.34758481266526E-2</v>
          </cell>
        </row>
        <row r="987">
          <cell r="A987" t="str">
            <v>NOK_NIBOR_6M_EOD</v>
          </cell>
          <cell r="C987">
            <v>44516</v>
          </cell>
          <cell r="E987">
            <v>1.5064352717928499E-2</v>
          </cell>
        </row>
        <row r="988">
          <cell r="A988" t="str">
            <v>NOK_NIBOR_6M_EOD</v>
          </cell>
          <cell r="C988">
            <v>44881</v>
          </cell>
          <cell r="E988">
            <v>1.6568607492123501E-2</v>
          </cell>
        </row>
        <row r="989">
          <cell r="A989" t="str">
            <v>NOK_NIBOR_6M_EOD</v>
          </cell>
          <cell r="C989">
            <v>45246</v>
          </cell>
          <cell r="E989">
            <v>1.78394285409735E-2</v>
          </cell>
        </row>
        <row r="990">
          <cell r="A990" t="str">
            <v>NOK_NIBOR_6M_EOD</v>
          </cell>
          <cell r="C990">
            <v>45614</v>
          </cell>
          <cell r="E990">
            <v>1.9005379368488499E-2</v>
          </cell>
        </row>
        <row r="991">
          <cell r="A991" t="str">
            <v>NOK_NIBOR_6M_EOD</v>
          </cell>
          <cell r="C991">
            <v>45978</v>
          </cell>
          <cell r="E991">
            <v>2.00031758700757E-2</v>
          </cell>
        </row>
        <row r="992">
          <cell r="A992" t="str">
            <v>NOK_NIBOR_6M_EOD</v>
          </cell>
          <cell r="C992">
            <v>46707</v>
          </cell>
          <cell r="E992">
            <v>2.1309177264317899E-2</v>
          </cell>
        </row>
        <row r="993">
          <cell r="A993" t="str">
            <v>NOK_NIBOR_6M_EOD</v>
          </cell>
          <cell r="C993">
            <v>47805</v>
          </cell>
          <cell r="E993">
            <v>2.23785275723043E-2</v>
          </cell>
        </row>
        <row r="994">
          <cell r="A994" t="str">
            <v>NOK_NIBOR_6M_EOD</v>
          </cell>
          <cell r="C994">
            <v>49629</v>
          </cell>
          <cell r="E994">
            <v>2.2966967206792401E-2</v>
          </cell>
        </row>
        <row r="995">
          <cell r="A995" t="str">
            <v>NOK_NIBOR_6M_EOD</v>
          </cell>
          <cell r="C995">
            <v>51456</v>
          </cell>
          <cell r="E995">
            <v>2.3108219105344E-2</v>
          </cell>
        </row>
        <row r="996">
          <cell r="A996" t="str">
            <v>NOK_NIBOR_6M_EOD</v>
          </cell>
          <cell r="C996">
            <v>53282</v>
          </cell>
          <cell r="E996">
            <v>2.2956235944997599E-2</v>
          </cell>
        </row>
        <row r="997">
          <cell r="A997" t="str">
            <v>NOK_NIBOR_EOD</v>
          </cell>
          <cell r="C997">
            <v>42321</v>
          </cell>
          <cell r="E997">
            <v>7.6040874577066398E-3</v>
          </cell>
        </row>
        <row r="998">
          <cell r="A998" t="str">
            <v>NOK_NIBOR_EOD</v>
          </cell>
          <cell r="C998">
            <v>42324</v>
          </cell>
          <cell r="E998">
            <v>7.6039686492025997E-3</v>
          </cell>
        </row>
        <row r="999">
          <cell r="A999" t="str">
            <v>NOK_NIBOR_EOD</v>
          </cell>
          <cell r="C999">
            <v>42331</v>
          </cell>
          <cell r="E999">
            <v>9.0229489714554103E-3</v>
          </cell>
        </row>
        <row r="1000">
          <cell r="A1000" t="str">
            <v>NOK_NIBOR_EOD</v>
          </cell>
          <cell r="C1000">
            <v>42354</v>
          </cell>
          <cell r="E1000">
            <v>9.9263234388178596E-3</v>
          </cell>
        </row>
        <row r="1001">
          <cell r="A1001" t="str">
            <v>NOK_NIBOR_EOD</v>
          </cell>
          <cell r="C1001">
            <v>42445</v>
          </cell>
          <cell r="E1001">
            <v>1.03294340157759E-2</v>
          </cell>
        </row>
        <row r="1002">
          <cell r="A1002" t="str">
            <v>NOK_NIBOR_EOD</v>
          </cell>
          <cell r="C1002">
            <v>42536</v>
          </cell>
          <cell r="E1002">
            <v>9.6684752115808303E-3</v>
          </cell>
        </row>
        <row r="1003">
          <cell r="A1003" t="str">
            <v>NOK_NIBOR_EOD</v>
          </cell>
          <cell r="C1003">
            <v>42634</v>
          </cell>
          <cell r="E1003">
            <v>9.1480910489132594E-3</v>
          </cell>
        </row>
        <row r="1004">
          <cell r="A1004" t="str">
            <v>NOK_NIBOR_EOD</v>
          </cell>
          <cell r="C1004">
            <v>42725</v>
          </cell>
          <cell r="E1004">
            <v>8.8677787424483699E-3</v>
          </cell>
        </row>
        <row r="1005">
          <cell r="A1005" t="str">
            <v>NOK_NIBOR_EOD</v>
          </cell>
          <cell r="C1005">
            <v>43055</v>
          </cell>
          <cell r="E1005">
            <v>9.7704698275142797E-3</v>
          </cell>
        </row>
        <row r="1006">
          <cell r="A1006" t="str">
            <v>NOK_NIBOR_EOD</v>
          </cell>
          <cell r="C1006">
            <v>43420</v>
          </cell>
          <cell r="E1006">
            <v>1.0491463177476901E-2</v>
          </cell>
        </row>
        <row r="1007">
          <cell r="A1007" t="str">
            <v>NOK_NIBOR_EOD</v>
          </cell>
          <cell r="C1007">
            <v>43787</v>
          </cell>
          <cell r="E1007">
            <v>1.18595410997702E-2</v>
          </cell>
        </row>
        <row r="1008">
          <cell r="A1008" t="str">
            <v>NOK_NIBOR_EOD</v>
          </cell>
          <cell r="C1008">
            <v>44151</v>
          </cell>
          <cell r="E1008">
            <v>1.34721575438582E-2</v>
          </cell>
        </row>
        <row r="1009">
          <cell r="A1009" t="str">
            <v>NOK_NIBOR_EOD</v>
          </cell>
          <cell r="C1009">
            <v>44516</v>
          </cell>
          <cell r="E1009">
            <v>1.5061666627503001E-2</v>
          </cell>
        </row>
        <row r="1010">
          <cell r="A1010" t="str">
            <v>NOK_NIBOR_EOD</v>
          </cell>
          <cell r="C1010">
            <v>44881</v>
          </cell>
          <cell r="E1010">
            <v>1.6566304398121501E-2</v>
          </cell>
        </row>
        <row r="1011">
          <cell r="A1011" t="str">
            <v>NOK_NIBOR_EOD</v>
          </cell>
          <cell r="C1011">
            <v>45246</v>
          </cell>
          <cell r="E1011">
            <v>1.78374128594605E-2</v>
          </cell>
        </row>
        <row r="1012">
          <cell r="A1012" t="str">
            <v>NOK_NIBOR_EOD</v>
          </cell>
          <cell r="C1012">
            <v>45614</v>
          </cell>
          <cell r="E1012">
            <v>1.9003588962294499E-2</v>
          </cell>
        </row>
        <row r="1013">
          <cell r="A1013" t="str">
            <v>NOK_NIBOR_EOD</v>
          </cell>
          <cell r="C1013">
            <v>45978</v>
          </cell>
          <cell r="E1013">
            <v>2.0002133298923801E-2</v>
          </cell>
        </row>
        <row r="1014">
          <cell r="A1014" t="str">
            <v>NOK_NIBOR_EOD</v>
          </cell>
          <cell r="C1014">
            <v>46707</v>
          </cell>
          <cell r="E1014">
            <v>2.1307195547691601E-2</v>
          </cell>
        </row>
        <row r="1015">
          <cell r="A1015" t="str">
            <v>NOK_NIBOR_EOD</v>
          </cell>
          <cell r="C1015">
            <v>47805</v>
          </cell>
          <cell r="E1015">
            <v>2.2376943586240702E-2</v>
          </cell>
        </row>
        <row r="1016">
          <cell r="A1016" t="str">
            <v>NOK_NIBOR_EOD</v>
          </cell>
          <cell r="C1016">
            <v>49629</v>
          </cell>
          <cell r="E1016">
            <v>2.2965926429576702E-2</v>
          </cell>
        </row>
        <row r="1017">
          <cell r="A1017" t="str">
            <v>NOK_NIBOR_EOD</v>
          </cell>
          <cell r="C1017">
            <v>51456</v>
          </cell>
          <cell r="E1017">
            <v>2.3107454930066398E-2</v>
          </cell>
        </row>
        <row r="1018">
          <cell r="A1018" t="str">
            <v>NOK_NIBOR_EOD</v>
          </cell>
          <cell r="C1018">
            <v>53282</v>
          </cell>
          <cell r="E1018">
            <v>2.2955658483162701E-2</v>
          </cell>
        </row>
        <row r="1019">
          <cell r="A1019" t="str">
            <v>NZD_BKBM_EOD</v>
          </cell>
          <cell r="C1019">
            <v>42321</v>
          </cell>
          <cell r="E1019">
            <v>2.7498964093130199E-2</v>
          </cell>
        </row>
        <row r="1020">
          <cell r="A1020" t="str">
            <v>NZD_BKBM_EOD</v>
          </cell>
          <cell r="C1020">
            <v>42327</v>
          </cell>
          <cell r="E1020">
            <v>2.7751234561724399E-2</v>
          </cell>
        </row>
        <row r="1021">
          <cell r="A1021" t="str">
            <v>NZD_BKBM_EOD</v>
          </cell>
          <cell r="C1021">
            <v>42352</v>
          </cell>
          <cell r="E1021">
            <v>2.8713827892892702E-2</v>
          </cell>
        </row>
        <row r="1022">
          <cell r="A1022" t="str">
            <v>NZD_BKBM_EOD</v>
          </cell>
          <cell r="C1022">
            <v>42381</v>
          </cell>
          <cell r="E1022">
            <v>2.8780672516350501E-2</v>
          </cell>
        </row>
        <row r="1023">
          <cell r="A1023" t="str">
            <v>NZD_BKBM_EOD</v>
          </cell>
          <cell r="C1023">
            <v>42412</v>
          </cell>
          <cell r="E1023">
            <v>2.8844887151567099E-2</v>
          </cell>
        </row>
        <row r="1024">
          <cell r="A1024" t="str">
            <v>NZD_BKBM_EOD</v>
          </cell>
          <cell r="C1024">
            <v>42502</v>
          </cell>
          <cell r="E1024">
            <v>2.92358622322073E-2</v>
          </cell>
        </row>
        <row r="1025">
          <cell r="A1025" t="str">
            <v>NZD_BKBM_EOD</v>
          </cell>
          <cell r="C1025">
            <v>42688</v>
          </cell>
          <cell r="E1025">
            <v>2.7387400568037401E-2</v>
          </cell>
        </row>
        <row r="1026">
          <cell r="A1026" t="str">
            <v>NZD_BKBM_EOD</v>
          </cell>
          <cell r="C1026">
            <v>43052</v>
          </cell>
          <cell r="E1026">
            <v>2.7802714948914599E-2</v>
          </cell>
        </row>
        <row r="1027">
          <cell r="A1027" t="str">
            <v>NZD_BKBM_EOD</v>
          </cell>
          <cell r="C1027">
            <v>43416</v>
          </cell>
          <cell r="E1027">
            <v>2.86963389339372E-2</v>
          </cell>
        </row>
        <row r="1028">
          <cell r="A1028" t="str">
            <v>NZD_BKBM_EOD</v>
          </cell>
          <cell r="C1028">
            <v>43781</v>
          </cell>
          <cell r="E1028">
            <v>2.9950610966410201E-2</v>
          </cell>
        </row>
        <row r="1029">
          <cell r="A1029" t="str">
            <v>NZD_BKBM_EOD</v>
          </cell>
          <cell r="C1029">
            <v>44147</v>
          </cell>
          <cell r="E1029">
            <v>3.1462076487995101E-2</v>
          </cell>
        </row>
        <row r="1030">
          <cell r="A1030" t="str">
            <v>NZD_BKBM_EOD</v>
          </cell>
          <cell r="C1030">
            <v>44879</v>
          </cell>
          <cell r="E1030">
            <v>3.4172580996433E-2</v>
          </cell>
        </row>
        <row r="1031">
          <cell r="A1031" t="str">
            <v>NZD_BKBM_EOD</v>
          </cell>
          <cell r="C1031">
            <v>45973</v>
          </cell>
          <cell r="E1031">
            <v>3.7001883796458197E-2</v>
          </cell>
        </row>
        <row r="1032">
          <cell r="A1032" t="str">
            <v>NZD_BKBM_EOD</v>
          </cell>
          <cell r="C1032">
            <v>46703</v>
          </cell>
          <cell r="E1032">
            <v>3.8044057502096801E-2</v>
          </cell>
        </row>
        <row r="1033">
          <cell r="A1033" t="str">
            <v>NZD_BKBM_EOD</v>
          </cell>
          <cell r="C1033">
            <v>47799</v>
          </cell>
          <cell r="E1033">
            <v>3.9843445317188003E-2</v>
          </cell>
        </row>
        <row r="1034">
          <cell r="A1034" t="str">
            <v>NZD_BKBM_EOD</v>
          </cell>
          <cell r="C1034">
            <v>49625</v>
          </cell>
          <cell r="E1034">
            <v>4.1317791465307202E-2</v>
          </cell>
        </row>
        <row r="1035">
          <cell r="A1035" t="str">
            <v>PLN_WIBOR_3M_EOD</v>
          </cell>
          <cell r="C1035">
            <v>42416</v>
          </cell>
          <cell r="E1035">
            <v>1.72623905525029E-2</v>
          </cell>
        </row>
        <row r="1036">
          <cell r="A1036" t="str">
            <v>PLN_WIBOR_3M_EOD</v>
          </cell>
          <cell r="C1036">
            <v>42506</v>
          </cell>
          <cell r="E1036">
            <v>1.6710626925415899E-2</v>
          </cell>
        </row>
        <row r="1037">
          <cell r="A1037" t="str">
            <v>PLN_WIBOR_3M_EOD</v>
          </cell>
          <cell r="C1037">
            <v>42598</v>
          </cell>
          <cell r="E1037">
            <v>1.5855526387640699E-2</v>
          </cell>
        </row>
        <row r="1038">
          <cell r="A1038" t="str">
            <v>PLN_WIBOR_3M_EOD</v>
          </cell>
          <cell r="C1038">
            <v>42690</v>
          </cell>
          <cell r="E1038">
            <v>1.5218743163476701E-2</v>
          </cell>
        </row>
        <row r="1039">
          <cell r="A1039" t="str">
            <v>PLN_WIBOR_3M_EOD</v>
          </cell>
          <cell r="C1039">
            <v>43055</v>
          </cell>
          <cell r="E1039">
            <v>1.46585768292987E-2</v>
          </cell>
        </row>
        <row r="1040">
          <cell r="A1040" t="str">
            <v>PLN_WIBOR_3M_EOD</v>
          </cell>
          <cell r="C1040">
            <v>43420</v>
          </cell>
          <cell r="E1040">
            <v>1.55511276494061E-2</v>
          </cell>
        </row>
        <row r="1041">
          <cell r="A1041" t="str">
            <v>PLN_WIBOR_3M_EOD</v>
          </cell>
          <cell r="C1041">
            <v>43787</v>
          </cell>
          <cell r="E1041">
            <v>1.7014043791990299E-2</v>
          </cell>
        </row>
        <row r="1042">
          <cell r="A1042" t="str">
            <v>PLN_WIBOR_3M_EOD</v>
          </cell>
          <cell r="C1042">
            <v>44151</v>
          </cell>
          <cell r="E1042">
            <v>1.8413577057164E-2</v>
          </cell>
        </row>
        <row r="1043">
          <cell r="A1043" t="str">
            <v>PLN_WIBOR_3M_EOD</v>
          </cell>
          <cell r="C1043">
            <v>44516</v>
          </cell>
          <cell r="E1043">
            <v>1.9851748187445801E-2</v>
          </cell>
        </row>
        <row r="1044">
          <cell r="A1044" t="str">
            <v>PLN_WIBOR_3M_EOD</v>
          </cell>
          <cell r="C1044">
            <v>44881</v>
          </cell>
          <cell r="E1044">
            <v>2.1143837497741399E-2</v>
          </cell>
        </row>
        <row r="1045">
          <cell r="A1045" t="str">
            <v>PLN_WIBOR_3M_EOD</v>
          </cell>
          <cell r="C1045">
            <v>45246</v>
          </cell>
          <cell r="E1045">
            <v>2.2306080718884E-2</v>
          </cell>
        </row>
        <row r="1046">
          <cell r="A1046" t="str">
            <v>PLN_WIBOR_3M_EOD</v>
          </cell>
          <cell r="C1046">
            <v>45614</v>
          </cell>
          <cell r="E1046">
            <v>2.3348769803482199E-2</v>
          </cell>
        </row>
        <row r="1047">
          <cell r="A1047" t="str">
            <v>PLN_WIBOR_3M_EOD</v>
          </cell>
          <cell r="C1047">
            <v>45978</v>
          </cell>
          <cell r="E1047">
            <v>2.4164348996282999E-2</v>
          </cell>
        </row>
        <row r="1048">
          <cell r="A1048" t="str">
            <v>PLN_WIBOR_3M_EOD</v>
          </cell>
          <cell r="C1048">
            <v>46707</v>
          </cell>
          <cell r="E1048">
            <v>2.5283083029931801E-2</v>
          </cell>
        </row>
        <row r="1049">
          <cell r="A1049" t="str">
            <v>PLN_WIBOR_3M_EOD</v>
          </cell>
          <cell r="C1049">
            <v>47805</v>
          </cell>
          <cell r="E1049">
            <v>2.6383321841694E-2</v>
          </cell>
        </row>
        <row r="1050">
          <cell r="A1050" t="str">
            <v>PLN_WIBOR_3M_EOD</v>
          </cell>
          <cell r="C1050">
            <v>49629</v>
          </cell>
          <cell r="E1050">
            <v>2.6663586550571002E-2</v>
          </cell>
        </row>
        <row r="1051">
          <cell r="A1051" t="str">
            <v>PLN_WIBOR_3M_EOD</v>
          </cell>
          <cell r="C1051">
            <v>51456</v>
          </cell>
          <cell r="E1051">
            <v>2.6136750950922199E-2</v>
          </cell>
        </row>
        <row r="1052">
          <cell r="A1052" t="str">
            <v>PLN_WIBOR_3M_EOD</v>
          </cell>
          <cell r="C1052">
            <v>53282</v>
          </cell>
          <cell r="E1052">
            <v>2.52771687894024E-2</v>
          </cell>
        </row>
        <row r="1053">
          <cell r="A1053" t="str">
            <v>PLN_WIBOR_6M_EOD</v>
          </cell>
          <cell r="C1053">
            <v>42506</v>
          </cell>
          <cell r="E1053">
            <v>1.7919702028020099E-2</v>
          </cell>
        </row>
        <row r="1054">
          <cell r="A1054" t="str">
            <v>PLN_WIBOR_6M_EOD</v>
          </cell>
          <cell r="C1054">
            <v>42690</v>
          </cell>
          <cell r="E1054">
            <v>1.60666722581553E-2</v>
          </cell>
        </row>
        <row r="1055">
          <cell r="A1055" t="str">
            <v>PLN_WIBOR_6M_EOD</v>
          </cell>
          <cell r="C1055">
            <v>42871</v>
          </cell>
          <cell r="E1055">
            <v>1.5225073924931E-2</v>
          </cell>
        </row>
        <row r="1056">
          <cell r="A1056" t="str">
            <v>PLN_WIBOR_6M_EOD</v>
          </cell>
          <cell r="C1056">
            <v>43055</v>
          </cell>
          <cell r="E1056">
            <v>1.49332467790083E-2</v>
          </cell>
        </row>
        <row r="1057">
          <cell r="A1057" t="str">
            <v>PLN_WIBOR_6M_EOD</v>
          </cell>
          <cell r="C1057">
            <v>43420</v>
          </cell>
          <cell r="E1057">
            <v>1.5501745689584E-2</v>
          </cell>
        </row>
        <row r="1058">
          <cell r="A1058" t="str">
            <v>PLN_WIBOR_6M_EOD</v>
          </cell>
          <cell r="C1058">
            <v>43787</v>
          </cell>
          <cell r="E1058">
            <v>1.6785010256348501E-2</v>
          </cell>
        </row>
        <row r="1059">
          <cell r="A1059" t="str">
            <v>PLN_WIBOR_6M_EOD</v>
          </cell>
          <cell r="C1059">
            <v>44151</v>
          </cell>
          <cell r="E1059">
            <v>1.8094487782158799E-2</v>
          </cell>
        </row>
        <row r="1060">
          <cell r="A1060" t="str">
            <v>PLN_WIBOR_6M_EOD</v>
          </cell>
          <cell r="C1060">
            <v>44516</v>
          </cell>
          <cell r="E1060">
            <v>1.9407971972917399E-2</v>
          </cell>
        </row>
        <row r="1061">
          <cell r="A1061" t="str">
            <v>PLN_WIBOR_6M_EOD</v>
          </cell>
          <cell r="C1061">
            <v>44881</v>
          </cell>
          <cell r="E1061">
            <v>2.0640542949305399E-2</v>
          </cell>
        </row>
        <row r="1062">
          <cell r="A1062" t="str">
            <v>PLN_WIBOR_6M_EOD</v>
          </cell>
          <cell r="C1062">
            <v>45246</v>
          </cell>
          <cell r="E1062">
            <v>2.1763385576604202E-2</v>
          </cell>
        </row>
        <row r="1063">
          <cell r="A1063" t="str">
            <v>PLN_WIBOR_6M_EOD</v>
          </cell>
          <cell r="C1063">
            <v>45614</v>
          </cell>
          <cell r="E1063">
            <v>2.27679197450712E-2</v>
          </cell>
        </row>
        <row r="1064">
          <cell r="A1064" t="str">
            <v>PLN_WIBOR_6M_EOD</v>
          </cell>
          <cell r="C1064">
            <v>45978</v>
          </cell>
          <cell r="E1064">
            <v>2.35715355509486E-2</v>
          </cell>
        </row>
        <row r="1065">
          <cell r="A1065" t="str">
            <v>PLN_WIBOR_6M_EOD</v>
          </cell>
          <cell r="C1065">
            <v>46707</v>
          </cell>
          <cell r="E1065">
            <v>2.4693851859784399E-2</v>
          </cell>
        </row>
        <row r="1066">
          <cell r="A1066" t="str">
            <v>PLN_WIBOR_6M_EOD</v>
          </cell>
          <cell r="C1066">
            <v>47805</v>
          </cell>
          <cell r="E1066">
            <v>2.57546715986187E-2</v>
          </cell>
        </row>
        <row r="1067">
          <cell r="A1067" t="str">
            <v>PLN_WIBOR_6M_EOD</v>
          </cell>
          <cell r="C1067">
            <v>49629</v>
          </cell>
          <cell r="E1067">
            <v>2.6016070059016402E-2</v>
          </cell>
        </row>
        <row r="1068">
          <cell r="A1068" t="str">
            <v>PLN_WIBOR_6M_EOD</v>
          </cell>
          <cell r="C1068">
            <v>51456</v>
          </cell>
          <cell r="E1068">
            <v>2.5491656117900201E-2</v>
          </cell>
        </row>
        <row r="1069">
          <cell r="A1069" t="str">
            <v>PLN_WIBOR_6M_EOD</v>
          </cell>
          <cell r="C1069">
            <v>53282</v>
          </cell>
          <cell r="E1069">
            <v>2.4649547974179901E-2</v>
          </cell>
        </row>
        <row r="1070">
          <cell r="A1070" t="str">
            <v>PLN_WIBOR_EOD</v>
          </cell>
          <cell r="C1070">
            <v>42321</v>
          </cell>
          <cell r="E1070">
            <v>1.49496938405125E-2</v>
          </cell>
        </row>
        <row r="1071">
          <cell r="A1071" t="str">
            <v>PLN_WIBOR_EOD</v>
          </cell>
          <cell r="C1071">
            <v>42324</v>
          </cell>
          <cell r="E1071">
            <v>1.4949234638967799E-2</v>
          </cell>
        </row>
        <row r="1072">
          <cell r="A1072" t="str">
            <v>PLN_WIBOR_EOD</v>
          </cell>
          <cell r="C1072">
            <v>42331</v>
          </cell>
          <cell r="E1072">
            <v>1.58071916623027E-2</v>
          </cell>
        </row>
        <row r="1073">
          <cell r="A1073" t="str">
            <v>PLN_WIBOR_EOD</v>
          </cell>
          <cell r="C1073">
            <v>42354</v>
          </cell>
          <cell r="E1073">
            <v>1.6483923996482502E-2</v>
          </cell>
        </row>
        <row r="1074">
          <cell r="A1074" t="str">
            <v>PLN_WIBOR_EOD</v>
          </cell>
          <cell r="C1074">
            <v>42387</v>
          </cell>
          <cell r="E1074">
            <v>1.6861846828253702E-2</v>
          </cell>
        </row>
        <row r="1075">
          <cell r="A1075" t="str">
            <v>PLN_WIBOR_EOD</v>
          </cell>
          <cell r="C1075">
            <v>42416</v>
          </cell>
          <cell r="E1075">
            <v>1.71660090561063E-2</v>
          </cell>
        </row>
        <row r="1076">
          <cell r="A1076" t="str">
            <v>PLN_WIBOR_EOD</v>
          </cell>
          <cell r="C1076">
            <v>42506</v>
          </cell>
          <cell r="E1076">
            <v>1.6660881636954901E-2</v>
          </cell>
        </row>
        <row r="1077">
          <cell r="A1077" t="str">
            <v>PLN_WIBOR_EOD</v>
          </cell>
          <cell r="C1077">
            <v>42598</v>
          </cell>
          <cell r="E1077">
            <v>1.5822243568916101E-2</v>
          </cell>
        </row>
        <row r="1078">
          <cell r="A1078" t="str">
            <v>PLN_WIBOR_EOD</v>
          </cell>
          <cell r="C1078">
            <v>42690</v>
          </cell>
          <cell r="E1078">
            <v>1.51937360726707E-2</v>
          </cell>
        </row>
        <row r="1079">
          <cell r="A1079" t="str">
            <v>PLN_WIBOR_EOD</v>
          </cell>
          <cell r="C1079">
            <v>43055</v>
          </cell>
          <cell r="E1079">
            <v>1.4923618951721699E-2</v>
          </cell>
        </row>
        <row r="1080">
          <cell r="A1080" t="str">
            <v>PLN_WIBOR_EOD</v>
          </cell>
          <cell r="C1080">
            <v>43420</v>
          </cell>
          <cell r="E1080">
            <v>1.54953147017947E-2</v>
          </cell>
        </row>
        <row r="1081">
          <cell r="A1081" t="str">
            <v>PLN_WIBOR_EOD</v>
          </cell>
          <cell r="C1081">
            <v>43787</v>
          </cell>
          <cell r="E1081">
            <v>1.67801891089314E-2</v>
          </cell>
        </row>
        <row r="1082">
          <cell r="A1082" t="str">
            <v>PLN_WIBOR_EOD</v>
          </cell>
          <cell r="C1082">
            <v>44151</v>
          </cell>
          <cell r="E1082">
            <v>1.8091495225618998E-2</v>
          </cell>
        </row>
        <row r="1083">
          <cell r="A1083" t="str">
            <v>PLN_WIBOR_EOD</v>
          </cell>
          <cell r="C1083">
            <v>44516</v>
          </cell>
          <cell r="E1083">
            <v>1.9405636191279899E-2</v>
          </cell>
        </row>
        <row r="1084">
          <cell r="A1084" t="str">
            <v>PLN_WIBOR_EOD</v>
          </cell>
          <cell r="C1084">
            <v>44881</v>
          </cell>
          <cell r="E1084">
            <v>2.0638540230440299E-2</v>
          </cell>
        </row>
        <row r="1085">
          <cell r="A1085" t="str">
            <v>PLN_WIBOR_EOD</v>
          </cell>
          <cell r="C1085">
            <v>45246</v>
          </cell>
          <cell r="E1085">
            <v>2.17616327966372E-2</v>
          </cell>
        </row>
        <row r="1086">
          <cell r="A1086" t="str">
            <v>PLN_WIBOR_EOD</v>
          </cell>
          <cell r="C1086">
            <v>45614</v>
          </cell>
          <cell r="E1086">
            <v>2.2766362865176099E-2</v>
          </cell>
        </row>
        <row r="1087">
          <cell r="A1087" t="str">
            <v>PLN_WIBOR_EOD</v>
          </cell>
          <cell r="C1087">
            <v>45978</v>
          </cell>
          <cell r="E1087">
            <v>2.35706472594557E-2</v>
          </cell>
        </row>
        <row r="1088">
          <cell r="A1088" t="str">
            <v>PLN_WIBOR_EOD</v>
          </cell>
          <cell r="C1088">
            <v>46707</v>
          </cell>
          <cell r="E1088">
            <v>2.46929017877325E-2</v>
          </cell>
        </row>
        <row r="1089">
          <cell r="A1089" t="str">
            <v>PLN_WIBOR_EOD</v>
          </cell>
          <cell r="C1089">
            <v>47805</v>
          </cell>
          <cell r="E1089">
            <v>2.5753912268335E-2</v>
          </cell>
        </row>
        <row r="1090">
          <cell r="A1090" t="str">
            <v>PLN_WIBOR_EOD</v>
          </cell>
          <cell r="C1090">
            <v>49629</v>
          </cell>
          <cell r="E1090">
            <v>2.60156166605373E-2</v>
          </cell>
        </row>
        <row r="1091">
          <cell r="A1091" t="str">
            <v>PLN_WIBOR_EOD</v>
          </cell>
          <cell r="C1091">
            <v>51456</v>
          </cell>
          <cell r="E1091">
            <v>2.5491321966771199E-2</v>
          </cell>
        </row>
        <row r="1092">
          <cell r="A1092" t="str">
            <v>PLN_WIBOR_EOD</v>
          </cell>
          <cell r="C1092">
            <v>53282</v>
          </cell>
          <cell r="E1092">
            <v>2.46492797778337E-2</v>
          </cell>
        </row>
        <row r="1093">
          <cell r="A1093" t="str">
            <v>SEK_STIBOR_3M_EOD</v>
          </cell>
          <cell r="C1093">
            <v>42416</v>
          </cell>
          <cell r="E1093">
            <v>-3.5806430896738301E-3</v>
          </cell>
        </row>
        <row r="1094">
          <cell r="A1094" t="str">
            <v>SEK_STIBOR_3M_EOD</v>
          </cell>
          <cell r="C1094">
            <v>42445</v>
          </cell>
          <cell r="E1094">
            <v>-3.5584672745427701E-3</v>
          </cell>
        </row>
        <row r="1095">
          <cell r="A1095" t="str">
            <v>SEK_STIBOR_3M_EOD</v>
          </cell>
          <cell r="C1095">
            <v>42536</v>
          </cell>
          <cell r="E1095">
            <v>-3.5763530659518E-3</v>
          </cell>
        </row>
        <row r="1096">
          <cell r="A1096" t="str">
            <v>SEK_STIBOR_3M_EOD</v>
          </cell>
          <cell r="C1096">
            <v>42634</v>
          </cell>
          <cell r="E1096">
            <v>-3.52071290315778E-3</v>
          </cell>
        </row>
        <row r="1097">
          <cell r="A1097" t="str">
            <v>SEK_STIBOR_3M_EOD</v>
          </cell>
          <cell r="C1097">
            <v>42725</v>
          </cell>
          <cell r="E1097">
            <v>-3.3791375258565501E-3</v>
          </cell>
        </row>
        <row r="1098">
          <cell r="A1098" t="str">
            <v>SEK_STIBOR_3M_EOD</v>
          </cell>
          <cell r="C1098">
            <v>42809</v>
          </cell>
          <cell r="E1098">
            <v>-3.15579577600402E-3</v>
          </cell>
        </row>
        <row r="1099">
          <cell r="A1099" t="str">
            <v>SEK_STIBOR_3M_EOD</v>
          </cell>
          <cell r="C1099">
            <v>42907</v>
          </cell>
          <cell r="E1099">
            <v>-2.8066920176341701E-3</v>
          </cell>
        </row>
        <row r="1100">
          <cell r="A1100" t="str">
            <v>SEK_STIBOR_3M_EOD</v>
          </cell>
          <cell r="C1100">
            <v>42998</v>
          </cell>
          <cell r="E1100">
            <v>-2.4163745458284898E-3</v>
          </cell>
        </row>
        <row r="1101">
          <cell r="A1101" t="str">
            <v>SEK_STIBOR_3M_EOD</v>
          </cell>
          <cell r="C1101">
            <v>43089</v>
          </cell>
          <cell r="E1101">
            <v>-1.9684875678129799E-3</v>
          </cell>
        </row>
        <row r="1102">
          <cell r="A1102" t="str">
            <v>SEK_STIBOR_3M_EOD</v>
          </cell>
          <cell r="C1102">
            <v>43420</v>
          </cell>
          <cell r="E1102">
            <v>-7.4173991760830005E-5</v>
          </cell>
        </row>
        <row r="1103">
          <cell r="A1103" t="str">
            <v>SEK_STIBOR_3M_EOD</v>
          </cell>
          <cell r="C1103">
            <v>43787</v>
          </cell>
          <cell r="E1103">
            <v>2.40472726746362E-3</v>
          </cell>
        </row>
        <row r="1104">
          <cell r="A1104" t="str">
            <v>SEK_STIBOR_3M_EOD</v>
          </cell>
          <cell r="C1104">
            <v>44151</v>
          </cell>
          <cell r="E1104">
            <v>5.1072395978899003E-3</v>
          </cell>
        </row>
        <row r="1105">
          <cell r="A1105" t="str">
            <v>SEK_STIBOR_3M_EOD</v>
          </cell>
          <cell r="C1105">
            <v>44516</v>
          </cell>
          <cell r="E1105">
            <v>7.6790577108324298E-3</v>
          </cell>
        </row>
        <row r="1106">
          <cell r="A1106" t="str">
            <v>SEK_STIBOR_3M_EOD</v>
          </cell>
          <cell r="C1106">
            <v>44881</v>
          </cell>
          <cell r="E1106">
            <v>9.9900259657552792E-3</v>
          </cell>
        </row>
        <row r="1107">
          <cell r="A1107" t="str">
            <v>SEK_STIBOR_3M_EOD</v>
          </cell>
          <cell r="C1107">
            <v>45246</v>
          </cell>
          <cell r="E1107">
            <v>1.1980238465120399E-2</v>
          </cell>
        </row>
        <row r="1108">
          <cell r="A1108" t="str">
            <v>SEK_STIBOR_3M_EOD</v>
          </cell>
          <cell r="C1108">
            <v>45614</v>
          </cell>
          <cell r="E1108">
            <v>1.3704434972246399E-2</v>
          </cell>
        </row>
        <row r="1109">
          <cell r="A1109" t="str">
            <v>SEK_STIBOR_3M_EOD</v>
          </cell>
          <cell r="C1109">
            <v>45978</v>
          </cell>
          <cell r="E1109">
            <v>1.5182665248877E-2</v>
          </cell>
        </row>
        <row r="1110">
          <cell r="A1110" t="str">
            <v>SEK_STIBOR_3M_EOD</v>
          </cell>
          <cell r="C1110">
            <v>46707</v>
          </cell>
          <cell r="E1110">
            <v>1.77163037408734E-2</v>
          </cell>
        </row>
        <row r="1111">
          <cell r="A1111" t="str">
            <v>SEK_STIBOR_3M_EOD</v>
          </cell>
          <cell r="C1111">
            <v>47805</v>
          </cell>
          <cell r="E1111">
            <v>2.0574494320146401E-2</v>
          </cell>
        </row>
        <row r="1112">
          <cell r="A1112" t="str">
            <v>SEK_STIBOR_3M_EOD</v>
          </cell>
          <cell r="C1112">
            <v>49629</v>
          </cell>
          <cell r="E1112">
            <v>2.34905307353808E-2</v>
          </cell>
        </row>
        <row r="1113">
          <cell r="A1113" t="str">
            <v>SEK_STIBOR_3M_EOD</v>
          </cell>
          <cell r="C1113">
            <v>51456</v>
          </cell>
          <cell r="E1113">
            <v>2.45064832598943E-2</v>
          </cell>
        </row>
        <row r="1114">
          <cell r="A1114" t="str">
            <v>SEK_STIBOR_3M_EOD</v>
          </cell>
          <cell r="C1114">
            <v>53282</v>
          </cell>
          <cell r="E1114">
            <v>2.45736091591079E-2</v>
          </cell>
        </row>
        <row r="1115">
          <cell r="A1115" t="str">
            <v>SEK_STIBOR_6M_EOD</v>
          </cell>
          <cell r="C1115">
            <v>42506</v>
          </cell>
          <cell r="E1115">
            <v>-2.3231505967218399E-3</v>
          </cell>
        </row>
        <row r="1116">
          <cell r="A1116" t="str">
            <v>SEK_STIBOR_6M_EOD</v>
          </cell>
          <cell r="C1116">
            <v>42690</v>
          </cell>
          <cell r="E1116">
            <v>-2.3239056613832301E-3</v>
          </cell>
        </row>
        <row r="1117">
          <cell r="A1117" t="str">
            <v>SEK_STIBOR_6M_EOD</v>
          </cell>
          <cell r="C1117">
            <v>43055</v>
          </cell>
          <cell r="E1117">
            <v>-1.06133221503162E-3</v>
          </cell>
        </row>
        <row r="1118">
          <cell r="A1118" t="str">
            <v>SEK_STIBOR_6M_EOD</v>
          </cell>
          <cell r="C1118">
            <v>43420</v>
          </cell>
          <cell r="E1118">
            <v>9.5842785861997002E-4</v>
          </cell>
        </row>
        <row r="1119">
          <cell r="A1119" t="str">
            <v>SEK_STIBOR_6M_EOD</v>
          </cell>
          <cell r="C1119">
            <v>43787</v>
          </cell>
          <cell r="E1119">
            <v>3.4250471387029498E-3</v>
          </cell>
        </row>
        <row r="1120">
          <cell r="A1120" t="str">
            <v>SEK_STIBOR_6M_EOD</v>
          </cell>
          <cell r="C1120">
            <v>44151</v>
          </cell>
          <cell r="E1120">
            <v>6.1155205030436598E-3</v>
          </cell>
        </row>
        <row r="1121">
          <cell r="A1121" t="str">
            <v>SEK_STIBOR_6M_EOD</v>
          </cell>
          <cell r="C1121">
            <v>44516</v>
          </cell>
          <cell r="E1121">
            <v>8.6775418147629103E-3</v>
          </cell>
        </row>
        <row r="1122">
          <cell r="A1122" t="str">
            <v>SEK_STIBOR_6M_EOD</v>
          </cell>
          <cell r="C1122">
            <v>44881</v>
          </cell>
          <cell r="E1122">
            <v>1.09784383463188E-2</v>
          </cell>
        </row>
        <row r="1123">
          <cell r="A1123" t="str">
            <v>SEK_STIBOR_6M_EOD</v>
          </cell>
          <cell r="C1123">
            <v>45246</v>
          </cell>
          <cell r="E1123">
            <v>1.2960864678835501E-2</v>
          </cell>
        </row>
        <row r="1124">
          <cell r="A1124" t="str">
            <v>SEK_STIBOR_6M_EOD</v>
          </cell>
          <cell r="C1124">
            <v>45614</v>
          </cell>
          <cell r="E1124">
            <v>1.4677122303359101E-2</v>
          </cell>
        </row>
        <row r="1125">
          <cell r="A1125" t="str">
            <v>SEK_STIBOR_6M_EOD</v>
          </cell>
          <cell r="C1125">
            <v>45978</v>
          </cell>
          <cell r="E1125">
            <v>1.61439224282145E-2</v>
          </cell>
        </row>
        <row r="1126">
          <cell r="A1126" t="str">
            <v>SEK_STIBOR_6M_EOD</v>
          </cell>
          <cell r="C1126">
            <v>46707</v>
          </cell>
          <cell r="E1126">
            <v>1.8641417213101901E-2</v>
          </cell>
        </row>
        <row r="1127">
          <cell r="A1127" t="str">
            <v>SEK_STIBOR_6M_EOD</v>
          </cell>
          <cell r="C1127">
            <v>47805</v>
          </cell>
          <cell r="E1127">
            <v>2.1415730478813198E-2</v>
          </cell>
        </row>
        <row r="1128">
          <cell r="A1128" t="str">
            <v>SEK_STIBOR_6M_EOD</v>
          </cell>
          <cell r="C1128">
            <v>49629</v>
          </cell>
          <cell r="E1128">
            <v>2.4210741493668399E-2</v>
          </cell>
        </row>
        <row r="1129">
          <cell r="A1129" t="str">
            <v>SEK_STIBOR_6M_EOD</v>
          </cell>
          <cell r="C1129">
            <v>51456</v>
          </cell>
          <cell r="E1129">
            <v>2.5142079861291099E-2</v>
          </cell>
        </row>
        <row r="1130">
          <cell r="A1130" t="str">
            <v>SEK_STIBOR_6M_EOD</v>
          </cell>
          <cell r="C1130">
            <v>53282</v>
          </cell>
          <cell r="E1130">
            <v>2.51402042626599E-2</v>
          </cell>
        </row>
        <row r="1131">
          <cell r="A1131" t="str">
            <v>SEK_STIBOR_EOD</v>
          </cell>
          <cell r="C1131">
            <v>42321</v>
          </cell>
          <cell r="E1131">
            <v>-2.4536193579993999E-3</v>
          </cell>
        </row>
        <row r="1132">
          <cell r="A1132" t="str">
            <v>SEK_STIBOR_EOD</v>
          </cell>
          <cell r="C1132">
            <v>42324</v>
          </cell>
          <cell r="E1132">
            <v>-2.4536317285163401E-3</v>
          </cell>
        </row>
        <row r="1133">
          <cell r="A1133" t="str">
            <v>SEK_STIBOR_EOD</v>
          </cell>
          <cell r="C1133">
            <v>42331</v>
          </cell>
          <cell r="E1133">
            <v>-2.58915442238397E-3</v>
          </cell>
        </row>
        <row r="1134">
          <cell r="A1134" t="str">
            <v>SEK_STIBOR_EOD</v>
          </cell>
          <cell r="C1134">
            <v>42354</v>
          </cell>
          <cell r="E1134">
            <v>-3.19653183823565E-3</v>
          </cell>
        </row>
        <row r="1135">
          <cell r="A1135" t="str">
            <v>SEK_STIBOR_EOD</v>
          </cell>
          <cell r="C1135">
            <v>42445</v>
          </cell>
          <cell r="E1135">
            <v>-3.4539890141513699E-3</v>
          </cell>
        </row>
        <row r="1136">
          <cell r="A1136" t="str">
            <v>SEK_STIBOR_EOD</v>
          </cell>
          <cell r="C1136">
            <v>42536</v>
          </cell>
          <cell r="E1136">
            <v>-3.5158911097066198E-3</v>
          </cell>
        </row>
        <row r="1137">
          <cell r="A1137" t="str">
            <v>SEK_STIBOR_EOD</v>
          </cell>
          <cell r="C1137">
            <v>42634</v>
          </cell>
          <cell r="E1137">
            <v>-3.47912123898933E-3</v>
          </cell>
        </row>
        <row r="1138">
          <cell r="A1138" t="str">
            <v>SEK_STIBOR_EOD</v>
          </cell>
          <cell r="C1138">
            <v>42725</v>
          </cell>
          <cell r="E1138">
            <v>-3.3468911491923601E-3</v>
          </cell>
        </row>
        <row r="1139">
          <cell r="A1139" t="str">
            <v>SEK_STIBOR_EOD</v>
          </cell>
          <cell r="C1139">
            <v>42809</v>
          </cell>
          <cell r="E1139">
            <v>-3.12908865422709E-3</v>
          </cell>
        </row>
        <row r="1140">
          <cell r="A1140" t="str">
            <v>SEK_STIBOR_EOD</v>
          </cell>
          <cell r="C1140">
            <v>42907</v>
          </cell>
          <cell r="E1140">
            <v>-2.7844436657621001E-3</v>
          </cell>
        </row>
        <row r="1141">
          <cell r="A1141" t="str">
            <v>SEK_STIBOR_EOD</v>
          </cell>
          <cell r="C1141">
            <v>42998</v>
          </cell>
          <cell r="E1141">
            <v>-2.3971123296794702E-3</v>
          </cell>
        </row>
        <row r="1142">
          <cell r="A1142" t="str">
            <v>SEK_STIBOR_EOD</v>
          </cell>
          <cell r="C1142">
            <v>43089</v>
          </cell>
          <cell r="E1142">
            <v>-1.9515047556557101E-3</v>
          </cell>
        </row>
        <row r="1143">
          <cell r="A1143" t="str">
            <v>SEK_STIBOR_EOD</v>
          </cell>
          <cell r="C1143">
            <v>43420</v>
          </cell>
          <cell r="E1143">
            <v>-7.0047893282539994E-5</v>
          </cell>
        </row>
        <row r="1144">
          <cell r="A1144" t="str">
            <v>SEK_STIBOR_EOD</v>
          </cell>
          <cell r="C1144">
            <v>43787</v>
          </cell>
          <cell r="E1144">
            <v>2.4094534284930802E-3</v>
          </cell>
        </row>
        <row r="1145">
          <cell r="A1145" t="str">
            <v>SEK_STIBOR_EOD</v>
          </cell>
          <cell r="C1145">
            <v>44151</v>
          </cell>
          <cell r="E1145">
            <v>5.1118142689244002E-3</v>
          </cell>
        </row>
        <row r="1146">
          <cell r="A1146" t="str">
            <v>SEK_STIBOR_EOD</v>
          </cell>
          <cell r="C1146">
            <v>44516</v>
          </cell>
          <cell r="E1146">
            <v>7.68318855746466E-3</v>
          </cell>
        </row>
        <row r="1147">
          <cell r="A1147" t="str">
            <v>SEK_STIBOR_EOD</v>
          </cell>
          <cell r="C1147">
            <v>44881</v>
          </cell>
          <cell r="E1147">
            <v>9.9935677687473991E-3</v>
          </cell>
        </row>
        <row r="1148">
          <cell r="A1148" t="str">
            <v>SEK_STIBOR_EOD</v>
          </cell>
          <cell r="C1148">
            <v>45246</v>
          </cell>
          <cell r="E1148">
            <v>1.19833382317541E-2</v>
          </cell>
        </row>
        <row r="1149">
          <cell r="A1149" t="str">
            <v>SEK_STIBOR_EOD</v>
          </cell>
          <cell r="C1149">
            <v>45614</v>
          </cell>
          <cell r="E1149">
            <v>1.3707188274542301E-2</v>
          </cell>
        </row>
        <row r="1150">
          <cell r="A1150" t="str">
            <v>SEK_STIBOR_EOD</v>
          </cell>
          <cell r="C1150">
            <v>45978</v>
          </cell>
          <cell r="E1150">
            <v>1.51852015840119E-2</v>
          </cell>
        </row>
        <row r="1151">
          <cell r="A1151" t="str">
            <v>SEK_STIBOR_EOD</v>
          </cell>
          <cell r="C1151">
            <v>46707</v>
          </cell>
          <cell r="E1151">
            <v>1.7718810939708798E-2</v>
          </cell>
        </row>
        <row r="1152">
          <cell r="A1152" t="str">
            <v>SEK_STIBOR_EOD</v>
          </cell>
          <cell r="C1152">
            <v>47805</v>
          </cell>
          <cell r="E1152">
            <v>2.0576754888524E-2</v>
          </cell>
        </row>
        <row r="1153">
          <cell r="A1153" t="str">
            <v>SEK_STIBOR_EOD</v>
          </cell>
          <cell r="C1153">
            <v>49629</v>
          </cell>
          <cell r="E1153">
            <v>2.34924833292217E-2</v>
          </cell>
        </row>
        <row r="1154">
          <cell r="A1154" t="str">
            <v>SEK_STIBOR_EOD</v>
          </cell>
          <cell r="C1154">
            <v>51456</v>
          </cell>
          <cell r="E1154">
            <v>2.4508177272687202E-2</v>
          </cell>
        </row>
        <row r="1155">
          <cell r="A1155" t="str">
            <v>SEK_STIBOR_EOD</v>
          </cell>
          <cell r="C1155">
            <v>53282</v>
          </cell>
          <cell r="E1155">
            <v>2.4575108676802699E-2</v>
          </cell>
        </row>
        <row r="1156">
          <cell r="A1156" t="str">
            <v>SGD_SOR_3M_EOD</v>
          </cell>
          <cell r="C1156">
            <v>42416</v>
          </cell>
          <cell r="E1156">
            <v>1.4713781890123699E-2</v>
          </cell>
        </row>
        <row r="1157">
          <cell r="A1157" t="str">
            <v>SGD_SOR_3M_EOD</v>
          </cell>
          <cell r="C1157">
            <v>42506</v>
          </cell>
          <cell r="E1157">
            <v>1.48870932789016E-2</v>
          </cell>
        </row>
        <row r="1158">
          <cell r="A1158" t="str">
            <v>SGD_SOR_3M_EOD</v>
          </cell>
          <cell r="C1158">
            <v>42598</v>
          </cell>
          <cell r="E1158">
            <v>1.51458594745448E-2</v>
          </cell>
        </row>
        <row r="1159">
          <cell r="A1159" t="str">
            <v>SGD_SOR_3M_EOD</v>
          </cell>
          <cell r="C1159">
            <v>42690</v>
          </cell>
          <cell r="E1159">
            <v>1.53873864970777E-2</v>
          </cell>
        </row>
        <row r="1160">
          <cell r="A1160" t="str">
            <v>SGD_SOR_3M_EOD</v>
          </cell>
          <cell r="C1160">
            <v>43055</v>
          </cell>
          <cell r="E1160">
            <v>1.8760801325673399E-2</v>
          </cell>
        </row>
        <row r="1161">
          <cell r="A1161" t="str">
            <v>SGD_SOR_3M_EOD</v>
          </cell>
          <cell r="C1161">
            <v>43420</v>
          </cell>
          <cell r="E1161">
            <v>2.1601872669867898E-2</v>
          </cell>
        </row>
        <row r="1162">
          <cell r="A1162" t="str">
            <v>SGD_SOR_3M_EOD</v>
          </cell>
          <cell r="C1162">
            <v>43787</v>
          </cell>
          <cell r="E1162">
            <v>2.38978309726442E-2</v>
          </cell>
        </row>
        <row r="1163">
          <cell r="A1163" t="str">
            <v>SGD_SOR_3M_EOD</v>
          </cell>
          <cell r="C1163">
            <v>44151</v>
          </cell>
          <cell r="E1163">
            <v>2.5569000739351699E-2</v>
          </cell>
        </row>
        <row r="1164">
          <cell r="A1164" t="str">
            <v>SGD_SOR_3M_EOD</v>
          </cell>
          <cell r="C1164">
            <v>44881</v>
          </cell>
          <cell r="E1164">
            <v>2.8101698411495998E-2</v>
          </cell>
        </row>
        <row r="1165">
          <cell r="A1165" t="str">
            <v>SGD_SOR_3M_EOD</v>
          </cell>
          <cell r="C1165">
            <v>45978</v>
          </cell>
          <cell r="E1165">
            <v>3.04039701600138E-2</v>
          </cell>
        </row>
        <row r="1166">
          <cell r="A1166" t="str">
            <v>SGD_SOR_3M_EOD</v>
          </cell>
          <cell r="C1166">
            <v>46707</v>
          </cell>
          <cell r="E1166">
            <v>3.1298211980754699E-2</v>
          </cell>
        </row>
        <row r="1167">
          <cell r="A1167" t="str">
            <v>SGD_SOR_3M_EOD</v>
          </cell>
          <cell r="C1167">
            <v>47805</v>
          </cell>
          <cell r="E1167">
            <v>3.2247504471145098E-2</v>
          </cell>
        </row>
        <row r="1168">
          <cell r="A1168" t="str">
            <v>SGD_SOR_3M_EOD</v>
          </cell>
          <cell r="C1168">
            <v>49629</v>
          </cell>
          <cell r="E1168">
            <v>3.2790178728452503E-2</v>
          </cell>
        </row>
        <row r="1169">
          <cell r="A1169" t="str">
            <v>SGD_SOR_3M_EOD</v>
          </cell>
          <cell r="C1169">
            <v>51456</v>
          </cell>
          <cell r="E1169">
            <v>3.3207956524997799E-2</v>
          </cell>
        </row>
        <row r="1170">
          <cell r="A1170" t="str">
            <v>SGD_SOR_3M_EOD</v>
          </cell>
          <cell r="C1170">
            <v>53282</v>
          </cell>
          <cell r="E1170">
            <v>3.3702500083824499E-2</v>
          </cell>
        </row>
        <row r="1171">
          <cell r="A1171" t="str">
            <v>SGD_SOR_3M_EOD</v>
          </cell>
          <cell r="C1171">
            <v>56934</v>
          </cell>
          <cell r="E1171">
            <v>3.3702287417331098E-2</v>
          </cell>
        </row>
        <row r="1172">
          <cell r="A1172" t="str">
            <v>SGD_SOR_6M_EOD</v>
          </cell>
          <cell r="C1172">
            <v>42506</v>
          </cell>
          <cell r="E1172">
            <v>1.5930857896870699E-2</v>
          </cell>
        </row>
        <row r="1173">
          <cell r="A1173" t="str">
            <v>SGD_SOR_6M_EOD</v>
          </cell>
          <cell r="C1173">
            <v>42690</v>
          </cell>
          <cell r="E1173">
            <v>1.6182431613103201E-2</v>
          </cell>
        </row>
        <row r="1174">
          <cell r="A1174" t="str">
            <v>SGD_SOR_6M_EOD</v>
          </cell>
          <cell r="C1174">
            <v>43055</v>
          </cell>
          <cell r="E1174">
            <v>1.9123251531168999E-2</v>
          </cell>
        </row>
        <row r="1175">
          <cell r="A1175" t="str">
            <v>SGD_SOR_6M_EOD</v>
          </cell>
          <cell r="C1175">
            <v>43420</v>
          </cell>
          <cell r="E1175">
            <v>2.1744796559968801E-2</v>
          </cell>
        </row>
        <row r="1176">
          <cell r="A1176" t="str">
            <v>SGD_SOR_6M_EOD</v>
          </cell>
          <cell r="C1176">
            <v>43787</v>
          </cell>
          <cell r="E1176">
            <v>2.3935161139565501E-2</v>
          </cell>
        </row>
        <row r="1177">
          <cell r="A1177" t="str">
            <v>SGD_SOR_6M_EOD</v>
          </cell>
          <cell r="C1177">
            <v>44151</v>
          </cell>
          <cell r="E1177">
            <v>2.5555012941467899E-2</v>
          </cell>
        </row>
        <row r="1178">
          <cell r="A1178" t="str">
            <v>SGD_SOR_6M_EOD</v>
          </cell>
          <cell r="C1178">
            <v>44881</v>
          </cell>
          <cell r="E1178">
            <v>2.80898568953203E-2</v>
          </cell>
        </row>
        <row r="1179">
          <cell r="A1179" t="str">
            <v>SGD_SOR_6M_EOD</v>
          </cell>
          <cell r="C1179">
            <v>45978</v>
          </cell>
          <cell r="E1179">
            <v>3.03918047341066E-2</v>
          </cell>
        </row>
        <row r="1180">
          <cell r="A1180" t="str">
            <v>SGD_SOR_6M_EOD</v>
          </cell>
          <cell r="C1180">
            <v>46707</v>
          </cell>
          <cell r="E1180">
            <v>3.13580786088999E-2</v>
          </cell>
        </row>
        <row r="1181">
          <cell r="A1181" t="str">
            <v>SGD_SOR_6M_EOD</v>
          </cell>
          <cell r="C1181">
            <v>47805</v>
          </cell>
          <cell r="E1181">
            <v>3.2305509408477102E-2</v>
          </cell>
        </row>
        <row r="1182">
          <cell r="A1182" t="str">
            <v>SGD_SOR_6M_EOD</v>
          </cell>
          <cell r="C1182">
            <v>49629</v>
          </cell>
          <cell r="E1182">
            <v>3.2845984863114103E-2</v>
          </cell>
        </row>
        <row r="1183">
          <cell r="A1183" t="str">
            <v>SGD_SOR_6M_EOD</v>
          </cell>
          <cell r="C1183">
            <v>51456</v>
          </cell>
          <cell r="E1183">
            <v>3.3262484081906699E-2</v>
          </cell>
        </row>
        <row r="1184">
          <cell r="A1184" t="str">
            <v>SGD_SOR_6M_EOD</v>
          </cell>
          <cell r="C1184">
            <v>53282</v>
          </cell>
          <cell r="E1184">
            <v>3.37561912283771E-2</v>
          </cell>
        </row>
        <row r="1185">
          <cell r="A1185" t="str">
            <v>SGD_SOR_6M_EOD</v>
          </cell>
          <cell r="C1185">
            <v>56934</v>
          </cell>
          <cell r="E1185">
            <v>3.3754859451287499E-2</v>
          </cell>
        </row>
        <row r="1186">
          <cell r="A1186" t="str">
            <v>SGD_SOR_EOD</v>
          </cell>
          <cell r="C1186">
            <v>42321</v>
          </cell>
          <cell r="E1186">
            <v>7.1489299896624701E-3</v>
          </cell>
        </row>
        <row r="1187">
          <cell r="A1187" t="str">
            <v>SGD_SOR_EOD</v>
          </cell>
          <cell r="C1187">
            <v>42324</v>
          </cell>
          <cell r="E1187">
            <v>7.1488249783261699E-3</v>
          </cell>
        </row>
        <row r="1188">
          <cell r="A1188" t="str">
            <v>SGD_SOR_EOD</v>
          </cell>
          <cell r="C1188">
            <v>42331</v>
          </cell>
          <cell r="E1188">
            <v>7.9781913167461197E-3</v>
          </cell>
        </row>
        <row r="1189">
          <cell r="A1189" t="str">
            <v>SGD_SOR_EOD</v>
          </cell>
          <cell r="C1189">
            <v>42354</v>
          </cell>
          <cell r="E1189">
            <v>1.27027473670006E-2</v>
          </cell>
        </row>
        <row r="1190">
          <cell r="A1190" t="str">
            <v>SGD_SOR_EOD</v>
          </cell>
          <cell r="C1190">
            <v>42387</v>
          </cell>
          <cell r="E1190">
            <v>1.36650514962152E-2</v>
          </cell>
        </row>
        <row r="1191">
          <cell r="A1191" t="str">
            <v>SGD_SOR_EOD</v>
          </cell>
          <cell r="C1191">
            <v>42416</v>
          </cell>
          <cell r="E1191">
            <v>1.43985753521319E-2</v>
          </cell>
        </row>
        <row r="1192">
          <cell r="A1192" t="str">
            <v>SGD_SOR_EOD</v>
          </cell>
          <cell r="C1192">
            <v>42506</v>
          </cell>
          <cell r="E1192">
            <v>1.57419969738909E-2</v>
          </cell>
        </row>
        <row r="1193">
          <cell r="A1193" t="str">
            <v>SGD_SOR_EOD</v>
          </cell>
          <cell r="C1193">
            <v>42690</v>
          </cell>
          <cell r="E1193">
            <v>1.6087490716686501E-2</v>
          </cell>
        </row>
        <row r="1194">
          <cell r="A1194" t="str">
            <v>SGD_SOR_EOD</v>
          </cell>
          <cell r="C1194">
            <v>43055</v>
          </cell>
          <cell r="E1194">
            <v>1.90755180865456E-2</v>
          </cell>
        </row>
        <row r="1195">
          <cell r="A1195" t="str">
            <v>SGD_SOR_EOD</v>
          </cell>
          <cell r="C1195">
            <v>43420</v>
          </cell>
          <cell r="E1195">
            <v>2.17129187037731E-2</v>
          </cell>
        </row>
        <row r="1196">
          <cell r="A1196" t="str">
            <v>SGD_SOR_EOD</v>
          </cell>
          <cell r="C1196">
            <v>43787</v>
          </cell>
          <cell r="E1196">
            <v>2.39112654550316E-2</v>
          </cell>
        </row>
        <row r="1197">
          <cell r="A1197" t="str">
            <v>SGD_SOR_EOD</v>
          </cell>
          <cell r="C1197">
            <v>44151</v>
          </cell>
          <cell r="E1197">
            <v>2.5535117890892699E-2</v>
          </cell>
        </row>
        <row r="1198">
          <cell r="A1198" t="str">
            <v>SGD_SOR_EOD</v>
          </cell>
          <cell r="C1198">
            <v>44881</v>
          </cell>
          <cell r="E1198">
            <v>2.8075045415312101E-2</v>
          </cell>
        </row>
        <row r="1199">
          <cell r="A1199" t="str">
            <v>SGD_SOR_EOD</v>
          </cell>
          <cell r="C1199">
            <v>45978</v>
          </cell>
          <cell r="E1199">
            <v>3.0382026112280199E-2</v>
          </cell>
        </row>
        <row r="1200">
          <cell r="A1200" t="str">
            <v>SGD_SOR_EOD</v>
          </cell>
          <cell r="C1200">
            <v>46707</v>
          </cell>
          <cell r="E1200">
            <v>3.1349551572646503E-2</v>
          </cell>
        </row>
        <row r="1201">
          <cell r="A1201" t="str">
            <v>SGD_SOR_EOD</v>
          </cell>
          <cell r="C1201">
            <v>47805</v>
          </cell>
          <cell r="E1201">
            <v>3.2298695332336501E-2</v>
          </cell>
        </row>
        <row r="1202">
          <cell r="A1202" t="str">
            <v>SGD_SOR_EOD</v>
          </cell>
          <cell r="C1202">
            <v>49629</v>
          </cell>
          <cell r="E1202">
            <v>3.2841081760238103E-2</v>
          </cell>
        </row>
        <row r="1203">
          <cell r="A1203" t="str">
            <v>SGD_SOR_EOD</v>
          </cell>
          <cell r="C1203">
            <v>51456</v>
          </cell>
          <cell r="E1203">
            <v>3.3258682104463401E-2</v>
          </cell>
        </row>
        <row r="1204">
          <cell r="A1204" t="str">
            <v>SGD_SOR_EOD</v>
          </cell>
          <cell r="C1204">
            <v>53282</v>
          </cell>
          <cell r="E1204">
            <v>3.3753198451717599E-2</v>
          </cell>
        </row>
        <row r="1205">
          <cell r="A1205" t="str">
            <v>SGD_SOR_EOD</v>
          </cell>
          <cell r="C1205">
            <v>56934</v>
          </cell>
          <cell r="E1205">
            <v>3.3752830434426298E-2</v>
          </cell>
        </row>
        <row r="1206">
          <cell r="A1206" t="str">
            <v>USD_FEDFUND_EOD</v>
          </cell>
          <cell r="C1206">
            <v>42321</v>
          </cell>
          <cell r="E1206">
            <v>1.2166646389013701E-3</v>
          </cell>
        </row>
        <row r="1207">
          <cell r="A1207" t="str">
            <v>USD_FEDFUND_EOD</v>
          </cell>
          <cell r="C1207">
            <v>42324</v>
          </cell>
          <cell r="E1207">
            <v>1.2166615972685499E-3</v>
          </cell>
        </row>
        <row r="1208">
          <cell r="A1208" t="str">
            <v>USD_FEDFUND_EOD</v>
          </cell>
          <cell r="C1208">
            <v>42331</v>
          </cell>
          <cell r="E1208">
            <v>1.27310960204148E-3</v>
          </cell>
        </row>
        <row r="1209">
          <cell r="A1209" t="str">
            <v>USD_FEDFUND_EOD</v>
          </cell>
          <cell r="C1209">
            <v>42338</v>
          </cell>
          <cell r="E1209">
            <v>1.2481851739709899E-3</v>
          </cell>
        </row>
        <row r="1210">
          <cell r="A1210" t="str">
            <v>USD_FEDFUND_EOD</v>
          </cell>
          <cell r="C1210">
            <v>42345</v>
          </cell>
          <cell r="E1210">
            <v>1.2741134502258699E-3</v>
          </cell>
        </row>
        <row r="1211">
          <cell r="A1211" t="str">
            <v>USD_FEDFUND_EOD</v>
          </cell>
          <cell r="C1211">
            <v>42354</v>
          </cell>
          <cell r="E1211">
            <v>1.29711875072065E-3</v>
          </cell>
        </row>
        <row r="1212">
          <cell r="A1212" t="str">
            <v>USD_FEDFUND_EOD</v>
          </cell>
          <cell r="C1212">
            <v>42388</v>
          </cell>
          <cell r="E1212">
            <v>2.0717091698963502E-3</v>
          </cell>
        </row>
        <row r="1213">
          <cell r="A1213" t="str">
            <v>USD_FEDFUND_EOD</v>
          </cell>
          <cell r="C1213">
            <v>42416</v>
          </cell>
          <cell r="E1213">
            <v>2.38435145938958E-3</v>
          </cell>
        </row>
        <row r="1214">
          <cell r="A1214" t="str">
            <v>USD_FEDFUND_EOD</v>
          </cell>
          <cell r="C1214">
            <v>42445</v>
          </cell>
          <cell r="E1214">
            <v>2.5326997703627599E-3</v>
          </cell>
        </row>
        <row r="1215">
          <cell r="A1215" t="str">
            <v>USD_FEDFUND_EOD</v>
          </cell>
          <cell r="C1215">
            <v>42478</v>
          </cell>
          <cell r="E1215">
            <v>2.8800607834823999E-3</v>
          </cell>
        </row>
        <row r="1216">
          <cell r="A1216" t="str">
            <v>USD_FEDFUND_EOD</v>
          </cell>
          <cell r="C1216">
            <v>42506</v>
          </cell>
          <cell r="E1216">
            <v>3.16979444399949E-3</v>
          </cell>
        </row>
        <row r="1217">
          <cell r="A1217" t="str">
            <v>USD_FEDFUND_EOD</v>
          </cell>
          <cell r="C1217">
            <v>42537</v>
          </cell>
          <cell r="E1217">
            <v>3.4498834569934899E-3</v>
          </cell>
        </row>
        <row r="1218">
          <cell r="A1218" t="str">
            <v>USD_FEDFUND_EOD</v>
          </cell>
          <cell r="C1218">
            <v>42569</v>
          </cell>
          <cell r="E1218">
            <v>3.7172257202415901E-3</v>
          </cell>
        </row>
        <row r="1219">
          <cell r="A1219" t="str">
            <v>USD_FEDFUND_EOD</v>
          </cell>
          <cell r="C1219">
            <v>42598</v>
          </cell>
          <cell r="E1219">
            <v>3.9767549054378799E-3</v>
          </cell>
        </row>
        <row r="1220">
          <cell r="A1220" t="str">
            <v>USD_FEDFUND_EOD</v>
          </cell>
          <cell r="C1220">
            <v>42629</v>
          </cell>
          <cell r="E1220">
            <v>4.2214705396399601E-3</v>
          </cell>
        </row>
        <row r="1221">
          <cell r="A1221" t="str">
            <v>USD_FEDFUND_EOD</v>
          </cell>
          <cell r="C1221">
            <v>42660</v>
          </cell>
          <cell r="E1221">
            <v>4.5045488308285003E-3</v>
          </cell>
        </row>
        <row r="1222">
          <cell r="A1222" t="str">
            <v>USD_FEDFUND_EOD</v>
          </cell>
          <cell r="C1222">
            <v>42690</v>
          </cell>
          <cell r="E1222">
            <v>4.7077028463791996E-3</v>
          </cell>
        </row>
        <row r="1223">
          <cell r="A1223" t="str">
            <v>USD_FEDFUND_EOD</v>
          </cell>
          <cell r="C1223">
            <v>42871</v>
          </cell>
          <cell r="E1223">
            <v>6.2627063678079298E-3</v>
          </cell>
        </row>
        <row r="1224">
          <cell r="A1224" t="str">
            <v>USD_FEDFUND_EOD</v>
          </cell>
          <cell r="C1224">
            <v>43055</v>
          </cell>
          <cell r="E1224">
            <v>7.8132055578039299E-3</v>
          </cell>
        </row>
        <row r="1225">
          <cell r="A1225" t="str">
            <v>USD_FEDFUND_EOD</v>
          </cell>
          <cell r="C1225">
            <v>43420</v>
          </cell>
          <cell r="E1225">
            <v>1.05529356298255E-2</v>
          </cell>
        </row>
        <row r="1226">
          <cell r="A1226" t="str">
            <v>USD_FEDFUND_EOD</v>
          </cell>
          <cell r="C1226">
            <v>43787</v>
          </cell>
          <cell r="E1226">
            <v>1.26987585219014E-2</v>
          </cell>
        </row>
        <row r="1227">
          <cell r="A1227" t="str">
            <v>USD_FEDFUND_EOD</v>
          </cell>
          <cell r="C1227">
            <v>44151</v>
          </cell>
          <cell r="E1227">
            <v>1.4438467226706201E-2</v>
          </cell>
        </row>
        <row r="1228">
          <cell r="A1228" t="str">
            <v>USD_FEDFUND_EOD</v>
          </cell>
          <cell r="C1228">
            <v>44516</v>
          </cell>
          <cell r="E1228">
            <v>1.5940402892945599E-2</v>
          </cell>
        </row>
        <row r="1229">
          <cell r="A1229" t="str">
            <v>USD_FEDFUND_EOD</v>
          </cell>
          <cell r="C1229">
            <v>44881</v>
          </cell>
          <cell r="E1229">
            <v>1.7221415489747E-2</v>
          </cell>
        </row>
        <row r="1230">
          <cell r="A1230" t="str">
            <v>USD_FEDFUND_EOD</v>
          </cell>
          <cell r="C1230">
            <v>45246</v>
          </cell>
          <cell r="E1230">
            <v>1.82691267536257E-2</v>
          </cell>
        </row>
        <row r="1231">
          <cell r="A1231" t="str">
            <v>USD_FEDFUND_EOD</v>
          </cell>
          <cell r="C1231">
            <v>45614</v>
          </cell>
          <cell r="E1231">
            <v>1.9172997385598699E-2</v>
          </cell>
        </row>
        <row r="1232">
          <cell r="A1232" t="str">
            <v>USD_FEDFUND_EOD</v>
          </cell>
          <cell r="C1232">
            <v>45978</v>
          </cell>
          <cell r="E1232">
            <v>1.9939743423225E-2</v>
          </cell>
        </row>
        <row r="1233">
          <cell r="A1233" t="str">
            <v>USD_FEDFUND_EOD</v>
          </cell>
          <cell r="C1233">
            <v>46707</v>
          </cell>
          <cell r="E1233">
            <v>2.1284019232512399E-2</v>
          </cell>
        </row>
        <row r="1234">
          <cell r="A1234" t="str">
            <v>USD_FEDFUND_EOD</v>
          </cell>
          <cell r="C1234">
            <v>47805</v>
          </cell>
          <cell r="E1234">
            <v>2.2565753640696001E-2</v>
          </cell>
        </row>
        <row r="1235">
          <cell r="A1235" t="str">
            <v>USD_FEDFUND_EOD</v>
          </cell>
          <cell r="C1235">
            <v>49629</v>
          </cell>
          <cell r="E1235">
            <v>2.3796666901405601E-2</v>
          </cell>
        </row>
        <row r="1236">
          <cell r="A1236" t="str">
            <v>USD_FEDFUND_EOD</v>
          </cell>
          <cell r="C1236">
            <v>51456</v>
          </cell>
          <cell r="E1236">
            <v>2.4417524148644801E-2</v>
          </cell>
        </row>
        <row r="1237">
          <cell r="A1237" t="str">
            <v>USD_FEDFUND_EOD</v>
          </cell>
          <cell r="C1237">
            <v>53282</v>
          </cell>
          <cell r="E1237">
            <v>2.46735676077997E-2</v>
          </cell>
        </row>
        <row r="1238">
          <cell r="A1238" t="str">
            <v>USD_FEDFUND_EOD</v>
          </cell>
          <cell r="C1238">
            <v>56934</v>
          </cell>
          <cell r="E1238">
            <v>2.4804676627371101E-2</v>
          </cell>
        </row>
        <row r="1239">
          <cell r="A1239" t="str">
            <v>USD_FEDFUND_EOD</v>
          </cell>
          <cell r="C1239">
            <v>60587</v>
          </cell>
          <cell r="E1239">
            <v>2.43927759796294E-2</v>
          </cell>
        </row>
        <row r="1240">
          <cell r="A1240" t="str">
            <v>USD_FEDFUND_EOD</v>
          </cell>
          <cell r="C1240">
            <v>64241</v>
          </cell>
          <cell r="E1240">
            <v>2.37659493416707E-2</v>
          </cell>
        </row>
        <row r="1241">
          <cell r="A1241" t="str">
            <v>USD_LIBOR_12M_EOD</v>
          </cell>
          <cell r="C1241">
            <v>42690</v>
          </cell>
          <cell r="E1241">
            <v>9.4109831429550102E-3</v>
          </cell>
        </row>
        <row r="1242">
          <cell r="A1242" t="str">
            <v>USD_LIBOR_12M_EOD</v>
          </cell>
          <cell r="C1242">
            <v>42720</v>
          </cell>
          <cell r="E1242">
            <v>9.4927700276073793E-3</v>
          </cell>
        </row>
        <row r="1243">
          <cell r="A1243" t="str">
            <v>USD_LIBOR_12M_EOD</v>
          </cell>
          <cell r="C1243">
            <v>42752</v>
          </cell>
          <cell r="E1243">
            <v>9.8270991115641908E-3</v>
          </cell>
        </row>
        <row r="1244">
          <cell r="A1244" t="str">
            <v>USD_LIBOR_12M_EOD</v>
          </cell>
          <cell r="C1244">
            <v>42782</v>
          </cell>
          <cell r="E1244">
            <v>1.01140395171102E-2</v>
          </cell>
        </row>
        <row r="1245">
          <cell r="A1245" t="str">
            <v>USD_LIBOR_12M_EOD</v>
          </cell>
          <cell r="C1245">
            <v>42810</v>
          </cell>
          <cell r="E1245">
            <v>1.04607631662283E-2</v>
          </cell>
        </row>
        <row r="1246">
          <cell r="A1246" t="str">
            <v>USD_LIBOR_12M_EOD</v>
          </cell>
          <cell r="C1246">
            <v>42842</v>
          </cell>
          <cell r="E1246">
            <v>1.08184999330309E-2</v>
          </cell>
        </row>
        <row r="1247">
          <cell r="A1247" t="str">
            <v>USD_LIBOR_12M_EOD</v>
          </cell>
          <cell r="C1247">
            <v>42871</v>
          </cell>
          <cell r="E1247">
            <v>1.1104850775141799E-2</v>
          </cell>
        </row>
        <row r="1248">
          <cell r="A1248" t="str">
            <v>USD_LIBOR_12M_EOD</v>
          </cell>
          <cell r="C1248">
            <v>42902</v>
          </cell>
          <cell r="E1248">
            <v>1.1476253401433999E-2</v>
          </cell>
        </row>
        <row r="1249">
          <cell r="A1249" t="str">
            <v>USD_LIBOR_12M_EOD</v>
          </cell>
          <cell r="C1249">
            <v>42933</v>
          </cell>
          <cell r="E1249">
            <v>1.17105068390681E-2</v>
          </cell>
        </row>
        <row r="1250">
          <cell r="A1250" t="str">
            <v>USD_LIBOR_12M_EOD</v>
          </cell>
          <cell r="C1250">
            <v>42963</v>
          </cell>
          <cell r="E1250">
            <v>1.18057325118289E-2</v>
          </cell>
        </row>
        <row r="1251">
          <cell r="A1251" t="str">
            <v>USD_LIBOR_12M_EOD</v>
          </cell>
          <cell r="C1251">
            <v>42996</v>
          </cell>
          <cell r="E1251">
            <v>1.2105380177143899E-2</v>
          </cell>
        </row>
        <row r="1252">
          <cell r="A1252" t="str">
            <v>USD_LIBOR_12M_EOD</v>
          </cell>
          <cell r="C1252">
            <v>43024</v>
          </cell>
          <cell r="E1252">
            <v>1.2241395298721E-2</v>
          </cell>
        </row>
        <row r="1253">
          <cell r="A1253" t="str">
            <v>USD_LIBOR_12M_EOD</v>
          </cell>
          <cell r="C1253">
            <v>43055</v>
          </cell>
          <cell r="E1253">
            <v>1.2660792961517399E-2</v>
          </cell>
        </row>
        <row r="1254">
          <cell r="A1254" t="str">
            <v>USD_LIBOR_12M_EOD</v>
          </cell>
          <cell r="C1254">
            <v>43420</v>
          </cell>
          <cell r="E1254">
            <v>1.54576310936223E-2</v>
          </cell>
        </row>
        <row r="1255">
          <cell r="A1255" t="str">
            <v>USD_LIBOR_12M_EOD</v>
          </cell>
          <cell r="C1255">
            <v>43787</v>
          </cell>
          <cell r="E1255">
            <v>1.7703542591935399E-2</v>
          </cell>
        </row>
        <row r="1256">
          <cell r="A1256" t="str">
            <v>USD_LIBOR_12M_EOD</v>
          </cell>
          <cell r="C1256">
            <v>44151</v>
          </cell>
          <cell r="E1256">
            <v>1.9495783287516499E-2</v>
          </cell>
        </row>
        <row r="1257">
          <cell r="A1257" t="str">
            <v>USD_LIBOR_12M_EOD</v>
          </cell>
          <cell r="C1257">
            <v>44516</v>
          </cell>
          <cell r="E1257">
            <v>2.09723634387293E-2</v>
          </cell>
        </row>
        <row r="1258">
          <cell r="A1258" t="str">
            <v>USD_LIBOR_12M_EOD</v>
          </cell>
          <cell r="C1258">
            <v>44881</v>
          </cell>
          <cell r="E1258">
            <v>2.2222828993374501E-2</v>
          </cell>
        </row>
        <row r="1259">
          <cell r="A1259" t="str">
            <v>USD_LIBOR_12M_EOD</v>
          </cell>
          <cell r="C1259">
            <v>45246</v>
          </cell>
          <cell r="E1259">
            <v>2.3265920982161799E-2</v>
          </cell>
        </row>
        <row r="1260">
          <cell r="A1260" t="str">
            <v>USD_LIBOR_12M_EOD</v>
          </cell>
          <cell r="C1260">
            <v>45614</v>
          </cell>
          <cell r="E1260">
            <v>2.4164622435143099E-2</v>
          </cell>
        </row>
        <row r="1261">
          <cell r="A1261" t="str">
            <v>USD_LIBOR_12M_EOD</v>
          </cell>
          <cell r="C1261">
            <v>45978</v>
          </cell>
          <cell r="E1261">
            <v>2.49252143513078E-2</v>
          </cell>
        </row>
        <row r="1262">
          <cell r="A1262" t="str">
            <v>USD_LIBOR_12M_EOD</v>
          </cell>
          <cell r="C1262">
            <v>46707</v>
          </cell>
          <cell r="E1262">
            <v>2.6262541034276599E-2</v>
          </cell>
        </row>
        <row r="1263">
          <cell r="A1263" t="str">
            <v>USD_LIBOR_12M_EOD</v>
          </cell>
          <cell r="C1263">
            <v>47805</v>
          </cell>
          <cell r="E1263">
            <v>2.7623846650878699E-2</v>
          </cell>
        </row>
        <row r="1264">
          <cell r="A1264" t="str">
            <v>USD_LIBOR_12M_EOD</v>
          </cell>
          <cell r="C1264">
            <v>49629</v>
          </cell>
          <cell r="E1264">
            <v>2.8859856184476299E-2</v>
          </cell>
        </row>
        <row r="1265">
          <cell r="A1265" t="str">
            <v>USD_LIBOR_12M_EOD</v>
          </cell>
          <cell r="C1265">
            <v>51456</v>
          </cell>
          <cell r="E1265">
            <v>2.9457658605801299E-2</v>
          </cell>
        </row>
        <row r="1266">
          <cell r="A1266" t="str">
            <v>USD_LIBOR_12M_EOD</v>
          </cell>
          <cell r="C1266">
            <v>53282</v>
          </cell>
          <cell r="E1266">
            <v>2.9658237249909701E-2</v>
          </cell>
        </row>
        <row r="1267">
          <cell r="A1267" t="str">
            <v>USD_LIBOR_12M_EOD</v>
          </cell>
          <cell r="C1267">
            <v>56934</v>
          </cell>
          <cell r="E1267">
            <v>2.9791209282189202E-2</v>
          </cell>
        </row>
        <row r="1268">
          <cell r="A1268" t="str">
            <v>USD_LIBOR_12M_EOD</v>
          </cell>
          <cell r="C1268">
            <v>60587</v>
          </cell>
          <cell r="E1268">
            <v>2.9382957841567501E-2</v>
          </cell>
        </row>
        <row r="1269">
          <cell r="A1269" t="str">
            <v>USD_LIBOR_12M_EOD</v>
          </cell>
          <cell r="C1269">
            <v>64241</v>
          </cell>
          <cell r="E1269">
            <v>2.8760295666806601E-2</v>
          </cell>
        </row>
        <row r="1270">
          <cell r="A1270" t="str">
            <v>USD_LIBOR_1M_EOD</v>
          </cell>
          <cell r="C1270">
            <v>42354</v>
          </cell>
          <cell r="E1270">
            <v>1.9971971789978799E-3</v>
          </cell>
        </row>
        <row r="1271">
          <cell r="A1271" t="str">
            <v>USD_LIBOR_1M_EOD</v>
          </cell>
          <cell r="C1271">
            <v>42388</v>
          </cell>
          <cell r="E1271">
            <v>2.5455153642914498E-3</v>
          </cell>
        </row>
        <row r="1272">
          <cell r="A1272" t="str">
            <v>USD_LIBOR_1M_EOD</v>
          </cell>
          <cell r="C1272">
            <v>42416</v>
          </cell>
          <cell r="E1272">
            <v>2.9047815962708898E-3</v>
          </cell>
        </row>
        <row r="1273">
          <cell r="A1273" t="str">
            <v>USD_LIBOR_1M_EOD</v>
          </cell>
          <cell r="C1273">
            <v>42506</v>
          </cell>
          <cell r="E1273">
            <v>3.7635331190372001E-3</v>
          </cell>
        </row>
        <row r="1274">
          <cell r="A1274" t="str">
            <v>USD_LIBOR_1M_EOD</v>
          </cell>
          <cell r="C1274">
            <v>42598</v>
          </cell>
          <cell r="E1274">
            <v>4.5966148128467298E-3</v>
          </cell>
        </row>
        <row r="1275">
          <cell r="A1275" t="str">
            <v>USD_LIBOR_1M_EOD</v>
          </cell>
          <cell r="C1275">
            <v>42690</v>
          </cell>
          <cell r="E1275">
            <v>5.4450785704621201E-3</v>
          </cell>
        </row>
        <row r="1276">
          <cell r="A1276" t="str">
            <v>USD_LIBOR_1M_EOD</v>
          </cell>
          <cell r="C1276">
            <v>43055</v>
          </cell>
          <cell r="E1276">
            <v>8.6231709812593892E-3</v>
          </cell>
        </row>
        <row r="1277">
          <cell r="A1277" t="str">
            <v>USD_LIBOR_1M_EOD</v>
          </cell>
          <cell r="C1277">
            <v>43420</v>
          </cell>
          <cell r="E1277">
            <v>1.1414021504983199E-2</v>
          </cell>
        </row>
        <row r="1278">
          <cell r="A1278" t="str">
            <v>USD_LIBOR_1M_EOD</v>
          </cell>
          <cell r="C1278">
            <v>43787</v>
          </cell>
          <cell r="E1278">
            <v>1.3574478259140601E-2</v>
          </cell>
        </row>
        <row r="1279">
          <cell r="A1279" t="str">
            <v>USD_LIBOR_1M_EOD</v>
          </cell>
          <cell r="C1279">
            <v>44151</v>
          </cell>
          <cell r="E1279">
            <v>1.5349720544013399E-2</v>
          </cell>
        </row>
        <row r="1280">
          <cell r="A1280" t="str">
            <v>USD_LIBOR_1M_EOD</v>
          </cell>
          <cell r="C1280">
            <v>44516</v>
          </cell>
          <cell r="E1280">
            <v>1.6893873678411699E-2</v>
          </cell>
        </row>
        <row r="1281">
          <cell r="A1281" t="str">
            <v>USD_LIBOR_1M_EOD</v>
          </cell>
          <cell r="C1281">
            <v>44881</v>
          </cell>
          <cell r="E1281">
            <v>1.8248982599473499E-2</v>
          </cell>
        </row>
        <row r="1282">
          <cell r="A1282" t="str">
            <v>USD_LIBOR_1M_EOD</v>
          </cell>
          <cell r="C1282">
            <v>45246</v>
          </cell>
          <cell r="E1282">
            <v>1.9330241118669399E-2</v>
          </cell>
        </row>
        <row r="1283">
          <cell r="A1283" t="str">
            <v>USD_LIBOR_1M_EOD</v>
          </cell>
          <cell r="C1283">
            <v>45614</v>
          </cell>
          <cell r="E1283">
            <v>2.0268188066621201E-2</v>
          </cell>
        </row>
        <row r="1284">
          <cell r="A1284" t="str">
            <v>USD_LIBOR_1M_EOD</v>
          </cell>
          <cell r="C1284">
            <v>45978</v>
          </cell>
          <cell r="E1284">
            <v>2.1058330015286699E-2</v>
          </cell>
        </row>
        <row r="1285">
          <cell r="A1285" t="str">
            <v>USD_LIBOR_1M_EOD</v>
          </cell>
          <cell r="C1285">
            <v>46707</v>
          </cell>
          <cell r="E1285">
            <v>2.2449944698728502E-2</v>
          </cell>
        </row>
        <row r="1286">
          <cell r="A1286" t="str">
            <v>USD_LIBOR_1M_EOD</v>
          </cell>
          <cell r="C1286">
            <v>47805</v>
          </cell>
          <cell r="E1286">
            <v>2.37863039087884E-2</v>
          </cell>
        </row>
        <row r="1287">
          <cell r="A1287" t="str">
            <v>USD_LIBOR_1M_EOD</v>
          </cell>
          <cell r="C1287">
            <v>49629</v>
          </cell>
          <cell r="E1287">
            <v>2.5029546883910899E-2</v>
          </cell>
        </row>
        <row r="1288">
          <cell r="A1288" t="str">
            <v>USD_LIBOR_1M_EOD</v>
          </cell>
          <cell r="C1288">
            <v>51456</v>
          </cell>
          <cell r="E1288">
            <v>2.5622050042408698E-2</v>
          </cell>
        </row>
        <row r="1289">
          <cell r="A1289" t="str">
            <v>USD_LIBOR_1M_EOD</v>
          </cell>
          <cell r="C1289">
            <v>53282</v>
          </cell>
          <cell r="E1289">
            <v>2.5847621929354601E-2</v>
          </cell>
        </row>
        <row r="1290">
          <cell r="A1290" t="str">
            <v>USD_LIBOR_1M_EOD</v>
          </cell>
          <cell r="C1290">
            <v>56934</v>
          </cell>
          <cell r="E1290">
            <v>2.5979109194548801E-2</v>
          </cell>
        </row>
        <row r="1291">
          <cell r="A1291" t="str">
            <v>USD_LIBOR_1M_EOD</v>
          </cell>
          <cell r="C1291">
            <v>60587</v>
          </cell>
          <cell r="E1291">
            <v>2.5567590317693598E-2</v>
          </cell>
        </row>
        <row r="1292">
          <cell r="A1292" t="str">
            <v>USD_LIBOR_1M_EOD</v>
          </cell>
          <cell r="C1292">
            <v>64241</v>
          </cell>
          <cell r="E1292">
            <v>2.4941258980060801E-2</v>
          </cell>
        </row>
        <row r="1293">
          <cell r="A1293" t="str">
            <v>USD_LIBOR_3M_EOD</v>
          </cell>
          <cell r="C1293">
            <v>42416</v>
          </cell>
          <cell r="E1293">
            <v>3.6645293074681899E-3</v>
          </cell>
        </row>
        <row r="1294">
          <cell r="A1294" t="str">
            <v>USD_LIBOR_3M_EOD</v>
          </cell>
          <cell r="C1294">
            <v>42445</v>
          </cell>
          <cell r="E1294">
            <v>4.2772885978234502E-3</v>
          </cell>
        </row>
        <row r="1295">
          <cell r="A1295" t="str">
            <v>USD_LIBOR_3M_EOD</v>
          </cell>
          <cell r="C1295">
            <v>42536</v>
          </cell>
          <cell r="E1295">
            <v>5.0946336279851902E-3</v>
          </cell>
        </row>
        <row r="1296">
          <cell r="A1296" t="str">
            <v>USD_LIBOR_3M_EOD</v>
          </cell>
          <cell r="C1296">
            <v>42634</v>
          </cell>
          <cell r="E1296">
            <v>5.9608615565527297E-3</v>
          </cell>
        </row>
        <row r="1297">
          <cell r="A1297" t="str">
            <v>USD_LIBOR_3M_EOD</v>
          </cell>
          <cell r="C1297">
            <v>42725</v>
          </cell>
          <cell r="E1297">
            <v>6.7829004817939699E-3</v>
          </cell>
        </row>
        <row r="1298">
          <cell r="A1298" t="str">
            <v>USD_LIBOR_3M_EOD</v>
          </cell>
          <cell r="C1298">
            <v>42809</v>
          </cell>
          <cell r="E1298">
            <v>7.5786919100851698E-3</v>
          </cell>
        </row>
        <row r="1299">
          <cell r="A1299" t="str">
            <v>USD_LIBOR_3M_EOD</v>
          </cell>
          <cell r="C1299">
            <v>42907</v>
          </cell>
          <cell r="E1299">
            <v>8.4669154849243301E-3</v>
          </cell>
        </row>
        <row r="1300">
          <cell r="A1300" t="str">
            <v>USD_LIBOR_3M_EOD</v>
          </cell>
          <cell r="C1300">
            <v>42998</v>
          </cell>
          <cell r="E1300">
            <v>9.28757546872311E-3</v>
          </cell>
        </row>
        <row r="1301">
          <cell r="A1301" t="str">
            <v>USD_LIBOR_3M_EOD</v>
          </cell>
          <cell r="C1301">
            <v>43089</v>
          </cell>
          <cell r="E1301">
            <v>1.0088545108878501E-2</v>
          </cell>
        </row>
        <row r="1302">
          <cell r="A1302" t="str">
            <v>USD_LIBOR_3M_EOD</v>
          </cell>
          <cell r="C1302">
            <v>43180</v>
          </cell>
          <cell r="E1302">
            <v>1.08649217755818E-2</v>
          </cell>
        </row>
        <row r="1303">
          <cell r="A1303" t="str">
            <v>USD_LIBOR_3M_EOD</v>
          </cell>
          <cell r="C1303">
            <v>43271</v>
          </cell>
          <cell r="E1303">
            <v>1.15989715412191E-2</v>
          </cell>
        </row>
        <row r="1304">
          <cell r="A1304" t="str">
            <v>USD_LIBOR_3M_EOD</v>
          </cell>
          <cell r="C1304">
            <v>43362</v>
          </cell>
          <cell r="E1304">
            <v>1.22970713679418E-2</v>
          </cell>
        </row>
        <row r="1305">
          <cell r="A1305" t="str">
            <v>USD_LIBOR_3M_EOD</v>
          </cell>
          <cell r="C1305">
            <v>43453</v>
          </cell>
          <cell r="E1305">
            <v>1.29554311440981E-2</v>
          </cell>
        </row>
        <row r="1306">
          <cell r="A1306" t="str">
            <v>USD_LIBOR_3M_EOD</v>
          </cell>
          <cell r="C1306">
            <v>43787</v>
          </cell>
          <cell r="E1306">
            <v>1.4873918597049901E-2</v>
          </cell>
        </row>
        <row r="1307">
          <cell r="A1307" t="str">
            <v>USD_LIBOR_3M_EOD</v>
          </cell>
          <cell r="C1307">
            <v>44151</v>
          </cell>
          <cell r="E1307">
            <v>1.66890142354362E-2</v>
          </cell>
        </row>
        <row r="1308">
          <cell r="A1308" t="str">
            <v>USD_LIBOR_3M_EOD</v>
          </cell>
          <cell r="C1308">
            <v>44516</v>
          </cell>
          <cell r="E1308">
            <v>1.8240590916385101E-2</v>
          </cell>
        </row>
        <row r="1309">
          <cell r="A1309" t="str">
            <v>USD_LIBOR_3M_EOD</v>
          </cell>
          <cell r="C1309">
            <v>44881</v>
          </cell>
          <cell r="E1309">
            <v>1.9572310804583801E-2</v>
          </cell>
        </row>
        <row r="1310">
          <cell r="A1310" t="str">
            <v>USD_LIBOR_3M_EOD</v>
          </cell>
          <cell r="C1310">
            <v>45246</v>
          </cell>
          <cell r="E1310">
            <v>2.0630925579748698E-2</v>
          </cell>
        </row>
        <row r="1311">
          <cell r="A1311" t="str">
            <v>USD_LIBOR_3M_EOD</v>
          </cell>
          <cell r="C1311">
            <v>45614</v>
          </cell>
          <cell r="E1311">
            <v>2.1546186387910699E-2</v>
          </cell>
        </row>
        <row r="1312">
          <cell r="A1312" t="str">
            <v>USD_LIBOR_3M_EOD</v>
          </cell>
          <cell r="C1312">
            <v>45978</v>
          </cell>
          <cell r="E1312">
            <v>2.23247455373622E-2</v>
          </cell>
        </row>
        <row r="1313">
          <cell r="A1313" t="str">
            <v>USD_LIBOR_3M_EOD</v>
          </cell>
          <cell r="C1313">
            <v>46707</v>
          </cell>
          <cell r="E1313">
            <v>2.3680259950351699E-2</v>
          </cell>
        </row>
        <row r="1314">
          <cell r="A1314" t="str">
            <v>USD_LIBOR_3M_EOD</v>
          </cell>
          <cell r="C1314">
            <v>47805</v>
          </cell>
          <cell r="E1314">
            <v>2.5016899352619599E-2</v>
          </cell>
        </row>
        <row r="1315">
          <cell r="A1315" t="str">
            <v>USD_LIBOR_3M_EOD</v>
          </cell>
          <cell r="C1315">
            <v>49629</v>
          </cell>
          <cell r="E1315">
            <v>2.6272967215920401E-2</v>
          </cell>
        </row>
        <row r="1316">
          <cell r="A1316" t="str">
            <v>USD_LIBOR_3M_EOD</v>
          </cell>
          <cell r="C1316">
            <v>51456</v>
          </cell>
          <cell r="E1316">
            <v>2.6905341947204901E-2</v>
          </cell>
        </row>
        <row r="1317">
          <cell r="A1317" t="str">
            <v>USD_LIBOR_3M_EOD</v>
          </cell>
          <cell r="C1317">
            <v>53282</v>
          </cell>
          <cell r="E1317">
            <v>2.7157992051237801E-2</v>
          </cell>
        </row>
        <row r="1318">
          <cell r="A1318" t="str">
            <v>USD_LIBOR_3M_EOD</v>
          </cell>
          <cell r="C1318">
            <v>56934</v>
          </cell>
          <cell r="E1318">
            <v>2.7285193502067699E-2</v>
          </cell>
        </row>
        <row r="1319">
          <cell r="A1319" t="str">
            <v>USD_LIBOR_3M_EOD</v>
          </cell>
          <cell r="C1319">
            <v>60587</v>
          </cell>
          <cell r="E1319">
            <v>2.68717955523151E-2</v>
          </cell>
        </row>
        <row r="1320">
          <cell r="A1320" t="str">
            <v>USD_LIBOR_3M_EOD</v>
          </cell>
          <cell r="C1320">
            <v>64241</v>
          </cell>
          <cell r="E1320">
            <v>2.6244491258799602E-2</v>
          </cell>
        </row>
        <row r="1321">
          <cell r="A1321" t="str">
            <v>USD_LIBOR_6M_EOD</v>
          </cell>
          <cell r="C1321">
            <v>42506</v>
          </cell>
          <cell r="E1321">
            <v>6.0791796671737803E-3</v>
          </cell>
        </row>
        <row r="1322">
          <cell r="A1322" t="str">
            <v>USD_LIBOR_6M_EOD</v>
          </cell>
          <cell r="C1322">
            <v>42537</v>
          </cell>
          <cell r="E1322">
            <v>6.6700504015922996E-3</v>
          </cell>
        </row>
        <row r="1323">
          <cell r="A1323" t="str">
            <v>USD_LIBOR_6M_EOD</v>
          </cell>
          <cell r="C1323">
            <v>42569</v>
          </cell>
          <cell r="E1323">
            <v>7.0983139967719204E-3</v>
          </cell>
        </row>
        <row r="1324">
          <cell r="A1324" t="str">
            <v>USD_LIBOR_6M_EOD</v>
          </cell>
          <cell r="C1324">
            <v>42598</v>
          </cell>
          <cell r="E1324">
            <v>7.3028651957164504E-3</v>
          </cell>
        </row>
        <row r="1325">
          <cell r="A1325" t="str">
            <v>USD_LIBOR_6M_EOD</v>
          </cell>
          <cell r="C1325">
            <v>42629</v>
          </cell>
          <cell r="E1325">
            <v>7.4596552643240704E-3</v>
          </cell>
        </row>
        <row r="1326">
          <cell r="A1326" t="str">
            <v>USD_LIBOR_6M_EOD</v>
          </cell>
          <cell r="C1326">
            <v>42660</v>
          </cell>
          <cell r="E1326">
            <v>7.5683469131001798E-3</v>
          </cell>
        </row>
        <row r="1327">
          <cell r="A1327" t="str">
            <v>USD_LIBOR_6M_EOD</v>
          </cell>
          <cell r="C1327">
            <v>42690</v>
          </cell>
          <cell r="E1327">
            <v>7.6951181817575699E-3</v>
          </cell>
        </row>
        <row r="1328">
          <cell r="A1328" t="str">
            <v>USD_LIBOR_6M_EOD</v>
          </cell>
          <cell r="C1328">
            <v>42871</v>
          </cell>
          <cell r="E1328">
            <v>9.2976349046414702E-3</v>
          </cell>
        </row>
        <row r="1329">
          <cell r="A1329" t="str">
            <v>USD_LIBOR_6M_EOD</v>
          </cell>
          <cell r="C1329">
            <v>43055</v>
          </cell>
          <cell r="E1329">
            <v>1.08808508327636E-2</v>
          </cell>
        </row>
        <row r="1330">
          <cell r="A1330" t="str">
            <v>USD_LIBOR_6M_EOD</v>
          </cell>
          <cell r="C1330">
            <v>43420</v>
          </cell>
          <cell r="E1330">
            <v>1.3662701249364501E-2</v>
          </cell>
        </row>
        <row r="1331">
          <cell r="A1331" t="str">
            <v>USD_LIBOR_6M_EOD</v>
          </cell>
          <cell r="C1331">
            <v>43787</v>
          </cell>
          <cell r="E1331">
            <v>1.5871526057588198E-2</v>
          </cell>
        </row>
        <row r="1332">
          <cell r="A1332" t="str">
            <v>USD_LIBOR_6M_EOD</v>
          </cell>
          <cell r="C1332">
            <v>44151</v>
          </cell>
          <cell r="E1332">
            <v>1.7650009432880101E-2</v>
          </cell>
        </row>
        <row r="1333">
          <cell r="A1333" t="str">
            <v>USD_LIBOR_6M_EOD</v>
          </cell>
          <cell r="C1333">
            <v>44516</v>
          </cell>
          <cell r="E1333">
            <v>1.91813492949366E-2</v>
          </cell>
        </row>
        <row r="1334">
          <cell r="A1334" t="str">
            <v>USD_LIBOR_6M_EOD</v>
          </cell>
          <cell r="C1334">
            <v>44881</v>
          </cell>
          <cell r="E1334">
            <v>2.05139024399872E-2</v>
          </cell>
        </row>
        <row r="1335">
          <cell r="A1335" t="str">
            <v>USD_LIBOR_6M_EOD</v>
          </cell>
          <cell r="C1335">
            <v>45246</v>
          </cell>
          <cell r="E1335">
            <v>2.1589076386698099E-2</v>
          </cell>
        </row>
        <row r="1336">
          <cell r="A1336" t="str">
            <v>USD_LIBOR_6M_EOD</v>
          </cell>
          <cell r="C1336">
            <v>45614</v>
          </cell>
          <cell r="E1336">
            <v>2.2516632737216401E-2</v>
          </cell>
        </row>
        <row r="1337">
          <cell r="A1337" t="str">
            <v>USD_LIBOR_6M_EOD</v>
          </cell>
          <cell r="C1337">
            <v>45978</v>
          </cell>
          <cell r="E1337">
            <v>2.33322559018454E-2</v>
          </cell>
        </row>
        <row r="1338">
          <cell r="A1338" t="str">
            <v>USD_LIBOR_6M_EOD</v>
          </cell>
          <cell r="C1338">
            <v>46707</v>
          </cell>
          <cell r="E1338">
            <v>2.47307185489158E-2</v>
          </cell>
        </row>
        <row r="1339">
          <cell r="A1339" t="str">
            <v>USD_LIBOR_6M_EOD</v>
          </cell>
          <cell r="C1339">
            <v>47805</v>
          </cell>
          <cell r="E1339">
            <v>2.60927340726382E-2</v>
          </cell>
        </row>
        <row r="1340">
          <cell r="A1340" t="str">
            <v>USD_LIBOR_6M_EOD</v>
          </cell>
          <cell r="C1340">
            <v>49629</v>
          </cell>
          <cell r="E1340">
            <v>2.7343867491320398E-2</v>
          </cell>
        </row>
        <row r="1341">
          <cell r="A1341" t="str">
            <v>USD_LIBOR_6M_EOD</v>
          </cell>
          <cell r="C1341">
            <v>51456</v>
          </cell>
          <cell r="E1341">
            <v>2.7980120659381401E-2</v>
          </cell>
        </row>
        <row r="1342">
          <cell r="A1342" t="str">
            <v>USD_LIBOR_6M_EOD</v>
          </cell>
          <cell r="C1342">
            <v>53282</v>
          </cell>
          <cell r="E1342">
            <v>2.8230879384306001E-2</v>
          </cell>
        </row>
        <row r="1343">
          <cell r="A1343" t="str">
            <v>USD_LIBOR_6M_EOD</v>
          </cell>
          <cell r="C1343">
            <v>56934</v>
          </cell>
          <cell r="E1343">
            <v>2.8356022688714799E-2</v>
          </cell>
        </row>
        <row r="1344">
          <cell r="A1344" t="str">
            <v>USD_LIBOR_6M_EOD</v>
          </cell>
          <cell r="C1344">
            <v>60587</v>
          </cell>
          <cell r="E1344">
            <v>2.7941919381419999E-2</v>
          </cell>
        </row>
        <row r="1345">
          <cell r="A1345" t="str">
            <v>USD_LIBOR_6M_EOD</v>
          </cell>
          <cell r="C1345">
            <v>64241</v>
          </cell>
          <cell r="E1345">
            <v>2.73144909775399E-2</v>
          </cell>
        </row>
        <row r="1346">
          <cell r="A1346" t="str">
            <v>USD_LIBOR_EOD</v>
          </cell>
          <cell r="C1346">
            <v>42321</v>
          </cell>
          <cell r="E1346">
            <v>1.3231226018240599E-3</v>
          </cell>
        </row>
        <row r="1347">
          <cell r="A1347" t="str">
            <v>USD_LIBOR_EOD</v>
          </cell>
          <cell r="C1347">
            <v>42324</v>
          </cell>
          <cell r="E1347">
            <v>1.32311900463373E-3</v>
          </cell>
        </row>
        <row r="1348">
          <cell r="A1348" t="str">
            <v>USD_LIBOR_EOD</v>
          </cell>
          <cell r="C1348">
            <v>42331</v>
          </cell>
          <cell r="E1348">
            <v>1.48924702593371E-3</v>
          </cell>
        </row>
        <row r="1349">
          <cell r="A1349" t="str">
            <v>USD_LIBOR_EOD</v>
          </cell>
          <cell r="C1349">
            <v>42354</v>
          </cell>
          <cell r="E1349">
            <v>1.9178938643643101E-3</v>
          </cell>
        </row>
        <row r="1350">
          <cell r="A1350" t="str">
            <v>USD_LIBOR_EOD</v>
          </cell>
          <cell r="C1350">
            <v>42445</v>
          </cell>
          <cell r="E1350">
            <v>3.8022037572988899E-3</v>
          </cell>
        </row>
        <row r="1351">
          <cell r="A1351" t="str">
            <v>USD_LIBOR_EOD</v>
          </cell>
          <cell r="C1351">
            <v>42536</v>
          </cell>
          <cell r="E1351">
            <v>4.8197002712002902E-3</v>
          </cell>
        </row>
        <row r="1352">
          <cell r="A1352" t="str">
            <v>USD_LIBOR_EOD</v>
          </cell>
          <cell r="C1352">
            <v>42634</v>
          </cell>
          <cell r="E1352">
            <v>5.7717354257708596E-3</v>
          </cell>
        </row>
        <row r="1353">
          <cell r="A1353" t="str">
            <v>USD_LIBOR_EOD</v>
          </cell>
          <cell r="C1353">
            <v>42725</v>
          </cell>
          <cell r="E1353">
            <v>6.6362693581755398E-3</v>
          </cell>
        </row>
        <row r="1354">
          <cell r="A1354" t="str">
            <v>USD_LIBOR_EOD</v>
          </cell>
          <cell r="C1354">
            <v>42809</v>
          </cell>
          <cell r="E1354">
            <v>7.4572489549410599E-3</v>
          </cell>
        </row>
        <row r="1355">
          <cell r="A1355" t="str">
            <v>USD_LIBOR_EOD</v>
          </cell>
          <cell r="C1355">
            <v>42907</v>
          </cell>
          <cell r="E1355">
            <v>8.3657475035521598E-3</v>
          </cell>
        </row>
        <row r="1356">
          <cell r="A1356" t="str">
            <v>USD_LIBOR_EOD</v>
          </cell>
          <cell r="C1356">
            <v>42998</v>
          </cell>
          <cell r="E1356">
            <v>9.1999860807207706E-3</v>
          </cell>
        </row>
        <row r="1357">
          <cell r="A1357" t="str">
            <v>USD_LIBOR_EOD</v>
          </cell>
          <cell r="C1357">
            <v>43089</v>
          </cell>
          <cell r="E1357">
            <v>1.00113206549572E-2</v>
          </cell>
        </row>
        <row r="1358">
          <cell r="A1358" t="str">
            <v>USD_LIBOR_EOD</v>
          </cell>
          <cell r="C1358">
            <v>43180</v>
          </cell>
          <cell r="E1358">
            <v>1.07958687464358E-2</v>
          </cell>
        </row>
        <row r="1359">
          <cell r="A1359" t="str">
            <v>USD_LIBOR_EOD</v>
          </cell>
          <cell r="C1359">
            <v>43271</v>
          </cell>
          <cell r="E1359">
            <v>1.15365261100251E-2</v>
          </cell>
        </row>
        <row r="1360">
          <cell r="A1360" t="str">
            <v>USD_LIBOR_EOD</v>
          </cell>
          <cell r="C1360">
            <v>43362</v>
          </cell>
          <cell r="E1360">
            <v>1.22400794245008E-2</v>
          </cell>
        </row>
        <row r="1361">
          <cell r="A1361" t="str">
            <v>USD_LIBOR_EOD</v>
          </cell>
          <cell r="C1361">
            <v>43453</v>
          </cell>
          <cell r="E1361">
            <v>1.2903016664781599E-2</v>
          </cell>
        </row>
        <row r="1362">
          <cell r="A1362" t="str">
            <v>USD_LIBOR_EOD</v>
          </cell>
          <cell r="C1362">
            <v>43787</v>
          </cell>
          <cell r="E1362">
            <v>1.4874260821508001E-2</v>
          </cell>
        </row>
        <row r="1363">
          <cell r="A1363" t="str">
            <v>USD_LIBOR_EOD</v>
          </cell>
          <cell r="C1363">
            <v>44151</v>
          </cell>
          <cell r="E1363">
            <v>1.6693863523737099E-2</v>
          </cell>
        </row>
        <row r="1364">
          <cell r="A1364" t="str">
            <v>USD_LIBOR_EOD</v>
          </cell>
          <cell r="C1364">
            <v>44516</v>
          </cell>
          <cell r="E1364">
            <v>1.82508514553976E-2</v>
          </cell>
        </row>
        <row r="1365">
          <cell r="A1365" t="str">
            <v>USD_LIBOR_EOD</v>
          </cell>
          <cell r="C1365">
            <v>44881</v>
          </cell>
          <cell r="E1365">
            <v>1.9587952705303901E-2</v>
          </cell>
        </row>
        <row r="1366">
          <cell r="A1366" t="str">
            <v>USD_LIBOR_EOD</v>
          </cell>
          <cell r="C1366">
            <v>45246</v>
          </cell>
          <cell r="E1366">
            <v>2.0651465197793598E-2</v>
          </cell>
        </row>
        <row r="1367">
          <cell r="A1367" t="str">
            <v>USD_LIBOR_EOD</v>
          </cell>
          <cell r="C1367">
            <v>45614</v>
          </cell>
          <cell r="E1367">
            <v>2.1571471174309301E-2</v>
          </cell>
        </row>
        <row r="1368">
          <cell r="A1368" t="str">
            <v>USD_LIBOR_EOD</v>
          </cell>
          <cell r="C1368">
            <v>45978</v>
          </cell>
          <cell r="E1368">
            <v>2.2354574996989299E-2</v>
          </cell>
        </row>
        <row r="1369">
          <cell r="A1369" t="str">
            <v>USD_LIBOR_EOD</v>
          </cell>
          <cell r="C1369">
            <v>46707</v>
          </cell>
          <cell r="E1369">
            <v>2.3719967791811101E-2</v>
          </cell>
        </row>
        <row r="1370">
          <cell r="A1370" t="str">
            <v>USD_LIBOR_EOD</v>
          </cell>
          <cell r="C1370">
            <v>47805</v>
          </cell>
          <cell r="E1370">
            <v>2.5067196605112502E-2</v>
          </cell>
        </row>
        <row r="1371">
          <cell r="A1371" t="str">
            <v>USD_LIBOR_EOD</v>
          </cell>
          <cell r="C1371">
            <v>49629</v>
          </cell>
          <cell r="E1371">
            <v>2.6335279078132899E-2</v>
          </cell>
        </row>
        <row r="1372">
          <cell r="A1372" t="str">
            <v>USD_LIBOR_EOD</v>
          </cell>
          <cell r="C1372">
            <v>51456</v>
          </cell>
          <cell r="E1372">
            <v>2.6973394678773702E-2</v>
          </cell>
        </row>
        <row r="1373">
          <cell r="A1373" t="str">
            <v>USD_LIBOR_EOD</v>
          </cell>
          <cell r="C1373">
            <v>53282</v>
          </cell>
          <cell r="E1373">
            <v>2.7225128666500401E-2</v>
          </cell>
        </row>
        <row r="1374">
          <cell r="A1374" t="str">
            <v>USD_LIBOR_EOD</v>
          </cell>
          <cell r="C1374">
            <v>56934</v>
          </cell>
          <cell r="E1374">
            <v>2.7344499025038702E-2</v>
          </cell>
        </row>
        <row r="1375">
          <cell r="A1375" t="str">
            <v>USD_LIBOR_EOD</v>
          </cell>
          <cell r="C1375">
            <v>60587</v>
          </cell>
          <cell r="E1375">
            <v>2.68957412744238E-2</v>
          </cell>
        </row>
        <row r="1376">
          <cell r="A1376" t="str">
            <v>USD_LIBOR_EOD</v>
          </cell>
          <cell r="C1376">
            <v>64241</v>
          </cell>
          <cell r="E1376">
            <v>2.6214114545640401E-2</v>
          </cell>
        </row>
        <row r="1377">
          <cell r="A1377" t="str">
            <v>ZAR_JIBAR_EOD</v>
          </cell>
          <cell r="C1377">
            <v>42321</v>
          </cell>
          <cell r="E1377">
            <v>5.76954398093356E-2</v>
          </cell>
        </row>
        <row r="1378">
          <cell r="A1378" t="str">
            <v>ZAR_JIBAR_EOD</v>
          </cell>
          <cell r="C1378">
            <v>42327</v>
          </cell>
          <cell r="E1378">
            <v>5.8436897595543498E-2</v>
          </cell>
        </row>
        <row r="1379">
          <cell r="A1379" t="str">
            <v>ZAR_JIBAR_EOD</v>
          </cell>
          <cell r="C1379">
            <v>42352</v>
          </cell>
          <cell r="E1379">
            <v>6.1255225053446598E-2</v>
          </cell>
        </row>
        <row r="1380">
          <cell r="A1380" t="str">
            <v>ZAR_JIBAR_EOD</v>
          </cell>
          <cell r="C1380">
            <v>42381</v>
          </cell>
          <cell r="E1380">
            <v>6.2096669089712203E-2</v>
          </cell>
        </row>
        <row r="1381">
          <cell r="A1381" t="str">
            <v>ZAR_JIBAR_EOD</v>
          </cell>
          <cell r="C1381">
            <v>42412</v>
          </cell>
          <cell r="E1381">
            <v>6.2918443623571102E-2</v>
          </cell>
        </row>
        <row r="1382">
          <cell r="A1382" t="str">
            <v>ZAR_JIBAR_EOD</v>
          </cell>
          <cell r="C1382">
            <v>42502</v>
          </cell>
          <cell r="E1382">
            <v>6.4568798606949196E-2</v>
          </cell>
        </row>
        <row r="1383">
          <cell r="A1383" t="str">
            <v>ZAR_JIBAR_EOD</v>
          </cell>
          <cell r="C1383">
            <v>42594</v>
          </cell>
          <cell r="E1383">
            <v>6.5850887169883895E-2</v>
          </cell>
        </row>
        <row r="1384">
          <cell r="A1384" t="str">
            <v>ZAR_JIBAR_EOD</v>
          </cell>
          <cell r="C1384">
            <v>42688</v>
          </cell>
          <cell r="E1384">
            <v>6.7328385835560403E-2</v>
          </cell>
        </row>
        <row r="1385">
          <cell r="A1385" t="str">
            <v>ZAR_JIBAR_EOD</v>
          </cell>
          <cell r="C1385">
            <v>43052</v>
          </cell>
          <cell r="E1385">
            <v>7.1755689699325095E-2</v>
          </cell>
        </row>
        <row r="1386">
          <cell r="A1386" t="str">
            <v>ZAR_JIBAR_EOD</v>
          </cell>
          <cell r="C1386">
            <v>43416</v>
          </cell>
          <cell r="E1386">
            <v>7.5035354788975397E-2</v>
          </cell>
        </row>
        <row r="1387">
          <cell r="A1387" t="str">
            <v>ZAR_JIBAR_EOD</v>
          </cell>
          <cell r="C1387">
            <v>43781</v>
          </cell>
          <cell r="E1387">
            <v>7.7459230929058806E-2</v>
          </cell>
        </row>
        <row r="1388">
          <cell r="A1388" t="str">
            <v>ZAR_JIBAR_EOD</v>
          </cell>
          <cell r="C1388">
            <v>44147</v>
          </cell>
          <cell r="E1388">
            <v>7.9477986780371296E-2</v>
          </cell>
        </row>
        <row r="1389">
          <cell r="A1389" t="str">
            <v>ZAR_JIBAR_EOD</v>
          </cell>
          <cell r="C1389">
            <v>44512</v>
          </cell>
          <cell r="E1389">
            <v>8.1179717906906201E-2</v>
          </cell>
        </row>
        <row r="1390">
          <cell r="A1390" t="str">
            <v>ZAR_JIBAR_EOD</v>
          </cell>
          <cell r="C1390">
            <v>44879</v>
          </cell>
          <cell r="E1390">
            <v>8.2607784498440098E-2</v>
          </cell>
        </row>
        <row r="1391">
          <cell r="A1391" t="str">
            <v>ZAR_JIBAR_EOD</v>
          </cell>
          <cell r="C1391">
            <v>45243</v>
          </cell>
          <cell r="E1391">
            <v>8.39425289177258E-2</v>
          </cell>
        </row>
        <row r="1392">
          <cell r="A1392" t="str">
            <v>ZAR_JIBAR_EOD</v>
          </cell>
          <cell r="C1392">
            <v>45608</v>
          </cell>
          <cell r="E1392">
            <v>8.5183728468458203E-2</v>
          </cell>
        </row>
        <row r="1393">
          <cell r="A1393" t="str">
            <v>ZAR_JIBAR_EOD</v>
          </cell>
          <cell r="C1393">
            <v>45973</v>
          </cell>
          <cell r="E1393">
            <v>8.6355921838592198E-2</v>
          </cell>
        </row>
        <row r="1394">
          <cell r="A1394" t="str">
            <v>ZAR_JIBAR_EOD</v>
          </cell>
          <cell r="C1394">
            <v>46703</v>
          </cell>
          <cell r="E1394">
            <v>8.8425049617895699E-2</v>
          </cell>
        </row>
        <row r="1395">
          <cell r="A1395" t="str">
            <v>ZAR_JIBAR_EOD</v>
          </cell>
          <cell r="C1395">
            <v>47799</v>
          </cell>
          <cell r="E1395">
            <v>9.0362979225851001E-2</v>
          </cell>
        </row>
        <row r="1396">
          <cell r="A1396" t="str">
            <v>ZAR_JIBAR_EOD</v>
          </cell>
          <cell r="C1396">
            <v>49625</v>
          </cell>
          <cell r="E1396">
            <v>9.0262159793281796E-2</v>
          </cell>
        </row>
        <row r="1397">
          <cell r="A1397" t="str">
            <v>ZAR_JIBAR_EOD</v>
          </cell>
          <cell r="C1397">
            <v>51452</v>
          </cell>
          <cell r="E1397">
            <v>8.8495821963453597E-2</v>
          </cell>
        </row>
        <row r="1398">
          <cell r="A1398" t="str">
            <v>ZAR_JIBAR_EOD</v>
          </cell>
          <cell r="C1398">
            <v>53279</v>
          </cell>
          <cell r="E1398">
            <v>8.4809535395688404E-2</v>
          </cell>
        </row>
      </sheetData>
      <sheetData sheetId="11">
        <row r="2">
          <cell r="A2" t="str">
            <v>AUD_AONIA_EOD</v>
          </cell>
          <cell r="F2">
            <v>0.99994520848172697</v>
          </cell>
        </row>
        <row r="3">
          <cell r="A3" t="str">
            <v>AUD_AONIA_EOD</v>
          </cell>
          <cell r="F3">
            <v>0.99956219815560599</v>
          </cell>
        </row>
        <row r="4">
          <cell r="A4" t="str">
            <v>AUD_AONIA_EOD</v>
          </cell>
          <cell r="F4">
            <v>0.99825589967944095</v>
          </cell>
        </row>
        <row r="5">
          <cell r="A5" t="str">
            <v>AUD_AONIA_EOD</v>
          </cell>
          <cell r="F5">
            <v>0.996630660648955</v>
          </cell>
        </row>
        <row r="6">
          <cell r="A6" t="str">
            <v>AUD_AONIA_EOD</v>
          </cell>
          <cell r="F6">
            <v>0.99486580527237001</v>
          </cell>
        </row>
        <row r="7">
          <cell r="A7" t="str">
            <v>AUD_AONIA_EOD</v>
          </cell>
          <cell r="F7">
            <v>0.99340260900245603</v>
          </cell>
        </row>
        <row r="8">
          <cell r="A8" t="str">
            <v>AUD_AONIA_EOD</v>
          </cell>
          <cell r="F8">
            <v>0.99186593057620698</v>
          </cell>
        </row>
        <row r="9">
          <cell r="A9" t="str">
            <v>AUD_AONIA_EOD</v>
          </cell>
          <cell r="F9">
            <v>0.99031404265913603</v>
          </cell>
        </row>
        <row r="10">
          <cell r="A10" t="str">
            <v>AUD_AONIA_EOD</v>
          </cell>
          <cell r="F10">
            <v>0.98565744225062402</v>
          </cell>
        </row>
        <row r="11">
          <cell r="A11" t="str">
            <v>AUD_AONIA_EOD</v>
          </cell>
          <cell r="F11">
            <v>0.98114781635673598</v>
          </cell>
        </row>
        <row r="12">
          <cell r="A12" t="str">
            <v>AUD_AONIA_EOD</v>
          </cell>
          <cell r="F12">
            <v>0.972114227090772</v>
          </cell>
        </row>
        <row r="13">
          <cell r="A13" t="str">
            <v>AUD_AONIA_EOD</v>
          </cell>
          <cell r="F13">
            <v>0.96274030699495505</v>
          </cell>
        </row>
        <row r="14">
          <cell r="A14" t="str">
            <v>AUD_AONIA_EOD</v>
          </cell>
          <cell r="F14">
            <v>0.94267325845153904</v>
          </cell>
        </row>
        <row r="15">
          <cell r="A15" t="str">
            <v>AUD_AONIA_EOD</v>
          </cell>
          <cell r="F15">
            <v>0.919625359817271</v>
          </cell>
        </row>
        <row r="16">
          <cell r="A16" t="str">
            <v>AUD_AONIA_EOD</v>
          </cell>
          <cell r="F16">
            <v>0.89433092791402702</v>
          </cell>
        </row>
        <row r="17">
          <cell r="A17" t="str">
            <v>AUD_AONIA_EOD</v>
          </cell>
          <cell r="F17">
            <v>0.83895927894410904</v>
          </cell>
        </row>
        <row r="18">
          <cell r="A18" t="str">
            <v>AUD_AONIA_EOD</v>
          </cell>
          <cell r="F18">
            <v>0.75650779117213696</v>
          </cell>
        </row>
        <row r="19">
          <cell r="A19" t="str">
            <v>AUD_AONIA_EOD</v>
          </cell>
          <cell r="F19">
            <v>0.70050490036295898</v>
          </cell>
        </row>
        <row r="20">
          <cell r="A20" t="str">
            <v>AUD_AONIA_EOD</v>
          </cell>
          <cell r="F20">
            <v>0.62523069949972698</v>
          </cell>
        </row>
        <row r="21">
          <cell r="A21" t="str">
            <v>AUD_AONIA_EOD</v>
          </cell>
          <cell r="F21">
            <v>0.51812516322419899</v>
          </cell>
        </row>
        <row r="22">
          <cell r="A22" t="str">
            <v>AUD_AONIA_EOD</v>
          </cell>
          <cell r="F22">
            <v>0.43333378418677598</v>
          </cell>
        </row>
        <row r="23">
          <cell r="A23" t="str">
            <v>AUD_AONIA_EOD</v>
          </cell>
          <cell r="F23">
            <v>0.37327494057698202</v>
          </cell>
        </row>
        <row r="24">
          <cell r="A24" t="str">
            <v>AUD_AONIA_EOD</v>
          </cell>
          <cell r="F24">
            <v>0.28100832382874802</v>
          </cell>
        </row>
        <row r="25">
          <cell r="A25" t="str">
            <v>AUD_BBSW_3M_EOD</v>
          </cell>
          <cell r="F25">
            <v>0.99446044662989597</v>
          </cell>
        </row>
        <row r="26">
          <cell r="A26" t="str">
            <v>AUD_BBSW_3M_EOD</v>
          </cell>
          <cell r="F26">
            <v>0.99286556945497795</v>
          </cell>
        </row>
        <row r="27">
          <cell r="A27" t="str">
            <v>AUD_BBSW_3M_EOD</v>
          </cell>
          <cell r="F27">
            <v>0.98762417386784895</v>
          </cell>
        </row>
        <row r="28">
          <cell r="A28" t="str">
            <v>AUD_BBSW_3M_EOD</v>
          </cell>
          <cell r="F28">
            <v>0.98253643149671599</v>
          </cell>
        </row>
        <row r="29">
          <cell r="A29" t="str">
            <v>AUD_BBSW_3M_EOD</v>
          </cell>
          <cell r="F29">
            <v>0.97752896962378499</v>
          </cell>
        </row>
        <row r="30">
          <cell r="A30" t="str">
            <v>AUD_BBSW_3M_EOD</v>
          </cell>
          <cell r="F30">
            <v>0.97255378310438101</v>
          </cell>
        </row>
        <row r="31">
          <cell r="A31" t="str">
            <v>AUD_BBSW_3M_EOD</v>
          </cell>
          <cell r="F31">
            <v>0.96751607724937005</v>
          </cell>
        </row>
        <row r="32">
          <cell r="A32" t="str">
            <v>AUD_BBSW_3M_EOD</v>
          </cell>
          <cell r="F32">
            <v>0.95838990762125498</v>
          </cell>
        </row>
        <row r="33">
          <cell r="A33" t="str">
            <v>AUD_BBSW_3M_EOD</v>
          </cell>
          <cell r="F33">
            <v>0.93634777006088399</v>
          </cell>
        </row>
        <row r="34">
          <cell r="A34" t="str">
            <v>AUD_BBSW_3M_EOD</v>
          </cell>
          <cell r="F34">
            <v>0.91148703178308499</v>
          </cell>
        </row>
        <row r="35">
          <cell r="A35" t="str">
            <v>AUD_BBSW_3M_EOD</v>
          </cell>
          <cell r="F35">
            <v>0.88454881273090602</v>
          </cell>
        </row>
        <row r="36">
          <cell r="A36" t="str">
            <v>AUD_BBSW_3M_EOD</v>
          </cell>
          <cell r="F36">
            <v>0.82652590905353895</v>
          </cell>
        </row>
        <row r="37">
          <cell r="A37" t="str">
            <v>AUD_BBSW_3M_EOD</v>
          </cell>
          <cell r="F37">
            <v>0.74039813157249001</v>
          </cell>
        </row>
        <row r="38">
          <cell r="A38" t="str">
            <v>AUD_BBSW_3M_EOD</v>
          </cell>
          <cell r="F38">
            <v>0.68299224309528395</v>
          </cell>
        </row>
        <row r="39">
          <cell r="A39" t="str">
            <v>AUD_BBSW_3M_EOD</v>
          </cell>
          <cell r="F39">
            <v>0.60561978897061397</v>
          </cell>
        </row>
        <row r="40">
          <cell r="A40" t="str">
            <v>AUD_BBSW_3M_EOD</v>
          </cell>
          <cell r="F40">
            <v>0.49623116119091498</v>
          </cell>
        </row>
        <row r="41">
          <cell r="A41" t="str">
            <v>AUD_BBSW_3M_EOD</v>
          </cell>
          <cell r="F41">
            <v>0.410572614244333</v>
          </cell>
        </row>
        <row r="42">
          <cell r="A42" t="str">
            <v>AUD_BBSW_3M_EOD</v>
          </cell>
          <cell r="F42">
            <v>0.34983776691984297</v>
          </cell>
        </row>
        <row r="43">
          <cell r="A43" t="str">
            <v>AUD_BBSW_3M_EOD</v>
          </cell>
          <cell r="F43">
            <v>0.25780657134660301</v>
          </cell>
        </row>
        <row r="44">
          <cell r="A44" t="str">
            <v>AUD_BBSW_6M_EOD</v>
          </cell>
          <cell r="F44">
            <v>0.98866154187861899</v>
          </cell>
        </row>
        <row r="45">
          <cell r="A45" t="str">
            <v>AUD_BBSW_6M_EOD</v>
          </cell>
          <cell r="F45">
            <v>0.97733859137333001</v>
          </cell>
        </row>
        <row r="46">
          <cell r="A46" t="str">
            <v>AUD_BBSW_6M_EOD</v>
          </cell>
          <cell r="F46">
            <v>0.95569726998010995</v>
          </cell>
        </row>
        <row r="47">
          <cell r="A47" t="str">
            <v>AUD_BBSW_6M_EOD</v>
          </cell>
          <cell r="F47">
            <v>0.93281357764003803</v>
          </cell>
        </row>
        <row r="48">
          <cell r="A48" t="str">
            <v>AUD_BBSW_6M_EOD</v>
          </cell>
          <cell r="F48">
            <v>0.90753304344955998</v>
          </cell>
        </row>
        <row r="49">
          <cell r="A49" t="str">
            <v>AUD_BBSW_6M_EOD</v>
          </cell>
          <cell r="F49">
            <v>0.88035456268881496</v>
          </cell>
        </row>
        <row r="50">
          <cell r="A50" t="str">
            <v>AUD_BBSW_6M_EOD</v>
          </cell>
          <cell r="F50">
            <v>0.82226275677599903</v>
          </cell>
        </row>
        <row r="51">
          <cell r="A51" t="str">
            <v>AUD_BBSW_6M_EOD</v>
          </cell>
          <cell r="F51">
            <v>0.73597154326771097</v>
          </cell>
        </row>
        <row r="52">
          <cell r="A52" t="str">
            <v>AUD_BBSW_6M_EOD</v>
          </cell>
          <cell r="F52">
            <v>0.67899891546796498</v>
          </cell>
        </row>
        <row r="53">
          <cell r="A53" t="str">
            <v>AUD_BBSW_6M_EOD</v>
          </cell>
          <cell r="F53">
            <v>0.60249047222081697</v>
          </cell>
        </row>
        <row r="54">
          <cell r="A54" t="str">
            <v>AUD_BBSW_6M_EOD</v>
          </cell>
          <cell r="F54">
            <v>0.494748219615888</v>
          </cell>
        </row>
        <row r="55">
          <cell r="A55" t="str">
            <v>AUD_BBSW_6M_EOD</v>
          </cell>
          <cell r="F55">
            <v>0.41001742641802402</v>
          </cell>
        </row>
        <row r="56">
          <cell r="A56" t="str">
            <v>AUD_BBSW_6M_EOD</v>
          </cell>
          <cell r="F56">
            <v>0.34985963207842902</v>
          </cell>
        </row>
        <row r="57">
          <cell r="A57" t="str">
            <v>AUD_BBSW_6M_EOD</v>
          </cell>
          <cell r="F57">
            <v>0.25738989400232498</v>
          </cell>
        </row>
        <row r="58">
          <cell r="A58" t="str">
            <v>AUD_BBSW_EOD</v>
          </cell>
          <cell r="F58">
            <v>0.99994520848172697</v>
          </cell>
        </row>
        <row r="59">
          <cell r="A59" t="str">
            <v>AUD_BBSW_EOD</v>
          </cell>
          <cell r="F59">
            <v>0.99961460300465699</v>
          </cell>
        </row>
        <row r="60">
          <cell r="A60" t="str">
            <v>AUD_BBSW_EOD</v>
          </cell>
          <cell r="F60">
            <v>0.99297926990221996</v>
          </cell>
        </row>
        <row r="61">
          <cell r="A61" t="str">
            <v>AUD_BBSW_EOD</v>
          </cell>
          <cell r="F61">
            <v>0.98773727408376</v>
          </cell>
        </row>
        <row r="62">
          <cell r="A62" t="str">
            <v>AUD_BBSW_EOD</v>
          </cell>
          <cell r="F62">
            <v>0.98264894907726696</v>
          </cell>
        </row>
        <row r="63">
          <cell r="A63" t="str">
            <v>AUD_BBSW_EOD</v>
          </cell>
          <cell r="F63">
            <v>0.97764091376248996</v>
          </cell>
        </row>
        <row r="64">
          <cell r="A64" t="str">
            <v>AUD_BBSW_EOD</v>
          </cell>
          <cell r="F64">
            <v>0.97266515749734594</v>
          </cell>
        </row>
        <row r="65">
          <cell r="A65" t="str">
            <v>AUD_BBSW_EOD</v>
          </cell>
          <cell r="F65">
            <v>0.967626874737048</v>
          </cell>
        </row>
        <row r="66">
          <cell r="A66" t="str">
            <v>AUD_BBSW_EOD</v>
          </cell>
          <cell r="F66">
            <v>0.95838238584222002</v>
          </cell>
        </row>
        <row r="67">
          <cell r="A67" t="str">
            <v>AUD_BBSW_EOD</v>
          </cell>
          <cell r="F67">
            <v>0.93632733763734999</v>
          </cell>
        </row>
        <row r="68">
          <cell r="A68" t="str">
            <v>AUD_BBSW_EOD</v>
          </cell>
          <cell r="F68">
            <v>0.907306379140847</v>
          </cell>
        </row>
        <row r="69">
          <cell r="A69" t="str">
            <v>AUD_BBSW_EOD</v>
          </cell>
          <cell r="F69">
            <v>0.88009684859905102</v>
          </cell>
        </row>
        <row r="70">
          <cell r="A70" t="str">
            <v>AUD_BBSW_EOD</v>
          </cell>
          <cell r="F70">
            <v>0.82189276135981704</v>
          </cell>
        </row>
        <row r="71">
          <cell r="A71" t="str">
            <v>AUD_BBSW_EOD</v>
          </cell>
          <cell r="F71">
            <v>0.73541855126326205</v>
          </cell>
        </row>
        <row r="72">
          <cell r="A72" t="str">
            <v>AUD_BBSW_EOD</v>
          </cell>
          <cell r="F72">
            <v>0.67829138460468597</v>
          </cell>
        </row>
        <row r="73">
          <cell r="A73" t="str">
            <v>AUD_BBSW_EOD</v>
          </cell>
          <cell r="F73">
            <v>0.60162113498911896</v>
          </cell>
        </row>
        <row r="74">
          <cell r="A74" t="str">
            <v>AUD_BBSW_EOD</v>
          </cell>
          <cell r="F74">
            <v>0.493717790082915</v>
          </cell>
        </row>
        <row r="75">
          <cell r="A75" t="str">
            <v>AUD_BBSW_EOD</v>
          </cell>
          <cell r="F75">
            <v>0.408994009465385</v>
          </cell>
        </row>
        <row r="76">
          <cell r="A76" t="str">
            <v>AUD_BBSW_EOD</v>
          </cell>
          <cell r="F76">
            <v>0.34915144037894702</v>
          </cell>
        </row>
        <row r="77">
          <cell r="A77" t="str">
            <v>AUD_BBSW_EOD</v>
          </cell>
          <cell r="F77">
            <v>0.25724086774705601</v>
          </cell>
        </row>
        <row r="78">
          <cell r="A78" t="str">
            <v>CAD_CDOR_1M_EOD</v>
          </cell>
          <cell r="F78">
            <v>0.99928073688987495</v>
          </cell>
        </row>
        <row r="79">
          <cell r="A79" t="str">
            <v>CAD_CDOR_1M_EOD</v>
          </cell>
          <cell r="F79">
            <v>0.99877335419908997</v>
          </cell>
        </row>
        <row r="80">
          <cell r="A80" t="str">
            <v>CAD_CDOR_1M_EOD</v>
          </cell>
          <cell r="F80">
            <v>0.99820125351085898</v>
          </cell>
        </row>
        <row r="81">
          <cell r="A81" t="str">
            <v>CAD_CDOR_1M_EOD</v>
          </cell>
          <cell r="F81">
            <v>0.99614088838206505</v>
          </cell>
        </row>
        <row r="82">
          <cell r="A82" t="str">
            <v>CAD_CDOR_1M_EOD</v>
          </cell>
          <cell r="F82">
            <v>0.99415751292169896</v>
          </cell>
        </row>
        <row r="83">
          <cell r="A83" t="str">
            <v>CAD_CDOR_1M_EOD</v>
          </cell>
          <cell r="F83">
            <v>0.99123471475274905</v>
          </cell>
        </row>
        <row r="84">
          <cell r="A84" t="str">
            <v>CAD_CDOR_1M_EOD</v>
          </cell>
          <cell r="F84">
            <v>0.98266571010394099</v>
          </cell>
        </row>
        <row r="85">
          <cell r="A85" t="str">
            <v>CAD_CDOR_1M_EOD</v>
          </cell>
          <cell r="F85">
            <v>0.97080244501999102</v>
          </cell>
        </row>
        <row r="86">
          <cell r="A86" t="str">
            <v>CAD_CDOR_1M_EOD</v>
          </cell>
          <cell r="F86">
            <v>0.95671475386732896</v>
          </cell>
        </row>
        <row r="87">
          <cell r="A87" t="str">
            <v>CAD_CDOR_1M_EOD</v>
          </cell>
          <cell r="F87">
            <v>0.93958238543643302</v>
          </cell>
        </row>
        <row r="88">
          <cell r="A88" t="str">
            <v>CAD_CDOR_1M_EOD</v>
          </cell>
          <cell r="F88">
            <v>0.91899920080316599</v>
          </cell>
        </row>
        <row r="89">
          <cell r="A89" t="str">
            <v>CAD_CDOR_1M_EOD</v>
          </cell>
          <cell r="F89">
            <v>0.89579090165381303</v>
          </cell>
        </row>
        <row r="90">
          <cell r="A90" t="str">
            <v>CAD_CDOR_1M_EOD</v>
          </cell>
          <cell r="F90">
            <v>0.87048890674317703</v>
          </cell>
        </row>
        <row r="91">
          <cell r="A91" t="str">
            <v>CAD_CDOR_1M_EOD</v>
          </cell>
          <cell r="F91">
            <v>0.84409108463921201</v>
          </cell>
        </row>
        <row r="92">
          <cell r="A92" t="str">
            <v>CAD_CDOR_1M_EOD</v>
          </cell>
          <cell r="F92">
            <v>0.81794069317106599</v>
          </cell>
        </row>
        <row r="93">
          <cell r="A93" t="str">
            <v>CAD_CDOR_1M_EOD</v>
          </cell>
          <cell r="F93">
            <v>0.76473678264147105</v>
          </cell>
        </row>
        <row r="94">
          <cell r="A94" t="str">
            <v>CAD_CDOR_1M_EOD</v>
          </cell>
          <cell r="F94">
            <v>0.69032755835854598</v>
          </cell>
        </row>
        <row r="95">
          <cell r="A95" t="str">
            <v>CAD_CDOR_1M_EOD</v>
          </cell>
          <cell r="F95">
            <v>0.59169221329177901</v>
          </cell>
        </row>
        <row r="96">
          <cell r="A96" t="str">
            <v>CAD_CDOR_1M_EOD</v>
          </cell>
          <cell r="F96">
            <v>0.51943024222866696</v>
          </cell>
        </row>
        <row r="97">
          <cell r="A97" t="str">
            <v>CAD_CDOR_1M_EOD</v>
          </cell>
          <cell r="F97">
            <v>0.45767632394201302</v>
          </cell>
        </row>
        <row r="98">
          <cell r="A98" t="str">
            <v>CAD_CDOR_3M_EOD</v>
          </cell>
          <cell r="F98">
            <v>0.99793490358527104</v>
          </cell>
        </row>
        <row r="99">
          <cell r="A99" t="str">
            <v>CAD_CDOR_3M_EOD</v>
          </cell>
          <cell r="F99">
            <v>0.99725512951756301</v>
          </cell>
        </row>
        <row r="100">
          <cell r="A100" t="str">
            <v>CAD_CDOR_3M_EOD</v>
          </cell>
          <cell r="F100">
            <v>0.99525867351542896</v>
          </cell>
        </row>
        <row r="101">
          <cell r="A101" t="str">
            <v>CAD_CDOR_3M_EOD</v>
          </cell>
          <cell r="F101">
            <v>0.99308783425310798</v>
          </cell>
        </row>
        <row r="102">
          <cell r="A102" t="str">
            <v>CAD_CDOR_3M_EOD</v>
          </cell>
          <cell r="F102">
            <v>0.99097912569901903</v>
          </cell>
        </row>
        <row r="103">
          <cell r="A103" t="str">
            <v>CAD_CDOR_3M_EOD</v>
          </cell>
          <cell r="F103">
            <v>0.98176699003705203</v>
          </cell>
        </row>
        <row r="104">
          <cell r="A104" t="str">
            <v>CAD_CDOR_3M_EOD</v>
          </cell>
          <cell r="F104">
            <v>0.96920936139271197</v>
          </cell>
        </row>
        <row r="105">
          <cell r="A105" t="str">
            <v>CAD_CDOR_3M_EOD</v>
          </cell>
          <cell r="F105">
            <v>0.954161287790111</v>
          </cell>
        </row>
        <row r="106">
          <cell r="A106" t="str">
            <v>CAD_CDOR_3M_EOD</v>
          </cell>
          <cell r="F106">
            <v>0.93601411795745204</v>
          </cell>
        </row>
        <row r="107">
          <cell r="A107" t="str">
            <v>CAD_CDOR_3M_EOD</v>
          </cell>
          <cell r="F107">
            <v>0.91492473409022002</v>
          </cell>
        </row>
        <row r="108">
          <cell r="A108" t="str">
            <v>CAD_CDOR_3M_EOD</v>
          </cell>
          <cell r="F108">
            <v>0.89120677033459905</v>
          </cell>
        </row>
        <row r="109">
          <cell r="A109" t="str">
            <v>CAD_CDOR_3M_EOD</v>
          </cell>
          <cell r="F109">
            <v>0.86585095791203304</v>
          </cell>
        </row>
        <row r="110">
          <cell r="A110" t="str">
            <v>CAD_CDOR_3M_EOD</v>
          </cell>
          <cell r="F110">
            <v>0.83937596270516202</v>
          </cell>
        </row>
        <row r="111">
          <cell r="A111" t="str">
            <v>CAD_CDOR_3M_EOD</v>
          </cell>
          <cell r="F111">
            <v>0.81293735187991101</v>
          </cell>
        </row>
        <row r="112">
          <cell r="A112" t="str">
            <v>CAD_CDOR_3M_EOD</v>
          </cell>
          <cell r="F112">
            <v>0.759825079571397</v>
          </cell>
        </row>
        <row r="113">
          <cell r="A113" t="str">
            <v>CAD_CDOR_3M_EOD</v>
          </cell>
          <cell r="F113">
            <v>0.68535079476280603</v>
          </cell>
        </row>
        <row r="114">
          <cell r="A114" t="str">
            <v>CAD_CDOR_3M_EOD</v>
          </cell>
          <cell r="F114">
            <v>0.58747896864990301</v>
          </cell>
        </row>
        <row r="115">
          <cell r="A115" t="str">
            <v>CAD_CDOR_3M_EOD</v>
          </cell>
          <cell r="F115">
            <v>0.51538786179204499</v>
          </cell>
        </row>
        <row r="116">
          <cell r="A116" t="str">
            <v>CAD_CDOR_3M_EOD</v>
          </cell>
          <cell r="F116">
            <v>0.45477453032653498</v>
          </cell>
        </row>
        <row r="117">
          <cell r="A117" t="str">
            <v>CAD_CDOR_EOD</v>
          </cell>
          <cell r="F117">
            <v>0.999986301557513</v>
          </cell>
        </row>
        <row r="118">
          <cell r="A118" t="str">
            <v>CAD_CDOR_EOD</v>
          </cell>
          <cell r="F118">
            <v>0.99989138449584203</v>
          </cell>
        </row>
        <row r="119">
          <cell r="A119" t="str">
            <v>CAD_CDOR_EOD</v>
          </cell>
          <cell r="F119">
            <v>0.99928073688987495</v>
          </cell>
        </row>
        <row r="120">
          <cell r="A120" t="str">
            <v>CAD_CDOR_EOD</v>
          </cell>
          <cell r="F120">
            <v>0.99725464604585601</v>
          </cell>
        </row>
        <row r="121">
          <cell r="A121" t="str">
            <v>CAD_CDOR_EOD</v>
          </cell>
          <cell r="F121">
            <v>0.99525819101160895</v>
          </cell>
        </row>
        <row r="122">
          <cell r="A122" t="str">
            <v>CAD_CDOR_EOD</v>
          </cell>
          <cell r="F122">
            <v>0.99308735280171601</v>
          </cell>
        </row>
        <row r="123">
          <cell r="A123" t="str">
            <v>CAD_CDOR_EOD</v>
          </cell>
          <cell r="F123">
            <v>0.99097864526993096</v>
          </cell>
        </row>
        <row r="124">
          <cell r="A124" t="str">
            <v>CAD_CDOR_EOD</v>
          </cell>
          <cell r="F124">
            <v>0.98175907751244695</v>
          </cell>
        </row>
        <row r="125">
          <cell r="A125" t="str">
            <v>CAD_CDOR_EOD</v>
          </cell>
          <cell r="F125">
            <v>0.96918795560804905</v>
          </cell>
        </row>
        <row r="126">
          <cell r="A126" t="str">
            <v>CAD_CDOR_EOD</v>
          </cell>
          <cell r="F126">
            <v>0.95411539075338903</v>
          </cell>
        </row>
        <row r="127">
          <cell r="A127" t="str">
            <v>CAD_CDOR_EOD</v>
          </cell>
          <cell r="F127">
            <v>0.93592643823890798</v>
          </cell>
        </row>
        <row r="128">
          <cell r="A128" t="str">
            <v>CAD_CDOR_EOD</v>
          </cell>
          <cell r="F128">
            <v>0.91477228271925304</v>
          </cell>
        </row>
        <row r="129">
          <cell r="A129" t="str">
            <v>CAD_CDOR_EOD</v>
          </cell>
          <cell r="F129">
            <v>0.89096174811328999</v>
          </cell>
        </row>
        <row r="130">
          <cell r="A130" t="str">
            <v>CAD_CDOR_EOD</v>
          </cell>
          <cell r="F130">
            <v>0.86549335863697696</v>
          </cell>
        </row>
        <row r="131">
          <cell r="A131" t="str">
            <v>CAD_CDOR_EOD</v>
          </cell>
          <cell r="F131">
            <v>0.83888728917200195</v>
          </cell>
        </row>
        <row r="132">
          <cell r="A132" t="str">
            <v>CAD_CDOR_EOD</v>
          </cell>
          <cell r="F132">
            <v>0.81231904814298295</v>
          </cell>
        </row>
        <row r="133">
          <cell r="A133" t="str">
            <v>CAD_CDOR_EOD</v>
          </cell>
          <cell r="F133">
            <v>0.758932263347742</v>
          </cell>
        </row>
        <row r="134">
          <cell r="A134" t="str">
            <v>CAD_CDOR_EOD</v>
          </cell>
          <cell r="F134">
            <v>0.68407994898879898</v>
          </cell>
        </row>
        <row r="135">
          <cell r="A135" t="str">
            <v>CAD_CDOR_EOD</v>
          </cell>
          <cell r="F135">
            <v>0.58594362666573996</v>
          </cell>
        </row>
        <row r="136">
          <cell r="A136" t="str">
            <v>CAD_CDOR_EOD</v>
          </cell>
          <cell r="F136">
            <v>0.51400425042977604</v>
          </cell>
        </row>
        <row r="137">
          <cell r="A137" t="str">
            <v>CAD_CDOR_EOD</v>
          </cell>
          <cell r="F137">
            <v>0.45361978899067001</v>
          </cell>
        </row>
        <row r="138">
          <cell r="A138" t="str">
            <v>CAD_CORRA_EOD</v>
          </cell>
          <cell r="F138">
            <v>0.999986301557513</v>
          </cell>
        </row>
        <row r="139">
          <cell r="A139" t="str">
            <v>CAD_CORRA_EOD</v>
          </cell>
          <cell r="F139">
            <v>0.99989042165406705</v>
          </cell>
        </row>
        <row r="140">
          <cell r="A140" t="str">
            <v>CAD_CORRA_EOD</v>
          </cell>
          <cell r="F140">
            <v>0.99956267867870496</v>
          </cell>
        </row>
        <row r="141">
          <cell r="A141" t="str">
            <v>CAD_CORRA_EOD</v>
          </cell>
          <cell r="F141">
            <v>0.99915389686510703</v>
          </cell>
        </row>
        <row r="142">
          <cell r="A142" t="str">
            <v>CAD_CORRA_EOD</v>
          </cell>
          <cell r="F142">
            <v>0.99869442875056902</v>
          </cell>
        </row>
        <row r="143">
          <cell r="A143" t="str">
            <v>CAD_CORRA_EOD</v>
          </cell>
          <cell r="F143">
            <v>0.998331205177029</v>
          </cell>
        </row>
        <row r="144">
          <cell r="A144" t="str">
            <v>CAD_CORRA_EOD</v>
          </cell>
          <cell r="F144">
            <v>0.99792712677722895</v>
          </cell>
        </row>
        <row r="145">
          <cell r="A145" t="str">
            <v>CAD_CORRA_EOD</v>
          </cell>
          <cell r="F145">
            <v>0.99751592376401599</v>
          </cell>
        </row>
        <row r="146">
          <cell r="A146" t="str">
            <v>CAD_CORRA_EOD</v>
          </cell>
          <cell r="F146">
            <v>0.99708572454996303</v>
          </cell>
        </row>
        <row r="147">
          <cell r="A147" t="str">
            <v>CAD_CORRA_EOD</v>
          </cell>
          <cell r="F147">
            <v>0.99666862380976295</v>
          </cell>
        </row>
        <row r="148">
          <cell r="A148" t="str">
            <v>CAD_CORRA_EOD</v>
          </cell>
          <cell r="F148">
            <v>0.996214768907694</v>
          </cell>
        </row>
        <row r="149">
          <cell r="A149" t="str">
            <v>CAD_CORRA_EOD</v>
          </cell>
          <cell r="F149">
            <v>0.99579251456193796</v>
          </cell>
        </row>
        <row r="150">
          <cell r="A150" t="str">
            <v>CAD_CORRA_EOD</v>
          </cell>
          <cell r="F150">
            <v>0.99535463012863101</v>
          </cell>
        </row>
        <row r="151">
          <cell r="A151" t="str">
            <v>CAD_CORRA_EOD</v>
          </cell>
          <cell r="F151">
            <v>0.99486965964127505</v>
          </cell>
        </row>
        <row r="152">
          <cell r="A152" t="str">
            <v>CAD_CORRA_EOD</v>
          </cell>
          <cell r="F152">
            <v>0.99173255040234898</v>
          </cell>
        </row>
        <row r="153">
          <cell r="A153" t="str">
            <v>CAD_CORRA_EOD</v>
          </cell>
          <cell r="F153">
            <v>0.98760040731183796</v>
          </cell>
        </row>
        <row r="154">
          <cell r="A154" t="str">
            <v>CAD_CORRA_EOD</v>
          </cell>
          <cell r="F154">
            <v>0.97777587148322198</v>
          </cell>
        </row>
        <row r="155">
          <cell r="A155" t="str">
            <v>CAD_CORRA_EOD</v>
          </cell>
          <cell r="F155">
            <v>0.96534846929334395</v>
          </cell>
        </row>
        <row r="156">
          <cell r="A156" t="str">
            <v>CAD_CORRA_EOD</v>
          </cell>
          <cell r="F156">
            <v>0.94987407483000796</v>
          </cell>
        </row>
        <row r="157">
          <cell r="A157" t="str">
            <v>CAD_CORRA_EOD</v>
          </cell>
          <cell r="F157">
            <v>0.90947794684854499</v>
          </cell>
        </row>
        <row r="158">
          <cell r="A158" t="str">
            <v>CAD_CORRA_EOD</v>
          </cell>
          <cell r="F158">
            <v>0.83651027764790797</v>
          </cell>
        </row>
        <row r="159">
          <cell r="A159" t="str">
            <v>CAD_CORRA_EOD</v>
          </cell>
          <cell r="F159">
            <v>0.78579789063030403</v>
          </cell>
        </row>
        <row r="160">
          <cell r="A160" t="str">
            <v>CAD_CORRA_EOD</v>
          </cell>
          <cell r="F160">
            <v>0.71452893651665195</v>
          </cell>
        </row>
        <row r="161">
          <cell r="A161" t="str">
            <v>CAD_CORRA_EOD</v>
          </cell>
          <cell r="F161">
            <v>0.62111383084499905</v>
          </cell>
        </row>
        <row r="162">
          <cell r="A162" t="str">
            <v>CAD_CORRA_EOD</v>
          </cell>
          <cell r="F162">
            <v>0.494261328553806</v>
          </cell>
        </row>
        <row r="163">
          <cell r="A163" t="str">
            <v>CHF_LIBOR_12M_EOD</v>
          </cell>
          <cell r="F163">
            <v>1.0070169649658001</v>
          </cell>
        </row>
        <row r="164">
          <cell r="A164" t="str">
            <v>CHF_LIBOR_12M_EOD</v>
          </cell>
          <cell r="F164">
            <v>1.01540741953497</v>
          </cell>
        </row>
        <row r="165">
          <cell r="A165" t="str">
            <v>CHF_LIBOR_12M_EOD</v>
          </cell>
          <cell r="F165">
            <v>1.0217748588362201</v>
          </cell>
        </row>
        <row r="166">
          <cell r="A166" t="str">
            <v>CHF_LIBOR_12M_EOD</v>
          </cell>
          <cell r="F166">
            <v>1.02506417685408</v>
          </cell>
        </row>
        <row r="167">
          <cell r="A167" t="str">
            <v>CHF_LIBOR_12M_EOD</v>
          </cell>
          <cell r="F167">
            <v>1.0244606980247599</v>
          </cell>
        </row>
        <row r="168">
          <cell r="A168" t="str">
            <v>CHF_LIBOR_12M_EOD</v>
          </cell>
          <cell r="F168">
            <v>1.0202141253363</v>
          </cell>
        </row>
        <row r="169">
          <cell r="A169" t="str">
            <v>CHF_LIBOR_12M_EOD</v>
          </cell>
          <cell r="F169">
            <v>1.01274752446886</v>
          </cell>
        </row>
        <row r="170">
          <cell r="A170" t="str">
            <v>CHF_LIBOR_12M_EOD</v>
          </cell>
          <cell r="F170">
            <v>1.0036652635849399</v>
          </cell>
        </row>
        <row r="171">
          <cell r="A171" t="str">
            <v>CHF_LIBOR_12M_EOD</v>
          </cell>
          <cell r="F171">
            <v>0.99313574624675804</v>
          </cell>
        </row>
        <row r="172">
          <cell r="A172" t="str">
            <v>CHF_LIBOR_12M_EOD</v>
          </cell>
          <cell r="F172">
            <v>0.98182340759602305</v>
          </cell>
        </row>
        <row r="173">
          <cell r="A173" t="str">
            <v>CHF_LIBOR_12M_EOD</v>
          </cell>
          <cell r="F173">
            <v>0.95888042529724804</v>
          </cell>
        </row>
        <row r="174">
          <cell r="A174" t="str">
            <v>CHF_LIBOR_12M_EOD</v>
          </cell>
          <cell r="F174">
            <v>0.92139114707111902</v>
          </cell>
        </row>
        <row r="175">
          <cell r="A175" t="str">
            <v>CHF_LIBOR_12M_EOD</v>
          </cell>
          <cell r="F175">
            <v>0.86174660796054403</v>
          </cell>
        </row>
        <row r="176">
          <cell r="A176" t="str">
            <v>CHF_LIBOR_12M_EOD</v>
          </cell>
          <cell r="F176">
            <v>0.80566145617791796</v>
          </cell>
        </row>
        <row r="177">
          <cell r="A177" t="str">
            <v>CHF_LIBOR_12M_EOD</v>
          </cell>
          <cell r="F177">
            <v>0.75683791871576001</v>
          </cell>
        </row>
        <row r="178">
          <cell r="A178" t="str">
            <v>CHF_LIBOR_12M_EOD</v>
          </cell>
          <cell r="F178">
            <v>0.66519651545589298</v>
          </cell>
        </row>
        <row r="179">
          <cell r="A179" t="str">
            <v>CHF_LIBOR_3M_EOD</v>
          </cell>
          <cell r="F179">
            <v>1.0020896000025099</v>
          </cell>
        </row>
        <row r="180">
          <cell r="A180" t="str">
            <v>CHF_LIBOR_3M_EOD</v>
          </cell>
          <cell r="F180">
            <v>1.0031233539814199</v>
          </cell>
        </row>
        <row r="181">
          <cell r="A181" t="str">
            <v>CHF_LIBOR_3M_EOD</v>
          </cell>
          <cell r="F181">
            <v>1.00579395473487</v>
          </cell>
        </row>
        <row r="182">
          <cell r="A182" t="str">
            <v>CHF_LIBOR_3M_EOD</v>
          </cell>
          <cell r="F182">
            <v>1.0087891808007099</v>
          </cell>
        </row>
        <row r="183">
          <cell r="A183" t="str">
            <v>CHF_LIBOR_3M_EOD</v>
          </cell>
          <cell r="F183">
            <v>1.0116055862934801</v>
          </cell>
        </row>
        <row r="184">
          <cell r="A184" t="str">
            <v>CHF_LIBOR_3M_EOD</v>
          </cell>
          <cell r="F184">
            <v>1.0211159870142099</v>
          </cell>
        </row>
        <row r="185">
          <cell r="A185" t="str">
            <v>CHF_LIBOR_3M_EOD</v>
          </cell>
          <cell r="F185">
            <v>1.0303175371215501</v>
          </cell>
        </row>
        <row r="186">
          <cell r="A186" t="str">
            <v>CHF_LIBOR_3M_EOD</v>
          </cell>
          <cell r="F186">
            <v>1.0365141360735901</v>
          </cell>
        </row>
        <row r="187">
          <cell r="A187" t="str">
            <v>CHF_LIBOR_3M_EOD</v>
          </cell>
          <cell r="F187">
            <v>1.03873787744587</v>
          </cell>
        </row>
        <row r="188">
          <cell r="A188" t="str">
            <v>CHF_LIBOR_3M_EOD</v>
          </cell>
          <cell r="F188">
            <v>1.0372739530255</v>
          </cell>
        </row>
        <row r="189">
          <cell r="A189" t="str">
            <v>CHF_LIBOR_3M_EOD</v>
          </cell>
          <cell r="F189">
            <v>1.0323198862831899</v>
          </cell>
        </row>
        <row r="190">
          <cell r="A190" t="str">
            <v>CHF_LIBOR_3M_EOD</v>
          </cell>
          <cell r="F190">
            <v>1.0256270836127299</v>
          </cell>
        </row>
        <row r="191">
          <cell r="A191" t="str">
            <v>CHF_LIBOR_3M_EOD</v>
          </cell>
          <cell r="F191">
            <v>1.0171395446829301</v>
          </cell>
        </row>
        <row r="192">
          <cell r="A192" t="str">
            <v>CHF_LIBOR_3M_EOD</v>
          </cell>
          <cell r="F192">
            <v>1.00768014087972</v>
          </cell>
        </row>
        <row r="193">
          <cell r="A193" t="str">
            <v>CHF_LIBOR_3M_EOD</v>
          </cell>
          <cell r="F193">
            <v>0.98799879055362705</v>
          </cell>
        </row>
        <row r="194">
          <cell r="A194" t="str">
            <v>CHF_LIBOR_3M_EOD</v>
          </cell>
          <cell r="F194">
            <v>0.95384437907999797</v>
          </cell>
        </row>
        <row r="195">
          <cell r="A195" t="str">
            <v>CHF_LIBOR_3M_EOD</v>
          </cell>
          <cell r="F195">
            <v>0.89810670723451702</v>
          </cell>
        </row>
        <row r="196">
          <cell r="A196" t="str">
            <v>CHF_LIBOR_3M_EOD</v>
          </cell>
          <cell r="F196">
            <v>0.84549971284689496</v>
          </cell>
        </row>
        <row r="197">
          <cell r="A197" t="str">
            <v>CHF_LIBOR_3M_EOD</v>
          </cell>
          <cell r="F197">
            <v>0.799365928857946</v>
          </cell>
        </row>
        <row r="198">
          <cell r="A198" t="str">
            <v>CHF_LIBOR_3M_EOD</v>
          </cell>
          <cell r="F198">
            <v>0.74427657504385203</v>
          </cell>
        </row>
        <row r="199">
          <cell r="A199" t="str">
            <v>CHF_LIBOR_6M_EOD</v>
          </cell>
          <cell r="F199">
            <v>1.0039423156815901</v>
          </cell>
        </row>
        <row r="200">
          <cell r="A200" t="str">
            <v>CHF_LIBOR_6M_EOD</v>
          </cell>
          <cell r="F200">
            <v>1.0089134550513199</v>
          </cell>
        </row>
        <row r="201">
          <cell r="A201" t="str">
            <v>CHF_LIBOR_6M_EOD</v>
          </cell>
          <cell r="F201">
            <v>1.01376271578609</v>
          </cell>
        </row>
        <row r="202">
          <cell r="A202" t="str">
            <v>CHF_LIBOR_6M_EOD</v>
          </cell>
          <cell r="F202">
            <v>1.0184440467787601</v>
          </cell>
        </row>
        <row r="203">
          <cell r="A203" t="str">
            <v>CHF_LIBOR_6M_EOD</v>
          </cell>
          <cell r="F203">
            <v>1.02612569674202</v>
          </cell>
        </row>
        <row r="204">
          <cell r="A204" t="str">
            <v>CHF_LIBOR_6M_EOD</v>
          </cell>
          <cell r="F204">
            <v>1.03047682223229</v>
          </cell>
        </row>
        <row r="205">
          <cell r="A205" t="str">
            <v>CHF_LIBOR_6M_EOD</v>
          </cell>
          <cell r="F205">
            <v>1.0308157002977101</v>
          </cell>
        </row>
        <row r="206">
          <cell r="A206" t="str">
            <v>CHF_LIBOR_6M_EOD</v>
          </cell>
          <cell r="F206">
            <v>1.0274929360648</v>
          </cell>
        </row>
        <row r="207">
          <cell r="A207" t="str">
            <v>CHF_LIBOR_6M_EOD</v>
          </cell>
          <cell r="F207">
            <v>1.0209831640159801</v>
          </cell>
        </row>
        <row r="208">
          <cell r="A208" t="str">
            <v>CHF_LIBOR_6M_EOD</v>
          </cell>
          <cell r="F208">
            <v>1.0127762870030801</v>
          </cell>
        </row>
        <row r="209">
          <cell r="A209" t="str">
            <v>CHF_LIBOR_6M_EOD</v>
          </cell>
          <cell r="F209">
            <v>1.00304311515626</v>
          </cell>
        </row>
        <row r="210">
          <cell r="A210" t="str">
            <v>CHF_LIBOR_6M_EOD</v>
          </cell>
          <cell r="F210">
            <v>0.99269184509900499</v>
          </cell>
        </row>
        <row r="211">
          <cell r="A211" t="str">
            <v>CHF_LIBOR_6M_EOD</v>
          </cell>
          <cell r="F211">
            <v>0.97160049820164296</v>
          </cell>
        </row>
        <row r="212">
          <cell r="A212" t="str">
            <v>CHF_LIBOR_6M_EOD</v>
          </cell>
          <cell r="F212">
            <v>0.93665188419823298</v>
          </cell>
        </row>
        <row r="213">
          <cell r="A213" t="str">
            <v>CHF_LIBOR_6M_EOD</v>
          </cell>
          <cell r="F213">
            <v>0.88030535983258296</v>
          </cell>
        </row>
        <row r="214">
          <cell r="A214" t="str">
            <v>CHF_LIBOR_6M_EOD</v>
          </cell>
          <cell r="F214">
            <v>0.82680440067988303</v>
          </cell>
        </row>
        <row r="215">
          <cell r="A215" t="str">
            <v>CHF_LIBOR_6M_EOD</v>
          </cell>
          <cell r="F215">
            <v>0.78009483883537301</v>
          </cell>
        </row>
        <row r="216">
          <cell r="A216" t="str">
            <v>CHF_LIBOR_6M_EOD</v>
          </cell>
          <cell r="F216">
            <v>0.72021033251129796</v>
          </cell>
        </row>
        <row r="217">
          <cell r="A217" t="str">
            <v>CHF_LIBOR_EOD</v>
          </cell>
          <cell r="F217">
            <v>1.0000215560202099</v>
          </cell>
        </row>
        <row r="218">
          <cell r="A218" t="str">
            <v>CHF_LIBOR_EOD</v>
          </cell>
          <cell r="F218">
            <v>1.0000862282629699</v>
          </cell>
        </row>
        <row r="219">
          <cell r="A219" t="str">
            <v>CHF_LIBOR_EOD</v>
          </cell>
          <cell r="F219">
            <v>1.0002420159569501</v>
          </cell>
        </row>
        <row r="220">
          <cell r="A220" t="str">
            <v>CHF_LIBOR_EOD</v>
          </cell>
          <cell r="F220">
            <v>1.00074588659321</v>
          </cell>
        </row>
        <row r="221">
          <cell r="A221" t="str">
            <v>CHF_LIBOR_EOD</v>
          </cell>
          <cell r="F221">
            <v>1.0031296877590801</v>
          </cell>
        </row>
        <row r="222">
          <cell r="A222" t="str">
            <v>CHF_LIBOR_EOD</v>
          </cell>
          <cell r="F222">
            <v>1.0058003053748501</v>
          </cell>
        </row>
        <row r="223">
          <cell r="A223" t="str">
            <v>CHF_LIBOR_EOD</v>
          </cell>
          <cell r="F223">
            <v>1.0087955503527</v>
          </cell>
        </row>
        <row r="224">
          <cell r="A224" t="str">
            <v>CHF_LIBOR_EOD</v>
          </cell>
          <cell r="F224">
            <v>1.0116119736284099</v>
          </cell>
        </row>
        <row r="225">
          <cell r="A225" t="str">
            <v>CHF_LIBOR_EOD</v>
          </cell>
          <cell r="F225">
            <v>1.0184615865371001</v>
          </cell>
        </row>
        <row r="226">
          <cell r="A226" t="str">
            <v>CHF_LIBOR_EOD</v>
          </cell>
          <cell r="F226">
            <v>1.0261391410576499</v>
          </cell>
        </row>
        <row r="227">
          <cell r="A227" t="str">
            <v>CHF_LIBOR_EOD</v>
          </cell>
          <cell r="F227">
            <v>1.0304799863490499</v>
          </cell>
        </row>
        <row r="228">
          <cell r="A228" t="str">
            <v>CHF_LIBOR_EOD</v>
          </cell>
          <cell r="F228">
            <v>1.0307847920287601</v>
          </cell>
        </row>
        <row r="229">
          <cell r="A229" t="str">
            <v>CHF_LIBOR_EOD</v>
          </cell>
          <cell r="F229">
            <v>1.0274109488493699</v>
          </cell>
        </row>
        <row r="230">
          <cell r="A230" t="str">
            <v>CHF_LIBOR_EOD</v>
          </cell>
          <cell r="F230">
            <v>1.02082793685407</v>
          </cell>
        </row>
        <row r="231">
          <cell r="A231" t="str">
            <v>CHF_LIBOR_EOD</v>
          </cell>
          <cell r="F231">
            <v>1.01253601861035</v>
          </cell>
        </row>
        <row r="232">
          <cell r="A232" t="str">
            <v>CHF_LIBOR_EOD</v>
          </cell>
          <cell r="F232">
            <v>1.00270408916979</v>
          </cell>
        </row>
        <row r="233">
          <cell r="A233" t="str">
            <v>CHF_LIBOR_EOD</v>
          </cell>
          <cell r="F233">
            <v>0.99225149973701698</v>
          </cell>
        </row>
        <row r="234">
          <cell r="A234" t="str">
            <v>CHF_LIBOR_EOD</v>
          </cell>
          <cell r="F234">
            <v>0.97098621619898395</v>
          </cell>
        </row>
        <row r="235">
          <cell r="A235" t="str">
            <v>CHF_LIBOR_EOD</v>
          </cell>
          <cell r="F235">
            <v>0.93577610044391002</v>
          </cell>
        </row>
        <row r="236">
          <cell r="A236" t="str">
            <v>CHF_LIBOR_EOD</v>
          </cell>
          <cell r="F236">
            <v>0.87904669935603796</v>
          </cell>
        </row>
        <row r="237">
          <cell r="A237" t="str">
            <v>CHF_LIBOR_EOD</v>
          </cell>
          <cell r="F237">
            <v>0.82524178935394898</v>
          </cell>
        </row>
        <row r="238">
          <cell r="A238" t="str">
            <v>CHF_LIBOR_EOD</v>
          </cell>
          <cell r="F238">
            <v>0.77834512696881497</v>
          </cell>
        </row>
        <row r="239">
          <cell r="A239" t="str">
            <v>CHF_LIBOR_EOD</v>
          </cell>
          <cell r="F239">
            <v>0.71866206353155104</v>
          </cell>
        </row>
        <row r="240">
          <cell r="A240" t="str">
            <v>CHF_TOIS_EOD</v>
          </cell>
          <cell r="F240">
            <v>1.0000145835460099</v>
          </cell>
        </row>
        <row r="241">
          <cell r="A241" t="str">
            <v>CHF_TOIS_EOD</v>
          </cell>
          <cell r="F241">
            <v>1.00005854445286</v>
          </cell>
        </row>
        <row r="242">
          <cell r="A242" t="str">
            <v>CHF_TOIS_EOD</v>
          </cell>
          <cell r="F242">
            <v>1.0005410970861399</v>
          </cell>
        </row>
        <row r="243">
          <cell r="A243" t="str">
            <v>CHF_TOIS_EOD</v>
          </cell>
          <cell r="F243">
            <v>1.0011541408012401</v>
          </cell>
        </row>
        <row r="244">
          <cell r="A244" t="str">
            <v>CHF_TOIS_EOD</v>
          </cell>
          <cell r="F244">
            <v>1.00181163132337</v>
          </cell>
        </row>
        <row r="245">
          <cell r="A245" t="str">
            <v>CHF_TOIS_EOD</v>
          </cell>
          <cell r="F245">
            <v>1.0025340981895501</v>
          </cell>
        </row>
        <row r="246">
          <cell r="A246" t="str">
            <v>CHF_TOIS_EOD</v>
          </cell>
          <cell r="F246">
            <v>1.0033441341735601</v>
          </cell>
        </row>
        <row r="247">
          <cell r="A247" t="str">
            <v>CHF_TOIS_EOD</v>
          </cell>
          <cell r="F247">
            <v>1.0040984929016099</v>
          </cell>
        </row>
        <row r="248">
          <cell r="A248" t="str">
            <v>CHF_TOIS_EOD</v>
          </cell>
          <cell r="F248">
            <v>1.00491522997155</v>
          </cell>
        </row>
        <row r="249">
          <cell r="A249" t="str">
            <v>CHF_TOIS_EOD</v>
          </cell>
          <cell r="F249">
            <v>1.00573613446025</v>
          </cell>
        </row>
        <row r="250">
          <cell r="A250" t="str">
            <v>CHF_TOIS_EOD</v>
          </cell>
          <cell r="F250">
            <v>1.00652616002801</v>
          </cell>
        </row>
        <row r="251">
          <cell r="A251" t="str">
            <v>CHF_TOIS_EOD</v>
          </cell>
          <cell r="F251">
            <v>1.0073416067813199</v>
          </cell>
        </row>
        <row r="252">
          <cell r="A252" t="str">
            <v>CHF_TOIS_EOD</v>
          </cell>
          <cell r="F252">
            <v>1.0081854150662399</v>
          </cell>
        </row>
        <row r="253">
          <cell r="A253" t="str">
            <v>CHF_TOIS_EOD</v>
          </cell>
          <cell r="F253">
            <v>1.00903043668251</v>
          </cell>
        </row>
        <row r="254">
          <cell r="A254" t="str">
            <v>CHF_TOIS_EOD</v>
          </cell>
          <cell r="F254">
            <v>1.0114375610147499</v>
          </cell>
        </row>
        <row r="255">
          <cell r="A255" t="str">
            <v>CHF_TOIS_EOD</v>
          </cell>
          <cell r="F255">
            <v>1.0138553456461801</v>
          </cell>
        </row>
        <row r="256">
          <cell r="A256" t="str">
            <v>CHF_TOIS_EOD</v>
          </cell>
          <cell r="F256">
            <v>1.0162172489980501</v>
          </cell>
        </row>
        <row r="257">
          <cell r="A257" t="str">
            <v>CHF_TOIS_EOD</v>
          </cell>
          <cell r="F257">
            <v>1.0184403508422999</v>
          </cell>
        </row>
        <row r="258">
          <cell r="A258" t="str">
            <v>CHF_TOIS_EOD</v>
          </cell>
          <cell r="F258">
            <v>1.02702613764922</v>
          </cell>
        </row>
        <row r="259">
          <cell r="A259" t="str">
            <v>CHF_TOIS_EOD</v>
          </cell>
          <cell r="F259">
            <v>1.03275999219292</v>
          </cell>
        </row>
        <row r="260">
          <cell r="A260" t="str">
            <v>CHF_TOIS_EOD</v>
          </cell>
          <cell r="F260">
            <v>1.0361655671794801</v>
          </cell>
        </row>
        <row r="261">
          <cell r="A261" t="str">
            <v>CHF_TOIS_EOD</v>
          </cell>
          <cell r="F261">
            <v>1.0353710132452101</v>
          </cell>
        </row>
        <row r="262">
          <cell r="A262" t="str">
            <v>CHF_TOIS_EOD</v>
          </cell>
          <cell r="F262">
            <v>1.0317966736719</v>
          </cell>
        </row>
        <row r="263">
          <cell r="A263" t="str">
            <v>CHF_TOIS_EOD</v>
          </cell>
          <cell r="F263">
            <v>1.0256919268236699</v>
          </cell>
        </row>
        <row r="264">
          <cell r="A264" t="str">
            <v>CHF_TOIS_EOD</v>
          </cell>
          <cell r="F264">
            <v>1.01834375866157</v>
          </cell>
        </row>
        <row r="265">
          <cell r="A265" t="str">
            <v>CHF_TOIS_EOD</v>
          </cell>
          <cell r="F265">
            <v>1.0094164430508299</v>
          </cell>
        </row>
        <row r="266">
          <cell r="A266" t="str">
            <v>CHF_TOIS_EOD</v>
          </cell>
          <cell r="F266">
            <v>0.98950863107089704</v>
          </cell>
        </row>
        <row r="267">
          <cell r="A267" t="str">
            <v>CHF_TOIS_EOD</v>
          </cell>
          <cell r="F267">
            <v>0.95856781828250703</v>
          </cell>
        </row>
        <row r="268">
          <cell r="A268" t="str">
            <v>CHF_TOIS_EOD</v>
          </cell>
          <cell r="F268">
            <v>0.90576245607571504</v>
          </cell>
        </row>
        <row r="269">
          <cell r="A269" t="str">
            <v>CHF_TOIS_EOD</v>
          </cell>
          <cell r="F269">
            <v>0.85547650206768699</v>
          </cell>
        </row>
        <row r="270">
          <cell r="A270" t="str">
            <v>CHF_TOIS_EOD</v>
          </cell>
          <cell r="F270">
            <v>0.81061650184219203</v>
          </cell>
        </row>
        <row r="271">
          <cell r="A271" t="str">
            <v>CHF_TOIS_EOD</v>
          </cell>
          <cell r="F271">
            <v>0.76290099482330298</v>
          </cell>
        </row>
        <row r="272">
          <cell r="A272" t="str">
            <v>CZK_PRIBOR_3M_EOD</v>
          </cell>
          <cell r="F272">
            <v>0.99922725181190797</v>
          </cell>
        </row>
        <row r="273">
          <cell r="A273" t="str">
            <v>CZK_PRIBOR_3M_EOD</v>
          </cell>
          <cell r="F273">
            <v>0.99860312485887104</v>
          </cell>
        </row>
        <row r="274">
          <cell r="A274" t="str">
            <v>CZK_PRIBOR_3M_EOD</v>
          </cell>
          <cell r="F274">
            <v>0.99809298844255701</v>
          </cell>
        </row>
        <row r="275">
          <cell r="A275" t="str">
            <v>CZK_PRIBOR_3M_EOD</v>
          </cell>
          <cell r="F275">
            <v>0.99764446134890805</v>
          </cell>
        </row>
        <row r="276">
          <cell r="A276" t="str">
            <v>CZK_PRIBOR_3M_EOD</v>
          </cell>
          <cell r="F276">
            <v>0.99564540885864705</v>
          </cell>
        </row>
        <row r="277">
          <cell r="A277" t="str">
            <v>CZK_PRIBOR_3M_EOD</v>
          </cell>
          <cell r="F277">
            <v>0.99297408051256397</v>
          </cell>
        </row>
        <row r="278">
          <cell r="A278" t="str">
            <v>CZK_PRIBOR_3M_EOD</v>
          </cell>
          <cell r="F278">
            <v>0.98825644307611804</v>
          </cell>
        </row>
        <row r="279">
          <cell r="A279" t="str">
            <v>CZK_PRIBOR_3M_EOD</v>
          </cell>
          <cell r="F279">
            <v>0.98223081740717999</v>
          </cell>
        </row>
        <row r="280">
          <cell r="A280" t="str">
            <v>CZK_PRIBOR_3M_EOD</v>
          </cell>
          <cell r="F280">
            <v>0.97449099257985605</v>
          </cell>
        </row>
        <row r="281">
          <cell r="A281" t="str">
            <v>CZK_PRIBOR_3M_EOD</v>
          </cell>
          <cell r="F281">
            <v>0.96483670505110397</v>
          </cell>
        </row>
        <row r="282">
          <cell r="A282" t="str">
            <v>CZK_PRIBOR_3M_EOD</v>
          </cell>
          <cell r="F282">
            <v>0.95313408926542498</v>
          </cell>
        </row>
        <row r="283">
          <cell r="A283" t="str">
            <v>CZK_PRIBOR_3M_EOD</v>
          </cell>
          <cell r="F283">
            <v>0.93946696401439</v>
          </cell>
        </row>
        <row r="284">
          <cell r="A284" t="str">
            <v>CZK_PRIBOR_3M_EOD</v>
          </cell>
          <cell r="F284">
            <v>0.92449758512458602</v>
          </cell>
        </row>
        <row r="285">
          <cell r="A285" t="str">
            <v>CZK_PRIBOR_3M_EOD</v>
          </cell>
          <cell r="F285">
            <v>0.89332632869428696</v>
          </cell>
        </row>
        <row r="286">
          <cell r="A286" t="str">
            <v>CZK_PRIBOR_3M_EOD</v>
          </cell>
          <cell r="F286">
            <v>0.84290388691561802</v>
          </cell>
        </row>
        <row r="287">
          <cell r="A287" t="str">
            <v>CZK_PRIBOR_3M_EOD</v>
          </cell>
          <cell r="F287">
            <v>0.76819059368255904</v>
          </cell>
        </row>
        <row r="288">
          <cell r="A288" t="str">
            <v>CZK_PRIBOR_3M_EOD</v>
          </cell>
          <cell r="F288">
            <v>0.72608665135459804</v>
          </cell>
        </row>
        <row r="289">
          <cell r="A289" t="str">
            <v>CZK_PRIBOR_3M_EOD</v>
          </cell>
          <cell r="F289">
            <v>0.67956090522882495</v>
          </cell>
        </row>
        <row r="290">
          <cell r="A290" t="str">
            <v>CZK_PRIBOR_6M_EOD</v>
          </cell>
          <cell r="F290">
            <v>0.99809194170826998</v>
          </cell>
        </row>
        <row r="291">
          <cell r="A291" t="str">
            <v>CZK_PRIBOR_6M_EOD</v>
          </cell>
          <cell r="F291">
            <v>0.99669414019318203</v>
          </cell>
        </row>
        <row r="292">
          <cell r="A292" t="str">
            <v>CZK_PRIBOR_6M_EOD</v>
          </cell>
          <cell r="F292">
            <v>0.995452596092261</v>
          </cell>
        </row>
        <row r="293">
          <cell r="A293" t="str">
            <v>CZK_PRIBOR_6M_EOD</v>
          </cell>
          <cell r="F293">
            <v>0.99396322133761505</v>
          </cell>
        </row>
        <row r="294">
          <cell r="A294" t="str">
            <v>CZK_PRIBOR_6M_EOD</v>
          </cell>
          <cell r="F294">
            <v>0.99035372880711403</v>
          </cell>
        </row>
        <row r="295">
          <cell r="A295" t="str">
            <v>CZK_PRIBOR_6M_EOD</v>
          </cell>
          <cell r="F295">
            <v>0.98469823447296301</v>
          </cell>
        </row>
        <row r="296">
          <cell r="A296" t="str">
            <v>CZK_PRIBOR_6M_EOD</v>
          </cell>
          <cell r="F296">
            <v>0.97753817196416204</v>
          </cell>
        </row>
        <row r="297">
          <cell r="A297" t="str">
            <v>CZK_PRIBOR_6M_EOD</v>
          </cell>
          <cell r="F297">
            <v>0.96857838407081798</v>
          </cell>
        </row>
        <row r="298">
          <cell r="A298" t="str">
            <v>CZK_PRIBOR_6M_EOD</v>
          </cell>
          <cell r="F298">
            <v>0.95714086305139401</v>
          </cell>
        </row>
        <row r="299">
          <cell r="A299" t="str">
            <v>CZK_PRIBOR_6M_EOD</v>
          </cell>
          <cell r="F299">
            <v>0.94378014852911996</v>
          </cell>
        </row>
        <row r="300">
          <cell r="A300" t="str">
            <v>CZK_PRIBOR_6M_EOD</v>
          </cell>
          <cell r="F300">
            <v>0.92834399166053105</v>
          </cell>
        </row>
        <row r="301">
          <cell r="A301" t="str">
            <v>CZK_PRIBOR_6M_EOD</v>
          </cell>
          <cell r="F301">
            <v>0.91194242561266603</v>
          </cell>
        </row>
        <row r="302">
          <cell r="A302" t="str">
            <v>CZK_PRIBOR_6M_EOD</v>
          </cell>
          <cell r="F302">
            <v>0.87858788856044001</v>
          </cell>
        </row>
        <row r="303">
          <cell r="A303" t="str">
            <v>CZK_PRIBOR_6M_EOD</v>
          </cell>
          <cell r="F303">
            <v>0.826490887741683</v>
          </cell>
        </row>
        <row r="304">
          <cell r="A304" t="str">
            <v>CZK_PRIBOR_6M_EOD</v>
          </cell>
          <cell r="F304">
            <v>0.750245436555115</v>
          </cell>
        </row>
        <row r="305">
          <cell r="A305" t="str">
            <v>CZK_PRIBOR_6M_EOD</v>
          </cell>
          <cell r="F305">
            <v>0.70700399683301796</v>
          </cell>
        </row>
        <row r="306">
          <cell r="A306" t="str">
            <v>CZK_PRIBOR_6M_EOD</v>
          </cell>
          <cell r="F306">
            <v>0.66063398311882704</v>
          </cell>
        </row>
        <row r="307">
          <cell r="A307" t="str">
            <v>CZK_PRIBOR_EOD</v>
          </cell>
          <cell r="F307">
            <v>0.99999638890192899</v>
          </cell>
        </row>
        <row r="308">
          <cell r="A308" t="str">
            <v>CZK_PRIBOR_EOD</v>
          </cell>
          <cell r="F308">
            <v>0.99998555572507597</v>
          </cell>
        </row>
        <row r="309">
          <cell r="A309" t="str">
            <v>CZK_PRIBOR_EOD</v>
          </cell>
          <cell r="F309">
            <v>0.99995833463707695</v>
          </cell>
        </row>
        <row r="310">
          <cell r="A310" t="str">
            <v>CZK_PRIBOR_EOD</v>
          </cell>
          <cell r="F310">
            <v>0.99981891923853605</v>
          </cell>
        </row>
        <row r="311">
          <cell r="A311" t="str">
            <v>CZK_PRIBOR_EOD</v>
          </cell>
          <cell r="F311">
            <v>0.99958322347762596</v>
          </cell>
        </row>
        <row r="312">
          <cell r="A312" t="str">
            <v>CZK_PRIBOR_EOD</v>
          </cell>
          <cell r="F312">
            <v>0.99924500414977802</v>
          </cell>
        </row>
        <row r="313">
          <cell r="A313" t="str">
            <v>CZK_PRIBOR_EOD</v>
          </cell>
          <cell r="F313">
            <v>0.99862086610846001</v>
          </cell>
        </row>
        <row r="314">
          <cell r="A314" t="str">
            <v>CZK_PRIBOR_EOD</v>
          </cell>
          <cell r="F314">
            <v>0.99811072062902695</v>
          </cell>
        </row>
        <row r="315">
          <cell r="A315" t="str">
            <v>CZK_PRIBOR_EOD</v>
          </cell>
          <cell r="F315">
            <v>0.99766218556681596</v>
          </cell>
        </row>
        <row r="316">
          <cell r="A316" t="str">
            <v>CZK_PRIBOR_EOD</v>
          </cell>
          <cell r="F316">
            <v>0.993986712544218</v>
          </cell>
        </row>
        <row r="317">
          <cell r="A317" t="str">
            <v>CZK_PRIBOR_EOD</v>
          </cell>
          <cell r="F317">
            <v>0.99037732456883298</v>
          </cell>
        </row>
        <row r="318">
          <cell r="A318" t="str">
            <v>CZK_PRIBOR_EOD</v>
          </cell>
          <cell r="F318">
            <v>0.98472161440621797</v>
          </cell>
        </row>
        <row r="319">
          <cell r="A319" t="str">
            <v>CZK_PRIBOR_EOD</v>
          </cell>
          <cell r="F319">
            <v>0.977559114193568</v>
          </cell>
        </row>
        <row r="320">
          <cell r="A320" t="str">
            <v>CZK_PRIBOR_EOD</v>
          </cell>
          <cell r="F320">
            <v>0.96859516663157297</v>
          </cell>
        </row>
        <row r="321">
          <cell r="A321" t="str">
            <v>CZK_PRIBOR_EOD</v>
          </cell>
          <cell r="F321">
            <v>0.95715745246869499</v>
          </cell>
        </row>
        <row r="322">
          <cell r="A322" t="str">
            <v>CZK_PRIBOR_EOD</v>
          </cell>
          <cell r="F322">
            <v>0.943796505139611</v>
          </cell>
        </row>
        <row r="323">
          <cell r="A323" t="str">
            <v>CZK_PRIBOR_EOD</v>
          </cell>
          <cell r="F323">
            <v>0.92836007953814603</v>
          </cell>
        </row>
        <row r="324">
          <cell r="A324" t="str">
            <v>CZK_PRIBOR_EOD</v>
          </cell>
          <cell r="F324">
            <v>0.91195565083985697</v>
          </cell>
        </row>
        <row r="325">
          <cell r="A325" t="str">
            <v>CZK_PRIBOR_EOD</v>
          </cell>
          <cell r="F325">
            <v>0.87859821269467198</v>
          </cell>
        </row>
        <row r="326">
          <cell r="A326" t="str">
            <v>CZK_PRIBOR_EOD</v>
          </cell>
          <cell r="F326">
            <v>0.82650060378325796</v>
          </cell>
        </row>
        <row r="327">
          <cell r="A327" t="str">
            <v>CZK_PRIBOR_EOD</v>
          </cell>
          <cell r="F327">
            <v>0.75025375475122402</v>
          </cell>
        </row>
        <row r="328">
          <cell r="A328" t="str">
            <v>CZK_PRIBOR_EOD</v>
          </cell>
          <cell r="F328">
            <v>0.70701323810606898</v>
          </cell>
        </row>
        <row r="329">
          <cell r="A329" t="str">
            <v>CZK_PRIBOR_EOD</v>
          </cell>
          <cell r="F329">
            <v>0.66064059142256604</v>
          </cell>
        </row>
        <row r="330">
          <cell r="A330" t="str">
            <v>DKK_CIBOR_3M_EOD</v>
          </cell>
          <cell r="F330">
            <v>1.00041350068577</v>
          </cell>
        </row>
        <row r="331">
          <cell r="A331" t="str">
            <v>DKK_CIBOR_3M_EOD</v>
          </cell>
          <cell r="F331">
            <v>1.0005004946176801</v>
          </cell>
        </row>
        <row r="332">
          <cell r="A332" t="str">
            <v>DKK_CIBOR_3M_EOD</v>
          </cell>
          <cell r="F332">
            <v>1.0007812971699701</v>
          </cell>
        </row>
        <row r="333">
          <cell r="A333" t="str">
            <v>DKK_CIBOR_3M_EOD</v>
          </cell>
          <cell r="F333">
            <v>1.00099520428405</v>
          </cell>
        </row>
        <row r="334">
          <cell r="A334" t="str">
            <v>DKK_CIBOR_3M_EOD</v>
          </cell>
          <cell r="F334">
            <v>1.0010799762926199</v>
          </cell>
        </row>
        <row r="335">
          <cell r="A335" t="str">
            <v>DKK_CIBOR_3M_EOD</v>
          </cell>
          <cell r="F335">
            <v>1.00103910052965</v>
          </cell>
        </row>
        <row r="336">
          <cell r="A336" t="str">
            <v>DKK_CIBOR_3M_EOD</v>
          </cell>
          <cell r="F336">
            <v>1.0008620035597899</v>
          </cell>
        </row>
        <row r="337">
          <cell r="A337" t="str">
            <v>DKK_CIBOR_3M_EOD</v>
          </cell>
          <cell r="F337">
            <v>1.0003771736495799</v>
          </cell>
        </row>
        <row r="338">
          <cell r="A338" t="str">
            <v>DKK_CIBOR_3M_EOD</v>
          </cell>
          <cell r="F338">
            <v>0.99673964783926094</v>
          </cell>
        </row>
        <row r="339">
          <cell r="A339" t="str">
            <v>DKK_CIBOR_3M_EOD</v>
          </cell>
          <cell r="F339">
            <v>0.98911447043550704</v>
          </cell>
        </row>
        <row r="340">
          <cell r="A340" t="str">
            <v>DKK_CIBOR_3M_EOD</v>
          </cell>
          <cell r="F340">
            <v>0.97816767141254901</v>
          </cell>
        </row>
        <row r="341">
          <cell r="A341" t="str">
            <v>DKK_CIBOR_3M_EOD</v>
          </cell>
          <cell r="F341">
            <v>0.96415988698756605</v>
          </cell>
        </row>
        <row r="342">
          <cell r="A342" t="str">
            <v>DKK_CIBOR_3M_EOD</v>
          </cell>
          <cell r="F342">
            <v>0.94730238316071702</v>
          </cell>
        </row>
        <row r="343">
          <cell r="A343" t="str">
            <v>DKK_CIBOR_3M_EOD</v>
          </cell>
          <cell r="F343">
            <v>0.92821968964604296</v>
          </cell>
        </row>
        <row r="344">
          <cell r="A344" t="str">
            <v>DKK_CIBOR_3M_EOD</v>
          </cell>
          <cell r="F344">
            <v>0.90749852657679297</v>
          </cell>
        </row>
        <row r="345">
          <cell r="A345" t="str">
            <v>DKK_CIBOR_3M_EOD</v>
          </cell>
          <cell r="F345">
            <v>0.88617357551090004</v>
          </cell>
        </row>
        <row r="346">
          <cell r="A346" t="str">
            <v>DKK_CIBOR_3M_EOD</v>
          </cell>
          <cell r="F346">
            <v>0.84165533414461202</v>
          </cell>
        </row>
        <row r="347">
          <cell r="A347" t="str">
            <v>DKK_CIBOR_3M_EOD</v>
          </cell>
          <cell r="F347">
            <v>0.77769406670038999</v>
          </cell>
        </row>
        <row r="348">
          <cell r="A348" t="str">
            <v>DKK_CIBOR_3M_EOD</v>
          </cell>
          <cell r="F348">
            <v>0.68665598062157296</v>
          </cell>
        </row>
        <row r="349">
          <cell r="A349" t="str">
            <v>DKK_CIBOR_3M_EOD</v>
          </cell>
          <cell r="F349">
            <v>0.61764937850245305</v>
          </cell>
        </row>
        <row r="350">
          <cell r="A350" t="str">
            <v>DKK_CIBOR_3M_EOD</v>
          </cell>
          <cell r="F350">
            <v>0.56039046320228803</v>
          </cell>
        </row>
        <row r="351">
          <cell r="A351" t="str">
            <v>DKK_CIBOR_6M_EOD</v>
          </cell>
          <cell r="F351">
            <v>0.99988313851211497</v>
          </cell>
        </row>
        <row r="352">
          <cell r="A352" t="str">
            <v>DKK_CIBOR_6M_EOD</v>
          </cell>
          <cell r="F352">
            <v>0.99945113110033401</v>
          </cell>
        </row>
        <row r="353">
          <cell r="A353" t="str">
            <v>DKK_CIBOR_6M_EOD</v>
          </cell>
          <cell r="F353">
            <v>0.99721257293307897</v>
          </cell>
        </row>
        <row r="354">
          <cell r="A354" t="str">
            <v>DKK_CIBOR_6M_EOD</v>
          </cell>
          <cell r="F354">
            <v>0.99215507892170895</v>
          </cell>
        </row>
        <row r="355">
          <cell r="A355" t="str">
            <v>DKK_CIBOR_6M_EOD</v>
          </cell>
          <cell r="F355">
            <v>0.98329724563919996</v>
          </cell>
        </row>
        <row r="356">
          <cell r="A356" t="str">
            <v>DKK_CIBOR_6M_EOD</v>
          </cell>
          <cell r="F356">
            <v>0.97128521389085498</v>
          </cell>
        </row>
        <row r="357">
          <cell r="A357" t="str">
            <v>DKK_CIBOR_6M_EOD</v>
          </cell>
          <cell r="F357">
            <v>0.95636482798994304</v>
          </cell>
        </row>
        <row r="358">
          <cell r="A358" t="str">
            <v>DKK_CIBOR_6M_EOD</v>
          </cell>
          <cell r="F358">
            <v>0.93875521052807598</v>
          </cell>
        </row>
        <row r="359">
          <cell r="A359" t="str">
            <v>DKK_CIBOR_6M_EOD</v>
          </cell>
          <cell r="F359">
            <v>0.91907636598711895</v>
          </cell>
        </row>
        <row r="360">
          <cell r="A360" t="str">
            <v>DKK_CIBOR_6M_EOD</v>
          </cell>
          <cell r="F360">
            <v>0.89798579507295895</v>
          </cell>
        </row>
        <row r="361">
          <cell r="A361" t="str">
            <v>DKK_CIBOR_6M_EOD</v>
          </cell>
          <cell r="F361">
            <v>0.87651223441802495</v>
          </cell>
        </row>
        <row r="362">
          <cell r="A362" t="str">
            <v>DKK_CIBOR_6M_EOD</v>
          </cell>
          <cell r="F362">
            <v>0.83236553860778595</v>
          </cell>
        </row>
        <row r="363">
          <cell r="A363" t="str">
            <v>DKK_CIBOR_6M_EOD</v>
          </cell>
          <cell r="F363">
            <v>0.76920772515966496</v>
          </cell>
        </row>
        <row r="364">
          <cell r="A364" t="str">
            <v>DKK_CIBOR_6M_EOD</v>
          </cell>
          <cell r="F364">
            <v>0.68022893131366502</v>
          </cell>
        </row>
        <row r="365">
          <cell r="A365" t="str">
            <v>DKK_CIBOR_6M_EOD</v>
          </cell>
          <cell r="F365">
            <v>0.61247492024272698</v>
          </cell>
        </row>
        <row r="366">
          <cell r="A366" t="str">
            <v>DKK_CIBOR_6M_EOD</v>
          </cell>
          <cell r="F366">
            <v>0.55570817164050701</v>
          </cell>
        </row>
        <row r="367">
          <cell r="A367" t="str">
            <v>DKK_CIBOR_EOD</v>
          </cell>
          <cell r="F367">
            <v>0.99999902777872296</v>
          </cell>
        </row>
        <row r="368">
          <cell r="A368" t="str">
            <v>DKK_CIBOR_EOD</v>
          </cell>
          <cell r="F368">
            <v>0.999996527787404</v>
          </cell>
        </row>
        <row r="369">
          <cell r="A369" t="str">
            <v>DKK_CIBOR_EOD</v>
          </cell>
          <cell r="F369">
            <v>1.0000694495181</v>
          </cell>
        </row>
        <row r="370">
          <cell r="A370" t="str">
            <v>DKK_CIBOR_EOD</v>
          </cell>
          <cell r="F370">
            <v>1.0002236619106299</v>
          </cell>
        </row>
        <row r="371">
          <cell r="A371" t="str">
            <v>DKK_CIBOR_EOD</v>
          </cell>
          <cell r="F371">
            <v>1.00057775526069</v>
          </cell>
        </row>
        <row r="372">
          <cell r="A372" t="str">
            <v>DKK_CIBOR_EOD</v>
          </cell>
          <cell r="F372">
            <v>1.0008585794971201</v>
          </cell>
        </row>
        <row r="373">
          <cell r="A373" t="str">
            <v>DKK_CIBOR_EOD</v>
          </cell>
          <cell r="F373">
            <v>1.00107250312952</v>
          </cell>
        </row>
        <row r="374">
          <cell r="A374" t="str">
            <v>DKK_CIBOR_EOD</v>
          </cell>
          <cell r="F374">
            <v>1.0011572816843299</v>
          </cell>
        </row>
        <row r="375">
          <cell r="A375" t="str">
            <v>DKK_CIBOR_EOD</v>
          </cell>
          <cell r="F375">
            <v>1.0011164027645501</v>
          </cell>
        </row>
        <row r="376">
          <cell r="A376" t="str">
            <v>DKK_CIBOR_EOD</v>
          </cell>
          <cell r="F376">
            <v>1.0009392921175899</v>
          </cell>
        </row>
        <row r="377">
          <cell r="A377" t="str">
            <v>DKK_CIBOR_EOD</v>
          </cell>
          <cell r="F377">
            <v>0.99720781932034996</v>
          </cell>
        </row>
        <row r="378">
          <cell r="A378" t="str">
            <v>DKK_CIBOR_EOD</v>
          </cell>
          <cell r="F378">
            <v>0.99215241918708796</v>
          </cell>
        </row>
        <row r="379">
          <cell r="A379" t="str">
            <v>DKK_CIBOR_EOD</v>
          </cell>
          <cell r="F379">
            <v>0.98329355610844704</v>
          </cell>
        </row>
        <row r="380">
          <cell r="A380" t="str">
            <v>DKK_CIBOR_EOD</v>
          </cell>
          <cell r="F380">
            <v>0.971277579483382</v>
          </cell>
        </row>
        <row r="381">
          <cell r="A381" t="str">
            <v>DKK_CIBOR_EOD</v>
          </cell>
          <cell r="F381">
            <v>0.95635491210464296</v>
          </cell>
        </row>
        <row r="382">
          <cell r="A382" t="str">
            <v>DKK_CIBOR_EOD</v>
          </cell>
          <cell r="F382">
            <v>0.93874552119617805</v>
          </cell>
        </row>
        <row r="383">
          <cell r="A383" t="str">
            <v>DKK_CIBOR_EOD</v>
          </cell>
          <cell r="F383">
            <v>0.91906686688248895</v>
          </cell>
        </row>
        <row r="384">
          <cell r="A384" t="str">
            <v>DKK_CIBOR_EOD</v>
          </cell>
          <cell r="F384">
            <v>0.89797651569929704</v>
          </cell>
        </row>
        <row r="385">
          <cell r="A385" t="str">
            <v>DKK_CIBOR_EOD</v>
          </cell>
          <cell r="F385">
            <v>0.87650083532997403</v>
          </cell>
        </row>
        <row r="386">
          <cell r="A386" t="str">
            <v>DKK_CIBOR_EOD</v>
          </cell>
          <cell r="F386">
            <v>0.83235208511580405</v>
          </cell>
        </row>
        <row r="387">
          <cell r="A387" t="str">
            <v>DKK_CIBOR_EOD</v>
          </cell>
          <cell r="F387">
            <v>0.76919530112922496</v>
          </cell>
        </row>
        <row r="388">
          <cell r="A388" t="str">
            <v>DKK_CIBOR_EOD</v>
          </cell>
          <cell r="F388">
            <v>0.680217420828924</v>
          </cell>
        </row>
        <row r="389">
          <cell r="A389" t="str">
            <v>DKK_CIBOR_EOD</v>
          </cell>
          <cell r="F389">
            <v>0.61246480419554294</v>
          </cell>
        </row>
        <row r="390">
          <cell r="A390" t="str">
            <v>DKK_CIBOR_EOD</v>
          </cell>
          <cell r="F390">
            <v>0.55569848396717403</v>
          </cell>
        </row>
        <row r="391">
          <cell r="A391" t="str">
            <v>EUR_EONIA_EOD</v>
          </cell>
          <cell r="F391">
            <v>1.0000038333480299</v>
          </cell>
        </row>
        <row r="392">
          <cell r="A392" t="str">
            <v>EUR_EONIA_EOD</v>
          </cell>
          <cell r="F392">
            <v>1.00001533352436</v>
          </cell>
        </row>
        <row r="393">
          <cell r="A393" t="str">
            <v>EUR_EONIA_EOD</v>
          </cell>
          <cell r="F393">
            <v>1.00004245967608</v>
          </cell>
        </row>
        <row r="394">
          <cell r="A394" t="str">
            <v>EUR_EONIA_EOD</v>
          </cell>
          <cell r="F394">
            <v>1.0000693928309901</v>
          </cell>
        </row>
        <row r="395">
          <cell r="A395" t="str">
            <v>EUR_EONIA_EOD</v>
          </cell>
          <cell r="F395">
            <v>1.0000952578037201</v>
          </cell>
        </row>
        <row r="396">
          <cell r="A396" t="str">
            <v>EUR_EONIA_EOD</v>
          </cell>
          <cell r="F396">
            <v>1.0001529934709601</v>
          </cell>
        </row>
        <row r="397">
          <cell r="A397" t="str">
            <v>EUR_EONIA_EOD</v>
          </cell>
          <cell r="F397">
            <v>1.0003750934173301</v>
          </cell>
        </row>
        <row r="398">
          <cell r="A398" t="str">
            <v>EUR_EONIA_EOD</v>
          </cell>
          <cell r="F398">
            <v>1.0005823579878399</v>
          </cell>
        </row>
        <row r="399">
          <cell r="A399" t="str">
            <v>EUR_EONIA_EOD</v>
          </cell>
          <cell r="F399">
            <v>1.00079867741415</v>
          </cell>
        </row>
        <row r="400">
          <cell r="A400" t="str">
            <v>EUR_EONIA_EOD</v>
          </cell>
          <cell r="F400">
            <v>1.00105485947823</v>
          </cell>
        </row>
        <row r="401">
          <cell r="A401" t="str">
            <v>EUR_EONIA_EOD</v>
          </cell>
          <cell r="F401">
            <v>1.0012757728430799</v>
          </cell>
        </row>
        <row r="402">
          <cell r="A402" t="str">
            <v>EUR_EONIA_EOD</v>
          </cell>
          <cell r="F402">
            <v>1.0015345466725001</v>
          </cell>
        </row>
        <row r="403">
          <cell r="A403" t="str">
            <v>EUR_EONIA_EOD</v>
          </cell>
          <cell r="F403">
            <v>1.0018041626899299</v>
          </cell>
        </row>
        <row r="404">
          <cell r="A404" t="str">
            <v>EUR_EONIA_EOD</v>
          </cell>
          <cell r="F404">
            <v>1.0020535800933299</v>
          </cell>
        </row>
        <row r="405">
          <cell r="A405" t="str">
            <v>EUR_EONIA_EOD</v>
          </cell>
          <cell r="F405">
            <v>1.0023219443001099</v>
          </cell>
        </row>
        <row r="406">
          <cell r="A406" t="str">
            <v>EUR_EONIA_EOD</v>
          </cell>
          <cell r="F406">
            <v>1.00261835357276</v>
          </cell>
        </row>
        <row r="407">
          <cell r="A407" t="str">
            <v>EUR_EONIA_EOD</v>
          </cell>
          <cell r="F407">
            <v>1.00287017061003</v>
          </cell>
        </row>
        <row r="408">
          <cell r="A408" t="str">
            <v>EUR_EONIA_EOD</v>
          </cell>
          <cell r="F408">
            <v>1.00362657785641</v>
          </cell>
        </row>
        <row r="409">
          <cell r="A409" t="str">
            <v>EUR_EONIA_EOD</v>
          </cell>
          <cell r="F409">
            <v>1.0043423502114801</v>
          </cell>
        </row>
        <row r="410">
          <cell r="A410" t="str">
            <v>EUR_EONIA_EOD</v>
          </cell>
          <cell r="F410">
            <v>1.00511112455332</v>
          </cell>
        </row>
        <row r="411">
          <cell r="A411" t="str">
            <v>EUR_EONIA_EOD</v>
          </cell>
          <cell r="F411">
            <v>1.0056358445743501</v>
          </cell>
        </row>
        <row r="412">
          <cell r="A412" t="str">
            <v>EUR_EONIA_EOD</v>
          </cell>
          <cell r="F412">
            <v>1.00694236365177</v>
          </cell>
        </row>
        <row r="413">
          <cell r="A413" t="str">
            <v>EUR_EONIA_EOD</v>
          </cell>
          <cell r="F413">
            <v>1.0047191671620099</v>
          </cell>
        </row>
        <row r="414">
          <cell r="A414" t="str">
            <v>EUR_EONIA_EOD</v>
          </cell>
          <cell r="F414">
            <v>0.99916351037560902</v>
          </cell>
        </row>
        <row r="415">
          <cell r="A415" t="str">
            <v>EUR_EONIA_EOD</v>
          </cell>
          <cell r="F415">
            <v>0.98993876790493096</v>
          </cell>
        </row>
        <row r="416">
          <cell r="A416" t="str">
            <v>EUR_EONIA_EOD</v>
          </cell>
          <cell r="F416">
            <v>0.97735100351989102</v>
          </cell>
        </row>
        <row r="417">
          <cell r="A417" t="str">
            <v>EUR_EONIA_EOD</v>
          </cell>
          <cell r="F417">
            <v>0.96210792442555604</v>
          </cell>
        </row>
        <row r="418">
          <cell r="A418" t="str">
            <v>EUR_EONIA_EOD</v>
          </cell>
          <cell r="F418">
            <v>0.94490101637953205</v>
          </cell>
        </row>
        <row r="419">
          <cell r="A419" t="str">
            <v>EUR_EONIA_EOD</v>
          </cell>
          <cell r="F419">
            <v>0.92680243826279196</v>
          </cell>
        </row>
        <row r="420">
          <cell r="A420" t="str">
            <v>EUR_EONIA_EOD</v>
          </cell>
          <cell r="F420">
            <v>0.888585687664041</v>
          </cell>
        </row>
        <row r="421">
          <cell r="A421" t="str">
            <v>EUR_EONIA_EOD</v>
          </cell>
          <cell r="F421">
            <v>0.83139633026244497</v>
          </cell>
        </row>
        <row r="422">
          <cell r="A422" t="str">
            <v>EUR_EONIA_EOD</v>
          </cell>
          <cell r="F422">
            <v>0.74598797916783599</v>
          </cell>
        </row>
        <row r="423">
          <cell r="A423" t="str">
            <v>EUR_EONIA_EOD</v>
          </cell>
          <cell r="F423">
            <v>0.681016058686987</v>
          </cell>
        </row>
        <row r="424">
          <cell r="A424" t="str">
            <v>EUR_EONIA_EOD</v>
          </cell>
          <cell r="F424">
            <v>0.62493459155213704</v>
          </cell>
        </row>
        <row r="425">
          <cell r="A425" t="str">
            <v>EUR_EONIA_EOD</v>
          </cell>
          <cell r="F425">
            <v>0.52831687872419597</v>
          </cell>
        </row>
        <row r="426">
          <cell r="A426" t="str">
            <v>EUR_EONIA_EOD</v>
          </cell>
          <cell r="F426">
            <v>0.46060847464019999</v>
          </cell>
        </row>
        <row r="427">
          <cell r="A427" t="str">
            <v>EUR_EONIA_EOD</v>
          </cell>
          <cell r="F427">
            <v>0.40701031003302801</v>
          </cell>
        </row>
        <row r="428">
          <cell r="A428" t="str">
            <v>EUR_EURIBOR_12M_EOD</v>
          </cell>
          <cell r="F428">
            <v>0.99913740734737599</v>
          </cell>
        </row>
        <row r="429">
          <cell r="A429" t="str">
            <v>EUR_EURIBOR_12M_EOD</v>
          </cell>
          <cell r="F429">
            <v>0.99951931336925304</v>
          </cell>
        </row>
        <row r="430">
          <cell r="A430" t="str">
            <v>EUR_EURIBOR_12M_EOD</v>
          </cell>
          <cell r="F430">
            <v>0.99953987014721501</v>
          </cell>
        </row>
        <row r="431">
          <cell r="A431" t="str">
            <v>EUR_EURIBOR_12M_EOD</v>
          </cell>
          <cell r="F431">
            <v>0.99946620284656695</v>
          </cell>
        </row>
        <row r="432">
          <cell r="A432" t="str">
            <v>EUR_EURIBOR_12M_EOD</v>
          </cell>
          <cell r="F432">
            <v>0.99951088866648896</v>
          </cell>
        </row>
        <row r="433">
          <cell r="A433" t="str">
            <v>EUR_EURIBOR_12M_EOD</v>
          </cell>
          <cell r="F433">
            <v>0.99951501788100505</v>
          </cell>
        </row>
        <row r="434">
          <cell r="A434" t="str">
            <v>EUR_EURIBOR_12M_EOD</v>
          </cell>
          <cell r="F434">
            <v>0.99945481232238398</v>
          </cell>
        </row>
        <row r="435">
          <cell r="A435" t="str">
            <v>EUR_EURIBOR_12M_EOD</v>
          </cell>
          <cell r="F435">
            <v>0.99940281529682695</v>
          </cell>
        </row>
        <row r="436">
          <cell r="A436" t="str">
            <v>EUR_EURIBOR_12M_EOD</v>
          </cell>
          <cell r="F436">
            <v>0.999273892506787</v>
          </cell>
        </row>
        <row r="437">
          <cell r="A437" t="str">
            <v>EUR_EURIBOR_12M_EOD</v>
          </cell>
          <cell r="F437">
            <v>0.99908338603647495</v>
          </cell>
        </row>
        <row r="438">
          <cell r="A438" t="str">
            <v>EUR_EURIBOR_12M_EOD</v>
          </cell>
          <cell r="F438">
            <v>0.99902495471817898</v>
          </cell>
        </row>
        <row r="439">
          <cell r="A439" t="str">
            <v>EUR_EURIBOR_12M_EOD</v>
          </cell>
          <cell r="F439">
            <v>0.99886925821606198</v>
          </cell>
        </row>
        <row r="440">
          <cell r="A440" t="str">
            <v>EUR_EURIBOR_12M_EOD</v>
          </cell>
          <cell r="F440">
            <v>0.99869591661642498</v>
          </cell>
        </row>
        <row r="441">
          <cell r="A441" t="str">
            <v>EUR_EURIBOR_12M_EOD</v>
          </cell>
          <cell r="F441">
            <v>0.99623968008243302</v>
          </cell>
        </row>
        <row r="442">
          <cell r="A442" t="str">
            <v>EUR_EURIBOR_12M_EOD</v>
          </cell>
          <cell r="F442">
            <v>0.99033949707877</v>
          </cell>
        </row>
        <row r="443">
          <cell r="A443" t="str">
            <v>EUR_EURIBOR_12M_EOD</v>
          </cell>
          <cell r="F443">
            <v>0.98120695811942105</v>
          </cell>
        </row>
        <row r="444">
          <cell r="A444" t="str">
            <v>EUR_EURIBOR_12M_EOD</v>
          </cell>
          <cell r="F444">
            <v>0.96890319187608298</v>
          </cell>
        </row>
        <row r="445">
          <cell r="A445" t="str">
            <v>EUR_EURIBOR_12M_EOD</v>
          </cell>
          <cell r="F445">
            <v>0.95380396610742901</v>
          </cell>
        </row>
        <row r="446">
          <cell r="A446" t="str">
            <v>EUR_EURIBOR_12M_EOD</v>
          </cell>
          <cell r="F446">
            <v>0.93644140807959197</v>
          </cell>
        </row>
        <row r="447">
          <cell r="A447" t="str">
            <v>EUR_EURIBOR_12M_EOD</v>
          </cell>
          <cell r="F447">
            <v>0.91785645000125504</v>
          </cell>
        </row>
        <row r="448">
          <cell r="A448" t="str">
            <v>EUR_EURIBOR_12M_EOD</v>
          </cell>
          <cell r="F448">
            <v>0.89880722352624998</v>
          </cell>
        </row>
        <row r="449">
          <cell r="A449" t="str">
            <v>EUR_EURIBOR_12M_EOD</v>
          </cell>
          <cell r="F449">
            <v>0.859117000347705</v>
          </cell>
        </row>
        <row r="450">
          <cell r="A450" t="str">
            <v>EUR_EURIBOR_12M_EOD</v>
          </cell>
          <cell r="F450">
            <v>0.80125811649238399</v>
          </cell>
        </row>
        <row r="451">
          <cell r="A451" t="str">
            <v>EUR_EURIBOR_12M_EOD</v>
          </cell>
          <cell r="F451">
            <v>0.71666780337127001</v>
          </cell>
        </row>
        <row r="452">
          <cell r="A452" t="str">
            <v>EUR_EURIBOR_12M_EOD</v>
          </cell>
          <cell r="F452">
            <v>0.65248560484839802</v>
          </cell>
        </row>
        <row r="453">
          <cell r="A453" t="str">
            <v>EUR_EURIBOR_12M_EOD</v>
          </cell>
          <cell r="F453">
            <v>0.59739002116333995</v>
          </cell>
        </row>
        <row r="454">
          <cell r="A454" t="str">
            <v>EUR_EURIBOR_12M_EOD</v>
          </cell>
          <cell r="F454">
            <v>0.50324783504968795</v>
          </cell>
        </row>
        <row r="455">
          <cell r="A455" t="str">
            <v>EUR_EURIBOR_12M_EOD</v>
          </cell>
          <cell r="F455">
            <v>0.43847682861112702</v>
          </cell>
        </row>
        <row r="456">
          <cell r="A456" t="str">
            <v>EUR_EURIBOR_12M_EOD</v>
          </cell>
          <cell r="F456">
            <v>0.38230160938833901</v>
          </cell>
        </row>
        <row r="457">
          <cell r="A457" t="str">
            <v>EUR_EURIBOR_1M_EOD</v>
          </cell>
          <cell r="F457">
            <v>1.0001284599737901</v>
          </cell>
        </row>
        <row r="458">
          <cell r="A458" t="str">
            <v>EUR_EURIBOR_1M_EOD</v>
          </cell>
          <cell r="F458">
            <v>1.0003208801927499</v>
          </cell>
        </row>
        <row r="459">
          <cell r="A459" t="str">
            <v>EUR_EURIBOR_1M_EOD</v>
          </cell>
          <cell r="F459">
            <v>1.00050301973165</v>
          </cell>
        </row>
        <row r="460">
          <cell r="A460" t="str">
            <v>EUR_EURIBOR_1M_EOD</v>
          </cell>
          <cell r="F460">
            <v>1.00113935496983</v>
          </cell>
        </row>
        <row r="461">
          <cell r="A461" t="str">
            <v>EUR_EURIBOR_1M_EOD</v>
          </cell>
          <cell r="F461">
            <v>1.0018559548244701</v>
          </cell>
        </row>
        <row r="462">
          <cell r="A462" t="str">
            <v>EUR_EURIBOR_1M_EOD</v>
          </cell>
          <cell r="F462">
            <v>1.00259958671043</v>
          </cell>
        </row>
        <row r="463">
          <cell r="A463" t="str">
            <v>EUR_EURIBOR_1M_EOD</v>
          </cell>
          <cell r="F463">
            <v>1.0052192287467001</v>
          </cell>
        </row>
        <row r="464">
          <cell r="A464" t="str">
            <v>EUR_EURIBOR_1M_EOD</v>
          </cell>
          <cell r="F464">
            <v>1.0060164115364501</v>
          </cell>
        </row>
        <row r="465">
          <cell r="A465" t="str">
            <v>EUR_EURIBOR_1M_EOD</v>
          </cell>
          <cell r="F465">
            <v>1.00355301185696</v>
          </cell>
        </row>
        <row r="466">
          <cell r="A466" t="str">
            <v>EUR_EURIBOR_1M_EOD</v>
          </cell>
          <cell r="F466">
            <v>0.99769070126040604</v>
          </cell>
        </row>
        <row r="467">
          <cell r="A467" t="str">
            <v>EUR_EURIBOR_1M_EOD</v>
          </cell>
          <cell r="F467">
            <v>0.98819322914979402</v>
          </cell>
        </row>
        <row r="468">
          <cell r="A468" t="str">
            <v>EUR_EURIBOR_1M_EOD</v>
          </cell>
          <cell r="F468">
            <v>0.97539245546945397</v>
          </cell>
        </row>
        <row r="469">
          <cell r="A469" t="str">
            <v>EUR_EURIBOR_1M_EOD</v>
          </cell>
          <cell r="F469">
            <v>0.95986574897881105</v>
          </cell>
        </row>
        <row r="470">
          <cell r="A470" t="str">
            <v>EUR_EURIBOR_1M_EOD</v>
          </cell>
          <cell r="F470">
            <v>0.94233817659104702</v>
          </cell>
        </row>
        <row r="471">
          <cell r="A471" t="str">
            <v>EUR_EURIBOR_1M_EOD</v>
          </cell>
          <cell r="F471">
            <v>0.92393138676848796</v>
          </cell>
        </row>
        <row r="472">
          <cell r="A472" t="str">
            <v>EUR_EURIBOR_1M_EOD</v>
          </cell>
          <cell r="F472">
            <v>0.88533396672226505</v>
          </cell>
        </row>
        <row r="473">
          <cell r="A473" t="str">
            <v>EUR_EURIBOR_1M_EOD</v>
          </cell>
          <cell r="F473">
            <v>0.82741756874369599</v>
          </cell>
        </row>
        <row r="474">
          <cell r="A474" t="str">
            <v>EUR_EURIBOR_1M_EOD</v>
          </cell>
          <cell r="F474">
            <v>0.74178480936274904</v>
          </cell>
        </row>
        <row r="475">
          <cell r="A475" t="str">
            <v>EUR_EURIBOR_1M_EOD</v>
          </cell>
          <cell r="F475">
            <v>0.67635232107407794</v>
          </cell>
        </row>
        <row r="476">
          <cell r="A476" t="str">
            <v>EUR_EURIBOR_1M_EOD</v>
          </cell>
          <cell r="F476">
            <v>0.62019194402637601</v>
          </cell>
        </row>
        <row r="477">
          <cell r="A477" t="str">
            <v>EUR_EURIBOR_1M_EOD</v>
          </cell>
          <cell r="F477">
            <v>0.52426768639399701</v>
          </cell>
        </row>
        <row r="478">
          <cell r="A478" t="str">
            <v>EUR_EURIBOR_1M_EOD</v>
          </cell>
          <cell r="F478">
            <v>0.45773144552800499</v>
          </cell>
        </row>
        <row r="479">
          <cell r="A479" t="str">
            <v>EUR_EURIBOR_1M_EOD</v>
          </cell>
          <cell r="F479">
            <v>0.40133084185857199</v>
          </cell>
        </row>
        <row r="480">
          <cell r="A480" t="str">
            <v>EUR_EURIBOR_3M_EOD</v>
          </cell>
          <cell r="F480">
            <v>1.0002160456936</v>
          </cell>
        </row>
        <row r="481">
          <cell r="A481" t="str">
            <v>EUR_EURIBOR_3M_EOD</v>
          </cell>
          <cell r="F481">
            <v>1.00044396001711</v>
          </cell>
        </row>
        <row r="482">
          <cell r="A482" t="str">
            <v>EUR_EURIBOR_3M_EOD</v>
          </cell>
          <cell r="F482">
            <v>1.0009160766723</v>
          </cell>
        </row>
        <row r="483">
          <cell r="A483" t="str">
            <v>EUR_EURIBOR_3M_EOD</v>
          </cell>
          <cell r="F483">
            <v>1.0014844948959001</v>
          </cell>
        </row>
        <row r="484">
          <cell r="A484" t="str">
            <v>EUR_EURIBOR_3M_EOD</v>
          </cell>
          <cell r="F484">
            <v>1.0020189328272699</v>
          </cell>
        </row>
        <row r="485">
          <cell r="A485" t="str">
            <v>EUR_EURIBOR_3M_EOD</v>
          </cell>
          <cell r="F485">
            <v>1.0024958874630401</v>
          </cell>
        </row>
        <row r="486">
          <cell r="A486" t="str">
            <v>EUR_EURIBOR_3M_EOD</v>
          </cell>
          <cell r="F486">
            <v>1.00300811246176</v>
          </cell>
        </row>
        <row r="487">
          <cell r="A487" t="str">
            <v>EUR_EURIBOR_3M_EOD</v>
          </cell>
          <cell r="F487">
            <v>1.0034058187421699</v>
          </cell>
        </row>
        <row r="488">
          <cell r="A488" t="str">
            <v>EUR_EURIBOR_3M_EOD</v>
          </cell>
          <cell r="F488">
            <v>1.0037013948626601</v>
          </cell>
        </row>
        <row r="489">
          <cell r="A489" t="str">
            <v>EUR_EURIBOR_3M_EOD</v>
          </cell>
          <cell r="F489">
            <v>1.0038899392321801</v>
          </cell>
        </row>
        <row r="490">
          <cell r="A490" t="str">
            <v>EUR_EURIBOR_3M_EOD</v>
          </cell>
          <cell r="F490">
            <v>1.0039406939166799</v>
          </cell>
        </row>
        <row r="491">
          <cell r="A491" t="str">
            <v>EUR_EURIBOR_3M_EOD</v>
          </cell>
          <cell r="F491">
            <v>1.0038298069098099</v>
          </cell>
        </row>
        <row r="492">
          <cell r="A492" t="str">
            <v>EUR_EURIBOR_3M_EOD</v>
          </cell>
          <cell r="F492">
            <v>1.0035330120215</v>
          </cell>
        </row>
        <row r="493">
          <cell r="A493" t="str">
            <v>EUR_EURIBOR_3M_EOD</v>
          </cell>
          <cell r="F493">
            <v>0.99947436906550902</v>
          </cell>
        </row>
        <row r="494">
          <cell r="A494" t="str">
            <v>EUR_EURIBOR_3M_EOD</v>
          </cell>
          <cell r="F494">
            <v>0.99258713544974098</v>
          </cell>
        </row>
        <row r="495">
          <cell r="A495" t="str">
            <v>EUR_EURIBOR_3M_EOD</v>
          </cell>
          <cell r="F495">
            <v>0.98226291727090298</v>
          </cell>
        </row>
        <row r="496">
          <cell r="A496" t="str">
            <v>EUR_EURIBOR_3M_EOD</v>
          </cell>
          <cell r="F496">
            <v>0.96878033503795802</v>
          </cell>
        </row>
        <row r="497">
          <cell r="A497" t="str">
            <v>EUR_EURIBOR_3M_EOD</v>
          </cell>
          <cell r="F497">
            <v>0.95280371060647695</v>
          </cell>
        </row>
        <row r="498">
          <cell r="A498" t="str">
            <v>EUR_EURIBOR_3M_EOD</v>
          </cell>
          <cell r="F498">
            <v>0.93499121719784495</v>
          </cell>
        </row>
        <row r="499">
          <cell r="A499" t="str">
            <v>EUR_EURIBOR_3M_EOD</v>
          </cell>
          <cell r="F499">
            <v>0.91633452379819902</v>
          </cell>
        </row>
        <row r="500">
          <cell r="A500" t="str">
            <v>EUR_EURIBOR_3M_EOD</v>
          </cell>
          <cell r="F500">
            <v>0.87723796905372498</v>
          </cell>
        </row>
        <row r="501">
          <cell r="A501" t="str">
            <v>EUR_EURIBOR_3M_EOD</v>
          </cell>
          <cell r="F501">
            <v>0.81933617677799397</v>
          </cell>
        </row>
        <row r="502">
          <cell r="A502" t="str">
            <v>EUR_EURIBOR_3M_EOD</v>
          </cell>
          <cell r="F502">
            <v>0.73468683923967104</v>
          </cell>
        </row>
        <row r="503">
          <cell r="A503" t="str">
            <v>EUR_EURIBOR_3M_EOD</v>
          </cell>
          <cell r="F503">
            <v>0.67025877832019098</v>
          </cell>
        </row>
        <row r="504">
          <cell r="A504" t="str">
            <v>EUR_EURIBOR_3M_EOD</v>
          </cell>
          <cell r="F504">
            <v>0.61501941149655304</v>
          </cell>
        </row>
        <row r="505">
          <cell r="A505" t="str">
            <v>EUR_EURIBOR_3M_EOD</v>
          </cell>
          <cell r="F505">
            <v>0.52050791184009004</v>
          </cell>
        </row>
        <row r="506">
          <cell r="A506" t="str">
            <v>EUR_EURIBOR_3M_EOD</v>
          </cell>
          <cell r="F506">
            <v>0.45446480264009298</v>
          </cell>
        </row>
        <row r="507">
          <cell r="A507" t="str">
            <v>EUR_EURIBOR_3M_EOD</v>
          </cell>
          <cell r="F507">
            <v>0.39910123094942401</v>
          </cell>
        </row>
        <row r="508">
          <cell r="A508" t="str">
            <v>EUR_EURIBOR_6M_EOD</v>
          </cell>
          <cell r="F508">
            <v>1.0000568365288101</v>
          </cell>
        </row>
        <row r="509">
          <cell r="A509" t="str">
            <v>EUR_EURIBOR_6M_EOD</v>
          </cell>
          <cell r="F509">
            <v>1.0003053125814001</v>
          </cell>
        </row>
        <row r="510">
          <cell r="A510" t="str">
            <v>EUR_EURIBOR_6M_EOD</v>
          </cell>
          <cell r="F510">
            <v>1.00039979125524</v>
          </cell>
        </row>
        <row r="511">
          <cell r="A511" t="str">
            <v>EUR_EURIBOR_6M_EOD</v>
          </cell>
          <cell r="F511">
            <v>1.0005098572301201</v>
          </cell>
        </row>
        <row r="512">
          <cell r="A512" t="str">
            <v>EUR_EURIBOR_6M_EOD</v>
          </cell>
          <cell r="F512">
            <v>1.00057517157804</v>
          </cell>
        </row>
        <row r="513">
          <cell r="A513" t="str">
            <v>EUR_EURIBOR_6M_EOD</v>
          </cell>
          <cell r="F513">
            <v>1.0005813748224099</v>
          </cell>
        </row>
        <row r="514">
          <cell r="A514" t="str">
            <v>EUR_EURIBOR_6M_EOD</v>
          </cell>
          <cell r="F514">
            <v>1.0006449934193899</v>
          </cell>
        </row>
        <row r="515">
          <cell r="A515" t="str">
            <v>EUR_EURIBOR_6M_EOD</v>
          </cell>
          <cell r="F515">
            <v>1.0011407944931301</v>
          </cell>
        </row>
        <row r="516">
          <cell r="A516" t="str">
            <v>EUR_EURIBOR_6M_EOD</v>
          </cell>
          <cell r="F516">
            <v>1.0012885866123999</v>
          </cell>
        </row>
        <row r="517">
          <cell r="A517" t="str">
            <v>EUR_EURIBOR_6M_EOD</v>
          </cell>
          <cell r="F517">
            <v>1.00000983587197</v>
          </cell>
        </row>
        <row r="518">
          <cell r="A518" t="str">
            <v>EUR_EURIBOR_6M_EOD</v>
          </cell>
          <cell r="F518">
            <v>0.99535855271414897</v>
          </cell>
        </row>
        <row r="519">
          <cell r="A519" t="str">
            <v>EUR_EURIBOR_6M_EOD</v>
          </cell>
          <cell r="F519">
            <v>0.98739856063009501</v>
          </cell>
        </row>
        <row r="520">
          <cell r="A520" t="str">
            <v>EUR_EURIBOR_6M_EOD</v>
          </cell>
          <cell r="F520">
            <v>0.976177984382256</v>
          </cell>
        </row>
        <row r="521">
          <cell r="A521" t="str">
            <v>EUR_EURIBOR_6M_EOD</v>
          </cell>
          <cell r="F521">
            <v>0.96201075545124004</v>
          </cell>
        </row>
        <row r="522">
          <cell r="A522" t="str">
            <v>EUR_EURIBOR_6M_EOD</v>
          </cell>
          <cell r="F522">
            <v>0.94547875845045604</v>
          </cell>
        </row>
        <row r="523">
          <cell r="A523" t="str">
            <v>EUR_EURIBOR_6M_EOD</v>
          </cell>
          <cell r="F523">
            <v>0.92734765709322198</v>
          </cell>
        </row>
        <row r="524">
          <cell r="A524" t="str">
            <v>EUR_EURIBOR_6M_EOD</v>
          </cell>
          <cell r="F524">
            <v>0.90856321110317695</v>
          </cell>
        </row>
        <row r="525">
          <cell r="A525" t="str">
            <v>EUR_EURIBOR_6M_EOD</v>
          </cell>
          <cell r="F525">
            <v>0.86936781070797897</v>
          </cell>
        </row>
        <row r="526">
          <cell r="A526" t="str">
            <v>EUR_EURIBOR_6M_EOD</v>
          </cell>
          <cell r="F526">
            <v>0.81163661237107898</v>
          </cell>
        </row>
        <row r="527">
          <cell r="A527" t="str">
            <v>EUR_EURIBOR_6M_EOD</v>
          </cell>
          <cell r="F527">
            <v>0.72753342565833701</v>
          </cell>
        </row>
        <row r="528">
          <cell r="A528" t="str">
            <v>EUR_EURIBOR_6M_EOD</v>
          </cell>
          <cell r="F528">
            <v>0.663540068304457</v>
          </cell>
        </row>
        <row r="529">
          <cell r="A529" t="str">
            <v>EUR_EURIBOR_6M_EOD</v>
          </cell>
          <cell r="F529">
            <v>0.60868660974236999</v>
          </cell>
        </row>
        <row r="530">
          <cell r="A530" t="str">
            <v>EUR_EURIBOR_6M_EOD</v>
          </cell>
          <cell r="F530">
            <v>0.51492111004124597</v>
          </cell>
        </row>
        <row r="531">
          <cell r="A531" t="str">
            <v>EUR_EURIBOR_6M_EOD</v>
          </cell>
          <cell r="F531">
            <v>0.44938023991059101</v>
          </cell>
        </row>
        <row r="532">
          <cell r="A532" t="str">
            <v>EUR_EURIBOR_6M_EOD</v>
          </cell>
          <cell r="F532">
            <v>0.39402427895000403</v>
          </cell>
        </row>
        <row r="533">
          <cell r="A533" t="str">
            <v>EUR_EURIBOR_EOD</v>
          </cell>
          <cell r="F533">
            <v>1.0000036389021301</v>
          </cell>
        </row>
        <row r="534">
          <cell r="A534" t="str">
            <v>EUR_EURIBOR_EOD</v>
          </cell>
          <cell r="F534">
            <v>1.0000145557277</v>
          </cell>
        </row>
        <row r="535">
          <cell r="A535" t="str">
            <v>EUR_EURIBOR_EOD</v>
          </cell>
          <cell r="F535">
            <v>1.00004430704583</v>
          </cell>
        </row>
        <row r="536">
          <cell r="A536" t="str">
            <v>EUR_EURIBOR_EOD</v>
          </cell>
          <cell r="F536">
            <v>1.0001279035567701</v>
          </cell>
        </row>
        <row r="537">
          <cell r="A537" t="str">
            <v>EUR_EURIBOR_EOD</v>
          </cell>
          <cell r="F537">
            <v>1.0004953716109899</v>
          </cell>
        </row>
        <row r="538">
          <cell r="A538" t="str">
            <v>EUR_EURIBOR_EOD</v>
          </cell>
          <cell r="F538">
            <v>1.00096751252768</v>
          </cell>
        </row>
        <row r="539">
          <cell r="A539" t="str">
            <v>EUR_EURIBOR_EOD</v>
          </cell>
          <cell r="F539">
            <v>1.0015359599616001</v>
          </cell>
        </row>
        <row r="540">
          <cell r="A540" t="str">
            <v>EUR_EURIBOR_EOD</v>
          </cell>
          <cell r="F540">
            <v>1.00207042535708</v>
          </cell>
        </row>
        <row r="541">
          <cell r="A541" t="str">
            <v>EUR_EURIBOR_EOD</v>
          </cell>
          <cell r="F541">
            <v>1.0025474045029701</v>
          </cell>
        </row>
        <row r="542">
          <cell r="A542" t="str">
            <v>EUR_EURIBOR_EOD</v>
          </cell>
          <cell r="F542">
            <v>1.0030596558243099</v>
          </cell>
        </row>
        <row r="543">
          <cell r="A543" t="str">
            <v>EUR_EURIBOR_EOD</v>
          </cell>
          <cell r="F543">
            <v>1.0034573825423601</v>
          </cell>
        </row>
        <row r="544">
          <cell r="A544" t="str">
            <v>EUR_EURIBOR_EOD</v>
          </cell>
          <cell r="F544">
            <v>1.00375297385214</v>
          </cell>
        </row>
        <row r="545">
          <cell r="A545" t="str">
            <v>EUR_EURIBOR_EOD</v>
          </cell>
          <cell r="F545">
            <v>1.00394152791072</v>
          </cell>
        </row>
        <row r="546">
          <cell r="A546" t="str">
            <v>EUR_EURIBOR_EOD</v>
          </cell>
          <cell r="F546">
            <v>1.00399228520345</v>
          </cell>
        </row>
        <row r="547">
          <cell r="A547" t="str">
            <v>EUR_EURIBOR_EOD</v>
          </cell>
          <cell r="F547">
            <v>1.0038813924982299</v>
          </cell>
        </row>
        <row r="548">
          <cell r="A548" t="str">
            <v>EUR_EURIBOR_EOD</v>
          </cell>
          <cell r="F548">
            <v>1.0035845823580001</v>
          </cell>
        </row>
        <row r="549">
          <cell r="A549" t="str">
            <v>EUR_EURIBOR_EOD</v>
          </cell>
          <cell r="F549">
            <v>0.995343707316239</v>
          </cell>
        </row>
        <row r="550">
          <cell r="A550" t="str">
            <v>EUR_EURIBOR_EOD</v>
          </cell>
          <cell r="F550">
            <v>0.98733979899419499</v>
          </cell>
        </row>
        <row r="551">
          <cell r="A551" t="str">
            <v>EUR_EURIBOR_EOD</v>
          </cell>
          <cell r="F551">
            <v>0.97606014566145405</v>
          </cell>
        </row>
        <row r="552">
          <cell r="A552" t="str">
            <v>EUR_EURIBOR_EOD</v>
          </cell>
          <cell r="F552">
            <v>0.96182037006296095</v>
          </cell>
        </row>
        <row r="553">
          <cell r="A553" t="str">
            <v>EUR_EURIBOR_EOD</v>
          </cell>
          <cell r="F553">
            <v>0.945203780610408</v>
          </cell>
        </row>
        <row r="554">
          <cell r="A554" t="str">
            <v>EUR_EURIBOR_EOD</v>
          </cell>
          <cell r="F554">
            <v>0.926982687014831</v>
          </cell>
        </row>
        <row r="555">
          <cell r="A555" t="str">
            <v>EUR_EURIBOR_EOD</v>
          </cell>
          <cell r="F555">
            <v>0.90810691740480898</v>
          </cell>
        </row>
        <row r="556">
          <cell r="A556" t="str">
            <v>EUR_EURIBOR_EOD</v>
          </cell>
          <cell r="F556">
            <v>0.86873846363818297</v>
          </cell>
        </row>
        <row r="557">
          <cell r="A557" t="str">
            <v>EUR_EURIBOR_EOD</v>
          </cell>
          <cell r="F557">
            <v>0.81079758652911005</v>
          </cell>
        </row>
        <row r="558">
          <cell r="A558" t="str">
            <v>EUR_EURIBOR_EOD</v>
          </cell>
          <cell r="F558">
            <v>0.72651990539834699</v>
          </cell>
        </row>
        <row r="559">
          <cell r="A559" t="str">
            <v>EUR_EURIBOR_EOD</v>
          </cell>
          <cell r="F559">
            <v>0.66253570020167496</v>
          </cell>
        </row>
        <row r="560">
          <cell r="A560" t="str">
            <v>EUR_EURIBOR_EOD</v>
          </cell>
          <cell r="F560">
            <v>0.60773147921177595</v>
          </cell>
        </row>
        <row r="561">
          <cell r="A561" t="str">
            <v>EUR_EURIBOR_EOD</v>
          </cell>
          <cell r="F561">
            <v>0.51408726417650696</v>
          </cell>
        </row>
        <row r="562">
          <cell r="A562" t="str">
            <v>EUR_EURIBOR_EOD</v>
          </cell>
          <cell r="F562">
            <v>0.44869683032848201</v>
          </cell>
        </row>
        <row r="563">
          <cell r="A563" t="str">
            <v>EUR_EURIBOR_EOD</v>
          </cell>
          <cell r="F563">
            <v>0.39350479709488601</v>
          </cell>
        </row>
        <row r="564">
          <cell r="A564" t="str">
            <v>GBP_LIBOR_12M_EOD</v>
          </cell>
          <cell r="F564">
            <v>0.98958383038457198</v>
          </cell>
        </row>
        <row r="565">
          <cell r="A565" t="str">
            <v>GBP_LIBOR_12M_EOD</v>
          </cell>
          <cell r="F565">
            <v>0.98822645157287803</v>
          </cell>
        </row>
        <row r="566">
          <cell r="A566" t="str">
            <v>GBP_LIBOR_12M_EOD</v>
          </cell>
          <cell r="F566">
            <v>0.98703234706536003</v>
          </cell>
        </row>
        <row r="567">
          <cell r="A567" t="str">
            <v>GBP_LIBOR_12M_EOD</v>
          </cell>
          <cell r="F567">
            <v>0.98578879635941896</v>
          </cell>
        </row>
        <row r="568">
          <cell r="A568" t="str">
            <v>GBP_LIBOR_12M_EOD</v>
          </cell>
          <cell r="F568">
            <v>0.98473033659765496</v>
          </cell>
        </row>
        <row r="569">
          <cell r="A569" t="str">
            <v>GBP_LIBOR_12M_EOD</v>
          </cell>
          <cell r="F569">
            <v>0.983489178422155</v>
          </cell>
        </row>
        <row r="570">
          <cell r="A570" t="str">
            <v>GBP_LIBOR_12M_EOD</v>
          </cell>
          <cell r="F570">
            <v>0.98240743889086402</v>
          </cell>
        </row>
        <row r="571">
          <cell r="A571" t="str">
            <v>GBP_LIBOR_12M_EOD</v>
          </cell>
          <cell r="F571">
            <v>0.97855763740773904</v>
          </cell>
        </row>
        <row r="572">
          <cell r="A572" t="str">
            <v>GBP_LIBOR_12M_EOD</v>
          </cell>
          <cell r="F572">
            <v>0.97567263670051196</v>
          </cell>
        </row>
        <row r="573">
          <cell r="A573" t="str">
            <v>GBP_LIBOR_12M_EOD</v>
          </cell>
          <cell r="F573">
            <v>0.958340328238802</v>
          </cell>
        </row>
        <row r="574">
          <cell r="A574" t="str">
            <v>GBP_LIBOR_12M_EOD</v>
          </cell>
          <cell r="F574">
            <v>0.93881046844666205</v>
          </cell>
        </row>
        <row r="575">
          <cell r="A575" t="str">
            <v>GBP_LIBOR_12M_EOD</v>
          </cell>
          <cell r="F575">
            <v>0.91776135974925799</v>
          </cell>
        </row>
        <row r="576">
          <cell r="A576" t="str">
            <v>GBP_LIBOR_12M_EOD</v>
          </cell>
          <cell r="F576">
            <v>0.89591850665634098</v>
          </cell>
        </row>
        <row r="577">
          <cell r="A577" t="str">
            <v>GBP_LIBOR_12M_EOD</v>
          </cell>
          <cell r="F577">
            <v>0.87359919209418302</v>
          </cell>
        </row>
        <row r="578">
          <cell r="A578" t="str">
            <v>GBP_LIBOR_12M_EOD</v>
          </cell>
          <cell r="F578">
            <v>0.85166111155524804</v>
          </cell>
        </row>
        <row r="579">
          <cell r="A579" t="str">
            <v>GBP_LIBOR_12M_EOD</v>
          </cell>
          <cell r="F579">
            <v>0.830007742366354</v>
          </cell>
        </row>
        <row r="580">
          <cell r="A580" t="str">
            <v>GBP_LIBOR_12M_EOD</v>
          </cell>
          <cell r="F580">
            <v>0.80856868331306597</v>
          </cell>
        </row>
        <row r="581">
          <cell r="A581" t="str">
            <v>GBP_LIBOR_12M_EOD</v>
          </cell>
          <cell r="F581">
            <v>0.76752061395952398</v>
          </cell>
        </row>
        <row r="582">
          <cell r="A582" t="str">
            <v>GBP_LIBOR_12M_EOD</v>
          </cell>
          <cell r="F582">
            <v>0.71048362401293197</v>
          </cell>
        </row>
        <row r="583">
          <cell r="A583" t="str">
            <v>GBP_LIBOR_12M_EOD</v>
          </cell>
          <cell r="F583">
            <v>0.62994555832203303</v>
          </cell>
        </row>
        <row r="584">
          <cell r="A584" t="str">
            <v>GBP_LIBOR_12M_EOD</v>
          </cell>
          <cell r="F584">
            <v>0.56772822074965301</v>
          </cell>
        </row>
        <row r="585">
          <cell r="A585" t="str">
            <v>GBP_LIBOR_12M_EOD</v>
          </cell>
          <cell r="F585">
            <v>0.51338246038313995</v>
          </cell>
        </row>
        <row r="586">
          <cell r="A586" t="str">
            <v>GBP_LIBOR_12M_EOD</v>
          </cell>
          <cell r="F586">
            <v>0.42624599297356303</v>
          </cell>
        </row>
        <row r="587">
          <cell r="A587" t="str">
            <v>GBP_LIBOR_12M_EOD</v>
          </cell>
          <cell r="F587">
            <v>0.35933141868039098</v>
          </cell>
        </row>
        <row r="588">
          <cell r="A588" t="str">
            <v>GBP_LIBOR_12M_EOD</v>
          </cell>
          <cell r="F588">
            <v>0.29385133090495102</v>
          </cell>
        </row>
        <row r="589">
          <cell r="A589" t="str">
            <v>GBP_LIBOR_1M_EOD</v>
          </cell>
          <cell r="F589">
            <v>0.99955302398648604</v>
          </cell>
        </row>
        <row r="590">
          <cell r="A590" t="str">
            <v>GBP_LIBOR_1M_EOD</v>
          </cell>
          <cell r="F590">
            <v>0.99915197753722895</v>
          </cell>
        </row>
        <row r="591">
          <cell r="A591" t="str">
            <v>GBP_LIBOR_1M_EOD</v>
          </cell>
          <cell r="F591">
            <v>0.99871323739561502</v>
          </cell>
        </row>
        <row r="592">
          <cell r="A592" t="str">
            <v>GBP_LIBOR_1M_EOD</v>
          </cell>
          <cell r="F592">
            <v>0.99735136531645596</v>
          </cell>
        </row>
        <row r="593">
          <cell r="A593" t="str">
            <v>GBP_LIBOR_1M_EOD</v>
          </cell>
          <cell r="F593">
            <v>0.99576742704197196</v>
          </cell>
        </row>
        <row r="594">
          <cell r="A594" t="str">
            <v>GBP_LIBOR_1M_EOD</v>
          </cell>
          <cell r="F594">
            <v>0.99390692627800303</v>
          </cell>
        </row>
        <row r="595">
          <cell r="A595" t="str">
            <v>GBP_LIBOR_1M_EOD</v>
          </cell>
          <cell r="F595">
            <v>0.98359079230186997</v>
          </cell>
        </row>
        <row r="596">
          <cell r="A596" t="str">
            <v>GBP_LIBOR_1M_EOD</v>
          </cell>
          <cell r="F596">
            <v>0.96943018761155497</v>
          </cell>
        </row>
        <row r="597">
          <cell r="A597" t="str">
            <v>GBP_LIBOR_1M_EOD</v>
          </cell>
          <cell r="F597">
            <v>0.95276977685918196</v>
          </cell>
        </row>
        <row r="598">
          <cell r="A598" t="str">
            <v>GBP_LIBOR_1M_EOD</v>
          </cell>
          <cell r="F598">
            <v>0.93448019182186903</v>
          </cell>
        </row>
        <row r="599">
          <cell r="A599" t="str">
            <v>GBP_LIBOR_1M_EOD</v>
          </cell>
          <cell r="F599">
            <v>0.91488206979632802</v>
          </cell>
        </row>
        <row r="600">
          <cell r="A600" t="str">
            <v>GBP_LIBOR_1M_EOD</v>
          </cell>
          <cell r="F600">
            <v>0.89455916094166599</v>
          </cell>
        </row>
        <row r="601">
          <cell r="A601" t="str">
            <v>GBP_LIBOR_1M_EOD</v>
          </cell>
          <cell r="F601">
            <v>0.87420552681275498</v>
          </cell>
        </row>
        <row r="602">
          <cell r="A602" t="str">
            <v>GBP_LIBOR_1M_EOD</v>
          </cell>
          <cell r="F602">
            <v>0.85394661776843495</v>
          </cell>
        </row>
        <row r="603">
          <cell r="A603" t="str">
            <v>GBP_LIBOR_1M_EOD</v>
          </cell>
          <cell r="F603">
            <v>0.83374037237235499</v>
          </cell>
        </row>
        <row r="604">
          <cell r="A604" t="str">
            <v>GBP_LIBOR_1M_EOD</v>
          </cell>
          <cell r="F604">
            <v>0.79369954168452905</v>
          </cell>
        </row>
        <row r="605">
          <cell r="A605" t="str">
            <v>GBP_LIBOR_1M_EOD</v>
          </cell>
          <cell r="F605">
            <v>0.73663709109184905</v>
          </cell>
        </row>
        <row r="606">
          <cell r="A606" t="str">
            <v>GBP_LIBOR_1M_EOD</v>
          </cell>
          <cell r="F606">
            <v>0.65769158163028196</v>
          </cell>
        </row>
        <row r="607">
          <cell r="A607" t="str">
            <v>GBP_LIBOR_1M_EOD</v>
          </cell>
          <cell r="F607">
            <v>0.59394269504944197</v>
          </cell>
        </row>
        <row r="608">
          <cell r="A608" t="str">
            <v>GBP_LIBOR_1M_EOD</v>
          </cell>
          <cell r="F608">
            <v>0.53847945988678703</v>
          </cell>
        </row>
        <row r="609">
          <cell r="A609" t="str">
            <v>GBP_LIBOR_1M_EOD</v>
          </cell>
          <cell r="F609">
            <v>0.45208127876576798</v>
          </cell>
        </row>
        <row r="610">
          <cell r="A610" t="str">
            <v>GBP_LIBOR_1M_EOD</v>
          </cell>
          <cell r="F610">
            <v>0.38219344000986899</v>
          </cell>
        </row>
        <row r="611">
          <cell r="A611" t="str">
            <v>GBP_LIBOR_1M_EOD</v>
          </cell>
          <cell r="F611">
            <v>0.31572508986889303</v>
          </cell>
        </row>
        <row r="612">
          <cell r="A612" t="str">
            <v>GBP_LIBOR_3M_EOD</v>
          </cell>
          <cell r="F612">
            <v>0.99855278240577405</v>
          </cell>
        </row>
        <row r="613">
          <cell r="A613" t="str">
            <v>GBP_LIBOR_3M_EOD</v>
          </cell>
          <cell r="F613">
            <v>0.99802224466993195</v>
          </cell>
        </row>
        <row r="614">
          <cell r="A614" t="str">
            <v>GBP_LIBOR_3M_EOD</v>
          </cell>
          <cell r="F614">
            <v>0.99643481534808598</v>
          </cell>
        </row>
        <row r="615">
          <cell r="A615" t="str">
            <v>GBP_LIBOR_3M_EOD</v>
          </cell>
          <cell r="F615">
            <v>0.99446498647376202</v>
          </cell>
        </row>
        <row r="616">
          <cell r="A616" t="str">
            <v>GBP_LIBOR_3M_EOD</v>
          </cell>
          <cell r="F616">
            <v>0.99237162339484597</v>
          </cell>
        </row>
        <row r="617">
          <cell r="A617" t="str">
            <v>GBP_LIBOR_3M_EOD</v>
          </cell>
          <cell r="F617">
            <v>0.99015165387749504</v>
          </cell>
        </row>
        <row r="618">
          <cell r="A618" t="str">
            <v>GBP_LIBOR_3M_EOD</v>
          </cell>
          <cell r="F618">
            <v>0.98721743054931299</v>
          </cell>
        </row>
        <row r="619">
          <cell r="A619" t="str">
            <v>GBP_LIBOR_3M_EOD</v>
          </cell>
          <cell r="F619">
            <v>0.98418908600493304</v>
          </cell>
        </row>
        <row r="620">
          <cell r="A620" t="str">
            <v>GBP_LIBOR_3M_EOD</v>
          </cell>
          <cell r="F620">
            <v>0.98090935243064403</v>
          </cell>
        </row>
        <row r="621">
          <cell r="A621" t="str">
            <v>GBP_LIBOR_3M_EOD</v>
          </cell>
          <cell r="F621">
            <v>0.967374268999735</v>
          </cell>
        </row>
        <row r="622">
          <cell r="A622" t="str">
            <v>GBP_LIBOR_3M_EOD</v>
          </cell>
          <cell r="F622">
            <v>0.95002982853566598</v>
          </cell>
        </row>
        <row r="623">
          <cell r="A623" t="str">
            <v>GBP_LIBOR_3M_EOD</v>
          </cell>
          <cell r="F623">
            <v>0.93112172876351096</v>
          </cell>
        </row>
        <row r="624">
          <cell r="A624" t="str">
            <v>GBP_LIBOR_3M_EOD</v>
          </cell>
          <cell r="F624">
            <v>0.91110999334772103</v>
          </cell>
        </row>
        <row r="625">
          <cell r="A625" t="str">
            <v>GBP_LIBOR_3M_EOD</v>
          </cell>
          <cell r="F625">
            <v>0.89045316145301401</v>
          </cell>
        </row>
        <row r="626">
          <cell r="A626" t="str">
            <v>GBP_LIBOR_3M_EOD</v>
          </cell>
          <cell r="F626">
            <v>0.869845551002286</v>
          </cell>
        </row>
        <row r="627">
          <cell r="A627" t="str">
            <v>GBP_LIBOR_3M_EOD</v>
          </cell>
          <cell r="F627">
            <v>0.849236786099966</v>
          </cell>
        </row>
        <row r="628">
          <cell r="A628" t="str">
            <v>GBP_LIBOR_3M_EOD</v>
          </cell>
          <cell r="F628">
            <v>0.82862981909885203</v>
          </cell>
        </row>
        <row r="629">
          <cell r="A629" t="str">
            <v>GBP_LIBOR_3M_EOD</v>
          </cell>
          <cell r="F629">
            <v>0.78799136862671804</v>
          </cell>
        </row>
        <row r="630">
          <cell r="A630" t="str">
            <v>GBP_LIBOR_3M_EOD</v>
          </cell>
          <cell r="F630">
            <v>0.73069657674225197</v>
          </cell>
        </row>
        <row r="631">
          <cell r="A631" t="str">
            <v>GBP_LIBOR_3M_EOD</v>
          </cell>
          <cell r="F631">
            <v>0.65031291044887096</v>
          </cell>
        </row>
        <row r="632">
          <cell r="A632" t="str">
            <v>GBP_LIBOR_3M_EOD</v>
          </cell>
          <cell r="F632">
            <v>0.586256042367719</v>
          </cell>
        </row>
        <row r="633">
          <cell r="A633" t="str">
            <v>GBP_LIBOR_3M_EOD</v>
          </cell>
          <cell r="F633">
            <v>0.53092635494401197</v>
          </cell>
        </row>
        <row r="634">
          <cell r="A634" t="str">
            <v>GBP_LIBOR_3M_EOD</v>
          </cell>
          <cell r="F634">
            <v>0.44473745824401201</v>
          </cell>
        </row>
        <row r="635">
          <cell r="A635" t="str">
            <v>GBP_LIBOR_3M_EOD</v>
          </cell>
          <cell r="F635">
            <v>0.37323679375763702</v>
          </cell>
        </row>
        <row r="636">
          <cell r="A636" t="str">
            <v>GBP_LIBOR_3M_EOD</v>
          </cell>
          <cell r="F636">
            <v>0.30569496501805199</v>
          </cell>
        </row>
        <row r="637">
          <cell r="A637" t="str">
            <v>GBP_LIBOR_6M_EOD</v>
          </cell>
          <cell r="F637">
            <v>0.99632058371690102</v>
          </cell>
        </row>
        <row r="638">
          <cell r="A638" t="str">
            <v>GBP_LIBOR_6M_EOD</v>
          </cell>
          <cell r="F638">
            <v>0.99191541939995698</v>
          </cell>
        </row>
        <row r="639">
          <cell r="A639" t="str">
            <v>GBP_LIBOR_6M_EOD</v>
          </cell>
          <cell r="F639">
            <v>0.98654369751172299</v>
          </cell>
        </row>
        <row r="640">
          <cell r="A640" t="str">
            <v>GBP_LIBOR_6M_EOD</v>
          </cell>
          <cell r="F640">
            <v>0.97980381084024304</v>
          </cell>
        </row>
        <row r="641">
          <cell r="A641" t="str">
            <v>GBP_LIBOR_6M_EOD</v>
          </cell>
          <cell r="F641">
            <v>0.96385479118958095</v>
          </cell>
        </row>
        <row r="642">
          <cell r="A642" t="str">
            <v>GBP_LIBOR_6M_EOD</v>
          </cell>
          <cell r="F642">
            <v>0.94543091866029005</v>
          </cell>
        </row>
        <row r="643">
          <cell r="A643" t="str">
            <v>GBP_LIBOR_6M_EOD</v>
          </cell>
          <cell r="F643">
            <v>0.92543493385622999</v>
          </cell>
        </row>
        <row r="644">
          <cell r="A644" t="str">
            <v>GBP_LIBOR_6M_EOD</v>
          </cell>
          <cell r="F644">
            <v>0.90448521088948597</v>
          </cell>
        </row>
        <row r="645">
          <cell r="A645" t="str">
            <v>GBP_LIBOR_6M_EOD</v>
          </cell>
          <cell r="F645">
            <v>0.88303118469862696</v>
          </cell>
        </row>
        <row r="646">
          <cell r="A646" t="str">
            <v>GBP_LIBOR_6M_EOD</v>
          </cell>
          <cell r="F646">
            <v>0.86171805233503296</v>
          </cell>
        </row>
        <row r="647">
          <cell r="A647" t="str">
            <v>GBP_LIBOR_6M_EOD</v>
          </cell>
          <cell r="F647">
            <v>0.84054000067535894</v>
          </cell>
        </row>
        <row r="648">
          <cell r="A648" t="str">
            <v>GBP_LIBOR_6M_EOD</v>
          </cell>
          <cell r="F648">
            <v>0.81954039297057502</v>
          </cell>
        </row>
        <row r="649">
          <cell r="A649" t="str">
            <v>GBP_LIBOR_6M_EOD</v>
          </cell>
          <cell r="F649">
            <v>0.77865245447202402</v>
          </cell>
        </row>
        <row r="650">
          <cell r="A650" t="str">
            <v>GBP_LIBOR_6M_EOD</v>
          </cell>
          <cell r="F650">
            <v>0.72162961015455296</v>
          </cell>
        </row>
        <row r="651">
          <cell r="A651" t="str">
            <v>GBP_LIBOR_6M_EOD</v>
          </cell>
          <cell r="F651">
            <v>0.64199425507832197</v>
          </cell>
        </row>
        <row r="652">
          <cell r="A652" t="str">
            <v>GBP_LIBOR_6M_EOD</v>
          </cell>
          <cell r="F652">
            <v>0.57856996818202</v>
          </cell>
        </row>
        <row r="653">
          <cell r="A653" t="str">
            <v>GBP_LIBOR_6M_EOD</v>
          </cell>
          <cell r="F653">
            <v>0.52388002544430601</v>
          </cell>
        </row>
        <row r="654">
          <cell r="A654" t="str">
            <v>GBP_LIBOR_6M_EOD</v>
          </cell>
          <cell r="F654">
            <v>0.43830450561060103</v>
          </cell>
        </row>
        <row r="655">
          <cell r="A655" t="str">
            <v>GBP_LIBOR_6M_EOD</v>
          </cell>
          <cell r="F655">
            <v>0.36753185593732002</v>
          </cell>
        </row>
        <row r="656">
          <cell r="A656" t="str">
            <v>GBP_LIBOR_6M_EOD</v>
          </cell>
          <cell r="F656">
            <v>0.30091780283976899</v>
          </cell>
        </row>
        <row r="657">
          <cell r="A657" t="str">
            <v>GBP_LIBOR_EOD</v>
          </cell>
          <cell r="F657">
            <v>0.99998678099666205</v>
          </cell>
        </row>
        <row r="658">
          <cell r="A658" t="str">
            <v>GBP_LIBOR_EOD</v>
          </cell>
          <cell r="F658">
            <v>0.99990675527073303</v>
          </cell>
        </row>
        <row r="659">
          <cell r="A659" t="str">
            <v>GBP_LIBOR_EOD</v>
          </cell>
          <cell r="F659">
            <v>0.99955302398648604</v>
          </cell>
        </row>
        <row r="660">
          <cell r="A660" t="str">
            <v>GBP_LIBOR_EOD</v>
          </cell>
          <cell r="F660">
            <v>0.99808083082134202</v>
          </cell>
        </row>
        <row r="661">
          <cell r="A661" t="str">
            <v>GBP_LIBOR_EOD</v>
          </cell>
          <cell r="F661">
            <v>0.99649330831382399</v>
          </cell>
        </row>
        <row r="662">
          <cell r="A662" t="str">
            <v>GBP_LIBOR_EOD</v>
          </cell>
          <cell r="F662">
            <v>0.99452336380611195</v>
          </cell>
        </row>
        <row r="663">
          <cell r="A663" t="str">
            <v>GBP_LIBOR_EOD</v>
          </cell>
          <cell r="F663">
            <v>0.99242987784207304</v>
          </cell>
        </row>
        <row r="664">
          <cell r="A664" t="str">
            <v>GBP_LIBOR_EOD</v>
          </cell>
          <cell r="F664">
            <v>0.99020977800751597</v>
          </cell>
        </row>
        <row r="665">
          <cell r="A665" t="str">
            <v>GBP_LIBOR_EOD</v>
          </cell>
          <cell r="F665">
            <v>0.98727538243382296</v>
          </cell>
        </row>
        <row r="666">
          <cell r="A666" t="str">
            <v>GBP_LIBOR_EOD</v>
          </cell>
          <cell r="F666">
            <v>0.98424686011880402</v>
          </cell>
        </row>
        <row r="667">
          <cell r="A667" t="str">
            <v>GBP_LIBOR_EOD</v>
          </cell>
          <cell r="F667">
            <v>0.98096693401677404</v>
          </cell>
        </row>
        <row r="668">
          <cell r="A668" t="str">
            <v>GBP_LIBOR_EOD</v>
          </cell>
          <cell r="F668">
            <v>0.96376154473918196</v>
          </cell>
        </row>
        <row r="669">
          <cell r="A669" t="str">
            <v>GBP_LIBOR_EOD</v>
          </cell>
          <cell r="F669">
            <v>0.94529923641253399</v>
          </cell>
        </row>
        <row r="670">
          <cell r="A670" t="str">
            <v>GBP_LIBOR_EOD</v>
          </cell>
          <cell r="F670">
            <v>0.925251273940083</v>
          </cell>
        </row>
        <row r="671">
          <cell r="A671" t="str">
            <v>GBP_LIBOR_EOD</v>
          </cell>
          <cell r="F671">
            <v>0.90424078305864097</v>
          </cell>
        </row>
        <row r="672">
          <cell r="A672" t="str">
            <v>GBP_LIBOR_EOD</v>
          </cell>
          <cell r="F672">
            <v>0.88272099783054603</v>
          </cell>
        </row>
        <row r="673">
          <cell r="A673" t="str">
            <v>GBP_LIBOR_EOD</v>
          </cell>
          <cell r="F673">
            <v>0.86133940207987203</v>
          </cell>
        </row>
        <row r="674">
          <cell r="A674" t="str">
            <v>GBP_LIBOR_EOD</v>
          </cell>
          <cell r="F674">
            <v>0.84009584433536499</v>
          </cell>
        </row>
        <row r="675">
          <cell r="A675" t="str">
            <v>GBP_LIBOR_EOD</v>
          </cell>
          <cell r="F675">
            <v>0.81903183661632495</v>
          </cell>
        </row>
        <row r="676">
          <cell r="A676" t="str">
            <v>GBP_LIBOR_EOD</v>
          </cell>
          <cell r="F676">
            <v>0.77802895722870402</v>
          </cell>
        </row>
        <row r="677">
          <cell r="A677" t="str">
            <v>GBP_LIBOR_EOD</v>
          </cell>
          <cell r="F677">
            <v>0.72088863610097198</v>
          </cell>
        </row>
        <row r="678">
          <cell r="A678" t="str">
            <v>GBP_LIBOR_EOD</v>
          </cell>
          <cell r="F678">
            <v>0.64123474627483801</v>
          </cell>
        </row>
        <row r="679">
          <cell r="A679" t="str">
            <v>GBP_LIBOR_EOD</v>
          </cell>
          <cell r="F679">
            <v>0.57793833859334598</v>
          </cell>
        </row>
        <row r="680">
          <cell r="A680" t="str">
            <v>GBP_LIBOR_EOD</v>
          </cell>
          <cell r="F680">
            <v>0.52339901796794497</v>
          </cell>
        </row>
        <row r="681">
          <cell r="A681" t="str">
            <v>GBP_LIBOR_EOD</v>
          </cell>
          <cell r="F681">
            <v>0.43823732677377703</v>
          </cell>
        </row>
        <row r="682">
          <cell r="A682" t="str">
            <v>GBP_LIBOR_EOD</v>
          </cell>
          <cell r="F682">
            <v>0.367763079248835</v>
          </cell>
        </row>
        <row r="683">
          <cell r="A683" t="str">
            <v>GBP_LIBOR_EOD</v>
          </cell>
          <cell r="F683">
            <v>0.30113434348711499</v>
          </cell>
        </row>
        <row r="684">
          <cell r="A684" t="str">
            <v>GBP_SONIA_EOD</v>
          </cell>
          <cell r="F684">
            <v>0.99998736728287496</v>
          </cell>
        </row>
        <row r="685">
          <cell r="A685" t="str">
            <v>GBP_SONIA_EOD</v>
          </cell>
          <cell r="F685">
            <v>0.999911069553163</v>
          </cell>
        </row>
        <row r="686">
          <cell r="A686" t="str">
            <v>GBP_SONIA_EOD</v>
          </cell>
          <cell r="F686">
            <v>0.99982263420393302</v>
          </cell>
        </row>
        <row r="687">
          <cell r="A687" t="str">
            <v>GBP_SONIA_EOD</v>
          </cell>
          <cell r="F687">
            <v>0.99959433449430202</v>
          </cell>
        </row>
        <row r="688">
          <cell r="A688" t="str">
            <v>GBP_SONIA_EOD</v>
          </cell>
          <cell r="F688">
            <v>0.99923899874204603</v>
          </cell>
        </row>
        <row r="689">
          <cell r="A689" t="str">
            <v>GBP_SONIA_EOD</v>
          </cell>
          <cell r="F689">
            <v>0.99884085339928097</v>
          </cell>
        </row>
        <row r="690">
          <cell r="A690" t="str">
            <v>GBP_SONIA_EOD</v>
          </cell>
          <cell r="F690">
            <v>0.99842297996040896</v>
          </cell>
        </row>
        <row r="691">
          <cell r="A691" t="str">
            <v>GBP_SONIA_EOD</v>
          </cell>
          <cell r="F691">
            <v>0.99802962520288696</v>
          </cell>
        </row>
        <row r="692">
          <cell r="A692" t="str">
            <v>GBP_SONIA_EOD</v>
          </cell>
          <cell r="F692">
            <v>0.99762382813416595</v>
          </cell>
        </row>
        <row r="693">
          <cell r="A693" t="str">
            <v>GBP_SONIA_EOD</v>
          </cell>
          <cell r="F693">
            <v>0.99713309415028895</v>
          </cell>
        </row>
        <row r="694">
          <cell r="A694" t="str">
            <v>GBP_SONIA_EOD</v>
          </cell>
          <cell r="F694">
            <v>0.99669451180366098</v>
          </cell>
        </row>
        <row r="695">
          <cell r="A695" t="str">
            <v>GBP_SONIA_EOD</v>
          </cell>
          <cell r="F695">
            <v>0.99620026293464103</v>
          </cell>
        </row>
        <row r="696">
          <cell r="A696" t="str">
            <v>GBP_SONIA_EOD</v>
          </cell>
          <cell r="F696">
            <v>0.99565619751451195</v>
          </cell>
        </row>
        <row r="697">
          <cell r="A697" t="str">
            <v>GBP_SONIA_EOD</v>
          </cell>
          <cell r="F697">
            <v>0.99512083846325095</v>
          </cell>
        </row>
        <row r="698">
          <cell r="A698" t="str">
            <v>GBP_SONIA_EOD</v>
          </cell>
          <cell r="F698">
            <v>0.99450548345043999</v>
          </cell>
        </row>
        <row r="699">
          <cell r="A699" t="str">
            <v>GBP_SONIA_EOD</v>
          </cell>
          <cell r="F699">
            <v>0.99259371358959703</v>
          </cell>
        </row>
        <row r="700">
          <cell r="A700" t="str">
            <v>GBP_SONIA_EOD</v>
          </cell>
          <cell r="F700">
            <v>0.99045364035962202</v>
          </cell>
        </row>
        <row r="701">
          <cell r="A701" t="str">
            <v>GBP_SONIA_EOD</v>
          </cell>
          <cell r="F701">
            <v>0.98789083122002297</v>
          </cell>
        </row>
        <row r="702">
          <cell r="A702" t="str">
            <v>GBP_SONIA_EOD</v>
          </cell>
          <cell r="F702">
            <v>0.98513512335713105</v>
          </cell>
        </row>
        <row r="703">
          <cell r="A703" t="str">
            <v>GBP_SONIA_EOD</v>
          </cell>
          <cell r="F703">
            <v>0.97230337781779097</v>
          </cell>
        </row>
        <row r="704">
          <cell r="A704" t="str">
            <v>GBP_SONIA_EOD</v>
          </cell>
          <cell r="F704">
            <v>0.957066575477028</v>
          </cell>
        </row>
        <row r="705">
          <cell r="A705" t="str">
            <v>GBP_SONIA_EOD</v>
          </cell>
          <cell r="F705">
            <v>0.94022927685565005</v>
          </cell>
        </row>
        <row r="706">
          <cell r="A706" t="str">
            <v>GBP_SONIA_EOD</v>
          </cell>
          <cell r="F706">
            <v>0.92201820912492005</v>
          </cell>
        </row>
        <row r="707">
          <cell r="A707" t="str">
            <v>GBP_SONIA_EOD</v>
          </cell>
          <cell r="F707">
            <v>0.90290026658116296</v>
          </cell>
        </row>
        <row r="708">
          <cell r="A708" t="str">
            <v>GBP_SONIA_EOD</v>
          </cell>
          <cell r="F708">
            <v>0.88364431852281899</v>
          </cell>
        </row>
        <row r="709">
          <cell r="A709" t="str">
            <v>GBP_SONIA_EOD</v>
          </cell>
          <cell r="F709">
            <v>0.86408592207283796</v>
          </cell>
        </row>
        <row r="710">
          <cell r="A710" t="str">
            <v>GBP_SONIA_EOD</v>
          </cell>
          <cell r="F710">
            <v>0.8446246216676</v>
          </cell>
        </row>
        <row r="711">
          <cell r="A711" t="str">
            <v>GBP_SONIA_EOD</v>
          </cell>
          <cell r="F711">
            <v>0.80520195931650895</v>
          </cell>
        </row>
        <row r="712">
          <cell r="A712" t="str">
            <v>GBP_SONIA_EOD</v>
          </cell>
          <cell r="F712">
            <v>0.74944307982050296</v>
          </cell>
        </row>
        <row r="713">
          <cell r="A713" t="str">
            <v>GBP_SONIA_EOD</v>
          </cell>
          <cell r="F713">
            <v>0.669939036166599</v>
          </cell>
        </row>
        <row r="714">
          <cell r="A714" t="str">
            <v>GBP_SONIA_EOD</v>
          </cell>
          <cell r="F714">
            <v>0.60648216647579301</v>
          </cell>
        </row>
        <row r="715">
          <cell r="A715" t="str">
            <v>GBP_SONIA_EOD</v>
          </cell>
          <cell r="F715">
            <v>0.55154783085867598</v>
          </cell>
        </row>
        <row r="716">
          <cell r="A716" t="str">
            <v>GBP_SONIA_EOD</v>
          </cell>
          <cell r="F716">
            <v>0.465738139361213</v>
          </cell>
        </row>
        <row r="717">
          <cell r="A717" t="str">
            <v>GBP_SONIA_EOD</v>
          </cell>
          <cell r="F717">
            <v>0.39358031917500302</v>
          </cell>
        </row>
        <row r="718">
          <cell r="A718" t="str">
            <v>GBP_SONIA_EOD</v>
          </cell>
          <cell r="F718">
            <v>0.32456343436422003</v>
          </cell>
        </row>
        <row r="719">
          <cell r="A719" t="str">
            <v>HKD_HIBOR_3M_EOD</v>
          </cell>
          <cell r="F719">
            <v>0.99904856745582904</v>
          </cell>
        </row>
        <row r="720">
          <cell r="A720" t="str">
            <v>HKD_HIBOR_3M_EOD</v>
          </cell>
          <cell r="F720">
            <v>0.99759726841603402</v>
          </cell>
        </row>
        <row r="721">
          <cell r="A721" t="str">
            <v>HKD_HIBOR_3M_EOD</v>
          </cell>
          <cell r="F721">
            <v>0.99568990845994798</v>
          </cell>
        </row>
        <row r="722">
          <cell r="A722" t="str">
            <v>HKD_HIBOR_3M_EOD</v>
          </cell>
          <cell r="F722">
            <v>0.99328534153494097</v>
          </cell>
        </row>
        <row r="723">
          <cell r="A723" t="str">
            <v>HKD_HIBOR_3M_EOD</v>
          </cell>
          <cell r="F723">
            <v>0.98000574236051596</v>
          </cell>
        </row>
        <row r="724">
          <cell r="A724" t="str">
            <v>HKD_HIBOR_3M_EOD</v>
          </cell>
          <cell r="F724">
            <v>0.96191345748720503</v>
          </cell>
        </row>
        <row r="725">
          <cell r="A725" t="str">
            <v>HKD_HIBOR_3M_EOD</v>
          </cell>
          <cell r="F725">
            <v>0.94147364185183502</v>
          </cell>
        </row>
        <row r="726">
          <cell r="A726" t="str">
            <v>HKD_HIBOR_3M_EOD</v>
          </cell>
          <cell r="F726">
            <v>0.92002172865286702</v>
          </cell>
        </row>
        <row r="727">
          <cell r="A727" t="str">
            <v>HKD_HIBOR_3M_EOD</v>
          </cell>
          <cell r="F727">
            <v>0.87540354323180802</v>
          </cell>
        </row>
        <row r="728">
          <cell r="A728" t="str">
            <v>HKD_HIBOR_3M_EOD</v>
          </cell>
          <cell r="F728">
            <v>0.80804083970387397</v>
          </cell>
        </row>
        <row r="729">
          <cell r="A729" t="str">
            <v>HKD_HIBOR_3M_EOD</v>
          </cell>
          <cell r="F729">
            <v>0.76652029127346</v>
          </cell>
        </row>
        <row r="730">
          <cell r="A730" t="str">
            <v>HKD_HIBOR_3M_EOD</v>
          </cell>
          <cell r="F730">
            <v>0.70435614877592001</v>
          </cell>
        </row>
        <row r="731">
          <cell r="A731" t="str">
            <v>HKD_HIBOR_6M_EOD</v>
          </cell>
          <cell r="F731">
            <v>0.99726915083504997</v>
          </cell>
        </row>
        <row r="732">
          <cell r="A732" t="str">
            <v>HKD_HIBOR_6M_EOD</v>
          </cell>
          <cell r="F732">
            <v>0.991822111746123</v>
          </cell>
        </row>
        <row r="733">
          <cell r="A733" t="str">
            <v>HKD_HIBOR_6M_EOD</v>
          </cell>
          <cell r="F733">
            <v>0.97727083912453805</v>
          </cell>
        </row>
        <row r="734">
          <cell r="A734" t="str">
            <v>HKD_HIBOR_6M_EOD</v>
          </cell>
          <cell r="F734">
            <v>0.95819077016802501</v>
          </cell>
        </row>
        <row r="735">
          <cell r="A735" t="str">
            <v>HKD_HIBOR_6M_EOD</v>
          </cell>
          <cell r="F735">
            <v>0.93700481115214596</v>
          </cell>
        </row>
        <row r="736">
          <cell r="A736" t="str">
            <v>HKD_HIBOR_6M_EOD</v>
          </cell>
          <cell r="F736">
            <v>0.915035595181941</v>
          </cell>
        </row>
        <row r="737">
          <cell r="A737" t="str">
            <v>HKD_HIBOR_6M_EOD</v>
          </cell>
          <cell r="F737">
            <v>0.869391116907271</v>
          </cell>
        </row>
        <row r="738">
          <cell r="A738" t="str">
            <v>HKD_HIBOR_6M_EOD</v>
          </cell>
          <cell r="F738">
            <v>0.80010337003528498</v>
          </cell>
        </row>
        <row r="739">
          <cell r="A739" t="str">
            <v>HKD_HIBOR_6M_EOD</v>
          </cell>
          <cell r="F739">
            <v>0.75646654515675704</v>
          </cell>
        </row>
        <row r="740">
          <cell r="A740" t="str">
            <v>HKD_HIBOR_6M_EOD</v>
          </cell>
          <cell r="F740">
            <v>0.69284775971303403</v>
          </cell>
        </row>
        <row r="741">
          <cell r="A741" t="str">
            <v>HKD_HIBOR_EOD</v>
          </cell>
          <cell r="F741">
            <v>0.99999874767280095</v>
          </cell>
        </row>
        <row r="742">
          <cell r="A742" t="str">
            <v>HKD_HIBOR_EOD</v>
          </cell>
          <cell r="F742">
            <v>0.99998305453372904</v>
          </cell>
        </row>
        <row r="743">
          <cell r="A743" t="str">
            <v>HKD_HIBOR_EOD</v>
          </cell>
          <cell r="F743">
            <v>0.999824469172645</v>
          </cell>
        </row>
        <row r="744">
          <cell r="A744" t="str">
            <v>HKD_HIBOR_EOD</v>
          </cell>
          <cell r="F744">
            <v>0.99950539270264305</v>
          </cell>
        </row>
        <row r="745">
          <cell r="A745" t="str">
            <v>HKD_HIBOR_EOD</v>
          </cell>
          <cell r="F745">
            <v>0.99904856745582904</v>
          </cell>
        </row>
        <row r="746">
          <cell r="A746" t="str">
            <v>HKD_HIBOR_EOD</v>
          </cell>
          <cell r="F746">
            <v>0.99726915083504997</v>
          </cell>
        </row>
        <row r="747">
          <cell r="A747" t="str">
            <v>HKD_HIBOR_EOD</v>
          </cell>
          <cell r="F747">
            <v>0.99332052989759501</v>
          </cell>
        </row>
        <row r="748">
          <cell r="A748" t="str">
            <v>HKD_HIBOR_EOD</v>
          </cell>
          <cell r="F748">
            <v>0.97999466941317803</v>
          </cell>
        </row>
        <row r="749">
          <cell r="A749" t="str">
            <v>HKD_HIBOR_EOD</v>
          </cell>
          <cell r="F749">
            <v>0.96189909671466101</v>
          </cell>
        </row>
        <row r="750">
          <cell r="A750" t="str">
            <v>HKD_HIBOR_EOD</v>
          </cell>
          <cell r="F750">
            <v>0.94145803227912805</v>
          </cell>
        </row>
        <row r="751">
          <cell r="A751" t="str">
            <v>HKD_HIBOR_EOD</v>
          </cell>
          <cell r="F751">
            <v>0.92000652465066701</v>
          </cell>
        </row>
        <row r="752">
          <cell r="A752" t="str">
            <v>HKD_HIBOR_EOD</v>
          </cell>
          <cell r="F752">
            <v>0.87538445169671497</v>
          </cell>
        </row>
        <row r="753">
          <cell r="A753" t="str">
            <v>HKD_HIBOR_EOD</v>
          </cell>
          <cell r="F753">
            <v>0.80802068167416996</v>
          </cell>
        </row>
        <row r="754">
          <cell r="A754" t="str">
            <v>HKD_HIBOR_EOD</v>
          </cell>
          <cell r="F754">
            <v>0.76650115867116098</v>
          </cell>
        </row>
        <row r="755">
          <cell r="A755" t="str">
            <v>HKD_HIBOR_EOD</v>
          </cell>
          <cell r="F755">
            <v>0.70433450367452299</v>
          </cell>
        </row>
        <row r="756">
          <cell r="A756" t="str">
            <v>HUF_BUBOR_3M_EOD</v>
          </cell>
          <cell r="F756">
            <v>0.99641264573935995</v>
          </cell>
        </row>
        <row r="757">
          <cell r="A757" t="str">
            <v>HUF_BUBOR_3M_EOD</v>
          </cell>
          <cell r="F757">
            <v>0.99312402587478898</v>
          </cell>
        </row>
        <row r="758">
          <cell r="A758" t="str">
            <v>HUF_BUBOR_3M_EOD</v>
          </cell>
          <cell r="F758">
            <v>0.98988390603777698</v>
          </cell>
        </row>
        <row r="759">
          <cell r="A759" t="str">
            <v>HUF_BUBOR_3M_EOD</v>
          </cell>
          <cell r="F759">
            <v>0.98654336060284697</v>
          </cell>
        </row>
        <row r="760">
          <cell r="A760" t="str">
            <v>HUF_BUBOR_3M_EOD</v>
          </cell>
          <cell r="F760">
            <v>0.97171008675001203</v>
          </cell>
        </row>
        <row r="761">
          <cell r="A761" t="str">
            <v>HUF_BUBOR_3M_EOD</v>
          </cell>
          <cell r="F761">
            <v>0.95434034381283905</v>
          </cell>
        </row>
        <row r="762">
          <cell r="A762" t="str">
            <v>HUF_BUBOR_3M_EOD</v>
          </cell>
          <cell r="F762">
            <v>0.933603271128848</v>
          </cell>
        </row>
        <row r="763">
          <cell r="A763" t="str">
            <v>HUF_BUBOR_3M_EOD</v>
          </cell>
          <cell r="F763">
            <v>0.90725960884272705</v>
          </cell>
        </row>
        <row r="764">
          <cell r="A764" t="str">
            <v>HUF_BUBOR_3M_EOD</v>
          </cell>
          <cell r="F764">
            <v>0.87746484435024297</v>
          </cell>
        </row>
        <row r="765">
          <cell r="A765" t="str">
            <v>HUF_BUBOR_3M_EOD</v>
          </cell>
          <cell r="F765">
            <v>0.84614422287482305</v>
          </cell>
        </row>
        <row r="766">
          <cell r="A766" t="str">
            <v>HUF_BUBOR_3M_EOD</v>
          </cell>
          <cell r="F766">
            <v>0.81373450621730803</v>
          </cell>
        </row>
        <row r="767">
          <cell r="A767" t="str">
            <v>HUF_BUBOR_3M_EOD</v>
          </cell>
          <cell r="F767">
            <v>0.78081911001766302</v>
          </cell>
        </row>
        <row r="768">
          <cell r="A768" t="str">
            <v>HUF_BUBOR_3M_EOD</v>
          </cell>
          <cell r="F768">
            <v>0.75005441646175597</v>
          </cell>
        </row>
        <row r="769">
          <cell r="A769" t="str">
            <v>HUF_BUBOR_3M_EOD</v>
          </cell>
          <cell r="F769">
            <v>0.69860921768084605</v>
          </cell>
        </row>
        <row r="770">
          <cell r="A770" t="str">
            <v>HUF_BUBOR_3M_EOD</v>
          </cell>
          <cell r="F770">
            <v>0.64008144009545997</v>
          </cell>
        </row>
        <row r="771">
          <cell r="A771" t="str">
            <v>HUF_BUBOR_3M_EOD</v>
          </cell>
          <cell r="F771">
            <v>0.53974583595088199</v>
          </cell>
        </row>
        <row r="772">
          <cell r="A772" t="str">
            <v>HUF_BUBOR_6M_EOD</v>
          </cell>
          <cell r="F772">
            <v>0.99303581523552698</v>
          </cell>
        </row>
        <row r="773">
          <cell r="A773" t="str">
            <v>HUF_BUBOR_6M_EOD</v>
          </cell>
          <cell r="F773">
            <v>0.98649281074216399</v>
          </cell>
        </row>
        <row r="774">
          <cell r="A774" t="str">
            <v>HUF_BUBOR_6M_EOD</v>
          </cell>
          <cell r="F774">
            <v>0.97956085313001395</v>
          </cell>
        </row>
        <row r="775">
          <cell r="A775" t="str">
            <v>HUF_BUBOR_6M_EOD</v>
          </cell>
          <cell r="F775">
            <v>0.97180933571851802</v>
          </cell>
        </row>
        <row r="776">
          <cell r="A776" t="str">
            <v>HUF_BUBOR_6M_EOD</v>
          </cell>
          <cell r="F776">
            <v>0.95480251714181397</v>
          </cell>
        </row>
        <row r="777">
          <cell r="A777" t="str">
            <v>HUF_BUBOR_6M_EOD</v>
          </cell>
          <cell r="F777">
            <v>0.93469165212604299</v>
          </cell>
        </row>
        <row r="778">
          <cell r="A778" t="str">
            <v>HUF_BUBOR_6M_EOD</v>
          </cell>
          <cell r="F778">
            <v>0.90937180240493698</v>
          </cell>
        </row>
        <row r="779">
          <cell r="A779" t="str">
            <v>HUF_BUBOR_6M_EOD</v>
          </cell>
          <cell r="F779">
            <v>0.88023582285260005</v>
          </cell>
        </row>
        <row r="780">
          <cell r="A780" t="str">
            <v>HUF_BUBOR_6M_EOD</v>
          </cell>
          <cell r="F780">
            <v>0.84924760498062901</v>
          </cell>
        </row>
        <row r="781">
          <cell r="A781" t="str">
            <v>HUF_BUBOR_6M_EOD</v>
          </cell>
          <cell r="F781">
            <v>0.81713351524427102</v>
          </cell>
        </row>
        <row r="782">
          <cell r="A782" t="str">
            <v>HUF_BUBOR_6M_EOD</v>
          </cell>
          <cell r="F782">
            <v>0.78440217599707895</v>
          </cell>
        </row>
        <row r="783">
          <cell r="A783" t="str">
            <v>HUF_BUBOR_6M_EOD</v>
          </cell>
          <cell r="F783">
            <v>0.75378434970823704</v>
          </cell>
        </row>
        <row r="784">
          <cell r="A784" t="str">
            <v>HUF_BUBOR_6M_EOD</v>
          </cell>
          <cell r="F784">
            <v>0.70266856127056398</v>
          </cell>
        </row>
        <row r="785">
          <cell r="A785" t="str">
            <v>HUF_BUBOR_6M_EOD</v>
          </cell>
          <cell r="F785">
            <v>0.64437830875643198</v>
          </cell>
        </row>
        <row r="786">
          <cell r="A786" t="str">
            <v>HUF_BUBOR_6M_EOD</v>
          </cell>
          <cell r="F786">
            <v>0.54403992522640698</v>
          </cell>
        </row>
        <row r="787">
          <cell r="A787" t="str">
            <v>HUF_BUBOR_EOD</v>
          </cell>
          <cell r="F787">
            <v>0.99996639001855803</v>
          </cell>
        </row>
        <row r="788">
          <cell r="A788" t="str">
            <v>HUF_BUBOR_EOD</v>
          </cell>
          <cell r="F788">
            <v>0.99986557024022504</v>
          </cell>
        </row>
        <row r="789">
          <cell r="A789" t="str">
            <v>HUF_BUBOR_EOD</v>
          </cell>
          <cell r="F789">
            <v>0.99960317440694302</v>
          </cell>
        </row>
        <row r="790">
          <cell r="A790" t="str">
            <v>HUF_BUBOR_EOD</v>
          </cell>
          <cell r="F790">
            <v>0.99874198550653004</v>
          </cell>
        </row>
        <row r="791">
          <cell r="A791" t="str">
            <v>HUF_BUBOR_EOD</v>
          </cell>
          <cell r="F791">
            <v>0.99750895533325001</v>
          </cell>
        </row>
        <row r="792">
          <cell r="A792" t="str">
            <v>HUF_BUBOR_EOD</v>
          </cell>
          <cell r="F792">
            <v>0.99642789400590503</v>
          </cell>
        </row>
        <row r="793">
          <cell r="A793" t="str">
            <v>HUF_BUBOR_EOD</v>
          </cell>
          <cell r="F793">
            <v>0.99313922381504405</v>
          </cell>
        </row>
        <row r="794">
          <cell r="A794" t="str">
            <v>HUF_BUBOR_EOD</v>
          </cell>
          <cell r="F794">
            <v>0.98989910711150597</v>
          </cell>
        </row>
        <row r="795">
          <cell r="A795" t="str">
            <v>HUF_BUBOR_EOD</v>
          </cell>
          <cell r="F795">
            <v>0.98655851037775499</v>
          </cell>
        </row>
        <row r="796">
          <cell r="A796" t="str">
            <v>HUF_BUBOR_EOD</v>
          </cell>
          <cell r="F796">
            <v>0.97182207637919404</v>
          </cell>
        </row>
        <row r="797">
          <cell r="A797" t="str">
            <v>HUF_BUBOR_EOD</v>
          </cell>
          <cell r="F797">
            <v>0.954814939553292</v>
          </cell>
        </row>
        <row r="798">
          <cell r="A798" t="str">
            <v>HUF_BUBOR_EOD</v>
          </cell>
          <cell r="F798">
            <v>0.93470383587281702</v>
          </cell>
        </row>
        <row r="799">
          <cell r="A799" t="str">
            <v>HUF_BUBOR_EOD</v>
          </cell>
          <cell r="F799">
            <v>0.90937600883931402</v>
          </cell>
        </row>
        <row r="800">
          <cell r="A800" t="str">
            <v>HUF_BUBOR_EOD</v>
          </cell>
          <cell r="F800">
            <v>0.88023724064902797</v>
          </cell>
        </row>
        <row r="801">
          <cell r="A801" t="str">
            <v>HUF_BUBOR_EOD</v>
          </cell>
          <cell r="F801">
            <v>0.84924897300445601</v>
          </cell>
        </row>
        <row r="802">
          <cell r="A802" t="str">
            <v>HUF_BUBOR_EOD</v>
          </cell>
          <cell r="F802">
            <v>0.81713483173587198</v>
          </cell>
        </row>
        <row r="803">
          <cell r="A803" t="str">
            <v>HUF_BUBOR_EOD</v>
          </cell>
          <cell r="F803">
            <v>0.78440343876906504</v>
          </cell>
        </row>
        <row r="804">
          <cell r="A804" t="str">
            <v>HUF_BUBOR_EOD</v>
          </cell>
          <cell r="F804">
            <v>0.75378551685318096</v>
          </cell>
        </row>
        <row r="805">
          <cell r="A805" t="str">
            <v>HUF_BUBOR_EOD</v>
          </cell>
          <cell r="F805">
            <v>0.70267455457342498</v>
          </cell>
        </row>
        <row r="806">
          <cell r="A806" t="str">
            <v>HUF_BUBOR_EOD</v>
          </cell>
          <cell r="F806">
            <v>0.644383738204236</v>
          </cell>
        </row>
        <row r="807">
          <cell r="A807" t="str">
            <v>HUF_BUBOR_EOD</v>
          </cell>
          <cell r="F807">
            <v>0.54403838984447295</v>
          </cell>
        </row>
        <row r="808">
          <cell r="A808" t="str">
            <v>JPY_LIBOR_1M_EOD</v>
          </cell>
          <cell r="F808">
            <v>0.99996087310758097</v>
          </cell>
        </row>
        <row r="809">
          <cell r="A809" t="str">
            <v>JPY_LIBOR_1M_EOD</v>
          </cell>
          <cell r="F809">
            <v>0.99990020623613696</v>
          </cell>
        </row>
        <row r="810">
          <cell r="A810" t="str">
            <v>JPY_LIBOR_1M_EOD</v>
          </cell>
          <cell r="F810">
            <v>0.99987703938602901</v>
          </cell>
        </row>
        <row r="811">
          <cell r="A811" t="str">
            <v>JPY_LIBOR_1M_EOD</v>
          </cell>
          <cell r="F811">
            <v>0.99976776681069202</v>
          </cell>
        </row>
        <row r="812">
          <cell r="A812" t="str">
            <v>JPY_LIBOR_1M_EOD</v>
          </cell>
          <cell r="F812">
            <v>0.99965737635165797</v>
          </cell>
        </row>
        <row r="813">
          <cell r="A813" t="str">
            <v>JPY_LIBOR_1M_EOD</v>
          </cell>
          <cell r="F813">
            <v>0.99955691683136105</v>
          </cell>
        </row>
        <row r="814">
          <cell r="A814" t="str">
            <v>JPY_LIBOR_1M_EOD</v>
          </cell>
          <cell r="F814">
            <v>0.99924449045160901</v>
          </cell>
        </row>
        <row r="815">
          <cell r="A815" t="str">
            <v>JPY_LIBOR_1M_EOD</v>
          </cell>
          <cell r="F815">
            <v>0.99875774013652197</v>
          </cell>
        </row>
        <row r="816">
          <cell r="A816" t="str">
            <v>JPY_LIBOR_1M_EOD</v>
          </cell>
          <cell r="F816">
            <v>0.99741882935749904</v>
          </cell>
        </row>
        <row r="817">
          <cell r="A817" t="str">
            <v>JPY_LIBOR_1M_EOD</v>
          </cell>
          <cell r="F817">
            <v>0.99481409827835998</v>
          </cell>
        </row>
        <row r="818">
          <cell r="A818" t="str">
            <v>JPY_LIBOR_1M_EOD</v>
          </cell>
          <cell r="F818">
            <v>0.99071907116025104</v>
          </cell>
        </row>
        <row r="819">
          <cell r="A819" t="str">
            <v>JPY_LIBOR_1M_EOD</v>
          </cell>
          <cell r="F819">
            <v>0.98527215416303404</v>
          </cell>
        </row>
        <row r="820">
          <cell r="A820" t="str">
            <v>JPY_LIBOR_1M_EOD</v>
          </cell>
          <cell r="F820">
            <v>0.97833741827021703</v>
          </cell>
        </row>
        <row r="821">
          <cell r="A821" t="str">
            <v>JPY_LIBOR_1M_EOD</v>
          </cell>
          <cell r="F821">
            <v>0.97020559214212998</v>
          </cell>
        </row>
        <row r="822">
          <cell r="A822" t="str">
            <v>JPY_LIBOR_1M_EOD</v>
          </cell>
          <cell r="F822">
            <v>0.96070935052037398</v>
          </cell>
        </row>
        <row r="823">
          <cell r="A823" t="str">
            <v>JPY_LIBOR_1M_EOD</v>
          </cell>
          <cell r="F823">
            <v>0.93705091918336103</v>
          </cell>
        </row>
        <row r="824">
          <cell r="A824" t="str">
            <v>JPY_LIBOR_1M_EOD</v>
          </cell>
          <cell r="F824">
            <v>0.89042512003211105</v>
          </cell>
        </row>
        <row r="825">
          <cell r="A825" t="str">
            <v>JPY_LIBOR_1M_EOD</v>
          </cell>
          <cell r="F825">
            <v>0.80663623281520602</v>
          </cell>
        </row>
        <row r="826">
          <cell r="A826" t="str">
            <v>JPY_LIBOR_1M_EOD</v>
          </cell>
          <cell r="F826">
            <v>0.73290476830808804</v>
          </cell>
        </row>
        <row r="827">
          <cell r="A827" t="str">
            <v>JPY_LIBOR_1M_EOD</v>
          </cell>
          <cell r="F827">
            <v>0.66959499970533398</v>
          </cell>
        </row>
        <row r="828">
          <cell r="A828" t="str">
            <v>JPY_LIBOR_1M_EOD</v>
          </cell>
          <cell r="F828">
            <v>0.55269280899266704</v>
          </cell>
        </row>
        <row r="829">
          <cell r="A829" t="str">
            <v>JPY_LIBOR_3M_EOD</v>
          </cell>
          <cell r="F829">
            <v>0.99980003915905202</v>
          </cell>
        </row>
        <row r="830">
          <cell r="A830" t="str">
            <v>JPY_LIBOR_3M_EOD</v>
          </cell>
          <cell r="F830">
            <v>0.99973964198834098</v>
          </cell>
        </row>
        <row r="831">
          <cell r="A831" t="str">
            <v>JPY_LIBOR_3M_EOD</v>
          </cell>
          <cell r="F831">
            <v>0.99967407692977195</v>
          </cell>
        </row>
        <row r="832">
          <cell r="A832" t="str">
            <v>JPY_LIBOR_3M_EOD</v>
          </cell>
          <cell r="F832">
            <v>0.99961261179434102</v>
          </cell>
        </row>
        <row r="833">
          <cell r="A833" t="str">
            <v>JPY_LIBOR_3M_EOD</v>
          </cell>
          <cell r="F833">
            <v>0.99955444676167704</v>
          </cell>
        </row>
        <row r="834">
          <cell r="A834" t="str">
            <v>JPY_LIBOR_3M_EOD</v>
          </cell>
          <cell r="F834">
            <v>0.99949208607909901</v>
          </cell>
        </row>
        <row r="835">
          <cell r="A835" t="str">
            <v>JPY_LIBOR_3M_EOD</v>
          </cell>
          <cell r="F835">
            <v>0.99943382418801396</v>
          </cell>
        </row>
        <row r="836">
          <cell r="A836" t="str">
            <v>JPY_LIBOR_3M_EOD</v>
          </cell>
          <cell r="F836">
            <v>0.99937886144782495</v>
          </cell>
        </row>
        <row r="837">
          <cell r="A837" t="str">
            <v>JPY_LIBOR_3M_EOD</v>
          </cell>
          <cell r="F837">
            <v>0.99932350144681004</v>
          </cell>
        </row>
        <row r="838">
          <cell r="A838" t="str">
            <v>JPY_LIBOR_3M_EOD</v>
          </cell>
          <cell r="F838">
            <v>0.99926464313246199</v>
          </cell>
        </row>
        <row r="839">
          <cell r="A839" t="str">
            <v>JPY_LIBOR_3M_EOD</v>
          </cell>
          <cell r="F839">
            <v>0.99866594246707496</v>
          </cell>
        </row>
        <row r="840">
          <cell r="A840" t="str">
            <v>JPY_LIBOR_3M_EOD</v>
          </cell>
          <cell r="F840">
            <v>0.99796715455138396</v>
          </cell>
        </row>
        <row r="841">
          <cell r="A841" t="str">
            <v>JPY_LIBOR_3M_EOD</v>
          </cell>
          <cell r="F841">
            <v>0.99636726431162004</v>
          </cell>
        </row>
        <row r="842">
          <cell r="A842" t="str">
            <v>JPY_LIBOR_3M_EOD</v>
          </cell>
          <cell r="F842">
            <v>0.99356844673408096</v>
          </cell>
        </row>
        <row r="843">
          <cell r="A843" t="str">
            <v>JPY_LIBOR_3M_EOD</v>
          </cell>
          <cell r="F843">
            <v>0.98915695989324504</v>
          </cell>
        </row>
        <row r="844">
          <cell r="A844" t="str">
            <v>JPY_LIBOR_3M_EOD</v>
          </cell>
          <cell r="F844">
            <v>0.983546229239874</v>
          </cell>
        </row>
        <row r="845">
          <cell r="A845" t="str">
            <v>JPY_LIBOR_3M_EOD</v>
          </cell>
          <cell r="F845">
            <v>0.97637985724935805</v>
          </cell>
        </row>
        <row r="846">
          <cell r="A846" t="str">
            <v>JPY_LIBOR_3M_EOD</v>
          </cell>
          <cell r="F846">
            <v>0.96802080549388303</v>
          </cell>
        </row>
        <row r="847">
          <cell r="A847" t="str">
            <v>JPY_LIBOR_3M_EOD</v>
          </cell>
          <cell r="F847">
            <v>0.95831070336983004</v>
          </cell>
        </row>
        <row r="848">
          <cell r="A848" t="str">
            <v>JPY_LIBOR_3M_EOD</v>
          </cell>
          <cell r="F848">
            <v>0.93390397154303295</v>
          </cell>
        </row>
        <row r="849">
          <cell r="A849" t="str">
            <v>JPY_LIBOR_3M_EOD</v>
          </cell>
          <cell r="F849">
            <v>0.88729143165448898</v>
          </cell>
        </row>
        <row r="850">
          <cell r="A850" t="str">
            <v>JPY_LIBOR_3M_EOD</v>
          </cell>
          <cell r="F850">
            <v>0.803071062495889</v>
          </cell>
        </row>
        <row r="851">
          <cell r="A851" t="str">
            <v>JPY_LIBOR_3M_EOD</v>
          </cell>
          <cell r="F851">
            <v>0.729123173417351</v>
          </cell>
        </row>
        <row r="852">
          <cell r="A852" t="str">
            <v>JPY_LIBOR_3M_EOD</v>
          </cell>
          <cell r="F852">
            <v>0.66574672670724599</v>
          </cell>
        </row>
        <row r="853">
          <cell r="A853" t="str">
            <v>JPY_LIBOR_3M_EOD</v>
          </cell>
          <cell r="F853">
            <v>0.54843900648682498</v>
          </cell>
        </row>
        <row r="854">
          <cell r="A854" t="str">
            <v>JPY_LIBOR_6M_EOD</v>
          </cell>
          <cell r="F854">
            <v>0.999379657588083</v>
          </cell>
        </row>
        <row r="855">
          <cell r="A855" t="str">
            <v>JPY_LIBOR_6M_EOD</v>
          </cell>
          <cell r="F855">
            <v>0.99929605380980502</v>
          </cell>
        </row>
        <row r="856">
          <cell r="A856" t="str">
            <v>JPY_LIBOR_6M_EOD</v>
          </cell>
          <cell r="F856">
            <v>0.99920507856201102</v>
          </cell>
        </row>
        <row r="857">
          <cell r="A857" t="str">
            <v>JPY_LIBOR_6M_EOD</v>
          </cell>
          <cell r="F857">
            <v>0.99913046160178398</v>
          </cell>
        </row>
        <row r="858">
          <cell r="A858" t="str">
            <v>JPY_LIBOR_6M_EOD</v>
          </cell>
          <cell r="F858">
            <v>0.99904690562554799</v>
          </cell>
        </row>
        <row r="859">
          <cell r="A859" t="str">
            <v>JPY_LIBOR_6M_EOD</v>
          </cell>
          <cell r="F859">
            <v>0.99896225142464301</v>
          </cell>
        </row>
        <row r="860">
          <cell r="A860" t="str">
            <v>JPY_LIBOR_6M_EOD</v>
          </cell>
          <cell r="F860">
            <v>0.99884361151656897</v>
          </cell>
        </row>
        <row r="861">
          <cell r="A861" t="str">
            <v>JPY_LIBOR_6M_EOD</v>
          </cell>
          <cell r="F861">
            <v>0.99796155217277704</v>
          </cell>
        </row>
        <row r="862">
          <cell r="A862" t="str">
            <v>JPY_LIBOR_6M_EOD</v>
          </cell>
          <cell r="F862">
            <v>0.99683965651376005</v>
          </cell>
        </row>
        <row r="863">
          <cell r="A863" t="str">
            <v>JPY_LIBOR_6M_EOD</v>
          </cell>
          <cell r="F863">
            <v>0.99486542490225705</v>
          </cell>
        </row>
        <row r="864">
          <cell r="A864" t="str">
            <v>JPY_LIBOR_6M_EOD</v>
          </cell>
          <cell r="F864">
            <v>0.99157702458253005</v>
          </cell>
        </row>
        <row r="865">
          <cell r="A865" t="str">
            <v>JPY_LIBOR_6M_EOD</v>
          </cell>
          <cell r="F865">
            <v>0.98678148511429697</v>
          </cell>
        </row>
        <row r="866">
          <cell r="A866" t="str">
            <v>JPY_LIBOR_6M_EOD</v>
          </cell>
          <cell r="F866">
            <v>0.980620987117646</v>
          </cell>
        </row>
        <row r="867">
          <cell r="A867" t="str">
            <v>JPY_LIBOR_6M_EOD</v>
          </cell>
          <cell r="F867">
            <v>0.97306481831028002</v>
          </cell>
        </row>
        <row r="868">
          <cell r="A868" t="str">
            <v>JPY_LIBOR_6M_EOD</v>
          </cell>
          <cell r="F868">
            <v>0.96410374140166399</v>
          </cell>
        </row>
        <row r="869">
          <cell r="A869" t="str">
            <v>JPY_LIBOR_6M_EOD</v>
          </cell>
          <cell r="F869">
            <v>0.95376597132100704</v>
          </cell>
        </row>
        <row r="870">
          <cell r="A870" t="str">
            <v>JPY_LIBOR_6M_EOD</v>
          </cell>
          <cell r="F870">
            <v>0.92894924719708905</v>
          </cell>
        </row>
        <row r="871">
          <cell r="A871" t="str">
            <v>JPY_LIBOR_6M_EOD</v>
          </cell>
          <cell r="F871">
            <v>0.88204167970934599</v>
          </cell>
        </row>
        <row r="872">
          <cell r="A872" t="str">
            <v>JPY_LIBOR_6M_EOD</v>
          </cell>
          <cell r="F872">
            <v>0.79762446672212794</v>
          </cell>
        </row>
        <row r="873">
          <cell r="A873" t="str">
            <v>JPY_LIBOR_6M_EOD</v>
          </cell>
          <cell r="F873">
            <v>0.72372094048172297</v>
          </cell>
        </row>
        <row r="874">
          <cell r="A874" t="str">
            <v>JPY_LIBOR_6M_EOD</v>
          </cell>
          <cell r="F874">
            <v>0.66070418397133301</v>
          </cell>
        </row>
        <row r="875">
          <cell r="A875" t="str">
            <v>JPY_LIBOR_6M_EOD</v>
          </cell>
          <cell r="F875">
            <v>0.542789186068945</v>
          </cell>
        </row>
        <row r="876">
          <cell r="A876" t="str">
            <v>JPY_LIBOR_EOD</v>
          </cell>
          <cell r="F876">
            <v>0.99999896833439705</v>
          </cell>
        </row>
        <row r="877">
          <cell r="A877" t="str">
            <v>JPY_LIBOR_EOD</v>
          </cell>
          <cell r="F877">
            <v>0.999995873347169</v>
          </cell>
        </row>
        <row r="878">
          <cell r="A878" t="str">
            <v>JPY_LIBOR_EOD</v>
          </cell>
          <cell r="F878">
            <v>0.99998777789055904</v>
          </cell>
        </row>
        <row r="879">
          <cell r="A879" t="str">
            <v>JPY_LIBOR_EOD</v>
          </cell>
          <cell r="F879">
            <v>0.99996134968157202</v>
          </cell>
        </row>
        <row r="880">
          <cell r="A880" t="str">
            <v>JPY_LIBOR_EOD</v>
          </cell>
          <cell r="F880">
            <v>0.99990463704856203</v>
          </cell>
        </row>
        <row r="881">
          <cell r="A881" t="str">
            <v>JPY_LIBOR_EOD</v>
          </cell>
          <cell r="F881">
            <v>0.99980424420036396</v>
          </cell>
        </row>
        <row r="882">
          <cell r="A882" t="str">
            <v>JPY_LIBOR_EOD</v>
          </cell>
          <cell r="F882">
            <v>0.99938887008741595</v>
          </cell>
        </row>
        <row r="883">
          <cell r="A883" t="str">
            <v>JPY_LIBOR_EOD</v>
          </cell>
          <cell r="F883">
            <v>0.99888129180770702</v>
          </cell>
        </row>
        <row r="884">
          <cell r="A884" t="str">
            <v>JPY_LIBOR_EOD</v>
          </cell>
          <cell r="F884">
            <v>0.99797079093343399</v>
          </cell>
        </row>
        <row r="885">
          <cell r="A885" t="str">
            <v>JPY_LIBOR_EOD</v>
          </cell>
          <cell r="F885">
            <v>0.99684877273414996</v>
          </cell>
        </row>
        <row r="886">
          <cell r="A886" t="str">
            <v>JPY_LIBOR_EOD</v>
          </cell>
          <cell r="F886">
            <v>0.99487326709743895</v>
          </cell>
        </row>
        <row r="887">
          <cell r="A887" t="str">
            <v>JPY_LIBOR_EOD</v>
          </cell>
          <cell r="F887">
            <v>0.99157877994589305</v>
          </cell>
        </row>
        <row r="888">
          <cell r="A888" t="str">
            <v>JPY_LIBOR_EOD</v>
          </cell>
          <cell r="F888">
            <v>0.986774035196049</v>
          </cell>
        </row>
        <row r="889">
          <cell r="A889" t="str">
            <v>JPY_LIBOR_EOD</v>
          </cell>
          <cell r="F889">
            <v>0.98059988806123899</v>
          </cell>
        </row>
        <row r="890">
          <cell r="A890" t="str">
            <v>JPY_LIBOR_EOD</v>
          </cell>
          <cell r="F890">
            <v>0.97302298665026099</v>
          </cell>
        </row>
        <row r="891">
          <cell r="A891" t="str">
            <v>JPY_LIBOR_EOD</v>
          </cell>
          <cell r="F891">
            <v>0.96403178878186402</v>
          </cell>
        </row>
        <row r="892">
          <cell r="A892" t="str">
            <v>JPY_LIBOR_EOD</v>
          </cell>
          <cell r="F892">
            <v>0.95364811552668205</v>
          </cell>
        </row>
        <row r="893">
          <cell r="A893" t="str">
            <v>JPY_LIBOR_EOD</v>
          </cell>
          <cell r="F893">
            <v>0.92870177770477202</v>
          </cell>
        </row>
        <row r="894">
          <cell r="A894" t="str">
            <v>JPY_LIBOR_EOD</v>
          </cell>
          <cell r="F894">
            <v>0.88151638224680295</v>
          </cell>
        </row>
        <row r="895">
          <cell r="A895" t="str">
            <v>JPY_LIBOR_EOD</v>
          </cell>
          <cell r="F895">
            <v>0.79658162077636396</v>
          </cell>
        </row>
        <row r="896">
          <cell r="A896" t="str">
            <v>JPY_LIBOR_EOD</v>
          </cell>
          <cell r="F896">
            <v>0.72228422617564203</v>
          </cell>
        </row>
        <row r="897">
          <cell r="A897" t="str">
            <v>JPY_LIBOR_EOD</v>
          </cell>
          <cell r="F897">
            <v>0.65900138347978998</v>
          </cell>
        </row>
        <row r="898">
          <cell r="A898" t="str">
            <v>JPY_LIBOR_EOD</v>
          </cell>
          <cell r="F898">
            <v>0.540481117701055</v>
          </cell>
        </row>
        <row r="899">
          <cell r="A899" t="str">
            <v>JPY_TONA_EOD</v>
          </cell>
          <cell r="F899">
            <v>0.99999786301826499</v>
          </cell>
        </row>
        <row r="900">
          <cell r="A900" t="str">
            <v>JPY_TONA_EOD</v>
          </cell>
          <cell r="F900">
            <v>0.99999145211416096</v>
          </cell>
        </row>
        <row r="901">
          <cell r="A901" t="str">
            <v>JPY_TONA_EOD</v>
          </cell>
          <cell r="F901">
            <v>0.99997611023410904</v>
          </cell>
        </row>
        <row r="902">
          <cell r="A902" t="str">
            <v>JPY_TONA_EOD</v>
          </cell>
          <cell r="F902">
            <v>0.99996507089867903</v>
          </cell>
        </row>
        <row r="903">
          <cell r="A903" t="str">
            <v>JPY_TONA_EOD</v>
          </cell>
          <cell r="F903">
            <v>0.99995197803727198</v>
          </cell>
        </row>
        <row r="904">
          <cell r="A904" t="str">
            <v>JPY_TONA_EOD</v>
          </cell>
          <cell r="F904">
            <v>0.99993332188070805</v>
          </cell>
        </row>
        <row r="905">
          <cell r="A905" t="str">
            <v>JPY_TONA_EOD</v>
          </cell>
          <cell r="F905">
            <v>0.99987326356061001</v>
          </cell>
        </row>
        <row r="906">
          <cell r="A906" t="str">
            <v>JPY_TONA_EOD</v>
          </cell>
          <cell r="F906">
            <v>0.99982260535965595</v>
          </cell>
        </row>
        <row r="907">
          <cell r="A907" t="str">
            <v>JPY_TONA_EOD</v>
          </cell>
          <cell r="F907">
            <v>0.99977602092499496</v>
          </cell>
        </row>
        <row r="908">
          <cell r="A908" t="str">
            <v>JPY_TONA_EOD</v>
          </cell>
          <cell r="F908">
            <v>0.99972550595675902</v>
          </cell>
        </row>
        <row r="909">
          <cell r="A909" t="str">
            <v>JPY_TONA_EOD</v>
          </cell>
          <cell r="F909">
            <v>0.99968663533414404</v>
          </cell>
        </row>
        <row r="910">
          <cell r="A910" t="str">
            <v>JPY_TONA_EOD</v>
          </cell>
          <cell r="F910">
            <v>0.99964727218896698</v>
          </cell>
        </row>
        <row r="911">
          <cell r="A911" t="str">
            <v>JPY_TONA_EOD</v>
          </cell>
          <cell r="F911">
            <v>0.99960407130351503</v>
          </cell>
        </row>
        <row r="912">
          <cell r="A912" t="str">
            <v>JPY_TONA_EOD</v>
          </cell>
          <cell r="F912">
            <v>0.99957012372209297</v>
          </cell>
        </row>
        <row r="913">
          <cell r="A913" t="str">
            <v>JPY_TONA_EOD</v>
          </cell>
          <cell r="F913">
            <v>0.99954042661207099</v>
          </cell>
        </row>
        <row r="914">
          <cell r="A914" t="str">
            <v>JPY_TONA_EOD</v>
          </cell>
          <cell r="F914">
            <v>0.99950380379257397</v>
          </cell>
        </row>
        <row r="915">
          <cell r="A915" t="str">
            <v>JPY_TONA_EOD</v>
          </cell>
          <cell r="F915">
            <v>0.99949324112763704</v>
          </cell>
        </row>
        <row r="916">
          <cell r="A916" t="str">
            <v>JPY_TONA_EOD</v>
          </cell>
          <cell r="F916">
            <v>0.99935562535975897</v>
          </cell>
        </row>
        <row r="917">
          <cell r="A917" t="str">
            <v>JPY_TONA_EOD</v>
          </cell>
          <cell r="F917">
            <v>0.99922289609762804</v>
          </cell>
        </row>
        <row r="918">
          <cell r="A918" t="str">
            <v>JPY_TONA_EOD</v>
          </cell>
          <cell r="F918">
            <v>0.99898817910173898</v>
          </cell>
        </row>
        <row r="919">
          <cell r="A919" t="str">
            <v>JPY_TONA_EOD</v>
          </cell>
          <cell r="F919">
            <v>0.99796298448015097</v>
          </cell>
        </row>
        <row r="920">
          <cell r="A920" t="str">
            <v>JPY_TONA_EOD</v>
          </cell>
          <cell r="F920">
            <v>0.99576994526875995</v>
          </cell>
        </row>
        <row r="921">
          <cell r="A921" t="str">
            <v>JPY_TONA_EOD</v>
          </cell>
          <cell r="F921">
            <v>0.99220460746122896</v>
          </cell>
        </row>
        <row r="922">
          <cell r="A922" t="str">
            <v>JPY_TONA_EOD</v>
          </cell>
          <cell r="F922">
            <v>0.98738264385042696</v>
          </cell>
        </row>
        <row r="923">
          <cell r="A923" t="str">
            <v>JPY_TONA_EOD</v>
          </cell>
          <cell r="F923">
            <v>0.98125889059791005</v>
          </cell>
        </row>
        <row r="924">
          <cell r="A924" t="str">
            <v>JPY_TONA_EOD</v>
          </cell>
          <cell r="F924">
            <v>0.97397278606120696</v>
          </cell>
        </row>
        <row r="925">
          <cell r="A925" t="str">
            <v>JPY_TONA_EOD</v>
          </cell>
          <cell r="F925">
            <v>0.96544076257481104</v>
          </cell>
        </row>
        <row r="926">
          <cell r="A926" t="str">
            <v>JPY_TONA_EOD</v>
          </cell>
          <cell r="F926">
            <v>0.94372899806726596</v>
          </cell>
        </row>
        <row r="927">
          <cell r="A927" t="str">
            <v>JPY_TONA_EOD</v>
          </cell>
          <cell r="F927">
            <v>0.89954641338630004</v>
          </cell>
        </row>
        <row r="928">
          <cell r="A928" t="str">
            <v>JPY_TONA_EOD</v>
          </cell>
          <cell r="F928">
            <v>0.81878685875896695</v>
          </cell>
        </row>
        <row r="929">
          <cell r="A929" t="str">
            <v>JPY_TONA_EOD</v>
          </cell>
          <cell r="F929">
            <v>0.74790673871365898</v>
          </cell>
        </row>
        <row r="930">
          <cell r="A930" t="str">
            <v>JPY_TONA_EOD</v>
          </cell>
          <cell r="F930">
            <v>0.68733745701321303</v>
          </cell>
        </row>
        <row r="931">
          <cell r="A931" t="str">
            <v>JPY_TONA_EOD</v>
          </cell>
          <cell r="F931">
            <v>0.57265550264934995</v>
          </cell>
        </row>
        <row r="932">
          <cell r="A932" t="str">
            <v>MXN_TIIE_EOD</v>
          </cell>
          <cell r="F932">
            <v>0.99198566951827605</v>
          </cell>
        </row>
        <row r="933">
          <cell r="A933" t="str">
            <v>MXN_TIIE_EOD</v>
          </cell>
          <cell r="F933">
            <v>0.98335883427444704</v>
          </cell>
        </row>
        <row r="934">
          <cell r="A934" t="str">
            <v>MXN_TIIE_EOD</v>
          </cell>
          <cell r="F934">
            <v>0.97409294384975598</v>
          </cell>
        </row>
        <row r="935">
          <cell r="A935" t="str">
            <v>MXN_TIIE_EOD</v>
          </cell>
          <cell r="F935">
            <v>0.961272703285309</v>
          </cell>
        </row>
        <row r="936">
          <cell r="A936" t="str">
            <v>MXN_TIIE_EOD</v>
          </cell>
          <cell r="F936">
            <v>0.91487097322525801</v>
          </cell>
        </row>
        <row r="937">
          <cell r="A937" t="str">
            <v>MXN_TIIE_EOD</v>
          </cell>
          <cell r="F937">
            <v>0.863192678229591</v>
          </cell>
        </row>
        <row r="938">
          <cell r="A938" t="str">
            <v>MXN_TIIE_EOD</v>
          </cell>
          <cell r="F938">
            <v>0.80826999698650903</v>
          </cell>
        </row>
        <row r="939">
          <cell r="A939" t="str">
            <v>MXN_TIIE_EOD</v>
          </cell>
          <cell r="F939">
            <v>0.75278550609511696</v>
          </cell>
        </row>
        <row r="940">
          <cell r="A940" t="str">
            <v>MXN_TIIE_EOD</v>
          </cell>
          <cell r="F940">
            <v>0.64622576429619005</v>
          </cell>
        </row>
        <row r="941">
          <cell r="A941" t="str">
            <v>MXN_TIIE_EOD</v>
          </cell>
          <cell r="F941">
            <v>0.51179081718755404</v>
          </cell>
        </row>
        <row r="942">
          <cell r="A942" t="str">
            <v>MXN_TIIE_EOD</v>
          </cell>
          <cell r="F942">
            <v>0.33929241182444297</v>
          </cell>
        </row>
        <row r="943">
          <cell r="A943" t="str">
            <v>MXN_TIIE_EOD</v>
          </cell>
          <cell r="F943">
            <v>0.22270831198445601</v>
          </cell>
        </row>
        <row r="944">
          <cell r="A944" t="str">
            <v>MXN_TIIE_EOD</v>
          </cell>
          <cell r="F944">
            <v>9.5929990863327E-2</v>
          </cell>
        </row>
        <row r="945">
          <cell r="A945" t="str">
            <v>MXN_USDMXNBASIS_EOD</v>
          </cell>
          <cell r="F945">
            <v>0.99954537201272997</v>
          </cell>
        </row>
        <row r="946">
          <cell r="A946" t="str">
            <v>MXN_USDMXNBASIS_EOD</v>
          </cell>
          <cell r="F946">
            <v>0.997211605287735</v>
          </cell>
        </row>
        <row r="947">
          <cell r="A947" t="str">
            <v>MXN_USDMXNBASIS_EOD</v>
          </cell>
          <cell r="F947">
            <v>0.99487508735725805</v>
          </cell>
        </row>
        <row r="948">
          <cell r="A948" t="str">
            <v>MXN_USDMXNBASIS_EOD</v>
          </cell>
          <cell r="F948">
            <v>0.99233802558346795</v>
          </cell>
        </row>
        <row r="949">
          <cell r="A949" t="str">
            <v>MXN_USDMXNBASIS_EOD</v>
          </cell>
          <cell r="F949">
            <v>0.98429598817374797</v>
          </cell>
        </row>
        <row r="950">
          <cell r="A950" t="str">
            <v>MXN_USDMXNBASIS_EOD</v>
          </cell>
          <cell r="F950">
            <v>0.97544545033600305</v>
          </cell>
        </row>
        <row r="951">
          <cell r="A951" t="str">
            <v>MXN_USDMXNBASIS_EOD</v>
          </cell>
          <cell r="F951">
            <v>0.96634578083855904</v>
          </cell>
        </row>
        <row r="952">
          <cell r="A952" t="str">
            <v>MXN_USDMXNBASIS_EOD</v>
          </cell>
          <cell r="F952">
            <v>0.94693238784859801</v>
          </cell>
        </row>
        <row r="953">
          <cell r="A953" t="str">
            <v>MXN_USDMXNBASIS_EOD</v>
          </cell>
          <cell r="F953">
            <v>0.92716831720595805</v>
          </cell>
        </row>
        <row r="954">
          <cell r="A954" t="str">
            <v>MXN_USDMXNBASIS_EOD</v>
          </cell>
          <cell r="F954">
            <v>0.88318220612649501</v>
          </cell>
        </row>
        <row r="955">
          <cell r="A955" t="str">
            <v>MXN_USDMXNBASIS_EOD</v>
          </cell>
          <cell r="F955">
            <v>0.83623035562623205</v>
          </cell>
        </row>
        <row r="956">
          <cell r="A956" t="str">
            <v>MXN_USDMXNBASIS_EOD</v>
          </cell>
          <cell r="F956">
            <v>0.79020701235968505</v>
          </cell>
        </row>
        <row r="957">
          <cell r="A957" t="str">
            <v>MXN_USDMXNBASIS_EOD</v>
          </cell>
          <cell r="F957">
            <v>0.69826608133050105</v>
          </cell>
        </row>
        <row r="958">
          <cell r="A958" t="str">
            <v>MXN_USDMXNBASIS_EOD</v>
          </cell>
          <cell r="F958">
            <v>0.57545011475532304</v>
          </cell>
        </row>
        <row r="959">
          <cell r="A959" t="str">
            <v>MXN_USDMXNBASIS_EOD</v>
          </cell>
          <cell r="F959">
            <v>0.41120251067095998</v>
          </cell>
        </row>
        <row r="960">
          <cell r="A960" t="str">
            <v>MXN_USDMXNBASIS_EOD</v>
          </cell>
          <cell r="F960">
            <v>0.29638940325186203</v>
          </cell>
        </row>
        <row r="961">
          <cell r="A961" t="str">
            <v>MXN_USDMXNBASIS_EOD</v>
          </cell>
          <cell r="F961">
            <v>0.16273115797978399</v>
          </cell>
        </row>
        <row r="962">
          <cell r="A962" t="str">
            <v>NOK_NIBOR_3M_EOD</v>
          </cell>
          <cell r="F962">
            <v>0.99691600793632495</v>
          </cell>
        </row>
        <row r="963">
          <cell r="A963" t="str">
            <v>NOK_NIBOR_3M_EOD</v>
          </cell>
          <cell r="F963">
            <v>0.99630009310919299</v>
          </cell>
        </row>
        <row r="964">
          <cell r="A964" t="str">
            <v>NOK_NIBOR_3M_EOD</v>
          </cell>
          <cell r="F964">
            <v>0.994126408103297</v>
          </cell>
        </row>
        <row r="965">
          <cell r="A965" t="str">
            <v>NOK_NIBOR_3M_EOD</v>
          </cell>
          <cell r="F965">
            <v>0.99199307189172004</v>
          </cell>
        </row>
        <row r="966">
          <cell r="A966" t="str">
            <v>NOK_NIBOR_3M_EOD</v>
          </cell>
          <cell r="F966">
            <v>0.99004104097272305</v>
          </cell>
        </row>
        <row r="967">
          <cell r="A967" t="str">
            <v>NOK_NIBOR_3M_EOD</v>
          </cell>
          <cell r="F967">
            <v>0.98239485341961896</v>
          </cell>
        </row>
        <row r="968">
          <cell r="A968" t="str">
            <v>NOK_NIBOR_3M_EOD</v>
          </cell>
          <cell r="F968">
            <v>0.97155767170440899</v>
          </cell>
        </row>
        <row r="969">
          <cell r="A969" t="str">
            <v>NOK_NIBOR_3M_EOD</v>
          </cell>
          <cell r="F969">
            <v>0.95683704890016896</v>
          </cell>
        </row>
        <row r="970">
          <cell r="A970" t="str">
            <v>NOK_NIBOR_3M_EOD</v>
          </cell>
          <cell r="F970">
            <v>0.93865759846691599</v>
          </cell>
        </row>
        <row r="971">
          <cell r="A971" t="str">
            <v>NOK_NIBOR_3M_EOD</v>
          </cell>
          <cell r="F971">
            <v>0.91790077172736595</v>
          </cell>
        </row>
        <row r="972">
          <cell r="A972" t="str">
            <v>NOK_NIBOR_3M_EOD</v>
          </cell>
          <cell r="F972">
            <v>0.895358081415216</v>
          </cell>
        </row>
        <row r="973">
          <cell r="A973" t="str">
            <v>NOK_NIBOR_3M_EOD</v>
          </cell>
          <cell r="F973">
            <v>0.87235691871759602</v>
          </cell>
        </row>
        <row r="974">
          <cell r="A974" t="str">
            <v>NOK_NIBOR_3M_EOD</v>
          </cell>
          <cell r="F974">
            <v>0.84844291782088899</v>
          </cell>
        </row>
        <row r="975">
          <cell r="A975" t="str">
            <v>NOK_NIBOR_3M_EOD</v>
          </cell>
          <cell r="F975">
            <v>0.824789742493508</v>
          </cell>
        </row>
        <row r="976">
          <cell r="A976" t="str">
            <v>NOK_NIBOR_3M_EOD</v>
          </cell>
          <cell r="F976">
            <v>0.78129389768789104</v>
          </cell>
        </row>
        <row r="977">
          <cell r="A977" t="str">
            <v>NOK_NIBOR_3M_EOD</v>
          </cell>
          <cell r="F977">
            <v>0.72269804749480004</v>
          </cell>
        </row>
        <row r="978">
          <cell r="A978" t="str">
            <v>NOK_NIBOR_3M_EOD</v>
          </cell>
          <cell r="F978">
            <v>0.64011607802557202</v>
          </cell>
        </row>
        <row r="979">
          <cell r="A979" t="str">
            <v>NOK_NIBOR_3M_EOD</v>
          </cell>
          <cell r="F979">
            <v>0.570274559669947</v>
          </cell>
        </row>
        <row r="980">
          <cell r="A980" t="str">
            <v>NOK_NIBOR_3M_EOD</v>
          </cell>
          <cell r="F980">
            <v>0.51186738497308004</v>
          </cell>
        </row>
        <row r="981">
          <cell r="A981" t="str">
            <v>NOK_NIBOR_6M_EOD</v>
          </cell>
          <cell r="F981">
            <v>0.99408152720522103</v>
          </cell>
        </row>
        <row r="982">
          <cell r="A982" t="str">
            <v>NOK_NIBOR_6M_EOD</v>
          </cell>
          <cell r="F982">
            <v>0.98962770851217596</v>
          </cell>
        </row>
        <row r="983">
          <cell r="A983" t="str">
            <v>NOK_NIBOR_6M_EOD</v>
          </cell>
          <cell r="F983">
            <v>0.98048952608573503</v>
          </cell>
        </row>
        <row r="984">
          <cell r="A984" t="str">
            <v>NOK_NIBOR_6M_EOD</v>
          </cell>
          <cell r="F984">
            <v>0.96884764342965302</v>
          </cell>
        </row>
        <row r="985">
          <cell r="A985" t="str">
            <v>NOK_NIBOR_6M_EOD</v>
          </cell>
          <cell r="F985">
            <v>0.95342452257322396</v>
          </cell>
        </row>
        <row r="986">
          <cell r="A986" t="str">
            <v>NOK_NIBOR_6M_EOD</v>
          </cell>
          <cell r="F986">
            <v>0.93462753164363599</v>
          </cell>
        </row>
        <row r="987">
          <cell r="A987" t="str">
            <v>NOK_NIBOR_6M_EOD</v>
          </cell>
          <cell r="F987">
            <v>0.91334856923374996</v>
          </cell>
        </row>
        <row r="988">
          <cell r="A988" t="str">
            <v>NOK_NIBOR_6M_EOD</v>
          </cell>
          <cell r="F988">
            <v>0.89024672003362904</v>
          </cell>
        </row>
        <row r="989">
          <cell r="A989" t="str">
            <v>NOK_NIBOR_6M_EOD</v>
          </cell>
          <cell r="F989">
            <v>0.86674300522927195</v>
          </cell>
        </row>
        <row r="990">
          <cell r="A990" t="str">
            <v>NOK_NIBOR_6M_EOD</v>
          </cell>
          <cell r="F990">
            <v>0.84238242364900995</v>
          </cell>
        </row>
        <row r="991">
          <cell r="A991" t="str">
            <v>NOK_NIBOR_6M_EOD</v>
          </cell>
          <cell r="F991">
            <v>0.81833956977096001</v>
          </cell>
        </row>
        <row r="992">
          <cell r="A992" t="str">
            <v>NOK_NIBOR_6M_EOD</v>
          </cell>
          <cell r="F992">
            <v>0.77407141216664699</v>
          </cell>
        </row>
        <row r="993">
          <cell r="A993" t="str">
            <v>NOK_NIBOR_6M_EOD</v>
          </cell>
          <cell r="F993">
            <v>0.71447307108633096</v>
          </cell>
        </row>
        <row r="994">
          <cell r="A994" t="str">
            <v>NOK_NIBOR_6M_EOD</v>
          </cell>
          <cell r="F994">
            <v>0.63147783846685901</v>
          </cell>
        </row>
        <row r="995">
          <cell r="A995" t="str">
            <v>NOK_NIBOR_6M_EOD</v>
          </cell>
          <cell r="F995">
            <v>0.56095205830239603</v>
          </cell>
        </row>
        <row r="996">
          <cell r="A996" t="str">
            <v>NOK_NIBOR_6M_EOD</v>
          </cell>
          <cell r="F996">
            <v>0.50201427832649004</v>
          </cell>
        </row>
        <row r="997">
          <cell r="A997" t="str">
            <v>NOK_NIBOR_EOD</v>
          </cell>
          <cell r="F997">
            <v>0.99997916710068502</v>
          </cell>
        </row>
        <row r="998">
          <cell r="A998" t="str">
            <v>NOK_NIBOR_EOD</v>
          </cell>
          <cell r="F998">
            <v>0.99991667230866599</v>
          </cell>
        </row>
        <row r="999">
          <cell r="A999" t="str">
            <v>NOK_NIBOR_EOD</v>
          </cell>
          <cell r="F999">
            <v>0.99972811247856197</v>
          </cell>
        </row>
        <row r="1000">
          <cell r="A1000" t="str">
            <v>NOK_NIBOR_EOD</v>
          </cell>
          <cell r="F1000">
            <v>0.99907578352420001</v>
          </cell>
        </row>
        <row r="1001">
          <cell r="A1001" t="str">
            <v>NOK_NIBOR_EOD</v>
          </cell>
          <cell r="F1001">
            <v>0.99646877209919504</v>
          </cell>
        </row>
        <row r="1002">
          <cell r="A1002" t="str">
            <v>NOK_NIBOR_EOD</v>
          </cell>
          <cell r="F1002">
            <v>0.99429471907665301</v>
          </cell>
        </row>
        <row r="1003">
          <cell r="A1003" t="str">
            <v>NOK_NIBOR_EOD</v>
          </cell>
          <cell r="F1003">
            <v>0.99216102167962295</v>
          </cell>
        </row>
        <row r="1004">
          <cell r="A1004" t="str">
            <v>NOK_NIBOR_EOD</v>
          </cell>
          <cell r="F1004">
            <v>0.99020866027120102</v>
          </cell>
        </row>
        <row r="1005">
          <cell r="A1005" t="str">
            <v>NOK_NIBOR_EOD</v>
          </cell>
          <cell r="F1005">
            <v>0.98051709045300695</v>
          </cell>
        </row>
        <row r="1006">
          <cell r="A1006" t="str">
            <v>NOK_NIBOR_EOD</v>
          </cell>
          <cell r="F1006">
            <v>0.96887607872834203</v>
          </cell>
        </row>
        <row r="1007">
          <cell r="A1007" t="str">
            <v>NOK_NIBOR_EOD</v>
          </cell>
          <cell r="F1007">
            <v>0.953452071663069</v>
          </cell>
        </row>
        <row r="1008">
          <cell r="A1008" t="str">
            <v>NOK_NIBOR_EOD</v>
          </cell>
          <cell r="F1008">
            <v>0.93465029674366495</v>
          </cell>
        </row>
        <row r="1009">
          <cell r="A1009" t="str">
            <v>NOK_NIBOR_EOD</v>
          </cell>
          <cell r="F1009">
            <v>0.91336632415912899</v>
          </cell>
        </row>
        <row r="1010">
          <cell r="A1010" t="str">
            <v>NOK_NIBOR_EOD</v>
          </cell>
          <cell r="F1010">
            <v>0.89026404287000804</v>
          </cell>
        </row>
        <row r="1011">
          <cell r="A1011" t="str">
            <v>NOK_NIBOR_EOD</v>
          </cell>
          <cell r="F1011">
            <v>0.86675986658042203</v>
          </cell>
        </row>
        <row r="1012">
          <cell r="A1012" t="str">
            <v>NOK_NIBOR_EOD</v>
          </cell>
          <cell r="F1012">
            <v>0.84239881012156304</v>
          </cell>
        </row>
        <row r="1013">
          <cell r="A1013" t="str">
            <v>NOK_NIBOR_EOD</v>
          </cell>
          <cell r="F1013">
            <v>0.81835370383725303</v>
          </cell>
        </row>
        <row r="1014">
          <cell r="A1014" t="str">
            <v>NOK_NIBOR_EOD</v>
          </cell>
          <cell r="F1014">
            <v>0.77408447731795405</v>
          </cell>
        </row>
        <row r="1015">
          <cell r="A1015" t="str">
            <v>NOK_NIBOR_EOD</v>
          </cell>
          <cell r="F1015">
            <v>0.71448512152198196</v>
          </cell>
        </row>
        <row r="1016">
          <cell r="A1016" t="str">
            <v>NOK_NIBOR_EOD</v>
          </cell>
          <cell r="F1016">
            <v>0.63148827185516299</v>
          </cell>
        </row>
        <row r="1017">
          <cell r="A1017" t="str">
            <v>NOK_NIBOR_EOD</v>
          </cell>
          <cell r="F1017">
            <v>0.56096079936616505</v>
          </cell>
        </row>
        <row r="1018">
          <cell r="A1018" t="str">
            <v>NOK_NIBOR_EOD</v>
          </cell>
          <cell r="F1018">
            <v>0.50202160446583599</v>
          </cell>
        </row>
        <row r="1019">
          <cell r="A1019" t="str">
            <v>NZD_BKBM_EOD</v>
          </cell>
          <cell r="F1019">
            <v>0.99992466321030604</v>
          </cell>
        </row>
        <row r="1020">
          <cell r="A1020" t="str">
            <v>NZD_BKBM_EOD</v>
          </cell>
          <cell r="F1020">
            <v>0.99946792614417601</v>
          </cell>
        </row>
        <row r="1021">
          <cell r="A1021" t="str">
            <v>NZD_BKBM_EOD</v>
          </cell>
          <cell r="F1021">
            <v>0.99748578924355003</v>
          </cell>
        </row>
        <row r="1022">
          <cell r="A1022" t="str">
            <v>NZD_BKBM_EOD</v>
          </cell>
          <cell r="F1022">
            <v>0.995201628531585</v>
          </cell>
        </row>
        <row r="1023">
          <cell r="A1023" t="str">
            <v>NZD_BKBM_EOD</v>
          </cell>
          <cell r="F1023">
            <v>0.99275587398691301</v>
          </cell>
        </row>
        <row r="1024">
          <cell r="A1024" t="str">
            <v>NZD_BKBM_EOD</v>
          </cell>
          <cell r="F1024">
            <v>0.985527860872627</v>
          </cell>
        </row>
        <row r="1025">
          <cell r="A1025" t="str">
            <v>NZD_BKBM_EOD</v>
          </cell>
          <cell r="F1025">
            <v>0.97276523788522196</v>
          </cell>
        </row>
        <row r="1026">
          <cell r="A1026" t="str">
            <v>NZD_BKBM_EOD</v>
          </cell>
          <cell r="F1026">
            <v>0.94576609911453002</v>
          </cell>
        </row>
        <row r="1027">
          <cell r="A1027" t="str">
            <v>NZD_BKBM_EOD</v>
          </cell>
          <cell r="F1027">
            <v>0.917435668541422</v>
          </cell>
        </row>
        <row r="1028">
          <cell r="A1028" t="str">
            <v>NZD_BKBM_EOD</v>
          </cell>
          <cell r="F1028">
            <v>0.88701607914390801</v>
          </cell>
        </row>
        <row r="1029">
          <cell r="A1029" t="str">
            <v>NZD_BKBM_EOD</v>
          </cell>
          <cell r="F1029">
            <v>0.85428419670634304</v>
          </cell>
        </row>
        <row r="1030">
          <cell r="A1030" t="str">
            <v>NZD_BKBM_EOD</v>
          </cell>
          <cell r="F1030">
            <v>0.78696178611180501</v>
          </cell>
        </row>
        <row r="1031">
          <cell r="A1031" t="str">
            <v>NZD_BKBM_EOD</v>
          </cell>
          <cell r="F1031">
            <v>0.69061094197059503</v>
          </cell>
        </row>
        <row r="1032">
          <cell r="A1032" t="str">
            <v>NZD_BKBM_EOD</v>
          </cell>
          <cell r="F1032">
            <v>0.63337931711866402</v>
          </cell>
        </row>
        <row r="1033">
          <cell r="A1033" t="str">
            <v>NZD_BKBM_EOD</v>
          </cell>
          <cell r="F1033">
            <v>0.54996780700878301</v>
          </cell>
        </row>
        <row r="1034">
          <cell r="A1034" t="str">
            <v>NZD_BKBM_EOD</v>
          </cell>
          <cell r="F1034">
            <v>0.437688523962039</v>
          </cell>
        </row>
        <row r="1035">
          <cell r="A1035" t="str">
            <v>PLN_WIBOR_3M_EOD</v>
          </cell>
          <cell r="F1035">
            <v>0.99547004614581602</v>
          </cell>
        </row>
        <row r="1036">
          <cell r="A1036" t="str">
            <v>PLN_WIBOR_3M_EOD</v>
          </cell>
          <cell r="F1036">
            <v>0.99152060226659</v>
          </cell>
        </row>
        <row r="1037">
          <cell r="A1037" t="str">
            <v>PLN_WIBOR_3M_EOD</v>
          </cell>
          <cell r="F1037">
            <v>0.987996361499761</v>
          </cell>
        </row>
        <row r="1038">
          <cell r="A1038" t="str">
            <v>PLN_WIBOR_3M_EOD</v>
          </cell>
          <cell r="F1038">
            <v>0.98469117085618396</v>
          </cell>
        </row>
        <row r="1039">
          <cell r="A1039" t="str">
            <v>PLN_WIBOR_3M_EOD</v>
          </cell>
          <cell r="F1039">
            <v>0.97091262658757505</v>
          </cell>
        </row>
        <row r="1040">
          <cell r="A1040" t="str">
            <v>PLN_WIBOR_3M_EOD</v>
          </cell>
          <cell r="F1040">
            <v>0.95421366612925795</v>
          </cell>
        </row>
        <row r="1041">
          <cell r="A1041" t="str">
            <v>PLN_WIBOR_3M_EOD</v>
          </cell>
          <cell r="F1041">
            <v>0.93390392384197596</v>
          </cell>
        </row>
        <row r="1042">
          <cell r="A1042" t="str">
            <v>PLN_WIBOR_3M_EOD</v>
          </cell>
          <cell r="F1042">
            <v>0.911767410360529</v>
          </cell>
        </row>
        <row r="1043">
          <cell r="A1043" t="str">
            <v>PLN_WIBOR_3M_EOD</v>
          </cell>
          <cell r="F1043">
            <v>0.88742026971619203</v>
          </cell>
        </row>
        <row r="1044">
          <cell r="A1044" t="str">
            <v>PLN_WIBOR_3M_EOD</v>
          </cell>
          <cell r="F1044">
            <v>0.86212631947766305</v>
          </cell>
        </row>
        <row r="1045">
          <cell r="A1045" t="str">
            <v>PLN_WIBOR_3M_EOD</v>
          </cell>
          <cell r="F1045">
            <v>0.83626104871149298</v>
          </cell>
        </row>
        <row r="1046">
          <cell r="A1046" t="str">
            <v>PLN_WIBOR_3M_EOD</v>
          </cell>
          <cell r="F1046">
            <v>0.81000606822839605</v>
          </cell>
        </row>
        <row r="1047">
          <cell r="A1047" t="str">
            <v>PLN_WIBOR_3M_EOD</v>
          </cell>
          <cell r="F1047">
            <v>0.78492412228600394</v>
          </cell>
        </row>
        <row r="1048">
          <cell r="A1048" t="str">
            <v>PLN_WIBOR_3M_EOD</v>
          </cell>
          <cell r="F1048">
            <v>0.737961492124663</v>
          </cell>
        </row>
        <row r="1049">
          <cell r="A1049" t="str">
            <v>PLN_WIBOR_3M_EOD</v>
          </cell>
          <cell r="F1049">
            <v>0.67273706042539305</v>
          </cell>
        </row>
        <row r="1050">
          <cell r="A1050" t="str">
            <v>PLN_WIBOR_3M_EOD</v>
          </cell>
          <cell r="F1050">
            <v>0.586482302278168</v>
          </cell>
        </row>
        <row r="1051">
          <cell r="A1051" t="str">
            <v>PLN_WIBOR_3M_EOD</v>
          </cell>
          <cell r="F1051">
            <v>0.520073829216677</v>
          </cell>
        </row>
        <row r="1052">
          <cell r="A1052" t="str">
            <v>PLN_WIBOR_3M_EOD</v>
          </cell>
          <cell r="F1052">
            <v>0.46825910467642401</v>
          </cell>
        </row>
        <row r="1053">
          <cell r="A1053" t="str">
            <v>PLN_WIBOR_6M_EOD</v>
          </cell>
          <cell r="F1053">
            <v>0.99090988342867803</v>
          </cell>
        </row>
        <row r="1054">
          <cell r="A1054" t="str">
            <v>PLN_WIBOR_6M_EOD</v>
          </cell>
          <cell r="F1054">
            <v>0.98384514856587102</v>
          </cell>
        </row>
        <row r="1055">
          <cell r="A1055" t="str">
            <v>PLN_WIBOR_6M_EOD</v>
          </cell>
          <cell r="F1055">
            <v>0.97727850637191804</v>
          </cell>
        </row>
        <row r="1056">
          <cell r="A1056" t="str">
            <v>PLN_WIBOR_6M_EOD</v>
          </cell>
          <cell r="F1056">
            <v>0.97037871778567597</v>
          </cell>
        </row>
        <row r="1057">
          <cell r="A1057" t="str">
            <v>PLN_WIBOR_6M_EOD</v>
          </cell>
          <cell r="F1057">
            <v>0.95435810452567604</v>
          </cell>
        </row>
        <row r="1058">
          <cell r="A1058" t="str">
            <v>PLN_WIBOR_6M_EOD</v>
          </cell>
          <cell r="F1058">
            <v>0.93476478486163705</v>
          </cell>
        </row>
        <row r="1059">
          <cell r="A1059" t="str">
            <v>PLN_WIBOR_6M_EOD</v>
          </cell>
          <cell r="F1059">
            <v>0.91322938459137404</v>
          </cell>
        </row>
        <row r="1060">
          <cell r="A1060" t="str">
            <v>PLN_WIBOR_6M_EOD</v>
          </cell>
          <cell r="F1060">
            <v>0.88979500563706204</v>
          </cell>
        </row>
        <row r="1061">
          <cell r="A1061" t="str">
            <v>PLN_WIBOR_6M_EOD</v>
          </cell>
          <cell r="F1061">
            <v>0.86517765276770198</v>
          </cell>
        </row>
        <row r="1062">
          <cell r="A1062" t="str">
            <v>PLN_WIBOR_6M_EOD</v>
          </cell>
          <cell r="F1062">
            <v>0.83990864035137003</v>
          </cell>
        </row>
        <row r="1063">
          <cell r="A1063" t="str">
            <v>PLN_WIBOR_6M_EOD</v>
          </cell>
          <cell r="F1063">
            <v>0.81426452721256903</v>
          </cell>
        </row>
        <row r="1064">
          <cell r="A1064" t="str">
            <v>PLN_WIBOR_6M_EOD</v>
          </cell>
          <cell r="F1064">
            <v>0.78959669769245799</v>
          </cell>
        </row>
        <row r="1065">
          <cell r="A1065" t="str">
            <v>PLN_WIBOR_6M_EOD</v>
          </cell>
          <cell r="F1065">
            <v>0.74320691504138303</v>
          </cell>
        </row>
        <row r="1066">
          <cell r="A1066" t="str">
            <v>PLN_WIBOR_6M_EOD</v>
          </cell>
          <cell r="F1066">
            <v>0.67912609342288</v>
          </cell>
        </row>
        <row r="1067">
          <cell r="A1067" t="str">
            <v>PLN_WIBOR_6M_EOD</v>
          </cell>
          <cell r="F1067">
            <v>0.59413335543892098</v>
          </cell>
        </row>
        <row r="1068">
          <cell r="A1068" t="str">
            <v>PLN_WIBOR_6M_EOD</v>
          </cell>
          <cell r="F1068">
            <v>0.52853553163173195</v>
          </cell>
        </row>
        <row r="1069">
          <cell r="A1069" t="str">
            <v>PLN_WIBOR_6M_EOD</v>
          </cell>
          <cell r="F1069">
            <v>0.47716512183084703</v>
          </cell>
        </row>
        <row r="1070">
          <cell r="A1070" t="str">
            <v>PLN_WIBOR_EOD</v>
          </cell>
          <cell r="F1070">
            <v>0.99995904277345404</v>
          </cell>
        </row>
        <row r="1071">
          <cell r="A1071" t="str">
            <v>PLN_WIBOR_EOD</v>
          </cell>
          <cell r="F1071">
            <v>0.99983618619002701</v>
          </cell>
        </row>
        <row r="1072">
          <cell r="A1072" t="str">
            <v>PLN_WIBOR_EOD</v>
          </cell>
          <cell r="F1072">
            <v>0.99952373233287894</v>
          </cell>
        </row>
        <row r="1073">
          <cell r="A1073" t="str">
            <v>PLN_WIBOR_EOD</v>
          </cell>
          <cell r="F1073">
            <v>0.99846568944916703</v>
          </cell>
        </row>
        <row r="1074">
          <cell r="A1074" t="str">
            <v>PLN_WIBOR_EOD</v>
          </cell>
          <cell r="F1074">
            <v>0.99690959683521496</v>
          </cell>
        </row>
        <row r="1075">
          <cell r="A1075" t="str">
            <v>PLN_WIBOR_EOD</v>
          </cell>
          <cell r="F1075">
            <v>0.99549528128675102</v>
          </cell>
        </row>
        <row r="1076">
          <cell r="A1076" t="str">
            <v>PLN_WIBOR_EOD</v>
          </cell>
          <cell r="F1076">
            <v>0.99154573728921902</v>
          </cell>
        </row>
        <row r="1077">
          <cell r="A1077" t="str">
            <v>PLN_WIBOR_EOD</v>
          </cell>
          <cell r="F1077">
            <v>0.98802140718284304</v>
          </cell>
        </row>
        <row r="1078">
          <cell r="A1078" t="str">
            <v>PLN_WIBOR_EOD</v>
          </cell>
          <cell r="F1078">
            <v>0.98471613275274705</v>
          </cell>
        </row>
        <row r="1079">
          <cell r="A1079" t="str">
            <v>PLN_WIBOR_EOD</v>
          </cell>
          <cell r="F1079">
            <v>0.970395390914223</v>
          </cell>
        </row>
        <row r="1080">
          <cell r="A1080" t="str">
            <v>PLN_WIBOR_EOD</v>
          </cell>
          <cell r="F1080">
            <v>0.95437537632817404</v>
          </cell>
        </row>
        <row r="1081">
          <cell r="A1081" t="str">
            <v>PLN_WIBOR_EOD</v>
          </cell>
          <cell r="F1081">
            <v>0.93478140517679498</v>
          </cell>
        </row>
        <row r="1082">
          <cell r="A1082" t="str">
            <v>PLN_WIBOR_EOD</v>
          </cell>
          <cell r="F1082">
            <v>0.91324154584331796</v>
          </cell>
        </row>
        <row r="1083">
          <cell r="A1083" t="str">
            <v>PLN_WIBOR_EOD</v>
          </cell>
          <cell r="F1083">
            <v>0.88980511343120705</v>
          </cell>
        </row>
        <row r="1084">
          <cell r="A1084" t="str">
            <v>PLN_WIBOR_EOD</v>
          </cell>
          <cell r="F1084">
            <v>0.86518748896546904</v>
          </cell>
        </row>
        <row r="1085">
          <cell r="A1085" t="str">
            <v>PLN_WIBOR_EOD</v>
          </cell>
          <cell r="F1085">
            <v>0.83991818739724899</v>
          </cell>
        </row>
        <row r="1086">
          <cell r="A1086" t="str">
            <v>PLN_WIBOR_EOD</v>
          </cell>
          <cell r="F1086">
            <v>0.81427378187605304</v>
          </cell>
        </row>
        <row r="1087">
          <cell r="A1087" t="str">
            <v>PLN_WIBOR_EOD</v>
          </cell>
          <cell r="F1087">
            <v>0.78960450179253505</v>
          </cell>
        </row>
        <row r="1088">
          <cell r="A1088" t="str">
            <v>PLN_WIBOR_EOD</v>
          </cell>
          <cell r="F1088">
            <v>0.74321305698255002</v>
          </cell>
        </row>
        <row r="1089">
          <cell r="A1089" t="str">
            <v>PLN_WIBOR_EOD</v>
          </cell>
          <cell r="F1089">
            <v>0.67913171194571398</v>
          </cell>
        </row>
        <row r="1090">
          <cell r="A1090" t="str">
            <v>PLN_WIBOR_EOD</v>
          </cell>
          <cell r="F1090">
            <v>0.59413860850385303</v>
          </cell>
        </row>
        <row r="1091">
          <cell r="A1091" t="str">
            <v>PLN_WIBOR_EOD</v>
          </cell>
          <cell r="F1091">
            <v>0.52854029043442896</v>
          </cell>
        </row>
        <row r="1092">
          <cell r="A1092" t="str">
            <v>PLN_WIBOR_EOD</v>
          </cell>
          <cell r="F1092">
            <v>0.47716946931462301</v>
          </cell>
        </row>
        <row r="1093">
          <cell r="A1093" t="str">
            <v>SEK_STIBOR_3M_EOD</v>
          </cell>
          <cell r="F1093">
            <v>1.0009422017759699</v>
          </cell>
        </row>
        <row r="1094">
          <cell r="A1094" t="str">
            <v>SEK_STIBOR_3M_EOD</v>
          </cell>
          <cell r="F1094">
            <v>1.0012193960357301</v>
          </cell>
        </row>
        <row r="1095">
          <cell r="A1095" t="str">
            <v>SEK_STIBOR_3M_EOD</v>
          </cell>
          <cell r="F1095">
            <v>1.00211865834845</v>
          </cell>
        </row>
        <row r="1096">
          <cell r="A1096" t="str">
            <v>SEK_STIBOR_3M_EOD</v>
          </cell>
          <cell r="F1096">
            <v>1.00303336905695</v>
          </cell>
        </row>
        <row r="1097">
          <cell r="A1097" t="str">
            <v>SEK_STIBOR_3M_EOD</v>
          </cell>
          <cell r="F1097">
            <v>1.00375649196304</v>
          </cell>
        </row>
        <row r="1098">
          <cell r="A1098" t="str">
            <v>SEK_STIBOR_3M_EOD</v>
          </cell>
          <cell r="F1098">
            <v>1.00423685192387</v>
          </cell>
        </row>
        <row r="1099">
          <cell r="A1099" t="str">
            <v>SEK_STIBOR_3M_EOD</v>
          </cell>
          <cell r="F1099">
            <v>1.00452397836102</v>
          </cell>
        </row>
        <row r="1100">
          <cell r="A1100" t="str">
            <v>SEK_STIBOR_3M_EOD</v>
          </cell>
          <cell r="F1100">
            <v>1.00449858686896</v>
          </cell>
        </row>
        <row r="1101">
          <cell r="A1101" t="str">
            <v>SEK_STIBOR_3M_EOD</v>
          </cell>
          <cell r="F1101">
            <v>1.0041559186617199</v>
          </cell>
        </row>
        <row r="1102">
          <cell r="A1102" t="str">
            <v>SEK_STIBOR_3M_EOD</v>
          </cell>
          <cell r="F1102">
            <v>1.0002235508695401</v>
          </cell>
        </row>
        <row r="1103">
          <cell r="A1103" t="str">
            <v>SEK_STIBOR_3M_EOD</v>
          </cell>
          <cell r="F1103">
            <v>0.99038303510812997</v>
          </cell>
        </row>
        <row r="1104">
          <cell r="A1104" t="str">
            <v>SEK_STIBOR_3M_EOD</v>
          </cell>
          <cell r="F1104">
            <v>0.97470840241693402</v>
          </cell>
        </row>
        <row r="1105">
          <cell r="A1105" t="str">
            <v>SEK_STIBOR_3M_EOD</v>
          </cell>
          <cell r="F1105">
            <v>0.95485298025432797</v>
          </cell>
        </row>
        <row r="1106">
          <cell r="A1106" t="str">
            <v>SEK_STIBOR_3M_EOD</v>
          </cell>
          <cell r="F1106">
            <v>0.93230825027487296</v>
          </cell>
        </row>
        <row r="1107">
          <cell r="A1107" t="str">
            <v>SEK_STIBOR_3M_EOD</v>
          </cell>
          <cell r="F1107">
            <v>0.90843106663300399</v>
          </cell>
        </row>
        <row r="1108">
          <cell r="A1108" t="str">
            <v>SEK_STIBOR_3M_EOD</v>
          </cell>
          <cell r="F1108">
            <v>0.88366672227139698</v>
          </cell>
        </row>
        <row r="1109">
          <cell r="A1109" t="str">
            <v>SEK_STIBOR_3M_EOD</v>
          </cell>
          <cell r="F1109">
            <v>0.85885592825934998</v>
          </cell>
        </row>
        <row r="1110">
          <cell r="A1110" t="str">
            <v>SEK_STIBOR_3M_EOD</v>
          </cell>
          <cell r="F1110">
            <v>0.80822144704769805</v>
          </cell>
        </row>
        <row r="1111">
          <cell r="A1111" t="str">
            <v>SEK_STIBOR_3M_EOD</v>
          </cell>
          <cell r="F1111">
            <v>0.73410401384595803</v>
          </cell>
        </row>
        <row r="1112">
          <cell r="A1112" t="str">
            <v>SEK_STIBOR_3M_EOD</v>
          </cell>
          <cell r="F1112">
            <v>0.62502723197374999</v>
          </cell>
        </row>
        <row r="1113">
          <cell r="A1113" t="str">
            <v>SEK_STIBOR_3M_EOD</v>
          </cell>
          <cell r="F1113">
            <v>0.54192080832033396</v>
          </cell>
        </row>
        <row r="1114">
          <cell r="A1114" t="str">
            <v>SEK_STIBOR_3M_EOD</v>
          </cell>
          <cell r="F1114">
            <v>0.47848310901593799</v>
          </cell>
        </row>
        <row r="1115">
          <cell r="A1115" t="str">
            <v>SEK_STIBOR_6M_EOD</v>
          </cell>
          <cell r="F1115">
            <v>1.0011845531143999</v>
          </cell>
        </row>
        <row r="1116">
          <cell r="A1116" t="str">
            <v>SEK_STIBOR_6M_EOD</v>
          </cell>
          <cell r="F1116">
            <v>1.0023585277113001</v>
          </cell>
        </row>
        <row r="1117">
          <cell r="A1117" t="str">
            <v>SEK_STIBOR_6M_EOD</v>
          </cell>
          <cell r="F1117">
            <v>1.0021396415237001</v>
          </cell>
        </row>
        <row r="1118">
          <cell r="A1118" t="str">
            <v>SEK_STIBOR_6M_EOD</v>
          </cell>
          <cell r="F1118">
            <v>0.99711584262655095</v>
          </cell>
        </row>
        <row r="1119">
          <cell r="A1119" t="str">
            <v>SEK_STIBOR_6M_EOD</v>
          </cell>
          <cell r="F1119">
            <v>0.98632855510300199</v>
          </cell>
        </row>
        <row r="1120">
          <cell r="A1120" t="str">
            <v>SEK_STIBOR_6M_EOD</v>
          </cell>
          <cell r="F1120">
            <v>0.96979041354267403</v>
          </cell>
        </row>
        <row r="1121">
          <cell r="A1121" t="str">
            <v>SEK_STIBOR_6M_EOD</v>
          </cell>
          <cell r="F1121">
            <v>0.94913709407259705</v>
          </cell>
        </row>
        <row r="1122">
          <cell r="A1122" t="str">
            <v>SEK_STIBOR_6M_EOD</v>
          </cell>
          <cell r="F1122">
            <v>0.92586776659131598</v>
          </cell>
        </row>
        <row r="1123">
          <cell r="A1123" t="str">
            <v>SEK_STIBOR_6M_EOD</v>
          </cell>
          <cell r="F1123">
            <v>0.90132038696295702</v>
          </cell>
        </row>
        <row r="1124">
          <cell r="A1124" t="str">
            <v>SEK_STIBOR_6M_EOD</v>
          </cell>
          <cell r="F1124">
            <v>0.87594614530095105</v>
          </cell>
        </row>
        <row r="1125">
          <cell r="A1125" t="str">
            <v>SEK_STIBOR_6M_EOD</v>
          </cell>
          <cell r="F1125">
            <v>0.85061854100927103</v>
          </cell>
        </row>
        <row r="1126">
          <cell r="A1126" t="str">
            <v>SEK_STIBOR_6M_EOD</v>
          </cell>
          <cell r="F1126">
            <v>0.79928968707958403</v>
          </cell>
        </row>
        <row r="1127">
          <cell r="A1127" t="str">
            <v>SEK_STIBOR_6M_EOD</v>
          </cell>
          <cell r="F1127">
            <v>0.72488990921331997</v>
          </cell>
        </row>
        <row r="1128">
          <cell r="A1128" t="str">
            <v>SEK_STIBOR_6M_EOD</v>
          </cell>
          <cell r="F1128">
            <v>0.61608121291013296</v>
          </cell>
        </row>
        <row r="1129">
          <cell r="A1129" t="str">
            <v>SEK_STIBOR_6M_EOD</v>
          </cell>
          <cell r="F1129">
            <v>0.53336901545262405</v>
          </cell>
        </row>
        <row r="1130">
          <cell r="A1130" t="str">
            <v>SEK_STIBOR_6M_EOD</v>
          </cell>
          <cell r="F1130">
            <v>0.47040864722113201</v>
          </cell>
        </row>
        <row r="1131">
          <cell r="A1131" t="str">
            <v>SEK_STIBOR_EOD</v>
          </cell>
          <cell r="F1131">
            <v>1.0000067222674101</v>
          </cell>
        </row>
        <row r="1132">
          <cell r="A1132" t="str">
            <v>SEK_STIBOR_EOD</v>
          </cell>
          <cell r="F1132">
            <v>1.00002688947635</v>
          </cell>
        </row>
        <row r="1133">
          <cell r="A1133" t="str">
            <v>SEK_STIBOR_EOD</v>
          </cell>
          <cell r="F1133">
            <v>1.0000780323557299</v>
          </cell>
        </row>
        <row r="1134">
          <cell r="A1134" t="str">
            <v>SEK_STIBOR_EOD</v>
          </cell>
          <cell r="F1134">
            <v>1.00029780346479</v>
          </cell>
        </row>
        <row r="1135">
          <cell r="A1135" t="str">
            <v>SEK_STIBOR_EOD</v>
          </cell>
          <cell r="F1135">
            <v>1.0011835728201799</v>
          </cell>
        </row>
        <row r="1136">
          <cell r="A1136" t="str">
            <v>SEK_STIBOR_EOD</v>
          </cell>
          <cell r="F1136">
            <v>1.00208280295767</v>
          </cell>
        </row>
        <row r="1137">
          <cell r="A1137" t="str">
            <v>SEK_STIBOR_EOD</v>
          </cell>
          <cell r="F1137">
            <v>1.0029974809382101</v>
          </cell>
        </row>
        <row r="1138">
          <cell r="A1138" t="str">
            <v>SEK_STIBOR_EOD</v>
          </cell>
          <cell r="F1138">
            <v>1.0037205779712499</v>
          </cell>
        </row>
        <row r="1139">
          <cell r="A1139" t="str">
            <v>SEK_STIBOR_EOD</v>
          </cell>
          <cell r="F1139">
            <v>1.00420092074501</v>
          </cell>
        </row>
        <row r="1140">
          <cell r="A1140" t="str">
            <v>SEK_STIBOR_EOD</v>
          </cell>
          <cell r="F1140">
            <v>1.00448803690889</v>
          </cell>
        </row>
        <row r="1141">
          <cell r="A1141" t="str">
            <v>SEK_STIBOR_EOD</v>
          </cell>
          <cell r="F1141">
            <v>1.0044626463253301</v>
          </cell>
        </row>
        <row r="1142">
          <cell r="A1142" t="str">
            <v>SEK_STIBOR_EOD</v>
          </cell>
          <cell r="F1142">
            <v>1.00411999037862</v>
          </cell>
        </row>
        <row r="1143">
          <cell r="A1143" t="str">
            <v>SEK_STIBOR_EOD</v>
          </cell>
          <cell r="F1143">
            <v>1.0002111269513301</v>
          </cell>
        </row>
        <row r="1144">
          <cell r="A1144" t="str">
            <v>SEK_STIBOR_EOD</v>
          </cell>
          <cell r="F1144">
            <v>0.99036266062262002</v>
          </cell>
        </row>
        <row r="1145">
          <cell r="A1145" t="str">
            <v>SEK_STIBOR_EOD</v>
          </cell>
          <cell r="F1145">
            <v>0.97468277284147498</v>
          </cell>
        </row>
        <row r="1146">
          <cell r="A1146" t="str">
            <v>SEK_STIBOR_EOD</v>
          </cell>
          <cell r="F1146">
            <v>0.95482651598396795</v>
          </cell>
        </row>
        <row r="1147">
          <cell r="A1147" t="str">
            <v>SEK_STIBOR_EOD</v>
          </cell>
          <cell r="F1147">
            <v>0.93228241203620998</v>
          </cell>
        </row>
        <row r="1148">
          <cell r="A1148" t="str">
            <v>SEK_STIBOR_EOD</v>
          </cell>
          <cell r="F1148">
            <v>0.90840589083702294</v>
          </cell>
        </row>
        <row r="1149">
          <cell r="A1149" t="str">
            <v>SEK_STIBOR_EOD</v>
          </cell>
          <cell r="F1149">
            <v>0.883642228471471</v>
          </cell>
        </row>
        <row r="1150">
          <cell r="A1150" t="str">
            <v>SEK_STIBOR_EOD</v>
          </cell>
          <cell r="F1150">
            <v>0.85882919394997104</v>
          </cell>
        </row>
        <row r="1151">
          <cell r="A1151" t="str">
            <v>SEK_STIBOR_EOD</v>
          </cell>
          <cell r="F1151">
            <v>0.80819406566749397</v>
          </cell>
        </row>
        <row r="1152">
          <cell r="A1152" t="str">
            <v>SEK_STIBOR_EOD</v>
          </cell>
          <cell r="F1152">
            <v>0.73407785913407098</v>
          </cell>
        </row>
        <row r="1153">
          <cell r="A1153" t="str">
            <v>SEK_STIBOR_EOD</v>
          </cell>
          <cell r="F1153">
            <v>0.62500317228693802</v>
          </cell>
        </row>
        <row r="1154">
          <cell r="A1154" t="str">
            <v>SEK_STIBOR_EOD</v>
          </cell>
          <cell r="F1154">
            <v>0.54190003988492497</v>
          </cell>
        </row>
        <row r="1155">
          <cell r="A1155" t="str">
            <v>SEK_STIBOR_EOD</v>
          </cell>
          <cell r="F1155">
            <v>0.478464699948425</v>
          </cell>
        </row>
        <row r="1156">
          <cell r="A1156" t="str">
            <v>SGD_SOR_3M_EOD</v>
          </cell>
          <cell r="F1156">
            <v>0.99613755231841195</v>
          </cell>
        </row>
        <row r="1157">
          <cell r="A1157" t="str">
            <v>SGD_SOR_3M_EOD</v>
          </cell>
          <cell r="F1157">
            <v>0.99244240375211301</v>
          </cell>
        </row>
        <row r="1158">
          <cell r="A1158" t="str">
            <v>SGD_SOR_3M_EOD</v>
          </cell>
          <cell r="F1158">
            <v>0.98853053115157696</v>
          </cell>
        </row>
        <row r="1159">
          <cell r="A1159" t="str">
            <v>SGD_SOR_3M_EOD</v>
          </cell>
          <cell r="F1159">
            <v>0.98452284882613395</v>
          </cell>
        </row>
        <row r="1160">
          <cell r="A1160" t="str">
            <v>SGD_SOR_3M_EOD</v>
          </cell>
          <cell r="F1160">
            <v>0.962924322526162</v>
          </cell>
        </row>
        <row r="1161">
          <cell r="A1161" t="str">
            <v>SGD_SOR_3M_EOD</v>
          </cell>
          <cell r="F1161">
            <v>0.93697001846518901</v>
          </cell>
        </row>
        <row r="1162">
          <cell r="A1162" t="str">
            <v>SGD_SOR_3M_EOD</v>
          </cell>
          <cell r="F1162">
            <v>0.90841695824541602</v>
          </cell>
        </row>
        <row r="1163">
          <cell r="A1163" t="str">
            <v>SGD_SOR_3M_EOD</v>
          </cell>
          <cell r="F1163">
            <v>0.87962432199920704</v>
          </cell>
        </row>
        <row r="1164">
          <cell r="A1164" t="str">
            <v>SGD_SOR_3M_EOD</v>
          </cell>
          <cell r="F1164">
            <v>0.82107140753694596</v>
          </cell>
        </row>
        <row r="1165">
          <cell r="A1165" t="str">
            <v>SGD_SOR_3M_EOD</v>
          </cell>
          <cell r="F1165">
            <v>0.73743673142163801</v>
          </cell>
        </row>
        <row r="1166">
          <cell r="A1166" t="str">
            <v>SGD_SOR_3M_EOD</v>
          </cell>
          <cell r="F1166">
            <v>0.68658180055047202</v>
          </cell>
        </row>
        <row r="1167">
          <cell r="A1167" t="str">
            <v>SGD_SOR_3M_EOD</v>
          </cell>
          <cell r="F1167">
            <v>0.61607356722631101</v>
          </cell>
        </row>
        <row r="1168">
          <cell r="A1168" t="str">
            <v>SGD_SOR_3M_EOD</v>
          </cell>
          <cell r="F1168">
            <v>0.51879967597496102</v>
          </cell>
        </row>
        <row r="1169">
          <cell r="A1169" t="str">
            <v>SGD_SOR_3M_EOD</v>
          </cell>
          <cell r="F1169">
            <v>0.43566735534338502</v>
          </cell>
        </row>
        <row r="1170">
          <cell r="A1170" t="str">
            <v>SGD_SOR_3M_EOD</v>
          </cell>
          <cell r="F1170">
            <v>0.363577170156065</v>
          </cell>
        </row>
        <row r="1171">
          <cell r="A1171" t="str">
            <v>SGD_SOR_3M_EOD</v>
          </cell>
          <cell r="F1171">
            <v>0.259720877135592</v>
          </cell>
        </row>
        <row r="1172">
          <cell r="A1172" t="str">
            <v>SGD_SOR_6M_EOD</v>
          </cell>
          <cell r="F1172">
            <v>0.99191467291890401</v>
          </cell>
        </row>
        <row r="1173">
          <cell r="A1173" t="str">
            <v>SGD_SOR_6M_EOD</v>
          </cell>
          <cell r="F1173">
            <v>0.98372970593086895</v>
          </cell>
        </row>
        <row r="1174">
          <cell r="A1174" t="str">
            <v>SGD_SOR_6M_EOD</v>
          </cell>
          <cell r="F1174">
            <v>0.96222236860365895</v>
          </cell>
        </row>
        <row r="1175">
          <cell r="A1175" t="str">
            <v>SGD_SOR_6M_EOD</v>
          </cell>
          <cell r="F1175">
            <v>0.93656902385866503</v>
          </cell>
        </row>
        <row r="1176">
          <cell r="A1176" t="str">
            <v>SGD_SOR_6M_EOD</v>
          </cell>
          <cell r="F1176">
            <v>0.908285445862547</v>
          </cell>
        </row>
        <row r="1177">
          <cell r="A1177" t="str">
            <v>SGD_SOR_6M_EOD</v>
          </cell>
          <cell r="F1177">
            <v>0.87969390051863905</v>
          </cell>
        </row>
        <row r="1178">
          <cell r="A1178" t="str">
            <v>SGD_SOR_6M_EOD</v>
          </cell>
          <cell r="F1178">
            <v>0.82115274761566204</v>
          </cell>
        </row>
        <row r="1179">
          <cell r="A1179" t="str">
            <v>SGD_SOR_6M_EOD</v>
          </cell>
          <cell r="F1179">
            <v>0.737526460722711</v>
          </cell>
        </row>
        <row r="1180">
          <cell r="A1180" t="str">
            <v>SGD_SOR_6M_EOD</v>
          </cell>
          <cell r="F1180">
            <v>0.68609563435301801</v>
          </cell>
        </row>
        <row r="1181">
          <cell r="A1181" t="str">
            <v>SGD_SOR_6M_EOD</v>
          </cell>
          <cell r="F1181">
            <v>0.61555285066295795</v>
          </cell>
        </row>
        <row r="1182">
          <cell r="A1182" t="str">
            <v>SGD_SOR_6M_EOD</v>
          </cell>
          <cell r="F1182">
            <v>0.51821229032713401</v>
          </cell>
        </row>
        <row r="1183">
          <cell r="A1183" t="str">
            <v>SGD_SOR_6M_EOD</v>
          </cell>
          <cell r="F1183">
            <v>0.36318428241825301</v>
          </cell>
        </row>
        <row r="1184">
          <cell r="A1184" t="str">
            <v>SGD_SOR_6M_EOD</v>
          </cell>
          <cell r="F1184">
            <v>0.259241590563762</v>
          </cell>
        </row>
        <row r="1185">
          <cell r="A1185" t="str">
            <v>SGD_SOR_EOD</v>
          </cell>
          <cell r="F1185">
            <v>0.99998041408224603</v>
          </cell>
        </row>
        <row r="1186">
          <cell r="A1186" t="str">
            <v>SGD_SOR_EOD</v>
          </cell>
          <cell r="F1186">
            <v>0.99992165978132097</v>
          </cell>
        </row>
        <row r="1187">
          <cell r="A1187" t="str">
            <v>SGD_SOR_EOD</v>
          </cell>
          <cell r="F1187">
            <v>0.99975959026063099</v>
          </cell>
        </row>
        <row r="1188">
          <cell r="A1188" t="str">
            <v>SGD_SOR_EOD</v>
          </cell>
          <cell r="F1188">
            <v>0.99881743016970603</v>
          </cell>
        </row>
        <row r="1189">
          <cell r="A1189" t="str">
            <v>SGD_SOR_EOD</v>
          </cell>
          <cell r="F1189">
            <v>0.99749476403886095</v>
          </cell>
        </row>
        <row r="1190">
          <cell r="A1190" t="str">
            <v>SGD_SOR_EOD</v>
          </cell>
          <cell r="F1190">
            <v>0.99622013916816798</v>
          </cell>
        </row>
        <row r="1191">
          <cell r="A1191" t="str">
            <v>SGD_SOR_EOD</v>
          </cell>
          <cell r="F1191">
            <v>0.99201014082580197</v>
          </cell>
        </row>
        <row r="1192">
          <cell r="A1192" t="str">
            <v>SGD_SOR_EOD</v>
          </cell>
          <cell r="F1192">
            <v>0.98382438606671396</v>
          </cell>
        </row>
        <row r="1193">
          <cell r="A1193" t="str">
            <v>SGD_SOR_EOD</v>
          </cell>
          <cell r="F1193">
            <v>0.96231431309266902</v>
          </cell>
        </row>
        <row r="1194">
          <cell r="A1194" t="str">
            <v>SGD_SOR_EOD</v>
          </cell>
          <cell r="F1194">
            <v>0.93665874112146796</v>
          </cell>
        </row>
        <row r="1195">
          <cell r="A1195" t="str">
            <v>SGD_SOR_EOD</v>
          </cell>
          <cell r="F1195">
            <v>0.90837238132710396</v>
          </cell>
        </row>
        <row r="1196">
          <cell r="A1196" t="str">
            <v>SGD_SOR_EOD</v>
          </cell>
          <cell r="F1196">
            <v>0.87977459381803402</v>
          </cell>
        </row>
        <row r="1197">
          <cell r="A1197" t="str">
            <v>SGD_SOR_EOD</v>
          </cell>
          <cell r="F1197">
            <v>0.82122570504883796</v>
          </cell>
        </row>
        <row r="1198">
          <cell r="A1198" t="str">
            <v>SGD_SOR_EOD</v>
          </cell>
          <cell r="F1198">
            <v>0.73758973830976204</v>
          </cell>
        </row>
        <row r="1199">
          <cell r="A1199" t="str">
            <v>SGD_SOR_EOD</v>
          </cell>
          <cell r="F1199">
            <v>0.68615198573076397</v>
          </cell>
        </row>
        <row r="1200">
          <cell r="A1200" t="str">
            <v>SGD_SOR_EOD</v>
          </cell>
          <cell r="F1200">
            <v>0.61560196788481203</v>
          </cell>
        </row>
        <row r="1201">
          <cell r="A1201" t="str">
            <v>SGD_SOR_EOD</v>
          </cell>
          <cell r="F1201">
            <v>0.51826937445031296</v>
          </cell>
        </row>
        <row r="1202">
          <cell r="A1202" t="str">
            <v>SGD_SOR_EOD</v>
          </cell>
          <cell r="F1202">
            <v>0.43511402777451902</v>
          </cell>
        </row>
        <row r="1203">
          <cell r="A1203" t="str">
            <v>SGD_SOR_EOD</v>
          </cell>
          <cell r="F1203">
            <v>0.36302327162523301</v>
          </cell>
        </row>
        <row r="1204">
          <cell r="A1204" t="str">
            <v>SGD_SOR_EOD</v>
          </cell>
          <cell r="F1204">
            <v>0.25919615271142299</v>
          </cell>
        </row>
        <row r="1205">
          <cell r="A1205" t="str">
            <v>USD_FEDFUND_EOD</v>
          </cell>
          <cell r="F1205">
            <v>0.99999666667777798</v>
          </cell>
        </row>
        <row r="1206">
          <cell r="A1206" t="str">
            <v>USD_FEDFUND_EOD</v>
          </cell>
          <cell r="F1206">
            <v>0.99998666681111004</v>
          </cell>
        </row>
        <row r="1207">
          <cell r="A1207" t="str">
            <v>USD_FEDFUND_EOD</v>
          </cell>
          <cell r="F1207">
            <v>0.99996163304939301</v>
          </cell>
        </row>
        <row r="1208">
          <cell r="A1208" t="str">
            <v>USD_FEDFUND_EOD</v>
          </cell>
          <cell r="F1208">
            <v>0.99993844755708305</v>
          </cell>
        </row>
        <row r="1209">
          <cell r="A1209" t="str">
            <v>USD_FEDFUND_EOD</v>
          </cell>
          <cell r="F1209">
            <v>0.99991273576320905</v>
          </cell>
        </row>
        <row r="1210">
          <cell r="A1210" t="str">
            <v>USD_FEDFUND_EOD</v>
          </cell>
          <cell r="F1210">
            <v>0.99987917979928098</v>
          </cell>
        </row>
        <row r="1211">
          <cell r="A1211" t="str">
            <v>USD_FEDFUND_EOD</v>
          </cell>
          <cell r="F1211">
            <v>0.99961411221754004</v>
          </cell>
        </row>
        <row r="1212">
          <cell r="A1212" t="str">
            <v>USD_FEDFUND_EOD</v>
          </cell>
          <cell r="F1212">
            <v>0.99937307950065901</v>
          </cell>
        </row>
        <row r="1213">
          <cell r="A1213" t="str">
            <v>USD_FEDFUND_EOD</v>
          </cell>
          <cell r="F1213">
            <v>0.999133013115443</v>
          </cell>
        </row>
        <row r="1214">
          <cell r="A1214" t="str">
            <v>USD_FEDFUND_EOD</v>
          </cell>
          <cell r="F1214">
            <v>0.99875406557834401</v>
          </cell>
        </row>
        <row r="1215">
          <cell r="A1215" t="str">
            <v>USD_FEDFUND_EOD</v>
          </cell>
          <cell r="F1215">
            <v>0.99838601137161398</v>
          </cell>
        </row>
        <row r="1216">
          <cell r="A1216" t="str">
            <v>USD_FEDFUND_EOD</v>
          </cell>
          <cell r="F1216">
            <v>0.99795107531458904</v>
          </cell>
        </row>
        <row r="1217">
          <cell r="A1217" t="str">
            <v>USD_FEDFUND_EOD</v>
          </cell>
          <cell r="F1217">
            <v>0.997467351745151</v>
          </cell>
        </row>
        <row r="1218">
          <cell r="A1218" t="str">
            <v>USD_FEDFUND_EOD</v>
          </cell>
          <cell r="F1218">
            <v>0.996975711542189</v>
          </cell>
        </row>
        <row r="1219">
          <cell r="A1219" t="str">
            <v>USD_FEDFUND_EOD</v>
          </cell>
          <cell r="F1219">
            <v>0.99643258552930702</v>
          </cell>
        </row>
        <row r="1220">
          <cell r="A1220" t="str">
            <v>USD_FEDFUND_EOD</v>
          </cell>
          <cell r="F1220">
            <v>0.995812772894903</v>
          </cell>
        </row>
        <row r="1221">
          <cell r="A1221" t="str">
            <v>USD_FEDFUND_EOD</v>
          </cell>
          <cell r="F1221">
            <v>0.99523917688951102</v>
          </cell>
        </row>
        <row r="1222">
          <cell r="A1222" t="str">
            <v>USD_FEDFUND_EOD</v>
          </cell>
          <cell r="F1222">
            <v>0.99059043672199898</v>
          </cell>
        </row>
        <row r="1223">
          <cell r="A1223" t="str">
            <v>USD_FEDFUND_EOD</v>
          </cell>
          <cell r="F1223">
            <v>0.98438968269204496</v>
          </cell>
        </row>
        <row r="1224">
          <cell r="A1224" t="str">
            <v>USD_FEDFUND_EOD</v>
          </cell>
          <cell r="F1224">
            <v>0.96869704052747396</v>
          </cell>
        </row>
        <row r="1225">
          <cell r="A1225" t="str">
            <v>USD_FEDFUND_EOD</v>
          </cell>
          <cell r="F1225">
            <v>0.95024201716431</v>
          </cell>
        </row>
        <row r="1226">
          <cell r="A1226" t="str">
            <v>USD_FEDFUND_EOD</v>
          </cell>
          <cell r="F1226">
            <v>0.930131150438822</v>
          </cell>
        </row>
        <row r="1227">
          <cell r="A1227" t="str">
            <v>USD_FEDFUND_EOD</v>
          </cell>
          <cell r="F1227">
            <v>0.90855082270079202</v>
          </cell>
        </row>
        <row r="1228">
          <cell r="A1228" t="str">
            <v>USD_FEDFUND_EOD</v>
          </cell>
          <cell r="F1228">
            <v>0.88618193945200296</v>
          </cell>
        </row>
        <row r="1229">
          <cell r="A1229" t="str">
            <v>USD_FEDFUND_EOD</v>
          </cell>
          <cell r="F1229">
            <v>0.863766044701611</v>
          </cell>
        </row>
        <row r="1230">
          <cell r="A1230" t="str">
            <v>USD_FEDFUND_EOD</v>
          </cell>
          <cell r="F1230">
            <v>0.84111260372872398</v>
          </cell>
        </row>
        <row r="1231">
          <cell r="A1231" t="str">
            <v>USD_FEDFUND_EOD</v>
          </cell>
          <cell r="F1231">
            <v>0.818866289038785</v>
          </cell>
        </row>
        <row r="1232">
          <cell r="A1232" t="str">
            <v>USD_FEDFUND_EOD</v>
          </cell>
          <cell r="F1232">
            <v>0.77429178420254197</v>
          </cell>
        </row>
        <row r="1233">
          <cell r="A1233" t="str">
            <v>USD_FEDFUND_EOD</v>
          </cell>
          <cell r="F1233">
            <v>0.71244951287438296</v>
          </cell>
        </row>
        <row r="1234">
          <cell r="A1234" t="str">
            <v>USD_FEDFUND_EOD</v>
          </cell>
          <cell r="F1234">
            <v>0.62105605886096305</v>
          </cell>
        </row>
        <row r="1235">
          <cell r="A1235" t="str">
            <v>USD_FEDFUND_EOD</v>
          </cell>
          <cell r="F1235">
            <v>0.54287536448954998</v>
          </cell>
        </row>
        <row r="1236">
          <cell r="A1236" t="str">
            <v>USD_FEDFUND_EOD</v>
          </cell>
          <cell r="F1236">
            <v>0.47680041936935103</v>
          </cell>
        </row>
        <row r="1237">
          <cell r="A1237" t="str">
            <v>USD_FEDFUND_EOD</v>
          </cell>
          <cell r="F1237">
            <v>0.37068570862656097</v>
          </cell>
        </row>
        <row r="1238">
          <cell r="A1238" t="str">
            <v>USD_FEDFUND_EOD</v>
          </cell>
          <cell r="F1238">
            <v>0.29532400323798502</v>
          </cell>
        </row>
        <row r="1239">
          <cell r="A1239" t="str">
            <v>USD_FEDFUND_EOD</v>
          </cell>
          <cell r="F1239">
            <v>0.24019776588244701</v>
          </cell>
        </row>
        <row r="1240">
          <cell r="A1240" t="str">
            <v>USD_LIBOR_12M_EOD</v>
          </cell>
          <cell r="F1240">
            <v>0.99050545977315196</v>
          </cell>
        </row>
        <row r="1241">
          <cell r="A1241" t="str">
            <v>USD_LIBOR_12M_EOD</v>
          </cell>
          <cell r="F1241">
            <v>0.98965088877408802</v>
          </cell>
        </row>
        <row r="1242">
          <cell r="A1242" t="str">
            <v>USD_LIBOR_12M_EOD</v>
          </cell>
          <cell r="F1242">
            <v>0.98843782892220999</v>
          </cell>
        </row>
        <row r="1243">
          <cell r="A1243" t="str">
            <v>USD_LIBOR_12M_EOD</v>
          </cell>
          <cell r="F1243">
            <v>0.98727971534876002</v>
          </cell>
        </row>
        <row r="1244">
          <cell r="A1244" t="str">
            <v>USD_LIBOR_12M_EOD</v>
          </cell>
          <cell r="F1244">
            <v>0.98605492969111797</v>
          </cell>
        </row>
        <row r="1245">
          <cell r="A1245" t="str">
            <v>USD_LIBOR_12M_EOD</v>
          </cell>
          <cell r="F1245">
            <v>0.98464698492161096</v>
          </cell>
        </row>
        <row r="1246">
          <cell r="A1246" t="str">
            <v>USD_LIBOR_12M_EOD</v>
          </cell>
          <cell r="F1246">
            <v>0.98337596891970303</v>
          </cell>
        </row>
        <row r="1247">
          <cell r="A1247" t="str">
            <v>USD_LIBOR_12M_EOD</v>
          </cell>
          <cell r="F1247">
            <v>0.98186729045747401</v>
          </cell>
        </row>
        <row r="1248">
          <cell r="A1248" t="str">
            <v>USD_LIBOR_12M_EOD</v>
          </cell>
          <cell r="F1248">
            <v>0.98052531875689797</v>
          </cell>
        </row>
        <row r="1249">
          <cell r="A1249" t="str">
            <v>USD_LIBOR_12M_EOD</v>
          </cell>
          <cell r="F1249">
            <v>0.97941728051098298</v>
          </cell>
        </row>
        <row r="1250">
          <cell r="A1250" t="str">
            <v>USD_LIBOR_12M_EOD</v>
          </cell>
          <cell r="F1250">
            <v>0.97782962923254502</v>
          </cell>
        </row>
        <row r="1251">
          <cell r="A1251" t="str">
            <v>USD_LIBOR_12M_EOD</v>
          </cell>
          <cell r="F1251">
            <v>0.97665634923357203</v>
          </cell>
        </row>
        <row r="1252">
          <cell r="A1252" t="str">
            <v>USD_LIBOR_12M_EOD</v>
          </cell>
          <cell r="F1252">
            <v>0.97482723218654599</v>
          </cell>
        </row>
        <row r="1253">
          <cell r="A1253" t="str">
            <v>USD_LIBOR_12M_EOD</v>
          </cell>
          <cell r="F1253">
            <v>0.95448376806786495</v>
          </cell>
        </row>
        <row r="1254">
          <cell r="A1254" t="str">
            <v>USD_LIBOR_12M_EOD</v>
          </cell>
          <cell r="F1254">
            <v>0.93131874641193102</v>
          </cell>
        </row>
        <row r="1255">
          <cell r="A1255" t="str">
            <v>USD_LIBOR_12M_EOD</v>
          </cell>
          <cell r="F1255">
            <v>0.90683381465224799</v>
          </cell>
        </row>
        <row r="1256">
          <cell r="A1256" t="str">
            <v>USD_LIBOR_12M_EOD</v>
          </cell>
          <cell r="F1256">
            <v>0.881460042020074</v>
          </cell>
        </row>
        <row r="1257">
          <cell r="A1257" t="str">
            <v>USD_LIBOR_12M_EOD</v>
          </cell>
          <cell r="F1257">
            <v>0.85562611001950895</v>
          </cell>
        </row>
        <row r="1258">
          <cell r="A1258" t="str">
            <v>USD_LIBOR_12M_EOD</v>
          </cell>
          <cell r="F1258">
            <v>0.82985317017738902</v>
          </cell>
        </row>
        <row r="1259">
          <cell r="A1259" t="str">
            <v>USD_LIBOR_12M_EOD</v>
          </cell>
          <cell r="F1259">
            <v>0.80406584385838797</v>
          </cell>
        </row>
        <row r="1260">
          <cell r="A1260" t="str">
            <v>USD_LIBOR_12M_EOD</v>
          </cell>
          <cell r="F1260">
            <v>0.77896163741914504</v>
          </cell>
        </row>
        <row r="1261">
          <cell r="A1261" t="str">
            <v>USD_LIBOR_12M_EOD</v>
          </cell>
          <cell r="F1261">
            <v>0.72932065536475099</v>
          </cell>
        </row>
        <row r="1262">
          <cell r="A1262" t="str">
            <v>USD_LIBOR_12M_EOD</v>
          </cell>
          <cell r="F1262">
            <v>0.66030352378354495</v>
          </cell>
        </row>
        <row r="1263">
          <cell r="A1263" t="str">
            <v>USD_LIBOR_12M_EOD</v>
          </cell>
          <cell r="F1263">
            <v>0.56118647542709199</v>
          </cell>
        </row>
        <row r="1264">
          <cell r="A1264" t="str">
            <v>USD_LIBOR_12M_EOD</v>
          </cell>
          <cell r="F1264">
            <v>0.47854543377349601</v>
          </cell>
        </row>
        <row r="1265">
          <cell r="A1265" t="str">
            <v>USD_LIBOR_12M_EOD</v>
          </cell>
          <cell r="F1265">
            <v>0.41051663013947998</v>
          </cell>
        </row>
        <row r="1266">
          <cell r="A1266" t="str">
            <v>USD_LIBOR_12M_EOD</v>
          </cell>
          <cell r="F1266">
            <v>0.30358457858385601</v>
          </cell>
        </row>
        <row r="1267">
          <cell r="A1267" t="str">
            <v>USD_LIBOR_12M_EOD</v>
          </cell>
          <cell r="F1267">
            <v>0.23005235339087601</v>
          </cell>
        </row>
        <row r="1268">
          <cell r="A1268" t="str">
            <v>USD_LIBOR_12M_EOD</v>
          </cell>
          <cell r="F1268">
            <v>0.17794690975602301</v>
          </cell>
        </row>
        <row r="1269">
          <cell r="A1269" t="str">
            <v>USD_LIBOR_1M_EOD</v>
          </cell>
          <cell r="F1269">
            <v>0.99981397701925401</v>
          </cell>
        </row>
        <row r="1270">
          <cell r="A1270" t="str">
            <v>USD_LIBOR_1M_EOD</v>
          </cell>
          <cell r="F1270">
            <v>0.99952587943132098</v>
          </cell>
        </row>
        <row r="1271">
          <cell r="A1271" t="str">
            <v>USD_LIBOR_1M_EOD</v>
          </cell>
          <cell r="F1271">
            <v>0.99923781018226099</v>
          </cell>
        </row>
        <row r="1272">
          <cell r="A1272" t="str">
            <v>USD_LIBOR_1M_EOD</v>
          </cell>
          <cell r="F1272">
            <v>0.99808587338728405</v>
          </cell>
        </row>
        <row r="1273">
          <cell r="A1273" t="str">
            <v>USD_LIBOR_1M_EOD</v>
          </cell>
          <cell r="F1273">
            <v>0.99650686917353504</v>
          </cell>
        </row>
        <row r="1274">
          <cell r="A1274" t="str">
            <v>USD_LIBOR_1M_EOD</v>
          </cell>
          <cell r="F1274">
            <v>0.99449772415952897</v>
          </cell>
        </row>
        <row r="1275">
          <cell r="A1275" t="str">
            <v>USD_LIBOR_1M_EOD</v>
          </cell>
          <cell r="F1275">
            <v>0.98278761363617495</v>
          </cell>
        </row>
        <row r="1276">
          <cell r="A1276" t="str">
            <v>USD_LIBOR_1M_EOD</v>
          </cell>
          <cell r="F1276">
            <v>0.96618792160145806</v>
          </cell>
        </row>
        <row r="1277">
          <cell r="A1277" t="str">
            <v>USD_LIBOR_1M_EOD</v>
          </cell>
          <cell r="F1277">
            <v>0.94690368293392502</v>
          </cell>
        </row>
        <row r="1278">
          <cell r="A1278" t="str">
            <v>USD_LIBOR_1M_EOD</v>
          </cell>
          <cell r="F1278">
            <v>0.92588833743171495</v>
          </cell>
        </row>
        <row r="1279">
          <cell r="A1279" t="str">
            <v>USD_LIBOR_1M_EOD</v>
          </cell>
          <cell r="F1279">
            <v>0.90335740440434498</v>
          </cell>
        </row>
        <row r="1280">
          <cell r="A1280" t="str">
            <v>USD_LIBOR_1M_EOD</v>
          </cell>
          <cell r="F1280">
            <v>0.87982193155898503</v>
          </cell>
        </row>
        <row r="1281">
          <cell r="A1281" t="str">
            <v>USD_LIBOR_1M_EOD</v>
          </cell>
          <cell r="F1281">
            <v>0.85645532106367595</v>
          </cell>
        </row>
        <row r="1282">
          <cell r="A1282" t="str">
            <v>USD_LIBOR_1M_EOD</v>
          </cell>
          <cell r="F1282">
            <v>0.83284512464527904</v>
          </cell>
        </row>
        <row r="1283">
          <cell r="A1283" t="str">
            <v>USD_LIBOR_1M_EOD</v>
          </cell>
          <cell r="F1283">
            <v>0.80974205859673798</v>
          </cell>
        </row>
        <row r="1284">
          <cell r="A1284" t="str">
            <v>USD_LIBOR_1M_EOD</v>
          </cell>
          <cell r="F1284">
            <v>0.76353134586030402</v>
          </cell>
        </row>
        <row r="1285">
          <cell r="A1285" t="str">
            <v>USD_LIBOR_1M_EOD</v>
          </cell>
          <cell r="F1285">
            <v>0.69951430661012304</v>
          </cell>
        </row>
        <row r="1286">
          <cell r="A1286" t="str">
            <v>USD_LIBOR_1M_EOD</v>
          </cell>
          <cell r="F1286">
            <v>0.60592993780044602</v>
          </cell>
        </row>
        <row r="1287">
          <cell r="A1287" t="str">
            <v>USD_LIBOR_1M_EOD</v>
          </cell>
          <cell r="F1287">
            <v>0.52677021697834303</v>
          </cell>
        </row>
        <row r="1288">
          <cell r="A1288" t="str">
            <v>USD_LIBOR_1M_EOD</v>
          </cell>
          <cell r="F1288">
            <v>0.46029400071121701</v>
          </cell>
        </row>
        <row r="1289">
          <cell r="A1289" t="str">
            <v>USD_LIBOR_1M_EOD</v>
          </cell>
          <cell r="F1289">
            <v>0.35366093766405798</v>
          </cell>
        </row>
        <row r="1290">
          <cell r="A1290" t="str">
            <v>USD_LIBOR_1M_EOD</v>
          </cell>
          <cell r="F1290">
            <v>0.278464313684403</v>
          </cell>
        </row>
        <row r="1291">
          <cell r="A1291" t="str">
            <v>USD_LIBOR_1M_EOD</v>
          </cell>
          <cell r="F1291">
            <v>0.22382989392639599</v>
          </cell>
        </row>
        <row r="1292">
          <cell r="A1292" t="str">
            <v>USD_LIBOR_3M_EOD</v>
          </cell>
          <cell r="F1292">
            <v>0.99903664291976901</v>
          </cell>
        </row>
        <row r="1293">
          <cell r="A1293" t="str">
            <v>USD_LIBOR_3M_EOD</v>
          </cell>
          <cell r="F1293">
            <v>0.99853624747001302</v>
          </cell>
        </row>
        <row r="1294">
          <cell r="A1294" t="str">
            <v>USD_LIBOR_3M_EOD</v>
          </cell>
          <cell r="F1294">
            <v>0.99698963379081695</v>
          </cell>
        </row>
        <row r="1295">
          <cell r="A1295" t="str">
            <v>USD_LIBOR_3M_EOD</v>
          </cell>
          <cell r="F1295">
            <v>0.99488515156202595</v>
          </cell>
        </row>
        <row r="1296">
          <cell r="A1296" t="str">
            <v>USD_LIBOR_3M_EOD</v>
          </cell>
          <cell r="F1296">
            <v>0.99250201912355795</v>
          </cell>
        </row>
        <row r="1297">
          <cell r="A1297" t="str">
            <v>USD_LIBOR_3M_EOD</v>
          </cell>
          <cell r="F1297">
            <v>0.98989800065229505</v>
          </cell>
        </row>
        <row r="1298">
          <cell r="A1298" t="str">
            <v>USD_LIBOR_3M_EOD</v>
          </cell>
          <cell r="F1298">
            <v>0.98647563144001704</v>
          </cell>
        </row>
        <row r="1299">
          <cell r="A1299" t="str">
            <v>USD_LIBOR_3M_EOD</v>
          </cell>
          <cell r="F1299">
            <v>0.98289597396015305</v>
          </cell>
        </row>
        <row r="1300">
          <cell r="A1300" t="str">
            <v>USD_LIBOR_3M_EOD</v>
          </cell>
          <cell r="F1300">
            <v>0.978969252147736</v>
          </cell>
        </row>
        <row r="1301">
          <cell r="A1301" t="str">
            <v>USD_LIBOR_3M_EOD</v>
          </cell>
          <cell r="F1301">
            <v>0.97472534830096003</v>
          </cell>
        </row>
        <row r="1302">
          <cell r="A1302" t="str">
            <v>USD_LIBOR_3M_EOD</v>
          </cell>
          <cell r="F1302">
            <v>0.97023120325473899</v>
          </cell>
        </row>
        <row r="1303">
          <cell r="A1303" t="str">
            <v>USD_LIBOR_3M_EOD</v>
          </cell>
          <cell r="F1303">
            <v>0.96550344216191797</v>
          </cell>
        </row>
        <row r="1304">
          <cell r="A1304" t="str">
            <v>USD_LIBOR_3M_EOD</v>
          </cell>
          <cell r="F1304">
            <v>0.96058281665929701</v>
          </cell>
        </row>
        <row r="1305">
          <cell r="A1305" t="str">
            <v>USD_LIBOR_3M_EOD</v>
          </cell>
          <cell r="F1305">
            <v>0.941965710646535</v>
          </cell>
        </row>
        <row r="1306">
          <cell r="A1306" t="str">
            <v>USD_LIBOR_3M_EOD</v>
          </cell>
          <cell r="F1306">
            <v>0.91968592588569698</v>
          </cell>
        </row>
        <row r="1307">
          <cell r="A1307" t="str">
            <v>USD_LIBOR_3M_EOD</v>
          </cell>
          <cell r="F1307">
            <v>0.89606037325746002</v>
          </cell>
        </row>
        <row r="1308">
          <cell r="A1308" t="str">
            <v>USD_LIBOR_3M_EOD</v>
          </cell>
          <cell r="F1308">
            <v>0.87168072432757704</v>
          </cell>
        </row>
        <row r="1309">
          <cell r="A1309" t="str">
            <v>USD_LIBOR_3M_EOD</v>
          </cell>
          <cell r="F1309">
            <v>0.84756257322481499</v>
          </cell>
        </row>
        <row r="1310">
          <cell r="A1310" t="str">
            <v>USD_LIBOR_3M_EOD</v>
          </cell>
          <cell r="F1310">
            <v>0.82328619478290699</v>
          </cell>
        </row>
        <row r="1311">
          <cell r="A1311" t="str">
            <v>USD_LIBOR_3M_EOD</v>
          </cell>
          <cell r="F1311">
            <v>0.79952333378505702</v>
          </cell>
        </row>
        <row r="1312">
          <cell r="A1312" t="str">
            <v>USD_LIBOR_3M_EOD</v>
          </cell>
          <cell r="F1312">
            <v>0.75230607529754701</v>
          </cell>
        </row>
        <row r="1313">
          <cell r="A1313" t="str">
            <v>USD_LIBOR_3M_EOD</v>
          </cell>
          <cell r="F1313">
            <v>0.68667905849885902</v>
          </cell>
        </row>
        <row r="1314">
          <cell r="A1314" t="str">
            <v>USD_LIBOR_3M_EOD</v>
          </cell>
          <cell r="F1314">
            <v>0.59101223268768599</v>
          </cell>
        </row>
        <row r="1315">
          <cell r="A1315" t="str">
            <v>USD_LIBOR_3M_EOD</v>
          </cell>
          <cell r="F1315">
            <v>0.51010272237040799</v>
          </cell>
        </row>
        <row r="1316">
          <cell r="A1316" t="str">
            <v>USD_LIBOR_3M_EOD</v>
          </cell>
          <cell r="F1316">
            <v>0.44252093325693198</v>
          </cell>
        </row>
        <row r="1317">
          <cell r="A1317" t="str">
            <v>USD_LIBOR_3M_EOD</v>
          </cell>
          <cell r="F1317">
            <v>0.33563876592092601</v>
          </cell>
        </row>
        <row r="1318">
          <cell r="A1318" t="str">
            <v>USD_LIBOR_3M_EOD</v>
          </cell>
          <cell r="F1318">
            <v>0.26086534961482299</v>
          </cell>
        </row>
        <row r="1319">
          <cell r="A1319" t="str">
            <v>USD_LIBOR_3M_EOD</v>
          </cell>
          <cell r="F1319">
            <v>0.206976359242835</v>
          </cell>
        </row>
        <row r="1320">
          <cell r="A1320" t="str">
            <v>USD_LIBOR_6M_EOD</v>
          </cell>
          <cell r="F1320">
            <v>0.99690691015217303</v>
          </cell>
        </row>
        <row r="1321">
          <cell r="A1321" t="str">
            <v>USD_LIBOR_6M_EOD</v>
          </cell>
          <cell r="F1321">
            <v>0.99604237012164298</v>
          </cell>
        </row>
        <row r="1322">
          <cell r="A1322" t="str">
            <v>USD_LIBOR_6M_EOD</v>
          </cell>
          <cell r="F1322">
            <v>0.99517097442152902</v>
          </cell>
        </row>
        <row r="1323">
          <cell r="A1323" t="str">
            <v>USD_LIBOR_6M_EOD</v>
          </cell>
          <cell r="F1323">
            <v>0.99445325803657403</v>
          </cell>
        </row>
        <row r="1324">
          <cell r="A1324" t="str">
            <v>USD_LIBOR_6M_EOD</v>
          </cell>
          <cell r="F1324">
            <v>0.99370473850427699</v>
          </cell>
        </row>
        <row r="1325">
          <cell r="A1325" t="str">
            <v>USD_LIBOR_6M_EOD</v>
          </cell>
          <cell r="F1325">
            <v>0.99297413402948098</v>
          </cell>
        </row>
        <row r="1326">
          <cell r="A1326" t="str">
            <v>USD_LIBOR_6M_EOD</v>
          </cell>
          <cell r="F1326">
            <v>0.99222981442636005</v>
          </cell>
        </row>
        <row r="1327">
          <cell r="A1327" t="str">
            <v>USD_LIBOR_6M_EOD</v>
          </cell>
          <cell r="F1327">
            <v>0.98606243216314904</v>
          </cell>
        </row>
        <row r="1328">
          <cell r="A1328" t="str">
            <v>USD_LIBOR_6M_EOD</v>
          </cell>
          <cell r="F1328">
            <v>0.97832754256748</v>
          </cell>
        </row>
        <row r="1329">
          <cell r="A1329" t="str">
            <v>USD_LIBOR_6M_EOD</v>
          </cell>
          <cell r="F1329">
            <v>0.959660558640821</v>
          </cell>
        </row>
        <row r="1330">
          <cell r="A1330" t="str">
            <v>USD_LIBOR_6M_EOD</v>
          </cell>
          <cell r="F1330">
            <v>0.93820085602247805</v>
          </cell>
        </row>
        <row r="1331">
          <cell r="A1331" t="str">
            <v>USD_LIBOR_6M_EOD</v>
          </cell>
          <cell r="F1331">
            <v>0.915269913902926</v>
          </cell>
        </row>
        <row r="1332">
          <cell r="A1332" t="str">
            <v>USD_LIBOR_6M_EOD</v>
          </cell>
          <cell r="F1332">
            <v>0.89101196849172204</v>
          </cell>
        </row>
        <row r="1333">
          <cell r="A1333" t="str">
            <v>USD_LIBOR_6M_EOD</v>
          </cell>
          <cell r="F1333">
            <v>0.86594933367777904</v>
          </cell>
        </row>
        <row r="1334">
          <cell r="A1334" t="str">
            <v>USD_LIBOR_6M_EOD</v>
          </cell>
          <cell r="F1334">
            <v>0.84108558454133397</v>
          </cell>
        </row>
        <row r="1335">
          <cell r="A1335" t="str">
            <v>USD_LIBOR_6M_EOD</v>
          </cell>
          <cell r="F1335">
            <v>0.81611512101316297</v>
          </cell>
        </row>
        <row r="1336">
          <cell r="A1336" t="str">
            <v>USD_LIBOR_6M_EOD</v>
          </cell>
          <cell r="F1336">
            <v>0.79149576299664304</v>
          </cell>
        </row>
        <row r="1337">
          <cell r="A1337" t="str">
            <v>USD_LIBOR_6M_EOD</v>
          </cell>
          <cell r="F1337">
            <v>0.74287829342769496</v>
          </cell>
        </row>
        <row r="1338">
          <cell r="A1338" t="str">
            <v>USD_LIBOR_6M_EOD</v>
          </cell>
          <cell r="F1338">
            <v>0.67567913244451405</v>
          </cell>
        </row>
        <row r="1339">
          <cell r="A1339" t="str">
            <v>USD_LIBOR_6M_EOD</v>
          </cell>
          <cell r="F1339">
            <v>0.57848518818256001</v>
          </cell>
        </row>
        <row r="1340">
          <cell r="A1340" t="str">
            <v>USD_LIBOR_6M_EOD</v>
          </cell>
          <cell r="F1340">
            <v>0.49657253414681701</v>
          </cell>
        </row>
        <row r="1341">
          <cell r="A1341" t="str">
            <v>USD_LIBOR_6M_EOD</v>
          </cell>
          <cell r="F1341">
            <v>0.42849826657274598</v>
          </cell>
        </row>
        <row r="1342">
          <cell r="A1342" t="str">
            <v>USD_LIBOR_6M_EOD</v>
          </cell>
          <cell r="F1342">
            <v>0.321559644338685</v>
          </cell>
        </row>
        <row r="1343">
          <cell r="A1343" t="str">
            <v>USD_LIBOR_6M_EOD</v>
          </cell>
          <cell r="F1343">
            <v>0.24726796587178199</v>
          </cell>
        </row>
        <row r="1344">
          <cell r="A1344" t="str">
            <v>USD_LIBOR_6M_EOD</v>
          </cell>
          <cell r="F1344">
            <v>0.19409869976985999</v>
          </cell>
        </row>
        <row r="1345">
          <cell r="A1345" t="str">
            <v>USD_LIBOR_EOD</v>
          </cell>
          <cell r="F1345">
            <v>0.99999637501314098</v>
          </cell>
        </row>
        <row r="1346">
          <cell r="A1346" t="str">
            <v>USD_LIBOR_EOD</v>
          </cell>
          <cell r="F1346">
            <v>0.99998550017082599</v>
          </cell>
        </row>
        <row r="1347">
          <cell r="A1347" t="str">
            <v>USD_LIBOR_EOD</v>
          </cell>
          <cell r="F1347">
            <v>0.99995511958993599</v>
          </cell>
        </row>
        <row r="1348">
          <cell r="A1348" t="str">
            <v>USD_LIBOR_EOD</v>
          </cell>
          <cell r="F1348">
            <v>0.999821362830428</v>
          </cell>
        </row>
        <row r="1349">
          <cell r="A1349" t="str">
            <v>USD_LIBOR_EOD</v>
          </cell>
          <cell r="F1349">
            <v>0.99869872282194105</v>
          </cell>
        </row>
        <row r="1350">
          <cell r="A1350" t="str">
            <v>USD_LIBOR_EOD</v>
          </cell>
          <cell r="F1350">
            <v>0.99715185748778201</v>
          </cell>
        </row>
        <row r="1351">
          <cell r="A1351" t="str">
            <v>USD_LIBOR_EOD</v>
          </cell>
          <cell r="F1351">
            <v>0.99504703283127105</v>
          </cell>
        </row>
        <row r="1352">
          <cell r="A1352" t="str">
            <v>USD_LIBOR_EOD</v>
          </cell>
          <cell r="F1352">
            <v>0.99266351262492503</v>
          </cell>
        </row>
        <row r="1353">
          <cell r="A1353" t="str">
            <v>USD_LIBOR_EOD</v>
          </cell>
          <cell r="F1353">
            <v>0.99005907044464003</v>
          </cell>
        </row>
        <row r="1354">
          <cell r="A1354" t="str">
            <v>USD_LIBOR_EOD</v>
          </cell>
          <cell r="F1354">
            <v>0.98663614436660596</v>
          </cell>
        </row>
        <row r="1355">
          <cell r="A1355" t="str">
            <v>USD_LIBOR_EOD</v>
          </cell>
          <cell r="F1355">
            <v>0.98305590442805801</v>
          </cell>
        </row>
        <row r="1356">
          <cell r="A1356" t="str">
            <v>USD_LIBOR_EOD</v>
          </cell>
          <cell r="F1356">
            <v>0.97912854368489499</v>
          </cell>
        </row>
        <row r="1357">
          <cell r="A1357" t="str">
            <v>USD_LIBOR_EOD</v>
          </cell>
          <cell r="F1357">
            <v>0.97488394929756805</v>
          </cell>
        </row>
        <row r="1358">
          <cell r="A1358" t="str">
            <v>USD_LIBOR_EOD</v>
          </cell>
          <cell r="F1358">
            <v>0.97038907299316801</v>
          </cell>
        </row>
        <row r="1359">
          <cell r="A1359" t="str">
            <v>USD_LIBOR_EOD</v>
          </cell>
          <cell r="F1359">
            <v>0.96566054262967804</v>
          </cell>
        </row>
        <row r="1360">
          <cell r="A1360" t="str">
            <v>USD_LIBOR_EOD</v>
          </cell>
          <cell r="F1360">
            <v>0.96073911647473997</v>
          </cell>
        </row>
        <row r="1361">
          <cell r="A1361" t="str">
            <v>USD_LIBOR_EOD</v>
          </cell>
          <cell r="F1361">
            <v>0.94196989868237802</v>
          </cell>
        </row>
        <row r="1362">
          <cell r="A1362" t="str">
            <v>USD_LIBOR_EOD</v>
          </cell>
          <cell r="F1362">
            <v>0.91966725869170696</v>
          </cell>
        </row>
        <row r="1363">
          <cell r="A1363" t="str">
            <v>USD_LIBOR_EOD</v>
          </cell>
          <cell r="F1363">
            <v>0.89600911197035904</v>
          </cell>
        </row>
        <row r="1364">
          <cell r="A1364" t="str">
            <v>USD_LIBOR_EOD</v>
          </cell>
          <cell r="F1364">
            <v>0.87158908206443797</v>
          </cell>
        </row>
        <row r="1365">
          <cell r="A1365" t="str">
            <v>USD_LIBOR_EOD</v>
          </cell>
          <cell r="F1365">
            <v>0.84742688958871504</v>
          </cell>
        </row>
        <row r="1366">
          <cell r="A1366" t="str">
            <v>USD_LIBOR_EOD</v>
          </cell>
          <cell r="F1366">
            <v>0.823102430040624</v>
          </cell>
        </row>
        <row r="1367">
          <cell r="A1367" t="str">
            <v>USD_LIBOR_EOD</v>
          </cell>
          <cell r="F1367">
            <v>0.79928701628763899</v>
          </cell>
        </row>
        <row r="1368">
          <cell r="A1368" t="str">
            <v>USD_LIBOR_EOD</v>
          </cell>
          <cell r="F1368">
            <v>0.75195172294416002</v>
          </cell>
        </row>
        <row r="1369">
          <cell r="A1369" t="str">
            <v>USD_LIBOR_EOD</v>
          </cell>
          <cell r="F1369">
            <v>0.68617009556106201</v>
          </cell>
        </row>
        <row r="1370">
          <cell r="A1370" t="str">
            <v>USD_LIBOR_EOD</v>
          </cell>
          <cell r="F1370">
            <v>0.59029255641899903</v>
          </cell>
        </row>
        <row r="1371">
          <cell r="A1371" t="str">
            <v>USD_LIBOR_EOD</v>
          </cell>
          <cell r="F1371">
            <v>0.509257189427893</v>
          </cell>
        </row>
        <row r="1372">
          <cell r="A1372" t="str">
            <v>USD_LIBOR_EOD</v>
          </cell>
          <cell r="F1372">
            <v>0.44165295880292799</v>
          </cell>
        </row>
        <row r="1373">
          <cell r="A1373" t="str">
            <v>USD_LIBOR_EOD</v>
          </cell>
          <cell r="F1373">
            <v>0.33487849745030202</v>
          </cell>
        </row>
        <row r="1374">
          <cell r="A1374" t="str">
            <v>USD_LIBOR_EOD</v>
          </cell>
          <cell r="F1374">
            <v>0.26059684887092099</v>
          </cell>
        </row>
        <row r="1375">
          <cell r="A1375" t="str">
            <v>USD_LIBOR_EOD</v>
          </cell>
          <cell r="F1375">
            <v>0.20738717709084201</v>
          </cell>
        </row>
        <row r="1376">
          <cell r="A1376" t="str">
            <v>ZAR_JIBAR_EOD</v>
          </cell>
          <cell r="F1376">
            <v>0.99984194279424898</v>
          </cell>
        </row>
        <row r="1377">
          <cell r="A1377" t="str">
            <v>ZAR_JIBAR_EOD</v>
          </cell>
          <cell r="F1377">
            <v>0.99887992013313698</v>
          </cell>
        </row>
        <row r="1378">
          <cell r="A1378" t="str">
            <v>ZAR_JIBAR_EOD</v>
          </cell>
          <cell r="F1378">
            <v>0.99464407329475002</v>
          </cell>
        </row>
        <row r="1379">
          <cell r="A1379" t="str">
            <v>ZAR_JIBAR_EOD</v>
          </cell>
          <cell r="F1379">
            <v>0.98967586407244001</v>
          </cell>
        </row>
        <row r="1380">
          <cell r="A1380" t="str">
            <v>ZAR_JIBAR_EOD</v>
          </cell>
          <cell r="F1380">
            <v>0.984266194765408</v>
          </cell>
        </row>
        <row r="1381">
          <cell r="A1381" t="str">
            <v>ZAR_JIBAR_EOD</v>
          </cell>
          <cell r="F1381">
            <v>0.96831682287735699</v>
          </cell>
        </row>
        <row r="1382">
          <cell r="A1382" t="str">
            <v>ZAR_JIBAR_EOD</v>
          </cell>
          <cell r="F1382">
            <v>0.95176866875433797</v>
          </cell>
        </row>
        <row r="1383">
          <cell r="A1383" t="str">
            <v>ZAR_JIBAR_EOD</v>
          </cell>
          <cell r="F1383">
            <v>0.93437093788299397</v>
          </cell>
        </row>
        <row r="1384">
          <cell r="A1384" t="str">
            <v>ZAR_JIBAR_EOD</v>
          </cell>
          <cell r="F1384">
            <v>0.86598407050373905</v>
          </cell>
        </row>
        <row r="1385">
          <cell r="A1385" t="str">
            <v>ZAR_JIBAR_EOD</v>
          </cell>
          <cell r="F1385">
            <v>0.79829525278767599</v>
          </cell>
        </row>
        <row r="1386">
          <cell r="A1386" t="str">
            <v>ZAR_JIBAR_EOD</v>
          </cell>
          <cell r="F1386">
            <v>0.73344610049535097</v>
          </cell>
        </row>
        <row r="1387">
          <cell r="A1387" t="str">
            <v>ZAR_JIBAR_EOD</v>
          </cell>
          <cell r="F1387">
            <v>0.67181832435173405</v>
          </cell>
        </row>
        <row r="1388">
          <cell r="A1388" t="str">
            <v>ZAR_JIBAR_EOD</v>
          </cell>
          <cell r="F1388">
            <v>0.61418930023104401</v>
          </cell>
        </row>
        <row r="1389">
          <cell r="A1389" t="str">
            <v>ZAR_JIBAR_EOD</v>
          </cell>
          <cell r="F1389">
            <v>0.56041269219510603</v>
          </cell>
        </row>
        <row r="1390">
          <cell r="A1390" t="str">
            <v>ZAR_JIBAR_EOD</v>
          </cell>
          <cell r="F1390">
            <v>0.51061186227067401</v>
          </cell>
        </row>
        <row r="1391">
          <cell r="A1391" t="str">
            <v>ZAR_JIBAR_EOD</v>
          </cell>
          <cell r="F1391">
            <v>0.46428215855635502</v>
          </cell>
        </row>
        <row r="1392">
          <cell r="A1392" t="str">
            <v>ZAR_JIBAR_EOD</v>
          </cell>
          <cell r="F1392">
            <v>0.42140040328964201</v>
          </cell>
        </row>
        <row r="1393">
          <cell r="A1393" t="str">
            <v>ZAR_JIBAR_EOD</v>
          </cell>
          <cell r="F1393">
            <v>0.34588355936038701</v>
          </cell>
        </row>
        <row r="1394">
          <cell r="A1394" t="str">
            <v>ZAR_JIBAR_EOD</v>
          </cell>
          <cell r="F1394">
            <v>0.25775944616205199</v>
          </cell>
        </row>
        <row r="1395">
          <cell r="A1395" t="str">
            <v>ZAR_JIBAR_EOD</v>
          </cell>
          <cell r="F1395">
            <v>0.16462038651886199</v>
          </cell>
        </row>
        <row r="1396">
          <cell r="A1396" t="str">
            <v>ZAR_JIBAR_EOD</v>
          </cell>
          <cell r="F1396">
            <v>0.10967748774927499</v>
          </cell>
        </row>
        <row r="1397">
          <cell r="A1397" t="str">
            <v>ZAR_JIBAR_EOD</v>
          </cell>
          <cell r="F1397">
            <v>7.868298326848E-2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7.xml"/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2:N102"/>
  <sheetViews>
    <sheetView showGridLines="0" tabSelected="1" workbookViewId="0">
      <selection activeCell="D5" sqref="D5"/>
    </sheetView>
  </sheetViews>
  <sheetFormatPr defaultRowHeight="11.25" x14ac:dyDescent="0.2"/>
  <cols>
    <col min="1" max="2" width="2.7109375" style="46" customWidth="1"/>
    <col min="3" max="3" width="20.28515625" style="46" bestFit="1" customWidth="1"/>
    <col min="4" max="4" width="30.7109375" style="46" customWidth="1"/>
    <col min="5" max="7" width="2.7109375" style="46" customWidth="1"/>
    <col min="8" max="8" width="20.28515625" style="46" bestFit="1" customWidth="1"/>
    <col min="9" max="9" width="30.7109375" style="46" customWidth="1"/>
    <col min="10" max="10" width="2.7109375" style="46" customWidth="1"/>
    <col min="11" max="12" width="3.28515625" style="46" customWidth="1"/>
    <col min="13" max="13" width="15.140625" style="46" customWidth="1"/>
    <col min="14" max="14" width="17.28515625" style="46" customWidth="1"/>
    <col min="15" max="15" width="3.42578125" style="46" customWidth="1"/>
    <col min="16" max="16384" width="9.140625" style="46"/>
  </cols>
  <sheetData>
    <row r="2" spans="1:10" x14ac:dyDescent="0.2">
      <c r="B2" s="82"/>
      <c r="C2" s="83"/>
      <c r="D2" s="83"/>
      <c r="E2" s="84"/>
      <c r="G2" s="82"/>
      <c r="H2" s="83"/>
      <c r="I2" s="83"/>
      <c r="J2" s="84"/>
    </row>
    <row r="3" spans="1:10" ht="11.25" customHeight="1" x14ac:dyDescent="0.2">
      <c r="B3" s="87"/>
      <c r="C3" s="13" t="s">
        <v>21</v>
      </c>
      <c r="D3" s="81" t="s">
        <v>151</v>
      </c>
      <c r="E3" s="85"/>
      <c r="G3" s="87"/>
      <c r="H3" s="13" t="s">
        <v>34</v>
      </c>
      <c r="I3" s="158" t="s">
        <v>146</v>
      </c>
      <c r="J3" s="85"/>
    </row>
    <row r="4" spans="1:10" ht="11.25" customHeight="1" x14ac:dyDescent="0.2">
      <c r="B4" s="87"/>
      <c r="C4" s="14" t="s">
        <v>19</v>
      </c>
      <c r="D4" s="15" t="b">
        <v>1</v>
      </c>
      <c r="E4" s="85"/>
      <c r="G4" s="87"/>
      <c r="H4" s="14" t="s">
        <v>70</v>
      </c>
      <c r="I4" s="159" t="s">
        <v>123</v>
      </c>
      <c r="J4" s="85"/>
    </row>
    <row r="5" spans="1:10" ht="11.25" customHeight="1" x14ac:dyDescent="0.2">
      <c r="A5" s="48"/>
      <c r="B5" s="88"/>
      <c r="C5" s="17" t="s">
        <v>18</v>
      </c>
      <c r="D5" s="18"/>
      <c r="E5" s="85"/>
      <c r="G5" s="87"/>
      <c r="H5" s="14" t="s">
        <v>160</v>
      </c>
      <c r="I5" s="159" t="s">
        <v>159</v>
      </c>
      <c r="J5" s="85"/>
    </row>
    <row r="6" spans="1:10" ht="11.25" customHeight="1" x14ac:dyDescent="0.2">
      <c r="A6" s="48"/>
      <c r="B6" s="88"/>
      <c r="C6" s="14" t="s">
        <v>20</v>
      </c>
      <c r="D6" s="15" t="b">
        <v>1</v>
      </c>
      <c r="E6" s="85"/>
      <c r="G6" s="87"/>
      <c r="H6" s="14" t="s">
        <v>119</v>
      </c>
      <c r="I6" s="159" t="s">
        <v>124</v>
      </c>
      <c r="J6" s="85"/>
    </row>
    <row r="7" spans="1:10" ht="11.25" customHeight="1" x14ac:dyDescent="0.2">
      <c r="A7" s="48"/>
      <c r="B7" s="88"/>
      <c r="C7" s="14" t="s">
        <v>74</v>
      </c>
      <c r="D7" s="165" t="s">
        <v>75</v>
      </c>
      <c r="E7" s="85"/>
      <c r="G7" s="87"/>
      <c r="H7" s="14" t="s">
        <v>120</v>
      </c>
      <c r="I7" s="159" t="s">
        <v>125</v>
      </c>
      <c r="J7" s="85"/>
    </row>
    <row r="8" spans="1:10" ht="11.25" customHeight="1" x14ac:dyDescent="0.2">
      <c r="A8" s="48"/>
      <c r="B8" s="89"/>
      <c r="C8" s="166"/>
      <c r="D8" s="167"/>
      <c r="E8" s="85"/>
      <c r="G8" s="87"/>
      <c r="H8" s="14" t="s">
        <v>121</v>
      </c>
      <c r="I8" s="159" t="str">
        <f>Currency&amp;"ON"&amp;LCHlinear</f>
        <v>GBPON_linearLCH</v>
      </c>
      <c r="J8" s="85"/>
    </row>
    <row r="9" spans="1:10" ht="11.25" customHeight="1" x14ac:dyDescent="0.2">
      <c r="A9" s="48"/>
      <c r="B9" s="89"/>
      <c r="C9" s="13" t="s">
        <v>29</v>
      </c>
      <c r="D9" s="163">
        <f>_xll.qlSettingsEvaluationDate(Trigger)</f>
        <v>42321</v>
      </c>
      <c r="E9" s="85"/>
      <c r="G9" s="87"/>
      <c r="H9" s="14" t="s">
        <v>122</v>
      </c>
      <c r="I9" s="159" t="str">
        <f>Currency&amp;"ON"&amp;LCHcubic</f>
        <v>GBPON_cubicLCH</v>
      </c>
      <c r="J9" s="85"/>
    </row>
    <row r="10" spans="1:10" ht="11.25" customHeight="1" x14ac:dyDescent="0.2">
      <c r="A10" s="48"/>
      <c r="B10" s="89"/>
      <c r="C10" s="14" t="s">
        <v>30</v>
      </c>
      <c r="D10" s="162">
        <f>_xll.qlCalendarAdvance(Calendar,$D$9,"0D","F",,Trigger)</f>
        <v>42321</v>
      </c>
      <c r="E10" s="85"/>
      <c r="G10" s="87"/>
      <c r="H10" s="14" t="s">
        <v>126</v>
      </c>
      <c r="I10" s="159" t="str">
        <f>Currency&amp;"STD"&amp;LCHlinear</f>
        <v>GBPSTD_linearLCH</v>
      </c>
      <c r="J10" s="85"/>
    </row>
    <row r="11" spans="1:10" ht="11.25" customHeight="1" x14ac:dyDescent="0.2">
      <c r="B11" s="89"/>
      <c r="C11" s="16" t="s">
        <v>14</v>
      </c>
      <c r="D11" s="164" t="s">
        <v>152</v>
      </c>
      <c r="E11" s="85"/>
      <c r="G11" s="87"/>
      <c r="H11" s="16" t="s">
        <v>161</v>
      </c>
      <c r="I11" s="164" t="b">
        <v>0</v>
      </c>
      <c r="J11" s="85"/>
    </row>
    <row r="12" spans="1:10" ht="11.25" customHeight="1" x14ac:dyDescent="0.2">
      <c r="B12" s="90"/>
      <c r="C12" s="91"/>
      <c r="D12" s="92"/>
      <c r="E12" s="86"/>
      <c r="G12" s="90"/>
      <c r="H12" s="91"/>
      <c r="I12" s="92"/>
      <c r="J12" s="86"/>
    </row>
    <row r="13" spans="1:10" ht="11.25" customHeight="1" x14ac:dyDescent="0.2"/>
    <row r="14" spans="1:10" x14ac:dyDescent="0.2">
      <c r="B14" s="35"/>
      <c r="C14" s="36"/>
      <c r="D14" s="36"/>
      <c r="E14" s="37"/>
      <c r="G14" s="35"/>
      <c r="H14" s="36"/>
      <c r="I14" s="36"/>
      <c r="J14" s="37"/>
    </row>
    <row r="15" spans="1:10" x14ac:dyDescent="0.2">
      <c r="B15" s="20"/>
      <c r="C15" s="19" t="s">
        <v>10</v>
      </c>
      <c r="D15" s="39" t="str">
        <f>_xll.qlPiecewiseYieldCurve($D$17,$D$18,Calendar,_xll.ohPack(GBPON!T3:T77),,,,D19,D20,D21,,Permanent,,ObjectOverwrite)</f>
        <v>_GBPON_linearLCH#0007</v>
      </c>
      <c r="E15" s="40"/>
      <c r="G15" s="20"/>
      <c r="H15" s="19"/>
      <c r="I15" s="39" t="str">
        <f>_xll.qlPiecewiseYieldCurve(I17,I18,Calendar,_xll.ohPack(GBPON!T3:T77),,,,I19,I20,I21,,Permanent,Trigger,ObjectOverwrite)</f>
        <v>_GBPON_cubicLCH#0007</v>
      </c>
      <c r="J15" s="40"/>
    </row>
    <row r="16" spans="1:10" x14ac:dyDescent="0.2">
      <c r="B16" s="20"/>
      <c r="C16" s="21" t="s">
        <v>11</v>
      </c>
      <c r="D16" s="41" t="str">
        <f>_xll.ohRangeRetrieveError(YieldCurve1_ON)</f>
        <v/>
      </c>
      <c r="E16" s="40"/>
      <c r="G16" s="20"/>
      <c r="H16" s="21"/>
      <c r="I16" s="41"/>
      <c r="J16" s="40"/>
    </row>
    <row r="17" spans="1:14" x14ac:dyDescent="0.2">
      <c r="B17" s="20"/>
      <c r="C17" s="19" t="s">
        <v>12</v>
      </c>
      <c r="D17" s="22" t="str">
        <f>"_"&amp;Currency&amp;"ON"&amp;LCHlinear</f>
        <v>_GBPON_linearLCH</v>
      </c>
      <c r="E17" s="40"/>
      <c r="G17" s="20"/>
      <c r="H17" s="19"/>
      <c r="I17" s="22" t="str">
        <f>"_"&amp;Currency&amp;"ON"&amp;LCHcubic</f>
        <v>_GBPON_cubicLCH</v>
      </c>
      <c r="J17" s="40"/>
      <c r="N17" s="169"/>
    </row>
    <row r="18" spans="1:14" x14ac:dyDescent="0.2">
      <c r="B18" s="20"/>
      <c r="C18" s="23" t="s">
        <v>13</v>
      </c>
      <c r="D18" s="24">
        <v>0</v>
      </c>
      <c r="E18" s="40"/>
      <c r="G18" s="20"/>
      <c r="H18" s="23"/>
      <c r="I18" s="24">
        <v>0</v>
      </c>
      <c r="J18" s="40"/>
    </row>
    <row r="19" spans="1:14" x14ac:dyDescent="0.2">
      <c r="B19" s="20"/>
      <c r="C19" s="23" t="s">
        <v>15</v>
      </c>
      <c r="D19" s="25"/>
      <c r="E19" s="40"/>
      <c r="G19" s="20"/>
      <c r="H19" s="23"/>
      <c r="I19" s="25"/>
      <c r="J19" s="40"/>
    </row>
    <row r="20" spans="1:14" x14ac:dyDescent="0.2">
      <c r="B20" s="20"/>
      <c r="C20" s="23" t="s">
        <v>16</v>
      </c>
      <c r="D20" s="26" t="s">
        <v>127</v>
      </c>
      <c r="E20" s="40"/>
      <c r="G20" s="20"/>
      <c r="H20" s="23"/>
      <c r="I20" s="26" t="s">
        <v>31</v>
      </c>
      <c r="J20" s="40"/>
    </row>
    <row r="21" spans="1:14" x14ac:dyDescent="0.2">
      <c r="B21" s="20"/>
      <c r="C21" s="21" t="s">
        <v>17</v>
      </c>
      <c r="D21" s="27" t="s">
        <v>128</v>
      </c>
      <c r="E21" s="40"/>
      <c r="G21" s="20"/>
      <c r="H21" s="21"/>
      <c r="I21" s="27" t="s">
        <v>158</v>
      </c>
      <c r="J21" s="40"/>
    </row>
    <row r="22" spans="1:14" x14ac:dyDescent="0.2">
      <c r="B22" s="20"/>
      <c r="C22" s="28"/>
      <c r="D22" s="28"/>
      <c r="E22" s="40"/>
      <c r="G22" s="20"/>
      <c r="H22" s="28"/>
      <c r="I22" s="28"/>
      <c r="J22" s="40"/>
    </row>
    <row r="23" spans="1:14" x14ac:dyDescent="0.2">
      <c r="B23" s="20"/>
      <c r="C23" s="29">
        <f>_xll.qlTermStructureReferenceDate(YieldCurve1_ON)</f>
        <v>42321</v>
      </c>
      <c r="D23" s="30">
        <f>_xll.qlYieldTSDiscount(YieldCurve1_ON,C23,,Trigger)</f>
        <v>1</v>
      </c>
      <c r="E23" s="40"/>
      <c r="G23" s="20"/>
      <c r="H23" s="29">
        <f>_xll.qlTermStructureReferenceDate(yieldcurve2_ON)</f>
        <v>42321</v>
      </c>
      <c r="I23" s="30">
        <f>_xll.qlYieldTSDiscount(yieldcurve2_ON,H23,,Trigger)</f>
        <v>1</v>
      </c>
      <c r="J23" s="40"/>
    </row>
    <row r="24" spans="1:14" x14ac:dyDescent="0.2">
      <c r="B24" s="20"/>
      <c r="C24" s="31">
        <f>_xll.qlTermStructureMaxDate(YieldCurve1_ON,Trigger)</f>
        <v>64236</v>
      </c>
      <c r="D24" s="32">
        <f>_xll.qlYieldTSDiscount(YieldCurve1_ON,C24,,Trigger)</f>
        <v>0.32435232642972867</v>
      </c>
      <c r="E24" s="40"/>
      <c r="G24" s="20"/>
      <c r="H24" s="31">
        <f>_xll.qlTermStructureMaxDate(yieldcurve2_ON,Trigger)</f>
        <v>64236</v>
      </c>
      <c r="I24" s="32">
        <f>_xll.qlYieldTSDiscount(yieldcurve2_ON,H24,,Trigger)</f>
        <v>0.32427735577884054</v>
      </c>
      <c r="J24" s="40"/>
    </row>
    <row r="25" spans="1:14" x14ac:dyDescent="0.2">
      <c r="B25" s="20"/>
      <c r="C25" s="31" t="str">
        <f>Currency&amp;"ON"&amp;LCHlinear</f>
        <v>GBPON_linearLCH</v>
      </c>
      <c r="D25" s="32" t="b">
        <f>_xll.qlRelinkableHandleLinkTo(C25,D15,Trigger)</f>
        <v>1</v>
      </c>
      <c r="E25" s="40"/>
      <c r="G25" s="20"/>
      <c r="H25" s="31" t="str">
        <f>Currency&amp;"ON"&amp;LCHcubic</f>
        <v>GBPON_cubicLCH</v>
      </c>
      <c r="I25" s="32" t="b">
        <f>_xll.qlRelinkableHandleLinkTo(H25,I15,Trigger)</f>
        <v>1</v>
      </c>
      <c r="J25" s="40"/>
    </row>
    <row r="26" spans="1:14" x14ac:dyDescent="0.2">
      <c r="B26" s="20"/>
      <c r="C26" s="33" t="s">
        <v>116</v>
      </c>
      <c r="D26" s="34" t="b">
        <v>0</v>
      </c>
      <c r="E26" s="40"/>
      <c r="G26" s="20"/>
      <c r="H26" s="33" t="s">
        <v>116</v>
      </c>
      <c r="I26" s="34" t="b">
        <v>0</v>
      </c>
      <c r="J26" s="40"/>
    </row>
    <row r="27" spans="1:14" x14ac:dyDescent="0.2">
      <c r="B27" s="42"/>
      <c r="C27" s="43"/>
      <c r="D27" s="43"/>
      <c r="E27" s="44"/>
      <c r="G27" s="42"/>
      <c r="H27" s="43"/>
      <c r="I27" s="43"/>
      <c r="J27" s="44"/>
    </row>
    <row r="28" spans="1:14" x14ac:dyDescent="0.2">
      <c r="A28" s="48"/>
      <c r="B28" s="48"/>
      <c r="C28" s="48"/>
      <c r="D28" s="48"/>
      <c r="E28" s="48"/>
      <c r="G28" s="48"/>
      <c r="H28" s="48"/>
      <c r="I28" s="48"/>
      <c r="J28" s="48"/>
    </row>
    <row r="29" spans="1:14" x14ac:dyDescent="0.2">
      <c r="B29" s="35"/>
      <c r="C29" s="36"/>
      <c r="D29" s="36"/>
      <c r="E29" s="37"/>
      <c r="F29" s="47"/>
      <c r="G29" s="35"/>
      <c r="H29" s="36"/>
      <c r="I29" s="36"/>
      <c r="J29" s="37"/>
    </row>
    <row r="30" spans="1:14" x14ac:dyDescent="0.2">
      <c r="B30" s="20"/>
      <c r="C30" s="19" t="s">
        <v>10</v>
      </c>
      <c r="D30" s="39" t="str">
        <f>_xll.qlPiecewiseYieldCurve(D32,D33,Calendar,_xll.ohPack(GBP3M!Y3:Y65),,,,D34,D35,D36,,Permanent,,ObjectOverwrite)</f>
        <v>_GBP3M_linearLCH#0007</v>
      </c>
      <c r="E30" s="40"/>
      <c r="F30" s="47"/>
      <c r="G30" s="20"/>
      <c r="H30" s="19"/>
      <c r="I30" s="39" t="str">
        <f>_xll.qlPiecewiseYieldCurve(I32,I33,Calendar,_xll.ohPack(GBP3M!Z3:Z65),,,,I34,I35,I36,,Permanent,,ObjectOverwrite)</f>
        <v>_GBP3M_cubicLCH#0007</v>
      </c>
      <c r="J30" s="40"/>
    </row>
    <row r="31" spans="1:14" x14ac:dyDescent="0.2">
      <c r="B31" s="20"/>
      <c r="C31" s="21" t="s">
        <v>11</v>
      </c>
      <c r="D31" s="41" t="str">
        <f>_xll.ohRangeRetrieveError(YieldCurve1_3M)</f>
        <v/>
      </c>
      <c r="E31" s="40"/>
      <c r="F31" s="47"/>
      <c r="G31" s="20"/>
      <c r="H31" s="21"/>
      <c r="I31" s="41" t="str">
        <f>_xll.ohRangeRetrieveError(YieldCurve1_3M)</f>
        <v/>
      </c>
      <c r="J31" s="40"/>
    </row>
    <row r="32" spans="1:14" x14ac:dyDescent="0.2">
      <c r="B32" s="20"/>
      <c r="C32" s="19" t="s">
        <v>12</v>
      </c>
      <c r="D32" s="22" t="str">
        <f>"_"&amp;Currency&amp;"3M"&amp;LCHlinear</f>
        <v>_GBP3M_linearLCH</v>
      </c>
      <c r="E32" s="40"/>
      <c r="F32" s="47"/>
      <c r="G32" s="20"/>
      <c r="H32" s="19"/>
      <c r="I32" s="22" t="str">
        <f>"_"&amp;Currency&amp;"3M"&amp;LCHcubic</f>
        <v>_GBP3M_cubicLCH</v>
      </c>
      <c r="J32" s="40"/>
    </row>
    <row r="33" spans="2:10" x14ac:dyDescent="0.2">
      <c r="B33" s="20"/>
      <c r="C33" s="23" t="s">
        <v>13</v>
      </c>
      <c r="D33" s="24">
        <v>0</v>
      </c>
      <c r="E33" s="40"/>
      <c r="F33" s="47"/>
      <c r="G33" s="20"/>
      <c r="H33" s="23"/>
      <c r="I33" s="24">
        <v>0</v>
      </c>
      <c r="J33" s="40"/>
    </row>
    <row r="34" spans="2:10" x14ac:dyDescent="0.2">
      <c r="B34" s="20"/>
      <c r="C34" s="23" t="s">
        <v>15</v>
      </c>
      <c r="D34" s="25"/>
      <c r="E34" s="40"/>
      <c r="F34" s="47"/>
      <c r="G34" s="20"/>
      <c r="H34" s="23"/>
      <c r="I34" s="25"/>
      <c r="J34" s="40"/>
    </row>
    <row r="35" spans="2:10" x14ac:dyDescent="0.2">
      <c r="B35" s="20"/>
      <c r="C35" s="23" t="s">
        <v>16</v>
      </c>
      <c r="D35" s="26" t="s">
        <v>127</v>
      </c>
      <c r="E35" s="40"/>
      <c r="F35" s="47"/>
      <c r="G35" s="20"/>
      <c r="H35" s="23"/>
      <c r="I35" s="26" t="s">
        <v>31</v>
      </c>
      <c r="J35" s="40"/>
    </row>
    <row r="36" spans="2:10" x14ac:dyDescent="0.2">
      <c r="B36" s="20"/>
      <c r="C36" s="21" t="s">
        <v>17</v>
      </c>
      <c r="D36" s="27" t="s">
        <v>128</v>
      </c>
      <c r="E36" s="40"/>
      <c r="F36" s="47"/>
      <c r="G36" s="20"/>
      <c r="H36" s="21"/>
      <c r="I36" s="27" t="s">
        <v>158</v>
      </c>
      <c r="J36" s="40"/>
    </row>
    <row r="37" spans="2:10" x14ac:dyDescent="0.2">
      <c r="B37" s="20"/>
      <c r="C37" s="28"/>
      <c r="D37" s="28"/>
      <c r="E37" s="40"/>
      <c r="F37" s="47"/>
      <c r="G37" s="20"/>
      <c r="H37" s="28"/>
      <c r="I37" s="28"/>
      <c r="J37" s="40"/>
    </row>
    <row r="38" spans="2:10" x14ac:dyDescent="0.2">
      <c r="B38" s="20"/>
      <c r="C38" s="29">
        <f>_xll.qlTermStructureReferenceDate(YieldCurve1_3M)</f>
        <v>42321</v>
      </c>
      <c r="D38" s="30">
        <f>_xll.qlYieldTSDiscount(YieldCurve1_3M,C38,,Trigger)</f>
        <v>1</v>
      </c>
      <c r="E38" s="40"/>
      <c r="F38" s="47"/>
      <c r="G38" s="20"/>
      <c r="H38" s="29">
        <f>_xll.qlTermStructureReferenceDate(yieldcurve2_3M)</f>
        <v>42321</v>
      </c>
      <c r="I38" s="30">
        <f>_xll.qlYieldTSDiscount(yieldcurve2_3M,H38,,Trigger)</f>
        <v>1</v>
      </c>
      <c r="J38" s="40"/>
    </row>
    <row r="39" spans="2:10" x14ac:dyDescent="0.2">
      <c r="B39" s="20"/>
      <c r="C39" s="31">
        <f>_xll.qlTermStructureMaxDate(YieldCurve1_3M,Trigger)</f>
        <v>64236</v>
      </c>
      <c r="D39" s="32">
        <f>_xll.qlYieldTSDiscount(YieldCurve1_3M,C39,,Trigger)</f>
        <v>0.3056999689604411</v>
      </c>
      <c r="E39" s="40"/>
      <c r="F39" s="47"/>
      <c r="G39" s="20"/>
      <c r="H39" s="31">
        <f>_xll.qlTermStructureMaxDate(yieldcurve2_3M,Trigger)</f>
        <v>64236</v>
      </c>
      <c r="I39" s="32">
        <f>_xll.qlYieldTSDiscount(yieldcurve2_3M,H39,,Trigger)</f>
        <v>0.30558881899516688</v>
      </c>
      <c r="J39" s="40"/>
    </row>
    <row r="40" spans="2:10" x14ac:dyDescent="0.2">
      <c r="B40" s="20"/>
      <c r="C40" s="31" t="str">
        <f>Currency&amp;"3M"&amp;LCHlinear</f>
        <v>GBP3M_linearLCH</v>
      </c>
      <c r="D40" s="32" t="b">
        <f>_xll.qlRelinkableHandleLinkTo(C40,D30,Trigger)</f>
        <v>1</v>
      </c>
      <c r="E40" s="40"/>
      <c r="F40" s="47"/>
      <c r="G40" s="20"/>
      <c r="H40" s="31" t="str">
        <f>Currency&amp;"3M"&amp;LCHcubic</f>
        <v>GBP3M_cubicLCH</v>
      </c>
      <c r="I40" s="32" t="b">
        <f>_xll.qlRelinkableHandleLinkTo(H40,I30,Trigger)</f>
        <v>1</v>
      </c>
      <c r="J40" s="40"/>
    </row>
    <row r="41" spans="2:10" x14ac:dyDescent="0.2">
      <c r="B41" s="20"/>
      <c r="C41" s="33" t="s">
        <v>116</v>
      </c>
      <c r="D41" s="34" t="b">
        <v>0</v>
      </c>
      <c r="E41" s="40"/>
      <c r="F41" s="47"/>
      <c r="G41" s="20"/>
      <c r="H41" s="33" t="s">
        <v>116</v>
      </c>
      <c r="I41" s="34" t="b">
        <v>0</v>
      </c>
      <c r="J41" s="40"/>
    </row>
    <row r="42" spans="2:10" x14ac:dyDescent="0.2">
      <c r="B42" s="42"/>
      <c r="C42" s="43"/>
      <c r="D42" s="43"/>
      <c r="E42" s="44"/>
      <c r="F42" s="47"/>
      <c r="G42" s="42"/>
      <c r="H42" s="43"/>
      <c r="I42" s="43"/>
      <c r="J42" s="44"/>
    </row>
    <row r="43" spans="2:10" x14ac:dyDescent="0.2">
      <c r="F43" s="47"/>
    </row>
    <row r="44" spans="2:10" x14ac:dyDescent="0.2">
      <c r="B44" s="35"/>
      <c r="C44" s="45"/>
      <c r="D44" s="45"/>
      <c r="E44" s="37"/>
      <c r="F44" s="47"/>
      <c r="G44" s="35"/>
      <c r="H44" s="36"/>
      <c r="I44" s="36"/>
      <c r="J44" s="37"/>
    </row>
    <row r="45" spans="2:10" x14ac:dyDescent="0.2">
      <c r="B45" s="38"/>
      <c r="C45" s="19" t="s">
        <v>10</v>
      </c>
      <c r="D45" s="39" t="str">
        <f>_xll.qlPiecewiseYieldCurve(D47,D48,Calendar,_xll.ohPack(GBP6M!Y3:Y403),,,,D49,D50,D51,,Permanent,,ObjectOverwrite)</f>
        <v>_GBP6M_linearLCH#0007</v>
      </c>
      <c r="E45" s="40"/>
      <c r="F45" s="47"/>
      <c r="G45" s="20"/>
      <c r="H45" s="19"/>
      <c r="I45" s="39" t="str">
        <f>_xll.qlPiecewiseYieldCurve(I47,I48,Calendar,_xll.ohPack(GBP6M!Z3:Z59),,,,I49,I50,I51,,Permanent,,ObjectOverwrite)</f>
        <v>_GBP6M_cubicLCH#0007</v>
      </c>
      <c r="J45" s="40"/>
    </row>
    <row r="46" spans="2:10" x14ac:dyDescent="0.2">
      <c r="B46" s="38"/>
      <c r="C46" s="21" t="s">
        <v>11</v>
      </c>
      <c r="D46" s="41" t="str">
        <f>_xll.ohRangeRetrieveError(YieldCurve1_6M)</f>
        <v/>
      </c>
      <c r="E46" s="40"/>
      <c r="G46" s="20"/>
      <c r="H46" s="21"/>
      <c r="I46" s="41" t="str">
        <f>_xll.ohRangeRetrieveError(YieldCurve2_6M)</f>
        <v/>
      </c>
      <c r="J46" s="40"/>
    </row>
    <row r="47" spans="2:10" x14ac:dyDescent="0.2">
      <c r="B47" s="20"/>
      <c r="C47" s="19" t="s">
        <v>12</v>
      </c>
      <c r="D47" s="22" t="str">
        <f>"_"&amp;Currency&amp;"6M"&amp;LCHlinear</f>
        <v>_GBP6M_linearLCH</v>
      </c>
      <c r="E47" s="40"/>
      <c r="G47" s="20"/>
      <c r="H47" s="19"/>
      <c r="I47" s="22" t="str">
        <f>"_"&amp;Currency&amp;"6M"&amp;LCHcubic</f>
        <v>_GBP6M_cubicLCH</v>
      </c>
      <c r="J47" s="40"/>
    </row>
    <row r="48" spans="2:10" x14ac:dyDescent="0.2">
      <c r="B48" s="20"/>
      <c r="C48" s="23" t="s">
        <v>13</v>
      </c>
      <c r="D48" s="24">
        <v>0</v>
      </c>
      <c r="E48" s="40"/>
      <c r="G48" s="20"/>
      <c r="H48" s="23"/>
      <c r="I48" s="24">
        <v>0</v>
      </c>
      <c r="J48" s="40"/>
    </row>
    <row r="49" spans="2:10" x14ac:dyDescent="0.2">
      <c r="B49" s="20"/>
      <c r="C49" s="23" t="s">
        <v>15</v>
      </c>
      <c r="D49" s="25"/>
      <c r="E49" s="40"/>
      <c r="G49" s="20"/>
      <c r="H49" s="23"/>
      <c r="I49" s="25"/>
      <c r="J49" s="40"/>
    </row>
    <row r="50" spans="2:10" x14ac:dyDescent="0.2">
      <c r="B50" s="20"/>
      <c r="C50" s="23" t="s">
        <v>16</v>
      </c>
      <c r="D50" s="26" t="s">
        <v>127</v>
      </c>
      <c r="E50" s="40"/>
      <c r="G50" s="20"/>
      <c r="H50" s="23"/>
      <c r="I50" s="26" t="s">
        <v>31</v>
      </c>
      <c r="J50" s="40"/>
    </row>
    <row r="51" spans="2:10" x14ac:dyDescent="0.2">
      <c r="B51" s="20"/>
      <c r="C51" s="21" t="s">
        <v>17</v>
      </c>
      <c r="D51" s="27" t="s">
        <v>128</v>
      </c>
      <c r="E51" s="40"/>
      <c r="G51" s="20"/>
      <c r="H51" s="21"/>
      <c r="I51" s="27" t="s">
        <v>158</v>
      </c>
      <c r="J51" s="40"/>
    </row>
    <row r="52" spans="2:10" x14ac:dyDescent="0.2">
      <c r="B52" s="20"/>
      <c r="C52" s="28"/>
      <c r="D52" s="28"/>
      <c r="E52" s="40"/>
      <c r="G52" s="20"/>
      <c r="H52" s="28"/>
      <c r="I52" s="28"/>
      <c r="J52" s="40"/>
    </row>
    <row r="53" spans="2:10" x14ac:dyDescent="0.2">
      <c r="B53" s="20"/>
      <c r="C53" s="29">
        <f>_xll.qlTermStructureReferenceDate(YieldCurve1_6M)</f>
        <v>42321</v>
      </c>
      <c r="D53" s="30">
        <f>_xll.qlYieldTSDiscount(YieldCurve1_6M,C53,,Trigger)</f>
        <v>1</v>
      </c>
      <c r="E53" s="40"/>
      <c r="G53" s="20"/>
      <c r="H53" s="29">
        <f>_xll.qlTermStructureReferenceDate(YieldCurve2_6M)</f>
        <v>42321</v>
      </c>
      <c r="I53" s="30">
        <f>_xll.qlYieldTSDiscount(YieldCurve2_6M,H53,,Trigger)</f>
        <v>1</v>
      </c>
      <c r="J53" s="40"/>
    </row>
    <row r="54" spans="2:10" x14ac:dyDescent="0.2">
      <c r="B54" s="20"/>
      <c r="C54" s="31">
        <f>_xll.qlTermStructureMaxDate(YieldCurve1_6M,Trigger)</f>
        <v>64236</v>
      </c>
      <c r="D54" s="32">
        <f>_xll.qlYieldTSDiscount(YieldCurve1_6M,C54,,Trigger)</f>
        <v>0.30092390892373494</v>
      </c>
      <c r="E54" s="40"/>
      <c r="G54" s="20"/>
      <c r="H54" s="31">
        <f>_xll.qlTermStructureMaxDate(YieldCurve2_6M,Trigger)</f>
        <v>64236</v>
      </c>
      <c r="I54" s="32">
        <f>_xll.qlYieldTSDiscount(YieldCurve2_6M,H54,,Trigger)</f>
        <v>0.30082936600532961</v>
      </c>
      <c r="J54" s="40"/>
    </row>
    <row r="55" spans="2:10" x14ac:dyDescent="0.2">
      <c r="B55" s="20"/>
      <c r="C55" s="31" t="str">
        <f>Currency&amp;"6M"&amp;LCHlinear</f>
        <v>GBP6M_linearLCH</v>
      </c>
      <c r="D55" s="32" t="b">
        <f>_xll.qlRelinkableHandleLinkTo(C55,D45,Trigger)</f>
        <v>1</v>
      </c>
      <c r="E55" s="40"/>
      <c r="G55" s="20"/>
      <c r="H55" s="31" t="str">
        <f>Currency&amp;"6M"&amp;LCHcubic</f>
        <v>GBP6M_cubicLCH</v>
      </c>
      <c r="I55" s="32" t="b">
        <f>_xll.qlRelinkableHandleLinkTo(H55,I45,Trigger)</f>
        <v>1</v>
      </c>
      <c r="J55" s="40"/>
    </row>
    <row r="56" spans="2:10" x14ac:dyDescent="0.2">
      <c r="B56" s="20"/>
      <c r="C56" s="33" t="s">
        <v>116</v>
      </c>
      <c r="D56" s="34" t="b">
        <v>0</v>
      </c>
      <c r="E56" s="40"/>
      <c r="G56" s="20"/>
      <c r="H56" s="33" t="s">
        <v>116</v>
      </c>
      <c r="I56" s="34" t="b">
        <v>0</v>
      </c>
      <c r="J56" s="40"/>
    </row>
    <row r="57" spans="2:10" x14ac:dyDescent="0.2">
      <c r="B57" s="42"/>
      <c r="C57" s="43"/>
      <c r="D57" s="43"/>
      <c r="E57" s="44"/>
      <c r="G57" s="42"/>
      <c r="H57" s="43"/>
      <c r="I57" s="43"/>
      <c r="J57" s="44"/>
    </row>
    <row r="59" spans="2:10" x14ac:dyDescent="0.2">
      <c r="B59" s="35"/>
      <c r="C59" s="36"/>
      <c r="D59" s="36"/>
      <c r="E59" s="37"/>
      <c r="G59" s="35"/>
      <c r="H59" s="36"/>
      <c r="I59" s="36"/>
      <c r="J59" s="37"/>
    </row>
    <row r="60" spans="2:10" x14ac:dyDescent="0.2">
      <c r="B60" s="20"/>
      <c r="C60" s="19" t="s">
        <v>10</v>
      </c>
      <c r="D60" s="39" t="str">
        <f>_xll.qlPiecewiseYieldCurve(D62,D63,Calendar,_xll.ohPack(GBP1M!Y3:Y94),,,,D64,D65,D66,,Permanent,,ObjectOverwrite)</f>
        <v>_GBP1M_linearLCH#0007</v>
      </c>
      <c r="E60" s="40"/>
      <c r="G60" s="20"/>
      <c r="H60" s="19"/>
      <c r="I60" s="39" t="str">
        <f>_xll.qlPiecewiseYieldCurve(I62,I63,Calendar,_xll.ohPack(GBP1M!Z3:Z90),,,,I64,I65,I66,,Permanent,,ObjectOverwrite)</f>
        <v>_GBP1M_cubicLCH#0007</v>
      </c>
      <c r="J60" s="40"/>
    </row>
    <row r="61" spans="2:10" x14ac:dyDescent="0.2">
      <c r="B61" s="20"/>
      <c r="C61" s="21" t="s">
        <v>11</v>
      </c>
      <c r="D61" s="41" t="str">
        <f>_xll.ohRangeRetrieveError(yieldcurve1_1M)</f>
        <v/>
      </c>
      <c r="E61" s="40"/>
      <c r="G61" s="20"/>
      <c r="H61" s="21"/>
      <c r="I61" s="41" t="str">
        <f>_xll.ohRangeRetrieveError(yieldcurve2_1M)</f>
        <v/>
      </c>
      <c r="J61" s="40"/>
    </row>
    <row r="62" spans="2:10" x14ac:dyDescent="0.2">
      <c r="B62" s="20"/>
      <c r="C62" s="19" t="s">
        <v>12</v>
      </c>
      <c r="D62" s="22" t="str">
        <f>"_"&amp;Currency&amp;"1M"&amp;LCHlinear</f>
        <v>_GBP1M_linearLCH</v>
      </c>
      <c r="E62" s="40"/>
      <c r="G62" s="20"/>
      <c r="H62" s="19"/>
      <c r="I62" s="22" t="str">
        <f>"_"&amp;Currency&amp;"1M"&amp;LCHcubic</f>
        <v>_GBP1M_cubicLCH</v>
      </c>
      <c r="J62" s="40"/>
    </row>
    <row r="63" spans="2:10" x14ac:dyDescent="0.2">
      <c r="B63" s="20"/>
      <c r="C63" s="23" t="s">
        <v>13</v>
      </c>
      <c r="D63" s="24">
        <v>0</v>
      </c>
      <c r="E63" s="40"/>
      <c r="G63" s="20"/>
      <c r="H63" s="23"/>
      <c r="I63" s="24">
        <v>0</v>
      </c>
      <c r="J63" s="40"/>
    </row>
    <row r="64" spans="2:10" x14ac:dyDescent="0.2">
      <c r="B64" s="20"/>
      <c r="C64" s="23" t="s">
        <v>15</v>
      </c>
      <c r="D64" s="25"/>
      <c r="E64" s="40"/>
      <c r="G64" s="20"/>
      <c r="H64" s="23"/>
      <c r="I64" s="25"/>
      <c r="J64" s="40"/>
    </row>
    <row r="65" spans="2:10" x14ac:dyDescent="0.2">
      <c r="B65" s="20"/>
      <c r="C65" s="23" t="s">
        <v>16</v>
      </c>
      <c r="D65" s="26" t="s">
        <v>127</v>
      </c>
      <c r="E65" s="40"/>
      <c r="G65" s="20"/>
      <c r="H65" s="23"/>
      <c r="I65" s="26" t="s">
        <v>31</v>
      </c>
      <c r="J65" s="40"/>
    </row>
    <row r="66" spans="2:10" x14ac:dyDescent="0.2">
      <c r="B66" s="20"/>
      <c r="C66" s="21" t="s">
        <v>17</v>
      </c>
      <c r="D66" s="27" t="s">
        <v>128</v>
      </c>
      <c r="E66" s="40"/>
      <c r="G66" s="20"/>
      <c r="H66" s="21"/>
      <c r="I66" s="27" t="s">
        <v>158</v>
      </c>
      <c r="J66" s="40"/>
    </row>
    <row r="67" spans="2:10" x14ac:dyDescent="0.2">
      <c r="B67" s="20"/>
      <c r="C67" s="28"/>
      <c r="D67" s="28"/>
      <c r="E67" s="40"/>
      <c r="G67" s="20"/>
      <c r="H67" s="28"/>
      <c r="I67" s="28"/>
      <c r="J67" s="40"/>
    </row>
    <row r="68" spans="2:10" x14ac:dyDescent="0.2">
      <c r="B68" s="20"/>
      <c r="C68" s="29">
        <f>_xll.qlTermStructureReferenceDate(yieldcurve1_1M)</f>
        <v>42321</v>
      </c>
      <c r="D68" s="30">
        <f>_xll.qlYieldTSDiscount(yieldcurve1_1M,C68,,Trigger)</f>
        <v>1</v>
      </c>
      <c r="E68" s="40"/>
      <c r="G68" s="20"/>
      <c r="H68" s="29">
        <f>_xll.qlTermStructureReferenceDate(yieldcurve2_1M)</f>
        <v>42321</v>
      </c>
      <c r="I68" s="30">
        <f>_xll.qlYieldTSDiscount(yieldcurve2_1M,H68,,Trigger)</f>
        <v>1</v>
      </c>
      <c r="J68" s="40"/>
    </row>
    <row r="69" spans="2:10" x14ac:dyDescent="0.2">
      <c r="B69" s="20"/>
      <c r="C69" s="31">
        <f>_xll.qlTermStructureMaxDate(yieldcurve1_1M,Trigger)</f>
        <v>64237</v>
      </c>
      <c r="D69" s="32">
        <f>_xll.qlYieldTSDiscount(yieldcurve1_1M,C69,,Trigger)</f>
        <v>0.31206655103245873</v>
      </c>
      <c r="E69" s="40"/>
      <c r="G69" s="20"/>
      <c r="H69" s="31">
        <f>_xll.qlTermStructureMaxDate(yieldcurve2_1M,Trigger)</f>
        <v>64237</v>
      </c>
      <c r="I69" s="32">
        <f>_xll.qlYieldTSDiscount(yieldcurve2_1M,H69,,Trigger)</f>
        <v>0.31196320505164349</v>
      </c>
      <c r="J69" s="40"/>
    </row>
    <row r="70" spans="2:10" x14ac:dyDescent="0.2">
      <c r="B70" s="20"/>
      <c r="C70" s="31" t="str">
        <f>Currency&amp;"1M"&amp;LCHlinear</f>
        <v>GBP1M_linearLCH</v>
      </c>
      <c r="D70" s="32" t="b">
        <f>_xll.qlRelinkableHandleLinkTo(C70,D60,Trigger)</f>
        <v>1</v>
      </c>
      <c r="E70" s="40"/>
      <c r="G70" s="20"/>
      <c r="H70" s="31" t="str">
        <f>Currency&amp;"1M"&amp;LCHcubic</f>
        <v>GBP1M_cubicLCH</v>
      </c>
      <c r="I70" s="32" t="b">
        <f>_xll.qlRelinkableHandleLinkTo(H70,I60,Trigger)</f>
        <v>1</v>
      </c>
      <c r="J70" s="40"/>
    </row>
    <row r="71" spans="2:10" x14ac:dyDescent="0.2">
      <c r="B71" s="20"/>
      <c r="C71" s="33" t="s">
        <v>116</v>
      </c>
      <c r="D71" s="34" t="b">
        <v>0</v>
      </c>
      <c r="E71" s="40"/>
      <c r="G71" s="20"/>
      <c r="H71" s="33" t="s">
        <v>116</v>
      </c>
      <c r="I71" s="34" t="b">
        <v>0</v>
      </c>
      <c r="J71" s="40"/>
    </row>
    <row r="72" spans="2:10" x14ac:dyDescent="0.2">
      <c r="B72" s="42"/>
      <c r="C72" s="43"/>
      <c r="D72" s="43"/>
      <c r="E72" s="44"/>
      <c r="G72" s="42"/>
      <c r="H72" s="43"/>
      <c r="I72" s="43"/>
      <c r="J72" s="44"/>
    </row>
    <row r="74" spans="2:10" x14ac:dyDescent="0.2">
      <c r="B74" s="35"/>
      <c r="C74" s="36"/>
      <c r="D74" s="36"/>
      <c r="E74" s="37"/>
      <c r="G74" s="35"/>
      <c r="H74" s="36"/>
      <c r="I74" s="36"/>
      <c r="J74" s="37"/>
    </row>
    <row r="75" spans="2:10" x14ac:dyDescent="0.2">
      <c r="B75" s="20"/>
      <c r="C75" s="19" t="s">
        <v>10</v>
      </c>
      <c r="D75" s="39" t="str">
        <f>_xll.qlPiecewiseYieldCurve(D77,D78,Calendar,_xll.ohPack(GBP1Y!Z3:Z81),,,,D79,D80,D81,,Permanent,,ObjectOverwrite)</f>
        <v>_GBP1Y_linearLCH#0007</v>
      </c>
      <c r="E75" s="40"/>
      <c r="G75" s="20"/>
      <c r="H75" s="19"/>
      <c r="I75" s="39" t="str">
        <f>_xll.qlPiecewiseYieldCurve(I77,I78,Calendar,_xll.ohPack(GBP1Y!AA3:AA53),,,,I79,I80,I81,,Permanent,,ObjectOverwrite)</f>
        <v>_GBP1Y_cubicLCH#0007</v>
      </c>
      <c r="J75" s="40"/>
    </row>
    <row r="76" spans="2:10" x14ac:dyDescent="0.2">
      <c r="B76" s="20"/>
      <c r="C76" s="21" t="s">
        <v>11</v>
      </c>
      <c r="D76" s="41" t="str">
        <f>_xll.ohRangeRetrieveError(yieldcurve1_1Y)</f>
        <v/>
      </c>
      <c r="E76" s="40"/>
      <c r="G76" s="20"/>
      <c r="H76" s="21"/>
      <c r="I76" s="41" t="str">
        <f>_xll.ohRangeRetrieveError(yieldcurve2_1Y)</f>
        <v/>
      </c>
      <c r="J76" s="40"/>
    </row>
    <row r="77" spans="2:10" x14ac:dyDescent="0.2">
      <c r="B77" s="20"/>
      <c r="C77" s="19" t="s">
        <v>12</v>
      </c>
      <c r="D77" s="22" t="str">
        <f>"_"&amp;Currency&amp;"1Y"&amp;LCHlinear</f>
        <v>_GBP1Y_linearLCH</v>
      </c>
      <c r="E77" s="40"/>
      <c r="G77" s="20"/>
      <c r="H77" s="19"/>
      <c r="I77" s="22" t="str">
        <f>"_"&amp;Currency&amp;"1Y"&amp;LCHcubic</f>
        <v>_GBP1Y_cubicLCH</v>
      </c>
      <c r="J77" s="40"/>
    </row>
    <row r="78" spans="2:10" x14ac:dyDescent="0.2">
      <c r="B78" s="20"/>
      <c r="C78" s="23" t="s">
        <v>13</v>
      </c>
      <c r="D78" s="24">
        <v>0</v>
      </c>
      <c r="E78" s="40"/>
      <c r="G78" s="20"/>
      <c r="H78" s="23"/>
      <c r="I78" s="24">
        <v>0</v>
      </c>
      <c r="J78" s="40"/>
    </row>
    <row r="79" spans="2:10" x14ac:dyDescent="0.2">
      <c r="B79" s="20"/>
      <c r="C79" s="23" t="s">
        <v>15</v>
      </c>
      <c r="D79" s="25"/>
      <c r="E79" s="40"/>
      <c r="G79" s="20"/>
      <c r="H79" s="23"/>
      <c r="I79" s="25"/>
      <c r="J79" s="40"/>
    </row>
    <row r="80" spans="2:10" x14ac:dyDescent="0.2">
      <c r="B80" s="20"/>
      <c r="C80" s="23" t="s">
        <v>16</v>
      </c>
      <c r="D80" s="26" t="s">
        <v>127</v>
      </c>
      <c r="E80" s="40"/>
      <c r="G80" s="20"/>
      <c r="H80" s="23"/>
      <c r="I80" s="26" t="s">
        <v>31</v>
      </c>
      <c r="J80" s="40"/>
    </row>
    <row r="81" spans="2:10" x14ac:dyDescent="0.2">
      <c r="B81" s="20"/>
      <c r="C81" s="21" t="s">
        <v>17</v>
      </c>
      <c r="D81" s="27" t="s">
        <v>128</v>
      </c>
      <c r="E81" s="40"/>
      <c r="G81" s="20"/>
      <c r="H81" s="21"/>
      <c r="I81" s="27" t="s">
        <v>158</v>
      </c>
      <c r="J81" s="40"/>
    </row>
    <row r="82" spans="2:10" x14ac:dyDescent="0.2">
      <c r="B82" s="20"/>
      <c r="C82" s="28"/>
      <c r="D82" s="28"/>
      <c r="E82" s="40"/>
      <c r="G82" s="20"/>
      <c r="H82" s="28"/>
      <c r="I82" s="28"/>
      <c r="J82" s="40"/>
    </row>
    <row r="83" spans="2:10" x14ac:dyDescent="0.2">
      <c r="B83" s="20"/>
      <c r="C83" s="29">
        <f>_xll.qlTermStructureReferenceDate(yieldcurve1_1Y)</f>
        <v>42321</v>
      </c>
      <c r="D83" s="30">
        <f>_xll.qlYieldTSDiscount(yieldcurve1_1Y,C83,,Trigger)</f>
        <v>1</v>
      </c>
      <c r="E83" s="40"/>
      <c r="G83" s="20"/>
      <c r="H83" s="29">
        <f>_xll.qlTermStructureReferenceDate(yieldcurve2_1Y)</f>
        <v>42321</v>
      </c>
      <c r="I83" s="30">
        <f>_xll.qlYieldTSDiscount(yieldcurve2_1Y,H83,,Trigger)</f>
        <v>1</v>
      </c>
      <c r="J83" s="40"/>
    </row>
    <row r="84" spans="2:10" x14ac:dyDescent="0.2">
      <c r="B84" s="20"/>
      <c r="C84" s="31">
        <f>_xll.qlTermStructureMaxDate(yieldcurve1_1Y,Trigger)</f>
        <v>64236</v>
      </c>
      <c r="D84" s="32">
        <f>_xll.qlYieldTSDiscount(yieldcurve1_1Y,C84,,Trigger)</f>
        <v>0.29360266492000076</v>
      </c>
      <c r="E84" s="40"/>
      <c r="G84" s="20"/>
      <c r="H84" s="31">
        <f>_xll.qlTermStructureMaxDate(yieldcurve2_1Y,Trigger)</f>
        <v>64236</v>
      </c>
      <c r="I84" s="32">
        <f>_xll.qlYieldTSDiscount(yieldcurve2_1Y,H84,,Trigger)</f>
        <v>0.29347858001801014</v>
      </c>
      <c r="J84" s="40"/>
    </row>
    <row r="85" spans="2:10" x14ac:dyDescent="0.2">
      <c r="B85" s="20"/>
      <c r="C85" s="31" t="str">
        <f>Currency&amp;"1Y"&amp;LCHlinear</f>
        <v>GBP1Y_linearLCH</v>
      </c>
      <c r="D85" s="32" t="b">
        <f>_xll.qlRelinkableHandleLinkTo(C85,D75,Trigger)</f>
        <v>1</v>
      </c>
      <c r="E85" s="40"/>
      <c r="G85" s="20"/>
      <c r="H85" s="31" t="str">
        <f>Currency&amp;"1Y"&amp;LCHcubic</f>
        <v>GBP1Y_cubicLCH</v>
      </c>
      <c r="I85" s="32" t="b">
        <f>_xll.qlRelinkableHandleLinkTo(H85,I75,Trigger)</f>
        <v>1</v>
      </c>
      <c r="J85" s="40"/>
    </row>
    <row r="86" spans="2:10" x14ac:dyDescent="0.2">
      <c r="B86" s="20"/>
      <c r="C86" s="33" t="s">
        <v>116</v>
      </c>
      <c r="D86" s="34" t="b">
        <v>0</v>
      </c>
      <c r="E86" s="40"/>
      <c r="G86" s="20"/>
      <c r="H86" s="33" t="s">
        <v>116</v>
      </c>
      <c r="I86" s="34" t="b">
        <v>0</v>
      </c>
      <c r="J86" s="40"/>
    </row>
    <row r="87" spans="2:10" x14ac:dyDescent="0.2">
      <c r="B87" s="42"/>
      <c r="C87" s="43"/>
      <c r="D87" s="43"/>
      <c r="E87" s="44"/>
      <c r="G87" s="42"/>
      <c r="H87" s="43"/>
      <c r="I87" s="43"/>
      <c r="J87" s="44"/>
    </row>
    <row r="89" spans="2:10" x14ac:dyDescent="0.2">
      <c r="B89" s="35"/>
      <c r="C89" s="36"/>
      <c r="D89" s="36"/>
      <c r="E89" s="37"/>
    </row>
    <row r="90" spans="2:10" x14ac:dyDescent="0.2">
      <c r="B90" s="20"/>
      <c r="C90" s="19" t="s">
        <v>10</v>
      </c>
      <c r="D90" s="39" t="str">
        <f>_xll.qlPiecewiseYieldCurve(D92,D93,Calendar,_xll.ohPack(GBPSTD!W3:W72),,,,D94,D95,D96,,Permanent,,ObjectOverwrite)</f>
        <v>_GBPSTD_linearLCH#0007</v>
      </c>
      <c r="E90" s="40"/>
    </row>
    <row r="91" spans="2:10" x14ac:dyDescent="0.2">
      <c r="B91" s="20"/>
      <c r="C91" s="21" t="s">
        <v>11</v>
      </c>
      <c r="D91" s="41" t="str">
        <f>_xll.ohRangeRetrieveError(yieldcurve1_1Y)</f>
        <v/>
      </c>
      <c r="E91" s="40"/>
    </row>
    <row r="92" spans="2:10" x14ac:dyDescent="0.2">
      <c r="B92" s="20"/>
      <c r="C92" s="19" t="s">
        <v>12</v>
      </c>
      <c r="D92" s="22" t="str">
        <f>"_"&amp;Currency&amp;"STD"&amp;LCHlinear</f>
        <v>_GBPSTD_linearLCH</v>
      </c>
      <c r="E92" s="40"/>
    </row>
    <row r="93" spans="2:10" x14ac:dyDescent="0.2">
      <c r="B93" s="20"/>
      <c r="C93" s="23" t="s">
        <v>13</v>
      </c>
      <c r="D93" s="24">
        <v>0</v>
      </c>
      <c r="E93" s="40"/>
    </row>
    <row r="94" spans="2:10" x14ac:dyDescent="0.2">
      <c r="B94" s="20"/>
      <c r="C94" s="23" t="s">
        <v>15</v>
      </c>
      <c r="D94" s="25"/>
      <c r="E94" s="40"/>
    </row>
    <row r="95" spans="2:10" x14ac:dyDescent="0.2">
      <c r="B95" s="20"/>
      <c r="C95" s="23" t="s">
        <v>16</v>
      </c>
      <c r="D95" s="26" t="s">
        <v>127</v>
      </c>
      <c r="E95" s="40"/>
    </row>
    <row r="96" spans="2:10" x14ac:dyDescent="0.2">
      <c r="B96" s="20"/>
      <c r="C96" s="21" t="s">
        <v>17</v>
      </c>
      <c r="D96" s="27" t="s">
        <v>128</v>
      </c>
      <c r="E96" s="40"/>
    </row>
    <row r="97" spans="2:5" x14ac:dyDescent="0.2">
      <c r="B97" s="20"/>
      <c r="C97" s="28"/>
      <c r="D97" s="28"/>
      <c r="E97" s="40"/>
    </row>
    <row r="98" spans="2:5" x14ac:dyDescent="0.2">
      <c r="B98" s="20"/>
      <c r="C98" s="29">
        <f>_xll.qlTermStructureReferenceDate(yieldcurve1_STD)</f>
        <v>42321</v>
      </c>
      <c r="D98" s="30">
        <f>_xll.qlYieldTSDiscount(yieldcurve1_STD,C98,,Trigger)</f>
        <v>1</v>
      </c>
      <c r="E98" s="40"/>
    </row>
    <row r="99" spans="2:5" x14ac:dyDescent="0.2">
      <c r="B99" s="20"/>
      <c r="C99" s="31">
        <f>_xll.qlTermStructureMaxDate(yieldcurve1_STD,Trigger)</f>
        <v>64236</v>
      </c>
      <c r="D99" s="32">
        <f>_xll.qlYieldTSDiscount(yieldcurve1_STD,C99,,Trigger)</f>
        <v>0.30113188722256373</v>
      </c>
      <c r="E99" s="40"/>
    </row>
    <row r="100" spans="2:5" x14ac:dyDescent="0.2">
      <c r="B100" s="20"/>
      <c r="C100" s="31" t="str">
        <f>Currency&amp;"STD"&amp;LCHlinear</f>
        <v>GBPSTD_linearLCH</v>
      </c>
      <c r="D100" s="32" t="b">
        <f>_xll.qlRelinkableHandleLinkTo(C100,D90,Trigger)</f>
        <v>1</v>
      </c>
      <c r="E100" s="40"/>
    </row>
    <row r="101" spans="2:5" x14ac:dyDescent="0.2">
      <c r="B101" s="20"/>
      <c r="C101" s="33" t="s">
        <v>116</v>
      </c>
      <c r="D101" s="34" t="b">
        <v>0</v>
      </c>
      <c r="E101" s="40"/>
    </row>
    <row r="102" spans="2:5" x14ac:dyDescent="0.2">
      <c r="B102" s="42"/>
      <c r="C102" s="43"/>
      <c r="D102" s="43"/>
      <c r="E102" s="44"/>
    </row>
  </sheetData>
  <dataValidations count="3">
    <dataValidation type="list" allowBlank="1" showInputMessage="1" showErrorMessage="1" sqref="D3">
      <formula1>"EUR,USD,GBP,JPY,CHF,AUD,CNY,CNH,HKD,RMB,SEK,PLN,HUF,CZK"</formula1>
    </dataValidation>
    <dataValidation type="list" allowBlank="1" showInputMessage="1" showErrorMessage="1" sqref="D11">
      <formula1>"TARGET,UnitedKingdom::Exchange,UnitedKingdom::Metals,UnitedKingdom::Settlement,UnitedStates::GovernmentBond,UnitedStates::NERC,UnitedStates::NYSE,UnitedStates::Settlement,Switzerland,Japan,Italy::Exchange,NullCalendar"</formula1>
    </dataValidation>
    <dataValidation type="list" allowBlank="1" showInputMessage="1" showErrorMessage="1" sqref="I3">
      <formula1>"ibor,Libor"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1"/>
  <dimension ref="A1:AI81"/>
  <sheetViews>
    <sheetView showGridLines="0" topLeftCell="H1" zoomScaleNormal="100" workbookViewId="0">
      <selection activeCell="H1" sqref="H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11" style="50" hidden="1" customWidth="1" outlineLevel="1"/>
    <col min="4" max="4" width="12" style="52" hidden="1" customWidth="1" outlineLevel="1"/>
    <col min="5" max="5" width="24.42578125" style="46" hidden="1" customWidth="1" outlineLevel="1"/>
    <col min="6" max="6" width="20.28515625" style="46" hidden="1" customWidth="1" outlineLevel="1"/>
    <col min="7" max="7" width="15.140625" style="46" hidden="1" customWidth="1" outlineLevel="1"/>
    <col min="8" max="8" width="2.7109375" style="46" customWidth="1" collapsed="1"/>
    <col min="9" max="9" width="9" style="46" hidden="1" customWidth="1" outlineLevel="1"/>
    <col min="10" max="10" width="15.140625" style="103" hidden="1" customWidth="1" outlineLevel="1"/>
    <col min="11" max="11" width="21.42578125" style="103" hidden="1" customWidth="1" outlineLevel="1"/>
    <col min="12" max="12" width="12" style="103" hidden="1" customWidth="1" outlineLevel="1"/>
    <col min="13" max="13" width="7.85546875" style="103" hidden="1" customWidth="1" outlineLevel="1"/>
    <col min="14" max="14" width="9" style="103" hidden="1" customWidth="1" outlineLevel="1"/>
    <col min="15" max="15" width="5.85546875" style="103" hidden="1" customWidth="1" outlineLevel="1"/>
    <col min="16" max="17" width="10.7109375" style="103" hidden="1" customWidth="1" outlineLevel="1"/>
    <col min="18" max="18" width="2.7109375" style="48" hidden="1" customWidth="1" outlineLevel="1"/>
    <col min="19" max="19" width="6" style="46" customWidth="1" collapsed="1"/>
    <col min="20" max="20" width="10.140625" style="46" hidden="1" customWidth="1" outlineLevel="1"/>
    <col min="21" max="21" width="24.7109375" style="46" customWidth="1" collapsed="1"/>
    <col min="22" max="23" width="9.7109375" style="46" customWidth="1"/>
    <col min="24" max="25" width="17.28515625" style="46" bestFit="1" customWidth="1"/>
    <col min="26" max="26" width="13.140625" style="46" bestFit="1" customWidth="1"/>
    <col min="27" max="27" width="12.42578125" style="46" customWidth="1"/>
    <col min="28" max="28" width="10" style="46" hidden="1" customWidth="1" outlineLevel="1"/>
    <col min="29" max="29" width="9" style="46" hidden="1" customWidth="1" outlineLevel="1"/>
    <col min="30" max="30" width="10" style="46" hidden="1" customWidth="1" outlineLevel="1"/>
    <col min="31" max="31" width="12" style="46" hidden="1" customWidth="1" outlineLevel="1"/>
    <col min="32" max="32" width="10" style="46" hidden="1" customWidth="1" outlineLevel="1"/>
    <col min="33" max="33" width="3.7109375" style="46" customWidth="1" collapsed="1"/>
    <col min="34" max="35" width="24.42578125" style="46" bestFit="1" customWidth="1"/>
    <col min="36" max="37" width="11.7109375" style="46" customWidth="1"/>
    <col min="38" max="39" width="24.42578125" style="46" bestFit="1" customWidth="1"/>
    <col min="40" max="40" width="10" style="46" bestFit="1" customWidth="1"/>
    <col min="41" max="41" width="24.42578125" style="46" bestFit="1" customWidth="1"/>
    <col min="42" max="16384" width="9.140625" style="46"/>
  </cols>
  <sheetData>
    <row r="1" spans="1:35" ht="18" customHeight="1" x14ac:dyDescent="0.2">
      <c r="D1" s="50" t="s">
        <v>153</v>
      </c>
      <c r="I1" s="67" t="s">
        <v>24</v>
      </c>
      <c r="J1" s="106"/>
      <c r="K1" s="106"/>
      <c r="L1" s="106"/>
      <c r="M1" s="106"/>
      <c r="N1" s="106"/>
      <c r="O1" s="106"/>
      <c r="P1" s="106"/>
      <c r="Q1" s="96"/>
      <c r="R1" s="93"/>
      <c r="S1" s="74" t="str">
        <f>Currency&amp;"OIS"</f>
        <v>GBPOIS</v>
      </c>
      <c r="T1" s="66"/>
      <c r="U1" s="66"/>
      <c r="V1" s="69"/>
      <c r="W1" s="69"/>
      <c r="X1" s="66"/>
      <c r="Y1" s="66"/>
      <c r="Z1" s="178" t="s">
        <v>128</v>
      </c>
      <c r="AA1" s="178" t="s">
        <v>135</v>
      </c>
    </row>
    <row r="2" spans="1:35" ht="21.75" customHeight="1" x14ac:dyDescent="0.2">
      <c r="A2" s="65" t="s">
        <v>9</v>
      </c>
      <c r="B2" s="65" t="s">
        <v>28</v>
      </c>
      <c r="C2" s="65" t="s">
        <v>73</v>
      </c>
      <c r="D2" s="65" t="s">
        <v>4</v>
      </c>
      <c r="E2" s="65" t="s">
        <v>1</v>
      </c>
      <c r="F2" s="65"/>
      <c r="G2" s="65" t="s">
        <v>24</v>
      </c>
      <c r="I2" s="73" t="s">
        <v>9</v>
      </c>
      <c r="J2" s="73" t="s">
        <v>24</v>
      </c>
      <c r="K2" s="73" t="s">
        <v>77</v>
      </c>
      <c r="L2" s="73" t="s">
        <v>80</v>
      </c>
      <c r="M2" s="73" t="s">
        <v>78</v>
      </c>
      <c r="N2" s="73" t="s">
        <v>79</v>
      </c>
      <c r="O2" s="73" t="s">
        <v>81</v>
      </c>
      <c r="P2" s="73" t="s">
        <v>22</v>
      </c>
      <c r="Q2" s="73" t="s">
        <v>74</v>
      </c>
      <c r="R2" s="93"/>
      <c r="S2" s="73" t="s">
        <v>9</v>
      </c>
      <c r="T2" s="73" t="s">
        <v>24</v>
      </c>
      <c r="U2" s="73" t="s">
        <v>77</v>
      </c>
      <c r="V2" s="75" t="s">
        <v>23</v>
      </c>
      <c r="W2" s="75" t="s">
        <v>82</v>
      </c>
      <c r="X2" s="73" t="s">
        <v>22</v>
      </c>
      <c r="Y2" s="73" t="s">
        <v>74</v>
      </c>
      <c r="Z2" s="171">
        <f t="array" ref="Z2:Z77">_xll.qlPiecewiseYieldCurveData(YieldCurve1_ON,Trigger)</f>
        <v>4.8187045744519375E-3</v>
      </c>
      <c r="AA2" s="76">
        <f t="array" ref="AA2:AA77">_xll.qlPiecewiseYieldCurveData(yieldcurve2_ON,Trigger)</f>
        <v>1</v>
      </c>
      <c r="AD2" s="46" t="s">
        <v>136</v>
      </c>
      <c r="AF2" s="46" t="s">
        <v>137</v>
      </c>
      <c r="AH2" s="211" t="s">
        <v>83</v>
      </c>
      <c r="AI2" s="212"/>
    </row>
    <row r="3" spans="1:35" ht="11.25" customHeight="1" x14ac:dyDescent="0.2">
      <c r="A3" s="53" t="s">
        <v>26</v>
      </c>
      <c r="B3" s="54" t="s">
        <v>36</v>
      </c>
      <c r="C3" s="56" t="s">
        <v>6</v>
      </c>
      <c r="D3" s="55" t="str">
        <f>$D$1</f>
        <v>Sonia</v>
      </c>
      <c r="E3" s="57" t="str">
        <f>IF(ReportQuoteOverwrite,Currency&amp;"1DOIS"&amp;ReportQuoteSuffix,Currency&amp;$B3&amp;"D"&amp;QuoteSuffix)</f>
        <v>GBPOND_LCHQuote</v>
      </c>
      <c r="F3" s="123"/>
      <c r="G3" s="58" t="str">
        <f>_xll.qlDepositRateHelper(,E3,D3,Permanent,Trigger,ObjectOverwrite)</f>
        <v>obj_00413#0007</v>
      </c>
      <c r="H3" s="49"/>
      <c r="I3" s="10" t="str">
        <f>A3</f>
        <v>Dp</v>
      </c>
      <c r="J3" s="94" t="str">
        <f>IF(ISBLANK(G3),"--",G3)</f>
        <v>obj_00413#0007</v>
      </c>
      <c r="K3" s="146" t="str">
        <f>IFERROR(_xll.qlRateHelperQuoteName(J3,Trigger),"--")</f>
        <v>GBPOND_LCHQuote</v>
      </c>
      <c r="L3" s="98">
        <f>IFERROR(_xll.qlRateHelperQuoteValue($J3,Trigger),"--")</f>
        <v>4.8188000000000007E-3</v>
      </c>
      <c r="M3" s="97" t="b">
        <v>1</v>
      </c>
      <c r="N3" s="94">
        <v>70</v>
      </c>
      <c r="O3" s="94">
        <v>1</v>
      </c>
      <c r="P3" s="99">
        <f>IFERROR(_xll.qlRateHelperEarliestDate(J3,Trigger),"--")</f>
        <v>42321</v>
      </c>
      <c r="Q3" s="99">
        <f>IFERROR(_xll.qlRateHelperPillarDate(J3,Trigger),"--")</f>
        <v>42324</v>
      </c>
      <c r="S3" s="4" t="str">
        <f t="shared" ref="S3:S44" si="0">IFERROR(INDEX($I$3:$I$77,MATCH(U3,$K$3:$K$77,0),1),"")</f>
        <v>Dp</v>
      </c>
      <c r="T3" s="4" t="str">
        <f t="array" ref="T3:T77">_xll.qlRateHelperSelection(_xll.ohFilter(RateHelpers,IncludeFlag),_xll.ohFilter(Priority,IncludeFlag),AI3,AI4,AI5,AI6,_xll.ohFilter(MinDistance,IncludeFlag),Trigger)</f>
        <v>obj_00413</v>
      </c>
      <c r="U3" s="4" t="str">
        <f>IFERROR(_xll.qlRateHelperQuoteName(T3,Trigger),"")</f>
        <v>GBPOND_LCHQuote</v>
      </c>
      <c r="V3" s="70">
        <f>IFERROR(_xll.qlRateHelperRate(T3,Trigger),"")</f>
        <v>4.8188000000000007E-3</v>
      </c>
      <c r="W3" s="104" t="str">
        <f>IF(ISERROR(_xll.qlSwapRateHelperSpread($T3)),IF(ISERROR(_xll.qlFuturesRateHelperConvexityAdjustment($T3)),"",_xll.qlFuturesRateHelperConvexityAdjustment($T3)),_xll.qlSwapRateHelperSpread($T3))</f>
        <v/>
      </c>
      <c r="X3" s="5">
        <f>IFERROR(_xll.qlRateHelperEarliestDate(T3,Trigger),"")</f>
        <v>42321</v>
      </c>
      <c r="Y3" s="5">
        <f>IFERROR(_xll.qlRateHelperPillarDate(T3,Trigger),"")</f>
        <v>42324</v>
      </c>
      <c r="Z3" s="70">
        <v>4.8187045744519375E-3</v>
      </c>
      <c r="AA3" s="77">
        <v>0.99996039499327627</v>
      </c>
      <c r="AB3" s="169">
        <f t="array" ref="AB3:AB77">_xll.ohFilter([1]REP00100!$C$2:$C$2000,([1]REP00100!$A$2:$A$2000="GBP_SONIA_EOD"))</f>
        <v>42321</v>
      </c>
      <c r="AC3" s="170">
        <f t="array" ref="AC3:AC77">_xll.ohFilter([1]REP00100!$E$2:$E$2000,([1]REP00100!$A$2:$A$2000="GBP_SONIA_EOD"))</f>
        <v>4.6109708751268502E-3</v>
      </c>
      <c r="AD3" s="172">
        <f>Z3-AC3</f>
        <v>2.077336993250873E-4</v>
      </c>
      <c r="AE3" s="174">
        <f t="array" ref="AE3:AE77">_xll.ohFilter([1]REP00101!$F$2:$F$2000,([1]REP00101!$A$2:$A$2000="GBP_SONIA_EOD"))</f>
        <v>0.99998736728287496</v>
      </c>
      <c r="AF3" s="173">
        <f>AA3-AE3</f>
        <v>-2.6972289598692356E-5</v>
      </c>
      <c r="AG3" s="170"/>
      <c r="AH3" s="107" t="s">
        <v>84</v>
      </c>
      <c r="AI3" s="108">
        <v>0</v>
      </c>
    </row>
    <row r="4" spans="1:35" ht="11.25" customHeight="1" x14ac:dyDescent="0.2">
      <c r="A4" s="110" t="s">
        <v>26</v>
      </c>
      <c r="B4" s="111" t="s">
        <v>71</v>
      </c>
      <c r="C4" s="112" t="s">
        <v>72</v>
      </c>
      <c r="D4" s="113" t="str">
        <f>$D$1</f>
        <v>Sonia</v>
      </c>
      <c r="E4" s="168" t="str">
        <f>IF(ReportQuoteOverwrite,Currency&amp;"2DOIS"&amp;ReportQuoteSuffix,Currency&amp;$B4&amp;"D"&amp;QuoteSuffix)</f>
        <v>GBPTND_LCHQuote</v>
      </c>
      <c r="F4" s="122"/>
      <c r="G4" s="114" t="s">
        <v>162</v>
      </c>
      <c r="H4" s="48"/>
      <c r="I4" s="10" t="str">
        <f>A4</f>
        <v>Dp</v>
      </c>
      <c r="J4" s="94" t="str">
        <f t="shared" ref="J4" si="1">IF(ISBLANK(G4),"--",G4)</f>
        <v>qlFraRateHelper(,E4,C4,D4,PillarDate,,Permanent,Trigger,ObjectOverwrite)</v>
      </c>
      <c r="K4" s="146" t="str">
        <f>IFERROR(_xll.qlRateHelperQuoteName(J4,Trigger),"--")</f>
        <v>--</v>
      </c>
      <c r="L4" s="98" t="str">
        <f>IFERROR(_xll.qlRateHelperQuoteValue($J4,Trigger),"--")</f>
        <v>--</v>
      </c>
      <c r="M4" s="97" t="b">
        <v>0</v>
      </c>
      <c r="N4" s="94">
        <v>70</v>
      </c>
      <c r="O4" s="94">
        <v>1</v>
      </c>
      <c r="P4" s="99" t="str">
        <f>IFERROR(_xll.qlRateHelperEarliestDate(J4,Trigger),"--")</f>
        <v>--</v>
      </c>
      <c r="Q4" s="99" t="str">
        <f>IFERROR(_xll.qlRateHelperPillarDate(J4,Trigger),"--")</f>
        <v>--</v>
      </c>
      <c r="S4" s="4" t="str">
        <f t="shared" si="0"/>
        <v>OIS</v>
      </c>
      <c r="T4" s="4" t="str">
        <v>obj_00388</v>
      </c>
      <c r="U4" s="4" t="str">
        <f>IFERROR(_xll.qlRateHelperQuoteName(T4,Trigger),"")</f>
        <v>GBPSWOIS_LCHQuote</v>
      </c>
      <c r="V4" s="70">
        <f>IFERROR(_xll.qlRateHelperRate(T4,Trigger),"")</f>
        <v>4.6499999999999996E-3</v>
      </c>
      <c r="W4" s="104" t="str">
        <f>IF(ISERROR(_xll.qlSwapRateHelperSpread($T4)),IF(ISERROR(_xll.qlFuturesRateHelperConvexityAdjustment($T4)),"",_xll.qlFuturesRateHelperConvexityAdjustment($T4)),_xll.qlSwapRateHelperSpread($T4))</f>
        <v/>
      </c>
      <c r="X4" s="5">
        <f>IFERROR(_xll.qlRateHelperEarliestDate(T4,Trigger),"")</f>
        <v>42321</v>
      </c>
      <c r="Y4" s="5">
        <f>IFERROR(_xll.qlRateHelperPillarDate(T4,Trigger),"")</f>
        <v>42328</v>
      </c>
      <c r="Z4" s="70">
        <v>4.6497926732990136E-3</v>
      </c>
      <c r="AA4" s="77">
        <v>0.99991082986994573</v>
      </c>
      <c r="AB4" s="169">
        <v>42327</v>
      </c>
      <c r="AC4" s="170">
        <v>4.6372937864150102E-3</v>
      </c>
      <c r="AD4" s="172">
        <f t="shared" ref="AD4:AD67" si="2">Z4-AC4</f>
        <v>1.2498886884003413E-5</v>
      </c>
      <c r="AE4" s="174">
        <v>0.999911069553163</v>
      </c>
      <c r="AF4" s="173">
        <f t="shared" ref="AF4:AF67" si="3">AA4-AE4</f>
        <v>-2.3968321727352304E-7</v>
      </c>
      <c r="AG4" s="170"/>
      <c r="AH4" s="107" t="s">
        <v>85</v>
      </c>
      <c r="AI4" s="108">
        <v>0</v>
      </c>
    </row>
    <row r="5" spans="1:35" ht="11.25" customHeight="1" x14ac:dyDescent="0.2">
      <c r="D5" s="50"/>
      <c r="E5" s="103" t="s">
        <v>69</v>
      </c>
      <c r="H5" s="48"/>
      <c r="I5" s="68" t="str">
        <f>A7</f>
        <v>OIS</v>
      </c>
      <c r="J5" s="131" t="str">
        <f>IF(ISBLANK(G7),"--",G7)</f>
        <v>obj_00388#0007</v>
      </c>
      <c r="K5" s="145" t="str">
        <f>IFERROR(_xll.qlRateHelperQuoteName(J5,Trigger),"--")</f>
        <v>GBPSWOIS_LCHQuote</v>
      </c>
      <c r="L5" s="133">
        <f>IFERROR(_xll.qlRateHelperQuoteValue($J5,Trigger),"--")</f>
        <v>4.6499999999999996E-3</v>
      </c>
      <c r="M5" s="132" t="b">
        <v>1</v>
      </c>
      <c r="N5" s="131">
        <v>50</v>
      </c>
      <c r="O5" s="131">
        <v>1</v>
      </c>
      <c r="P5" s="134">
        <f>IFERROR(_xll.qlRateHelperEarliestDate(J5,Trigger),"--")</f>
        <v>42321</v>
      </c>
      <c r="Q5" s="134">
        <f>IFERROR(_xll.qlRateHelperPillarDate(J5,Trigger),"--")</f>
        <v>42328</v>
      </c>
      <c r="S5" s="4" t="str">
        <f t="shared" si="0"/>
        <v>OIS</v>
      </c>
      <c r="T5" s="4" t="str">
        <v>obj_0039e</v>
      </c>
      <c r="U5" s="4" t="str">
        <f>IFERROR(_xll.qlRateHelperQuoteName(T5,Trigger),"")</f>
        <v>GBP2WOIS_LCHQuote</v>
      </c>
      <c r="V5" s="70">
        <f>IFERROR(_xll.qlRateHelperRate(T5,Trigger),"")</f>
        <v>4.6499999999999996E-3</v>
      </c>
      <c r="W5" s="104" t="str">
        <f>IF(ISERROR(_xll.qlSwapRateHelperSpread($T5)),IF(ISERROR(_xll.qlFuturesRateHelperConvexityAdjustment($T5)),"",_xll.qlFuturesRateHelperConvexityAdjustment($T5)),_xll.qlSwapRateHelperSpread($T5))</f>
        <v/>
      </c>
      <c r="X5" s="5">
        <f>IFERROR(_xll.qlRateHelperEarliestDate(T5,Trigger),"")</f>
        <v>42321</v>
      </c>
      <c r="Y5" s="5">
        <f>IFERROR(_xll.qlRateHelperPillarDate(T5,Trigger),"")</f>
        <v>42335</v>
      </c>
      <c r="Z5" s="70">
        <v>4.6495853712229243E-3</v>
      </c>
      <c r="AA5" s="77">
        <v>0.99982167564086533</v>
      </c>
      <c r="AB5" s="169">
        <v>42334</v>
      </c>
      <c r="AC5" s="170">
        <v>4.6245898173427101E-3</v>
      </c>
      <c r="AD5" s="172">
        <f t="shared" si="2"/>
        <v>2.4995553880214141E-5</v>
      </c>
      <c r="AE5" s="174">
        <v>0.99982263420393302</v>
      </c>
      <c r="AF5" s="173">
        <f t="shared" si="3"/>
        <v>-9.5856306769892541E-7</v>
      </c>
      <c r="AG5" s="170"/>
      <c r="AH5" s="107" t="s">
        <v>86</v>
      </c>
      <c r="AI5" s="108">
        <v>0</v>
      </c>
    </row>
    <row r="6" spans="1:35" ht="11.25" customHeight="1" x14ac:dyDescent="0.2">
      <c r="A6" s="65" t="s">
        <v>9</v>
      </c>
      <c r="B6" s="65" t="s">
        <v>28</v>
      </c>
      <c r="C6" s="65" t="s">
        <v>76</v>
      </c>
      <c r="D6" s="65" t="s">
        <v>4</v>
      </c>
      <c r="E6" s="65" t="s">
        <v>1</v>
      </c>
      <c r="F6" s="65"/>
      <c r="G6" s="65" t="s">
        <v>24</v>
      </c>
      <c r="H6" s="48"/>
      <c r="I6" s="10" t="str">
        <f t="shared" ref="I6:I40" si="4">A8</f>
        <v>OIS</v>
      </c>
      <c r="J6" s="94" t="str">
        <f t="shared" ref="J6:J40" si="5">IF(ISBLANK(G8),"--",G8)</f>
        <v>obj_0039e#0007</v>
      </c>
      <c r="K6" s="146" t="str">
        <f>IFERROR(_xll.qlRateHelperQuoteName(J6,Trigger),"--")</f>
        <v>GBP2WOIS_LCHQuote</v>
      </c>
      <c r="L6" s="98">
        <f>IFERROR(_xll.qlRateHelperQuoteValue($J6,Trigger),"--")</f>
        <v>4.6499999999999996E-3</v>
      </c>
      <c r="M6" s="97" t="b">
        <v>1</v>
      </c>
      <c r="N6" s="94">
        <v>50</v>
      </c>
      <c r="O6" s="94">
        <v>1</v>
      </c>
      <c r="P6" s="99">
        <f>IFERROR(_xll.qlRateHelperEarliestDate(J6,Trigger),"--")</f>
        <v>42321</v>
      </c>
      <c r="Q6" s="99">
        <f>IFERROR(_xll.qlRateHelperPillarDate(J6,Trigger),"--")</f>
        <v>42335</v>
      </c>
      <c r="S6" s="4" t="str">
        <f t="shared" si="0"/>
        <v>OIS</v>
      </c>
      <c r="T6" s="4" t="str">
        <v>obj_00390</v>
      </c>
      <c r="U6" s="4" t="str">
        <f>IFERROR(_xll.qlRateHelperQuoteName(T6,Trigger),"")</f>
        <v>GBP1MOIS_LCHQuote</v>
      </c>
      <c r="V6" s="70">
        <f>IFERROR(_xll.qlRateHelperRate(T6,Trigger),"")</f>
        <v>4.6259999999999999E-3</v>
      </c>
      <c r="W6" s="104" t="str">
        <f>IF(ISERROR(_xll.qlSwapRateHelperSpread($T6)),IF(ISERROR(_xll.qlFuturesRateHelperConvexityAdjustment($T6)),"",_xll.qlFuturesRateHelperConvexityAdjustment($T6)),_xll.qlSwapRateHelperSpread($T6))</f>
        <v/>
      </c>
      <c r="X6" s="5">
        <f>IFERROR(_xll.qlRateHelperEarliestDate(T6,Trigger),"")</f>
        <v>42321</v>
      </c>
      <c r="Y6" s="5">
        <f>IFERROR(_xll.qlRateHelperPillarDate(T6,Trigger),"")</f>
        <v>42352</v>
      </c>
      <c r="Z6" s="70">
        <v>4.6250914761053787E-3</v>
      </c>
      <c r="AA6" s="77">
        <v>0.99960726115392506</v>
      </c>
      <c r="AB6" s="169">
        <v>42352</v>
      </c>
      <c r="AC6" s="170">
        <v>4.6280609601992203E-3</v>
      </c>
      <c r="AD6" s="172">
        <f t="shared" si="2"/>
        <v>-2.9694840938416373E-6</v>
      </c>
      <c r="AE6" s="174">
        <v>0.99959433449430202</v>
      </c>
      <c r="AF6" s="173">
        <f t="shared" si="3"/>
        <v>1.2926659623047065E-5</v>
      </c>
      <c r="AG6" s="170"/>
      <c r="AH6" s="107" t="s">
        <v>87</v>
      </c>
      <c r="AI6" s="109" t="s">
        <v>88</v>
      </c>
    </row>
    <row r="7" spans="1:35" ht="11.25" customHeight="1" x14ac:dyDescent="0.2">
      <c r="A7" s="53" t="s">
        <v>69</v>
      </c>
      <c r="B7" s="54" t="s">
        <v>37</v>
      </c>
      <c r="C7" s="55">
        <v>0</v>
      </c>
      <c r="D7" s="62" t="str">
        <f>$D$1</f>
        <v>Sonia</v>
      </c>
      <c r="E7" s="57" t="str">
        <f t="shared" ref="E7:E42" si="6">IF(ReportQuoteOverwrite,Currency&amp;B7&amp;$E$5&amp;ReportQuoteSuffix,Currency&amp;IF($B7="1W","SW",$B7)&amp;$E$5&amp;QuoteSuffix)</f>
        <v>GBPSWOIS_LCHQuote</v>
      </c>
      <c r="F7" s="123"/>
      <c r="G7" s="58" t="str">
        <f>_xll.qlOISRateHelper(,C7,B7,E7,$D7,,Permanent,Trigger,ObjectOverwrite)</f>
        <v>obj_00388#0007</v>
      </c>
      <c r="H7" s="48"/>
      <c r="I7" s="10" t="str">
        <f t="shared" si="4"/>
        <v>OIS</v>
      </c>
      <c r="J7" s="94" t="str">
        <f t="shared" si="5"/>
        <v>--</v>
      </c>
      <c r="K7" s="146" t="str">
        <f>IFERROR(_xll.qlRateHelperQuoteName(J7,Trigger),"--")</f>
        <v>--</v>
      </c>
      <c r="L7" s="98" t="str">
        <f>IFERROR(_xll.qlRateHelperQuoteValue($J7,Trigger),"--")</f>
        <v>--</v>
      </c>
      <c r="M7" s="97" t="b">
        <v>0</v>
      </c>
      <c r="N7" s="94">
        <v>50</v>
      </c>
      <c r="O7" s="94">
        <v>1</v>
      </c>
      <c r="P7" s="99" t="str">
        <f>IFERROR(_xll.qlRateHelperEarliestDate(J7,Trigger),"--")</f>
        <v>--</v>
      </c>
      <c r="Q7" s="99" t="str">
        <f>IFERROR(_xll.qlRateHelperPillarDate(J7,Trigger),"--")</f>
        <v>--</v>
      </c>
      <c r="S7" s="4" t="str">
        <f t="shared" si="0"/>
        <v>OIS</v>
      </c>
      <c r="T7" s="4" t="str">
        <v>obj_0037c</v>
      </c>
      <c r="U7" s="4" t="str">
        <f>IFERROR(_xll.qlRateHelperQuoteName(T7,Trigger),"")</f>
        <v>GBP2MOIS_LCHQuote</v>
      </c>
      <c r="V7" s="70">
        <f>IFERROR(_xll.qlRateHelperRate(T7,Trigger),"")</f>
        <v>4.5430000000000002E-3</v>
      </c>
      <c r="W7" s="104" t="str">
        <f>IF(ISERROR(_xll.qlSwapRateHelperSpread($T7)),IF(ISERROR(_xll.qlFuturesRateHelperConvexityAdjustment($T7)),"",_xll.qlFuturesRateHelperConvexityAdjustment($T7)),_xll.qlSwapRateHelperSpread($T7))</f>
        <v/>
      </c>
      <c r="X7" s="5">
        <f>IFERROR(_xll.qlRateHelperEarliestDate(T7,Trigger),"")</f>
        <v>42321</v>
      </c>
      <c r="Y7" s="5">
        <f>IFERROR(_xll.qlRateHelperPillarDate(T7,Trigger),"")</f>
        <v>42382</v>
      </c>
      <c r="Z7" s="70">
        <v>4.5412762562870501E-3</v>
      </c>
      <c r="AA7" s="77">
        <v>0.99924133491382128</v>
      </c>
      <c r="AB7" s="169">
        <v>42381</v>
      </c>
      <c r="AC7" s="170">
        <v>4.5552656186230497E-3</v>
      </c>
      <c r="AD7" s="172">
        <f t="shared" si="2"/>
        <v>-1.3989362335999588E-5</v>
      </c>
      <c r="AE7" s="174">
        <v>0.99923899874204603</v>
      </c>
      <c r="AF7" s="173">
        <f t="shared" si="3"/>
        <v>2.3361717752523603E-6</v>
      </c>
      <c r="AG7" s="170"/>
    </row>
    <row r="8" spans="1:35" ht="11.25" customHeight="1" x14ac:dyDescent="0.2">
      <c r="A8" s="59" t="s">
        <v>69</v>
      </c>
      <c r="B8" s="60" t="s">
        <v>38</v>
      </c>
      <c r="C8" s="61">
        <v>0</v>
      </c>
      <c r="D8" s="62" t="str">
        <f t="shared" ref="D8:D42" si="7">$D$1</f>
        <v>Sonia</v>
      </c>
      <c r="E8" s="63" t="str">
        <f t="shared" si="6"/>
        <v>GBP2WOIS_LCHQuote</v>
      </c>
      <c r="F8" s="123"/>
      <c r="G8" s="64" t="str">
        <f>_xll.qlOISRateHelper(,C8,B8,E8,$D8,,Permanent,Trigger,ObjectOverwrite)</f>
        <v>obj_0039e#0007</v>
      </c>
      <c r="H8" s="48"/>
      <c r="I8" s="10" t="str">
        <f t="shared" si="4"/>
        <v>OIS</v>
      </c>
      <c r="J8" s="94" t="str">
        <f t="shared" si="5"/>
        <v>obj_00390#0007</v>
      </c>
      <c r="K8" s="146" t="str">
        <f>IFERROR(_xll.qlRateHelperQuoteName(J8,Trigger),"--")</f>
        <v>GBP1MOIS_LCHQuote</v>
      </c>
      <c r="L8" s="98">
        <f>IFERROR(_xll.qlRateHelperQuoteValue($J8,Trigger),"--")</f>
        <v>4.6259999999999999E-3</v>
      </c>
      <c r="M8" s="97" t="b">
        <v>1</v>
      </c>
      <c r="N8" s="94">
        <v>50</v>
      </c>
      <c r="O8" s="94">
        <v>1</v>
      </c>
      <c r="P8" s="99">
        <f>IFERROR(_xll.qlRateHelperEarliestDate(J8,Trigger),"--")</f>
        <v>42321</v>
      </c>
      <c r="Q8" s="99">
        <f>IFERROR(_xll.qlRateHelperPillarDate(J8,Trigger),"--")</f>
        <v>42352</v>
      </c>
      <c r="S8" s="4" t="str">
        <f t="shared" si="0"/>
        <v>OIS</v>
      </c>
      <c r="T8" s="4" t="str">
        <v>obj_00384</v>
      </c>
      <c r="U8" s="4" t="str">
        <f>IFERROR(_xll.qlRateHelperQuoteName(T8,Trigger),"")</f>
        <v>GBP3MOIS_LCHQuote</v>
      </c>
      <c r="V8" s="70">
        <f>IFERROR(_xll.qlRateHelperRate(T8,Trigger),"")</f>
        <v>4.6050000000000006E-3</v>
      </c>
      <c r="W8" s="104" t="str">
        <f>IF(ISERROR(_xll.qlSwapRateHelperSpread($T8)),IF(ISERROR(_xll.qlFuturesRateHelperConvexityAdjustment($T8)),"",_xll.qlFuturesRateHelperConvexityAdjustment($T8)),_xll.qlSwapRateHelperSpread($T8))</f>
        <v/>
      </c>
      <c r="X8" s="5">
        <f>IFERROR(_xll.qlRateHelperEarliestDate(T8,Trigger),"")</f>
        <v>42321</v>
      </c>
      <c r="Y8" s="5">
        <f>IFERROR(_xll.qlRateHelperPillarDate(T8,Trigger),"")</f>
        <v>42415</v>
      </c>
      <c r="Z8" s="70">
        <v>4.6022715181710753E-3</v>
      </c>
      <c r="AA8" s="77">
        <v>0.99881545959453522</v>
      </c>
      <c r="AB8" s="169">
        <v>42412</v>
      </c>
      <c r="AC8" s="170">
        <v>4.6014555404473604E-3</v>
      </c>
      <c r="AD8" s="172">
        <f t="shared" si="2"/>
        <v>8.1597772371485439E-7</v>
      </c>
      <c r="AE8" s="174">
        <v>0.99884085339928097</v>
      </c>
      <c r="AF8" s="173">
        <f t="shared" si="3"/>
        <v>-2.53938047457547E-5</v>
      </c>
      <c r="AG8" s="170"/>
    </row>
    <row r="9" spans="1:35" ht="11.25" customHeight="1" x14ac:dyDescent="0.2">
      <c r="A9" s="59" t="s">
        <v>69</v>
      </c>
      <c r="B9" s="60" t="s">
        <v>39</v>
      </c>
      <c r="C9" s="61">
        <v>0</v>
      </c>
      <c r="D9" s="62" t="str">
        <f t="shared" si="7"/>
        <v>Sonia</v>
      </c>
      <c r="E9" s="63" t="str">
        <f t="shared" si="6"/>
        <v>GBP3WOIS_LCHQuote</v>
      </c>
      <c r="F9" s="123"/>
      <c r="G9" s="64"/>
      <c r="H9" s="48"/>
      <c r="I9" s="10" t="str">
        <f t="shared" si="4"/>
        <v>OIS</v>
      </c>
      <c r="J9" s="94" t="str">
        <f t="shared" si="5"/>
        <v>obj_0037c#0007</v>
      </c>
      <c r="K9" s="146" t="str">
        <f>IFERROR(_xll.qlRateHelperQuoteName(J9,Trigger),"--")</f>
        <v>GBP2MOIS_LCHQuote</v>
      </c>
      <c r="L9" s="98">
        <f>IFERROR(_xll.qlRateHelperQuoteValue($J9,Trigger),"--")</f>
        <v>4.5430000000000002E-3</v>
      </c>
      <c r="M9" s="97" t="b">
        <v>1</v>
      </c>
      <c r="N9" s="94">
        <v>50</v>
      </c>
      <c r="O9" s="94">
        <v>1</v>
      </c>
      <c r="P9" s="99">
        <f>IFERROR(_xll.qlRateHelperEarliestDate(J9,Trigger),"--")</f>
        <v>42321</v>
      </c>
      <c r="Q9" s="99">
        <f>IFERROR(_xll.qlRateHelperPillarDate(J9,Trigger),"--")</f>
        <v>42382</v>
      </c>
      <c r="S9" s="4" t="str">
        <f t="shared" si="0"/>
        <v>OIS</v>
      </c>
      <c r="T9" s="4" t="str">
        <v>obj_003a7</v>
      </c>
      <c r="U9" s="4" t="str">
        <f>IFERROR(_xll.qlRateHelperQuoteName(T9,Trigger),"")</f>
        <v>GBP4MOIS_LCHQuote</v>
      </c>
      <c r="V9" s="70">
        <f>IFERROR(_xll.qlRateHelperRate(T9,Trigger),"")</f>
        <v>4.6740000000000002E-3</v>
      </c>
      <c r="W9" s="104" t="str">
        <f>IF(ISERROR(_xll.qlSwapRateHelperSpread($T9)),IF(ISERROR(_xll.qlFuturesRateHelperConvexityAdjustment($T9)),"",_xll.qlFuturesRateHelperConvexityAdjustment($T9)),_xll.qlSwapRateHelperSpread($T9))</f>
        <v/>
      </c>
      <c r="X9" s="5">
        <f>IFERROR(_xll.qlRateHelperEarliestDate(T9,Trigger),"")</f>
        <v>42321</v>
      </c>
      <c r="Y9" s="5">
        <f>IFERROR(_xll.qlRateHelperPillarDate(T9,Trigger),"")</f>
        <v>42443</v>
      </c>
      <c r="Z9" s="70">
        <v>4.6703527766664846E-3</v>
      </c>
      <c r="AA9" s="77">
        <v>0.99844016838263994</v>
      </c>
      <c r="AB9" s="169">
        <v>42443</v>
      </c>
      <c r="AC9" s="170">
        <v>4.6834688477583701E-3</v>
      </c>
      <c r="AD9" s="172">
        <f t="shared" si="2"/>
        <v>-1.3116071091885499E-5</v>
      </c>
      <c r="AE9" s="174">
        <v>0.99842297996040896</v>
      </c>
      <c r="AF9" s="173">
        <f t="shared" si="3"/>
        <v>1.7188422230973721E-5</v>
      </c>
      <c r="AG9" s="170"/>
    </row>
    <row r="10" spans="1:35" ht="11.25" customHeight="1" x14ac:dyDescent="0.2">
      <c r="A10" s="59" t="s">
        <v>69</v>
      </c>
      <c r="B10" s="60" t="s">
        <v>2</v>
      </c>
      <c r="C10" s="61">
        <v>0</v>
      </c>
      <c r="D10" s="62" t="str">
        <f t="shared" si="7"/>
        <v>Sonia</v>
      </c>
      <c r="E10" s="63" t="str">
        <f t="shared" si="6"/>
        <v>GBP1MOIS_LCHQuote</v>
      </c>
      <c r="F10" s="123"/>
      <c r="G10" s="64" t="str">
        <f>_xll.qlOISRateHelper(,C10,B10,E10,$D10,,Permanent,Trigger,ObjectOverwrite)</f>
        <v>obj_00390#0007</v>
      </c>
      <c r="H10" s="48"/>
      <c r="I10" s="10" t="str">
        <f t="shared" si="4"/>
        <v>OIS</v>
      </c>
      <c r="J10" s="94" t="str">
        <f t="shared" si="5"/>
        <v>obj_00384#0007</v>
      </c>
      <c r="K10" s="146" t="str">
        <f>IFERROR(_xll.qlRateHelperQuoteName(J10,Trigger),"--")</f>
        <v>GBP3MOIS_LCHQuote</v>
      </c>
      <c r="L10" s="98">
        <f>IFERROR(_xll.qlRateHelperQuoteValue($J10,Trigger),"--")</f>
        <v>4.6050000000000006E-3</v>
      </c>
      <c r="M10" s="97" t="b">
        <v>1</v>
      </c>
      <c r="N10" s="94">
        <v>50</v>
      </c>
      <c r="O10" s="94">
        <v>1</v>
      </c>
      <c r="P10" s="99">
        <f>IFERROR(_xll.qlRateHelperEarliestDate(J10,Trigger),"--")</f>
        <v>42321</v>
      </c>
      <c r="Q10" s="99">
        <f>IFERROR(_xll.qlRateHelperPillarDate(J10,Trigger),"--")</f>
        <v>42415</v>
      </c>
      <c r="S10" s="4" t="str">
        <f t="shared" si="0"/>
        <v>OIS</v>
      </c>
      <c r="T10" s="4" t="str">
        <v>obj_00396</v>
      </c>
      <c r="U10" s="4" t="str">
        <f>IFERROR(_xll.qlRateHelperQuoteName(T10,Trigger),"")</f>
        <v>GBP5MOIS_LCHQuote</v>
      </c>
      <c r="V10" s="70">
        <f>IFERROR(_xll.qlRateHelperRate(T10,Trigger),"")</f>
        <v>4.7230000000000006E-3</v>
      </c>
      <c r="W10" s="104" t="str">
        <f>IF(ISERROR(_xll.qlSwapRateHelperSpread($T10)),IF(ISERROR(_xll.qlFuturesRateHelperConvexityAdjustment($T10)),"",_xll.qlFuturesRateHelperConvexityAdjustment($T10)),_xll.qlSwapRateHelperSpread($T10))</f>
        <v/>
      </c>
      <c r="X10" s="5">
        <f>IFERROR(_xll.qlRateHelperEarliestDate(T10,Trigger),"")</f>
        <v>42321</v>
      </c>
      <c r="Y10" s="5">
        <f>IFERROR(_xll.qlRateHelperPillarDate(T10,Trigger),"")</f>
        <v>42473</v>
      </c>
      <c r="Z10" s="70">
        <v>4.7183613924868832E-3</v>
      </c>
      <c r="AA10" s="77">
        <v>0.99803702250326864</v>
      </c>
      <c r="AB10" s="169">
        <v>42472</v>
      </c>
      <c r="AC10" s="170">
        <v>4.7361596501021199E-3</v>
      </c>
      <c r="AD10" s="172">
        <f t="shared" si="2"/>
        <v>-1.7798257615236728E-5</v>
      </c>
      <c r="AE10" s="174">
        <v>0.99802962520288696</v>
      </c>
      <c r="AF10" s="173">
        <f t="shared" si="3"/>
        <v>7.3973003816840688E-6</v>
      </c>
      <c r="AG10" s="170"/>
    </row>
    <row r="11" spans="1:35" ht="11.25" customHeight="1" x14ac:dyDescent="0.2">
      <c r="A11" s="59" t="s">
        <v>69</v>
      </c>
      <c r="B11" s="60" t="s">
        <v>40</v>
      </c>
      <c r="C11" s="61">
        <v>0</v>
      </c>
      <c r="D11" s="62" t="str">
        <f t="shared" si="7"/>
        <v>Sonia</v>
      </c>
      <c r="E11" s="63" t="str">
        <f t="shared" si="6"/>
        <v>GBP2MOIS_LCHQuote</v>
      </c>
      <c r="F11" s="123"/>
      <c r="G11" s="64" t="str">
        <f>_xll.qlOISRateHelper(,C11,B11,E11,$D11,,Permanent,Trigger,ObjectOverwrite)</f>
        <v>obj_0037c#0007</v>
      </c>
      <c r="H11" s="48"/>
      <c r="I11" s="10" t="str">
        <f t="shared" si="4"/>
        <v>OIS</v>
      </c>
      <c r="J11" s="94" t="str">
        <f t="shared" si="5"/>
        <v>obj_003a7#0007</v>
      </c>
      <c r="K11" s="146" t="str">
        <f>IFERROR(_xll.qlRateHelperQuoteName(J11,Trigger),"--")</f>
        <v>GBP4MOIS_LCHQuote</v>
      </c>
      <c r="L11" s="98">
        <f>IFERROR(_xll.qlRateHelperQuoteValue($J11,Trigger),"--")</f>
        <v>4.6740000000000002E-3</v>
      </c>
      <c r="M11" s="97" t="b">
        <v>1</v>
      </c>
      <c r="N11" s="94">
        <v>50</v>
      </c>
      <c r="O11" s="94">
        <v>1</v>
      </c>
      <c r="P11" s="99">
        <f>IFERROR(_xll.qlRateHelperEarliestDate(J11,Trigger),"--")</f>
        <v>42321</v>
      </c>
      <c r="Q11" s="99">
        <f>IFERROR(_xll.qlRateHelperPillarDate(J11,Trigger),"--")</f>
        <v>42443</v>
      </c>
      <c r="S11" s="4" t="str">
        <f t="shared" si="0"/>
        <v>OIS</v>
      </c>
      <c r="T11" s="4" t="str">
        <v>obj_0038d</v>
      </c>
      <c r="U11" s="4" t="str">
        <f>IFERROR(_xll.qlRateHelperQuoteName(T11,Trigger),"")</f>
        <v>GBP6MOIS_LCHQuote</v>
      </c>
      <c r="V11" s="70">
        <f>IFERROR(_xll.qlRateHelperRate(T11,Trigger),"")</f>
        <v>4.7660000000000003E-3</v>
      </c>
      <c r="W11" s="104" t="str">
        <f>IF(ISERROR(_xll.qlSwapRateHelperSpread($T11)),IF(ISERROR(_xll.qlFuturesRateHelperConvexityAdjustment($T11)),"",_xll.qlFuturesRateHelperConvexityAdjustment($T11)),_xll.qlSwapRateHelperSpread($T11))</f>
        <v/>
      </c>
      <c r="X11" s="5">
        <f>IFERROR(_xll.qlRateHelperEarliestDate(T11,Trigger),"")</f>
        <v>42321</v>
      </c>
      <c r="Y11" s="5">
        <f>IFERROR(_xll.qlRateHelperPillarDate(T11,Trigger),"")</f>
        <v>42503</v>
      </c>
      <c r="Z11" s="70">
        <v>4.7603458252696044E-3</v>
      </c>
      <c r="AA11" s="77">
        <v>0.99762916299306825</v>
      </c>
      <c r="AB11" s="169">
        <v>42502</v>
      </c>
      <c r="AC11" s="170">
        <v>4.7710703100966399E-3</v>
      </c>
      <c r="AD11" s="172">
        <f t="shared" si="2"/>
        <v>-1.072448482703544E-5</v>
      </c>
      <c r="AE11" s="174">
        <v>0.99762382813416595</v>
      </c>
      <c r="AF11" s="173">
        <f t="shared" si="3"/>
        <v>5.3348589023061166E-6</v>
      </c>
      <c r="AG11" s="170"/>
    </row>
    <row r="12" spans="1:35" ht="11.25" customHeight="1" x14ac:dyDescent="0.2">
      <c r="A12" s="59" t="s">
        <v>69</v>
      </c>
      <c r="B12" s="60" t="s">
        <v>0</v>
      </c>
      <c r="C12" s="61">
        <v>0</v>
      </c>
      <c r="D12" s="62" t="str">
        <f t="shared" si="7"/>
        <v>Sonia</v>
      </c>
      <c r="E12" s="63" t="str">
        <f t="shared" si="6"/>
        <v>GBP3MOIS_LCHQuote</v>
      </c>
      <c r="F12" s="123"/>
      <c r="G12" s="64" t="str">
        <f>_xll.qlOISRateHelper(,C12,B12,E12,$D12,,Permanent,Trigger,ObjectOverwrite)</f>
        <v>obj_00384#0007</v>
      </c>
      <c r="H12" s="48"/>
      <c r="I12" s="10" t="str">
        <f t="shared" si="4"/>
        <v>OIS</v>
      </c>
      <c r="J12" s="94" t="str">
        <f t="shared" si="5"/>
        <v>obj_00396#0007</v>
      </c>
      <c r="K12" s="146" t="str">
        <f>IFERROR(_xll.qlRateHelperQuoteName(J12,Trigger),"--")</f>
        <v>GBP5MOIS_LCHQuote</v>
      </c>
      <c r="L12" s="98">
        <f>IFERROR(_xll.qlRateHelperQuoteValue($J12,Trigger),"--")</f>
        <v>4.7230000000000006E-3</v>
      </c>
      <c r="M12" s="97" t="b">
        <v>1</v>
      </c>
      <c r="N12" s="94">
        <v>50</v>
      </c>
      <c r="O12" s="94">
        <v>1</v>
      </c>
      <c r="P12" s="99">
        <f>IFERROR(_xll.qlRateHelperEarliestDate(J12,Trigger),"--")</f>
        <v>42321</v>
      </c>
      <c r="Q12" s="99">
        <f>IFERROR(_xll.qlRateHelperPillarDate(J12,Trigger),"--")</f>
        <v>42473</v>
      </c>
      <c r="S12" s="4" t="str">
        <f t="shared" si="0"/>
        <v>OIS</v>
      </c>
      <c r="T12" s="4" t="str">
        <v>obj_0037f</v>
      </c>
      <c r="U12" s="4" t="str">
        <f>IFERROR(_xll.qlRateHelperQuoteName(T12,Trigger),"")</f>
        <v>GBP7MOIS_LCHQuote</v>
      </c>
      <c r="V12" s="70">
        <f>IFERROR(_xll.qlRateHelperRate(T12,Trigger),"")</f>
        <v>4.8660000000000005E-3</v>
      </c>
      <c r="W12" s="104" t="str">
        <f>IF(ISERROR(_xll.qlSwapRateHelperSpread($T12)),IF(ISERROR(_xll.qlFuturesRateHelperConvexityAdjustment($T12)),"",_xll.qlFuturesRateHelperConvexityAdjustment($T12)),_xll.qlSwapRateHelperSpread($T12))</f>
        <v/>
      </c>
      <c r="X12" s="5">
        <f>IFERROR(_xll.qlRateHelperEarliestDate(T12,Trigger),"")</f>
        <v>42321</v>
      </c>
      <c r="Y12" s="5">
        <f>IFERROR(_xll.qlRateHelperPillarDate(T12,Trigger),"")</f>
        <v>42534</v>
      </c>
      <c r="Z12" s="70">
        <v>4.8591042775651379E-3</v>
      </c>
      <c r="AA12" s="77">
        <v>0.99716842959943641</v>
      </c>
      <c r="AB12" s="169">
        <v>42534</v>
      </c>
      <c r="AC12" s="170">
        <v>4.8968387987789099E-3</v>
      </c>
      <c r="AD12" s="172">
        <f t="shared" si="2"/>
        <v>-3.7734521213772E-5</v>
      </c>
      <c r="AE12" s="174">
        <v>0.99713309415028895</v>
      </c>
      <c r="AF12" s="173">
        <f t="shared" si="3"/>
        <v>3.5335449147466669E-5</v>
      </c>
      <c r="AG12" s="170"/>
    </row>
    <row r="13" spans="1:35" ht="11.25" customHeight="1" x14ac:dyDescent="0.2">
      <c r="A13" s="59" t="s">
        <v>69</v>
      </c>
      <c r="B13" s="60" t="s">
        <v>41</v>
      </c>
      <c r="C13" s="61">
        <v>0</v>
      </c>
      <c r="D13" s="62" t="str">
        <f t="shared" si="7"/>
        <v>Sonia</v>
      </c>
      <c r="E13" s="63" t="str">
        <f t="shared" si="6"/>
        <v>GBP4MOIS_LCHQuote</v>
      </c>
      <c r="F13" s="123"/>
      <c r="G13" s="64" t="str">
        <f>_xll.qlOISRateHelper(,C13,B13,E13,$D13,,Permanent,Trigger,ObjectOverwrite)</f>
        <v>obj_003a7#0007</v>
      </c>
      <c r="H13" s="48"/>
      <c r="I13" s="10" t="str">
        <f t="shared" si="4"/>
        <v>OIS</v>
      </c>
      <c r="J13" s="94" t="str">
        <f t="shared" si="5"/>
        <v>obj_0038d#0007</v>
      </c>
      <c r="K13" s="146" t="str">
        <f>IFERROR(_xll.qlRateHelperQuoteName(J13,Trigger),"--")</f>
        <v>GBP6MOIS_LCHQuote</v>
      </c>
      <c r="L13" s="98">
        <f>IFERROR(_xll.qlRateHelperQuoteValue($J13,Trigger),"--")</f>
        <v>4.7660000000000003E-3</v>
      </c>
      <c r="M13" s="97" t="b">
        <v>1</v>
      </c>
      <c r="N13" s="94">
        <v>50</v>
      </c>
      <c r="O13" s="94">
        <v>1</v>
      </c>
      <c r="P13" s="99">
        <f>IFERROR(_xll.qlRateHelperEarliestDate(J13,Trigger),"--")</f>
        <v>42321</v>
      </c>
      <c r="Q13" s="99">
        <f>IFERROR(_xll.qlRateHelperPillarDate(J13,Trigger),"--")</f>
        <v>42503</v>
      </c>
      <c r="S13" s="4" t="str">
        <f t="shared" si="0"/>
        <v>OIS</v>
      </c>
      <c r="T13" s="4" t="str">
        <v>obj_00381</v>
      </c>
      <c r="U13" s="4" t="str">
        <f>IFERROR(_xll.qlRateHelperQuoteName(T13,Trigger),"")</f>
        <v>GBP8MOIS_LCHQuote</v>
      </c>
      <c r="V13" s="70">
        <f>IFERROR(_xll.qlRateHelperRate(T13,Trigger),"")</f>
        <v>4.9429999999999995E-3</v>
      </c>
      <c r="W13" s="104" t="str">
        <f>IF(ISERROR(_xll.qlSwapRateHelperSpread($T13)),IF(ISERROR(_xll.qlFuturesRateHelperConvexityAdjustment($T13)),"",_xll.qlFuturesRateHelperConvexityAdjustment($T13)),_xll.qlSwapRateHelperSpread($T13))</f>
        <v/>
      </c>
      <c r="X13" s="5">
        <f>IFERROR(_xll.qlRateHelperEarliestDate(T13,Trigger),"")</f>
        <v>42321</v>
      </c>
      <c r="Y13" s="5">
        <f>IFERROR(_xll.qlRateHelperPillarDate(T13,Trigger),"")</f>
        <v>42564</v>
      </c>
      <c r="Z13" s="70">
        <v>4.9348845398689513E-3</v>
      </c>
      <c r="AA13" s="77">
        <v>0.99671997479177787</v>
      </c>
      <c r="AB13" s="169">
        <v>42563</v>
      </c>
      <c r="AC13" s="170">
        <v>4.9732577687313104E-3</v>
      </c>
      <c r="AD13" s="172">
        <f t="shared" si="2"/>
        <v>-3.8373228862359152E-5</v>
      </c>
      <c r="AE13" s="174">
        <v>0.99669451180366098</v>
      </c>
      <c r="AF13" s="173">
        <f t="shared" si="3"/>
        <v>2.5462988116897733E-5</v>
      </c>
      <c r="AG13" s="170"/>
    </row>
    <row r="14" spans="1:35" ht="11.25" customHeight="1" x14ac:dyDescent="0.2">
      <c r="A14" s="59" t="s">
        <v>69</v>
      </c>
      <c r="B14" s="60" t="s">
        <v>42</v>
      </c>
      <c r="C14" s="61">
        <v>0</v>
      </c>
      <c r="D14" s="62" t="str">
        <f t="shared" si="7"/>
        <v>Sonia</v>
      </c>
      <c r="E14" s="63" t="str">
        <f t="shared" si="6"/>
        <v>GBP5MOIS_LCHQuote</v>
      </c>
      <c r="F14" s="123"/>
      <c r="G14" s="64" t="str">
        <f>_xll.qlOISRateHelper(,C14,B14,E14,$D14,,Permanent,Trigger,ObjectOverwrite)</f>
        <v>obj_00396#0007</v>
      </c>
      <c r="H14" s="48"/>
      <c r="I14" s="10" t="str">
        <f t="shared" si="4"/>
        <v>OIS</v>
      </c>
      <c r="J14" s="94" t="str">
        <f t="shared" si="5"/>
        <v>obj_0037f#0007</v>
      </c>
      <c r="K14" s="146" t="str">
        <f>IFERROR(_xll.qlRateHelperQuoteName(J14,Trigger),"--")</f>
        <v>GBP7MOIS_LCHQuote</v>
      </c>
      <c r="L14" s="98">
        <f>IFERROR(_xll.qlRateHelperQuoteValue($J14,Trigger),"--")</f>
        <v>4.8660000000000005E-3</v>
      </c>
      <c r="M14" s="97" t="b">
        <v>1</v>
      </c>
      <c r="N14" s="94">
        <v>50</v>
      </c>
      <c r="O14" s="94">
        <v>1</v>
      </c>
      <c r="P14" s="99">
        <f>IFERROR(_xll.qlRateHelperEarliestDate(J14,Trigger),"--")</f>
        <v>42321</v>
      </c>
      <c r="Q14" s="99">
        <f>IFERROR(_xll.qlRateHelperPillarDate(J14,Trigger),"--")</f>
        <v>42534</v>
      </c>
      <c r="S14" s="4" t="str">
        <f t="shared" si="0"/>
        <v>OIS</v>
      </c>
      <c r="T14" s="4" t="str">
        <v>obj_00386</v>
      </c>
      <c r="U14" s="4" t="str">
        <f>IFERROR(_xll.qlRateHelperQuoteName(T14,Trigger),"")</f>
        <v>GBP9MOIS_LCHQuote</v>
      </c>
      <c r="V14" s="70">
        <f>IFERROR(_xll.qlRateHelperRate(T14,Trigger),"")</f>
        <v>5.0410000000000003E-3</v>
      </c>
      <c r="W14" s="104" t="str">
        <f>IF(ISERROR(_xll.qlSwapRateHelperSpread($T14)),IF(ISERROR(_xll.qlFuturesRateHelperConvexityAdjustment($T14)),"",_xll.qlFuturesRateHelperConvexityAdjustment($T14)),_xll.qlSwapRateHelperSpread($T14))</f>
        <v/>
      </c>
      <c r="X14" s="5">
        <f>IFERROR(_xll.qlRateHelperEarliestDate(T14,Trigger),"")</f>
        <v>42321</v>
      </c>
      <c r="Y14" s="5">
        <f>IFERROR(_xll.qlRateHelperPillarDate(T14,Trigger),"")</f>
        <v>42597</v>
      </c>
      <c r="Z14" s="70">
        <v>5.0314166416185399E-3</v>
      </c>
      <c r="AA14" s="77">
        <v>0.99620265017416543</v>
      </c>
      <c r="AB14" s="169">
        <v>42594</v>
      </c>
      <c r="AC14" s="170">
        <v>5.0713345181223604E-3</v>
      </c>
      <c r="AD14" s="172">
        <f t="shared" si="2"/>
        <v>-3.9917876503820469E-5</v>
      </c>
      <c r="AE14" s="174">
        <v>0.99620026293464103</v>
      </c>
      <c r="AF14" s="173">
        <f t="shared" si="3"/>
        <v>2.3872395243929034E-6</v>
      </c>
      <c r="AG14" s="170"/>
    </row>
    <row r="15" spans="1:35" ht="11.25" customHeight="1" x14ac:dyDescent="0.2">
      <c r="A15" s="59" t="s">
        <v>69</v>
      </c>
      <c r="B15" s="60" t="s">
        <v>3</v>
      </c>
      <c r="C15" s="61">
        <v>0</v>
      </c>
      <c r="D15" s="62" t="str">
        <f t="shared" si="7"/>
        <v>Sonia</v>
      </c>
      <c r="E15" s="63" t="str">
        <f t="shared" si="6"/>
        <v>GBP6MOIS_LCHQuote</v>
      </c>
      <c r="F15" s="123"/>
      <c r="G15" s="64" t="str">
        <f>_xll.qlOISRateHelper(,C15,B15,E15,$D15,,Permanent,Trigger,ObjectOverwrite)</f>
        <v>obj_0038d#0007</v>
      </c>
      <c r="H15" s="48"/>
      <c r="I15" s="10" t="str">
        <f t="shared" si="4"/>
        <v>OIS</v>
      </c>
      <c r="J15" s="94" t="str">
        <f t="shared" si="5"/>
        <v>obj_00381#0007</v>
      </c>
      <c r="K15" s="146" t="str">
        <f>IFERROR(_xll.qlRateHelperQuoteName(J15,Trigger),"--")</f>
        <v>GBP8MOIS_LCHQuote</v>
      </c>
      <c r="L15" s="98">
        <f>IFERROR(_xll.qlRateHelperQuoteValue($J15,Trigger),"--")</f>
        <v>4.9429999999999995E-3</v>
      </c>
      <c r="M15" s="97" t="b">
        <v>1</v>
      </c>
      <c r="N15" s="94">
        <v>50</v>
      </c>
      <c r="O15" s="94">
        <v>1</v>
      </c>
      <c r="P15" s="99">
        <f>IFERROR(_xll.qlRateHelperEarliestDate(J15,Trigger),"--")</f>
        <v>42321</v>
      </c>
      <c r="Q15" s="99">
        <f>IFERROR(_xll.qlRateHelperPillarDate(J15,Trigger),"--")</f>
        <v>42564</v>
      </c>
      <c r="S15" s="4" t="str">
        <f t="shared" si="0"/>
        <v>OIS</v>
      </c>
      <c r="T15" s="4" t="str">
        <v>obj_00383</v>
      </c>
      <c r="U15" s="4" t="str">
        <f>IFERROR(_xll.qlRateHelperQuoteName(T15,Trigger),"")</f>
        <v>GBP10MOIS_LCHQuote</v>
      </c>
      <c r="V15" s="70">
        <f>IFERROR(_xll.qlRateHelperRate(T15,Trigger),"")</f>
        <v>5.1489999999999991E-3</v>
      </c>
      <c r="W15" s="104" t="str">
        <f>IF(ISERROR(_xll.qlSwapRateHelperSpread($T15)),IF(ISERROR(_xll.qlFuturesRateHelperConvexityAdjustment($T15)),"",_xll.qlFuturesRateHelperConvexityAdjustment($T15)),_xll.qlSwapRateHelperSpread($T15))</f>
        <v/>
      </c>
      <c r="X15" s="5">
        <f>IFERROR(_xll.qlRateHelperEarliestDate(T15,Trigger),"")</f>
        <v>42321</v>
      </c>
      <c r="Y15" s="5">
        <f>IFERROR(_xll.qlRateHelperPillarDate(T15,Trigger),"")</f>
        <v>42626</v>
      </c>
      <c r="Z15" s="70">
        <v>5.1379546555652741E-3</v>
      </c>
      <c r="AA15" s="77">
        <v>0.99571584392189649</v>
      </c>
      <c r="AB15" s="169">
        <v>42625</v>
      </c>
      <c r="AC15" s="170">
        <v>5.2096440490141099E-3</v>
      </c>
      <c r="AD15" s="172">
        <f t="shared" si="2"/>
        <v>-7.1689393448835792E-5</v>
      </c>
      <c r="AE15" s="174">
        <v>0.99565619751451195</v>
      </c>
      <c r="AF15" s="173">
        <f t="shared" si="3"/>
        <v>5.9646407384539302E-5</v>
      </c>
      <c r="AG15" s="170"/>
    </row>
    <row r="16" spans="1:35" ht="11.25" customHeight="1" x14ac:dyDescent="0.2">
      <c r="A16" s="59" t="s">
        <v>69</v>
      </c>
      <c r="B16" s="60" t="s">
        <v>43</v>
      </c>
      <c r="C16" s="61">
        <v>0</v>
      </c>
      <c r="D16" s="62" t="str">
        <f t="shared" si="7"/>
        <v>Sonia</v>
      </c>
      <c r="E16" s="63" t="str">
        <f t="shared" si="6"/>
        <v>GBP7MOIS_LCHQuote</v>
      </c>
      <c r="F16" s="123"/>
      <c r="G16" s="64" t="str">
        <f>_xll.qlOISRateHelper(,C16,B16,E16,$D16,,Permanent,Trigger,ObjectOverwrite)</f>
        <v>obj_0037f#0007</v>
      </c>
      <c r="H16" s="48"/>
      <c r="I16" s="10" t="str">
        <f t="shared" si="4"/>
        <v>OIS</v>
      </c>
      <c r="J16" s="94" t="str">
        <f t="shared" si="5"/>
        <v>obj_00386#0007</v>
      </c>
      <c r="K16" s="146" t="str">
        <f>IFERROR(_xll.qlRateHelperQuoteName(J16,Trigger),"--")</f>
        <v>GBP9MOIS_LCHQuote</v>
      </c>
      <c r="L16" s="98">
        <f>IFERROR(_xll.qlRateHelperQuoteValue($J16,Trigger),"--")</f>
        <v>5.0410000000000003E-3</v>
      </c>
      <c r="M16" s="97" t="b">
        <v>1</v>
      </c>
      <c r="N16" s="94">
        <v>50</v>
      </c>
      <c r="O16" s="94">
        <v>1</v>
      </c>
      <c r="P16" s="99">
        <f>IFERROR(_xll.qlRateHelperEarliestDate(J16,Trigger),"--")</f>
        <v>42321</v>
      </c>
      <c r="Q16" s="99">
        <f>IFERROR(_xll.qlRateHelperPillarDate(J16,Trigger),"--")</f>
        <v>42597</v>
      </c>
      <c r="S16" s="4" t="str">
        <f t="shared" si="0"/>
        <v>OIS</v>
      </c>
      <c r="T16" s="4" t="str">
        <v>obj_003a5</v>
      </c>
      <c r="U16" s="4" t="str">
        <f>IFERROR(_xll.qlRateHelperQuoteName(T16,Trigger),"")</f>
        <v>GBP11MOIS_LCHQuote</v>
      </c>
      <c r="V16" s="70">
        <f>IFERROR(_xll.qlRateHelperRate(T16,Trigger),"")</f>
        <v>5.2510000000000005E-3</v>
      </c>
      <c r="W16" s="104" t="str">
        <f>IF(ISERROR(_xll.qlSwapRateHelperSpread($T16)),IF(ISERROR(_xll.qlFuturesRateHelperConvexityAdjustment($T16)),"",_xll.qlFuturesRateHelperConvexityAdjustment($T16)),_xll.qlSwapRateHelperSpread($T16))</f>
        <v/>
      </c>
      <c r="X16" s="5">
        <f>IFERROR(_xll.qlRateHelperEarliestDate(T16,Trigger),"")</f>
        <v>42321</v>
      </c>
      <c r="Y16" s="5">
        <f>IFERROR(_xll.qlRateHelperPillarDate(T16,Trigger),"")</f>
        <v>42656</v>
      </c>
      <c r="Z16" s="70">
        <v>5.238387144649523E-3</v>
      </c>
      <c r="AA16" s="77">
        <v>0.99520370436086159</v>
      </c>
      <c r="AB16" s="169">
        <v>42655</v>
      </c>
      <c r="AC16" s="170">
        <v>5.3291127749387499E-3</v>
      </c>
      <c r="AD16" s="172">
        <f t="shared" si="2"/>
        <v>-9.0725630289226894E-5</v>
      </c>
      <c r="AE16" s="174">
        <v>0.99512083846325095</v>
      </c>
      <c r="AF16" s="173">
        <f t="shared" si="3"/>
        <v>8.2865897610640005E-5</v>
      </c>
      <c r="AG16" s="170"/>
    </row>
    <row r="17" spans="1:33" ht="11.25" customHeight="1" x14ac:dyDescent="0.2">
      <c r="A17" s="59" t="s">
        <v>69</v>
      </c>
      <c r="B17" s="60" t="s">
        <v>44</v>
      </c>
      <c r="C17" s="61">
        <v>0</v>
      </c>
      <c r="D17" s="62" t="str">
        <f t="shared" si="7"/>
        <v>Sonia</v>
      </c>
      <c r="E17" s="63" t="str">
        <f t="shared" si="6"/>
        <v>GBP8MOIS_LCHQuote</v>
      </c>
      <c r="F17" s="123"/>
      <c r="G17" s="64" t="str">
        <f>_xll.qlOISRateHelper(,C17,B17,E17,$D17,,Permanent,Trigger,ObjectOverwrite)</f>
        <v>obj_00381#0007</v>
      </c>
      <c r="H17" s="48"/>
      <c r="I17" s="10" t="str">
        <f t="shared" si="4"/>
        <v>OIS</v>
      </c>
      <c r="J17" s="94" t="str">
        <f t="shared" si="5"/>
        <v>obj_00383#0007</v>
      </c>
      <c r="K17" s="146" t="str">
        <f>IFERROR(_xll.qlRateHelperQuoteName(J17,Trigger),"--")</f>
        <v>GBP10MOIS_LCHQuote</v>
      </c>
      <c r="L17" s="98">
        <f>IFERROR(_xll.qlRateHelperQuoteValue($J17,Trigger),"--")</f>
        <v>5.1489999999999991E-3</v>
      </c>
      <c r="M17" s="97" t="b">
        <v>1</v>
      </c>
      <c r="N17" s="94">
        <v>50</v>
      </c>
      <c r="O17" s="94">
        <v>1</v>
      </c>
      <c r="P17" s="99">
        <f>IFERROR(_xll.qlRateHelperEarliestDate(J17,Trigger),"--")</f>
        <v>42321</v>
      </c>
      <c r="Q17" s="99">
        <f>IFERROR(_xll.qlRateHelperPillarDate(J17,Trigger),"--")</f>
        <v>42626</v>
      </c>
      <c r="S17" s="4" t="str">
        <f t="shared" si="0"/>
        <v>OIS</v>
      </c>
      <c r="T17" s="4" t="str">
        <v>obj_0039f</v>
      </c>
      <c r="U17" s="4" t="str">
        <f>IFERROR(_xll.qlRateHelperQuoteName(T17,Trigger),"")</f>
        <v>GBP1YOIS_LCHQuote</v>
      </c>
      <c r="V17" s="70">
        <f>IFERROR(_xll.qlRateHelperRate(T17,Trigger),"")</f>
        <v>5.3730000000000002E-3</v>
      </c>
      <c r="W17" s="104" t="str">
        <f>IF(ISERROR(_xll.qlSwapRateHelperSpread($T17)),IF(ISERROR(_xll.qlFuturesRateHelperConvexityAdjustment($T17)),"",_xll.qlFuturesRateHelperConvexityAdjustment($T17)),_xll.qlSwapRateHelperSpread($T17))</f>
        <v/>
      </c>
      <c r="X17" s="5">
        <f>IFERROR(_xll.qlRateHelperEarliestDate(T17,Trigger),"")</f>
        <v>42321</v>
      </c>
      <c r="Y17" s="5">
        <f>IFERROR(_xll.qlRateHelperPillarDate(T17,Trigger),"")</f>
        <v>42688</v>
      </c>
      <c r="Z17" s="70">
        <v>5.3585384038951581E-3</v>
      </c>
      <c r="AA17" s="77">
        <v>0.99462658844352858</v>
      </c>
      <c r="AB17" s="169">
        <v>42688</v>
      </c>
      <c r="AC17" s="170">
        <v>5.4647511641087599E-3</v>
      </c>
      <c r="AD17" s="172">
        <f t="shared" si="2"/>
        <v>-1.0621276021360176E-4</v>
      </c>
      <c r="AE17" s="174">
        <v>0.99450548345043999</v>
      </c>
      <c r="AF17" s="173">
        <f t="shared" si="3"/>
        <v>1.2110499308859435E-4</v>
      </c>
      <c r="AG17" s="170"/>
    </row>
    <row r="18" spans="1:33" ht="11.25" customHeight="1" x14ac:dyDescent="0.2">
      <c r="A18" s="59" t="s">
        <v>69</v>
      </c>
      <c r="B18" s="60" t="s">
        <v>45</v>
      </c>
      <c r="C18" s="61">
        <v>0</v>
      </c>
      <c r="D18" s="62" t="str">
        <f t="shared" si="7"/>
        <v>Sonia</v>
      </c>
      <c r="E18" s="63" t="str">
        <f t="shared" si="6"/>
        <v>GBP9MOIS_LCHQuote</v>
      </c>
      <c r="F18" s="123"/>
      <c r="G18" s="64" t="str">
        <f>_xll.qlOISRateHelper(,C18,B18,E18,$D18,,Permanent,Trigger,ObjectOverwrite)</f>
        <v>obj_00386#0007</v>
      </c>
      <c r="H18" s="48"/>
      <c r="I18" s="10" t="str">
        <f t="shared" si="4"/>
        <v>OIS</v>
      </c>
      <c r="J18" s="94" t="str">
        <f t="shared" si="5"/>
        <v>obj_003a5#0007</v>
      </c>
      <c r="K18" s="146" t="str">
        <f>IFERROR(_xll.qlRateHelperQuoteName(J18,Trigger),"--")</f>
        <v>GBP11MOIS_LCHQuote</v>
      </c>
      <c r="L18" s="98">
        <f>IFERROR(_xll.qlRateHelperQuoteValue($J18,Trigger),"--")</f>
        <v>5.2510000000000005E-3</v>
      </c>
      <c r="M18" s="97" t="b">
        <v>1</v>
      </c>
      <c r="N18" s="94">
        <v>50</v>
      </c>
      <c r="O18" s="94">
        <v>1</v>
      </c>
      <c r="P18" s="99">
        <f>IFERROR(_xll.qlRateHelperEarliestDate(J18,Trigger),"--")</f>
        <v>42321</v>
      </c>
      <c r="Q18" s="99">
        <f>IFERROR(_xll.qlRateHelperPillarDate(J18,Trigger),"--")</f>
        <v>42656</v>
      </c>
      <c r="S18" s="4" t="str">
        <f t="shared" si="0"/>
        <v>OIS</v>
      </c>
      <c r="T18" s="4" t="str">
        <v>obj_00397</v>
      </c>
      <c r="U18" s="4" t="str">
        <f>IFERROR(_xll.qlRateHelperQuoteName(T18,Trigger),"")</f>
        <v>GBP15MOIS_LCHQuote</v>
      </c>
      <c r="V18" s="70">
        <f>IFERROR(_xll.qlRateHelperRate(T18,Trigger),"")</f>
        <v>5.7840000000000001E-3</v>
      </c>
      <c r="W18" s="104" t="str">
        <f>IF(ISERROR(_xll.qlSwapRateHelperSpread($T18)),IF(ISERROR(_xll.qlFuturesRateHelperConvexityAdjustment($T18)),"",_xll.qlFuturesRateHelperConvexityAdjustment($T18)),_xll.qlSwapRateHelperSpread($T18))</f>
        <v/>
      </c>
      <c r="X18" s="5">
        <f>IFERROR(_xll.qlRateHelperEarliestDate(T18,Trigger),"")</f>
        <v>42321</v>
      </c>
      <c r="Y18" s="5">
        <f>IFERROR(_xll.qlRateHelperPillarDate(T18,Trigger),"")</f>
        <v>42779</v>
      </c>
      <c r="Z18" s="70">
        <v>5.7702697262425303E-3</v>
      </c>
      <c r="AA18" s="77">
        <v>0.99278564645662815</v>
      </c>
      <c r="AB18" s="169">
        <v>42779</v>
      </c>
      <c r="AC18" s="170">
        <v>5.9114486509984398E-3</v>
      </c>
      <c r="AD18" s="172">
        <f t="shared" si="2"/>
        <v>-1.4117892475590949E-4</v>
      </c>
      <c r="AE18" s="174">
        <v>0.99259371358959703</v>
      </c>
      <c r="AF18" s="173">
        <f t="shared" si="3"/>
        <v>1.9193286703111934E-4</v>
      </c>
      <c r="AG18" s="170"/>
    </row>
    <row r="19" spans="1:33" ht="11.25" customHeight="1" x14ac:dyDescent="0.2">
      <c r="A19" s="59" t="s">
        <v>69</v>
      </c>
      <c r="B19" s="60" t="s">
        <v>46</v>
      </c>
      <c r="C19" s="61">
        <v>0</v>
      </c>
      <c r="D19" s="62" t="str">
        <f t="shared" si="7"/>
        <v>Sonia</v>
      </c>
      <c r="E19" s="63" t="str">
        <f t="shared" si="6"/>
        <v>GBP10MOIS_LCHQuote</v>
      </c>
      <c r="F19" s="123"/>
      <c r="G19" s="64" t="str">
        <f>_xll.qlOISRateHelper(,C19,B19,E19,$D19,,Permanent,Trigger,ObjectOverwrite)</f>
        <v>obj_00383#0007</v>
      </c>
      <c r="H19" s="48"/>
      <c r="I19" s="10" t="str">
        <f t="shared" si="4"/>
        <v>OIS</v>
      </c>
      <c r="J19" s="94" t="str">
        <f t="shared" si="5"/>
        <v>obj_0039f#0007</v>
      </c>
      <c r="K19" s="146" t="str">
        <f>IFERROR(_xll.qlRateHelperQuoteName(J19,Trigger),"--")</f>
        <v>GBP1YOIS_LCHQuote</v>
      </c>
      <c r="L19" s="98">
        <f>IFERROR(_xll.qlRateHelperQuoteValue($J19,Trigger),"--")</f>
        <v>5.3730000000000002E-3</v>
      </c>
      <c r="M19" s="97" t="b">
        <v>1</v>
      </c>
      <c r="N19" s="94">
        <v>50</v>
      </c>
      <c r="O19" s="94">
        <v>1</v>
      </c>
      <c r="P19" s="99">
        <f>IFERROR(_xll.qlRateHelperEarliestDate(J19,Trigger),"--")</f>
        <v>42321</v>
      </c>
      <c r="Q19" s="99">
        <f>IFERROR(_xll.qlRateHelperPillarDate(J19,Trigger),"--")</f>
        <v>42688</v>
      </c>
      <c r="S19" s="4" t="str">
        <f t="shared" si="0"/>
        <v>OIS</v>
      </c>
      <c r="T19" s="4" t="str">
        <v>obj_0037a</v>
      </c>
      <c r="U19" s="4" t="str">
        <f>IFERROR(_xll.qlRateHelperQuoteName(T19,Trigger),"")</f>
        <v>GBP18MOIS_LCHQuote</v>
      </c>
      <c r="V19" s="70">
        <f>IFERROR(_xll.qlRateHelperRate(T19,Trigger),"")</f>
        <v>6.2500000000000003E-3</v>
      </c>
      <c r="W19" s="104" t="str">
        <f>IF(ISERROR(_xll.qlSwapRateHelperSpread($T19)),IF(ISERROR(_xll.qlFuturesRateHelperConvexityAdjustment($T19)),"",_xll.qlFuturesRateHelperConvexityAdjustment($T19)),_xll.qlSwapRateHelperSpread($T19))</f>
        <v/>
      </c>
      <c r="X19" s="5">
        <f>IFERROR(_xll.qlRateHelperEarliestDate(T19,Trigger),"")</f>
        <v>42321</v>
      </c>
      <c r="Y19" s="5">
        <f>IFERROR(_xll.qlRateHelperPillarDate(T19,Trigger),"")</f>
        <v>42870</v>
      </c>
      <c r="Z19" s="70">
        <v>6.2352344726545484E-3</v>
      </c>
      <c r="AA19" s="77">
        <v>0.99066536478522793</v>
      </c>
      <c r="AB19" s="169">
        <v>42867</v>
      </c>
      <c r="AC19" s="170">
        <v>6.4006574959339603E-3</v>
      </c>
      <c r="AD19" s="172">
        <f t="shared" si="2"/>
        <v>-1.6542302327941186E-4</v>
      </c>
      <c r="AE19" s="174">
        <v>0.99045364035962202</v>
      </c>
      <c r="AF19" s="173">
        <f t="shared" si="3"/>
        <v>2.117244256059081E-4</v>
      </c>
      <c r="AG19" s="170"/>
    </row>
    <row r="20" spans="1:33" ht="11.25" customHeight="1" x14ac:dyDescent="0.2">
      <c r="A20" s="59" t="s">
        <v>69</v>
      </c>
      <c r="B20" s="60" t="s">
        <v>47</v>
      </c>
      <c r="C20" s="61">
        <v>0</v>
      </c>
      <c r="D20" s="62" t="str">
        <f t="shared" si="7"/>
        <v>Sonia</v>
      </c>
      <c r="E20" s="63" t="str">
        <f t="shared" si="6"/>
        <v>GBP11MOIS_LCHQuote</v>
      </c>
      <c r="F20" s="123"/>
      <c r="G20" s="64" t="str">
        <f>_xll.qlOISRateHelper(,C20,B20,E20,$D20,,Permanent,Trigger,ObjectOverwrite)</f>
        <v>obj_003a5#0007</v>
      </c>
      <c r="H20" s="48"/>
      <c r="I20" s="10" t="str">
        <f t="shared" si="4"/>
        <v>OIS</v>
      </c>
      <c r="J20" s="94" t="str">
        <f t="shared" si="5"/>
        <v>obj_00397#0007</v>
      </c>
      <c r="K20" s="146" t="str">
        <f>IFERROR(_xll.qlRateHelperQuoteName(J20,Trigger),"--")</f>
        <v>GBP15MOIS_LCHQuote</v>
      </c>
      <c r="L20" s="98">
        <f>IFERROR(_xll.qlRateHelperQuoteValue($J20,Trigger),"--")</f>
        <v>5.7840000000000001E-3</v>
      </c>
      <c r="M20" s="97" t="b">
        <v>1</v>
      </c>
      <c r="N20" s="94">
        <v>50</v>
      </c>
      <c r="O20" s="94">
        <v>1</v>
      </c>
      <c r="P20" s="99">
        <f>IFERROR(_xll.qlRateHelperEarliestDate(J20,Trigger),"--")</f>
        <v>42321</v>
      </c>
      <c r="Q20" s="99">
        <f>IFERROR(_xll.qlRateHelperPillarDate(J20,Trigger),"--")</f>
        <v>42779</v>
      </c>
      <c r="S20" s="4" t="str">
        <f t="shared" si="0"/>
        <v>OIS</v>
      </c>
      <c r="T20" s="4" t="str">
        <v>obj_00375</v>
      </c>
      <c r="U20" s="4" t="str">
        <f>IFERROR(_xll.qlRateHelperQuoteName(T20,Trigger),"")</f>
        <v>GBP21MOIS_LCHQuote</v>
      </c>
      <c r="V20" s="70">
        <f>IFERROR(_xll.qlRateHelperRate(T20,Trigger),"")</f>
        <v>6.7429999999999999E-3</v>
      </c>
      <c r="W20" s="104" t="str">
        <f>IF(ISERROR(_xll.qlSwapRateHelperSpread($T20)),IF(ISERROR(_xll.qlFuturesRateHelperConvexityAdjustment($T20)),"",_xll.qlFuturesRateHelperConvexityAdjustment($T20)),_xll.qlSwapRateHelperSpread($T20))</f>
        <v/>
      </c>
      <c r="X20" s="5">
        <f>IFERROR(_xll.qlRateHelperEarliestDate(T20,Trigger),"")</f>
        <v>42321</v>
      </c>
      <c r="Y20" s="5">
        <f>IFERROR(_xll.qlRateHelperPillarDate(T20,Trigger),"")</f>
        <v>42961</v>
      </c>
      <c r="Z20" s="70">
        <v>6.7265028649524479E-3</v>
      </c>
      <c r="AA20" s="77">
        <v>0.98827486549599397</v>
      </c>
      <c r="AB20" s="169">
        <v>42961</v>
      </c>
      <c r="AC20" s="170">
        <v>6.9373244155694E-3</v>
      </c>
      <c r="AD20" s="172">
        <f t="shared" si="2"/>
        <v>-2.1082155061695213E-4</v>
      </c>
      <c r="AE20" s="174">
        <v>0.98789083122002297</v>
      </c>
      <c r="AF20" s="173">
        <f t="shared" si="3"/>
        <v>3.8403427597100137E-4</v>
      </c>
      <c r="AG20" s="170"/>
    </row>
    <row r="21" spans="1:33" ht="11.25" customHeight="1" x14ac:dyDescent="0.2">
      <c r="A21" s="59" t="s">
        <v>69</v>
      </c>
      <c r="B21" s="60" t="s">
        <v>27</v>
      </c>
      <c r="C21" s="61">
        <v>0</v>
      </c>
      <c r="D21" s="62" t="str">
        <f t="shared" si="7"/>
        <v>Sonia</v>
      </c>
      <c r="E21" s="63" t="str">
        <f t="shared" si="6"/>
        <v>GBP1YOIS_LCHQuote</v>
      </c>
      <c r="F21" s="123"/>
      <c r="G21" s="64" t="str">
        <f>_xll.qlOISRateHelper(,C21,B21,E21,$D21,,Permanent,Trigger,ObjectOverwrite)</f>
        <v>obj_0039f#0007</v>
      </c>
      <c r="H21" s="48"/>
      <c r="I21" s="10" t="str">
        <f t="shared" si="4"/>
        <v>OIS</v>
      </c>
      <c r="J21" s="94" t="str">
        <f t="shared" si="5"/>
        <v>obj_0037a#0007</v>
      </c>
      <c r="K21" s="146" t="str">
        <f>IFERROR(_xll.qlRateHelperQuoteName(J21,Trigger),"--")</f>
        <v>GBP18MOIS_LCHQuote</v>
      </c>
      <c r="L21" s="98">
        <f>IFERROR(_xll.qlRateHelperQuoteValue($J21,Trigger),"--")</f>
        <v>6.2500000000000003E-3</v>
      </c>
      <c r="M21" s="97" t="b">
        <v>1</v>
      </c>
      <c r="N21" s="94">
        <v>50</v>
      </c>
      <c r="O21" s="94">
        <v>1</v>
      </c>
      <c r="P21" s="99">
        <f>IFERROR(_xll.qlRateHelperEarliestDate(J21,Trigger),"--")</f>
        <v>42321</v>
      </c>
      <c r="Q21" s="99">
        <f>IFERROR(_xll.qlRateHelperPillarDate(J21,Trigger),"--")</f>
        <v>42870</v>
      </c>
      <c r="S21" s="4" t="str">
        <f t="shared" si="0"/>
        <v>OIS</v>
      </c>
      <c r="T21" s="4" t="str">
        <v>obj_00372</v>
      </c>
      <c r="U21" s="4" t="str">
        <f>IFERROR(_xll.qlRateHelperQuoteName(T21,Trigger),"")</f>
        <v>GBP2YOIS_LCHQuote</v>
      </c>
      <c r="V21" s="70">
        <f>IFERROR(_xll.qlRateHelperRate(T21,Trigger),"")</f>
        <v>7.2370000000000004E-3</v>
      </c>
      <c r="W21" s="104" t="str">
        <f>IF(ISERROR(_xll.qlSwapRateHelperSpread($T21)),IF(ISERROR(_xll.qlFuturesRateHelperConvexityAdjustment($T21)),"",_xll.qlFuturesRateHelperConvexityAdjustment($T21)),_xll.qlSwapRateHelperSpread($T21))</f>
        <v/>
      </c>
      <c r="X21" s="5">
        <f>IFERROR(_xll.qlRateHelperEarliestDate(T21,Trigger),"")</f>
        <v>42321</v>
      </c>
      <c r="Y21" s="5">
        <f>IFERROR(_xll.qlRateHelperPillarDate(T21,Trigger),"")</f>
        <v>43052</v>
      </c>
      <c r="Z21" s="70">
        <v>7.2176757426534351E-3</v>
      </c>
      <c r="AA21" s="77">
        <v>0.98564884780592954</v>
      </c>
      <c r="AB21" s="169">
        <v>43052</v>
      </c>
      <c r="AC21" s="170">
        <v>7.4677734194370004E-3</v>
      </c>
      <c r="AD21" s="172">
        <f t="shared" si="2"/>
        <v>-2.5009767678356529E-4</v>
      </c>
      <c r="AE21" s="174">
        <v>0.98513512335713105</v>
      </c>
      <c r="AF21" s="173">
        <f t="shared" si="3"/>
        <v>5.1372444879849155E-4</v>
      </c>
      <c r="AG21" s="170"/>
    </row>
    <row r="22" spans="1:33" ht="11.25" customHeight="1" x14ac:dyDescent="0.2">
      <c r="A22" s="59" t="s">
        <v>69</v>
      </c>
      <c r="B22" s="60" t="s">
        <v>48</v>
      </c>
      <c r="C22" s="61">
        <v>0</v>
      </c>
      <c r="D22" s="62" t="str">
        <f t="shared" si="7"/>
        <v>Sonia</v>
      </c>
      <c r="E22" s="63" t="str">
        <f t="shared" si="6"/>
        <v>GBP15MOIS_LCHQuote</v>
      </c>
      <c r="F22" s="123"/>
      <c r="G22" s="64" t="str">
        <f>_xll.qlOISRateHelper(,C22,B22,E22,$D22,,Permanent,Trigger,ObjectOverwrite)</f>
        <v>obj_00397#0007</v>
      </c>
      <c r="I22" s="10" t="str">
        <f t="shared" si="4"/>
        <v>OIS</v>
      </c>
      <c r="J22" s="94" t="str">
        <f t="shared" si="5"/>
        <v>obj_00375#0007</v>
      </c>
      <c r="K22" s="146" t="str">
        <f>IFERROR(_xll.qlRateHelperQuoteName(J22,Trigger),"--")</f>
        <v>GBP21MOIS_LCHQuote</v>
      </c>
      <c r="L22" s="98">
        <f>IFERROR(_xll.qlRateHelperQuoteValue($J22,Trigger),"--")</f>
        <v>6.7429999999999999E-3</v>
      </c>
      <c r="M22" s="97" t="b">
        <v>1</v>
      </c>
      <c r="N22" s="94">
        <v>50</v>
      </c>
      <c r="O22" s="94">
        <v>1</v>
      </c>
      <c r="P22" s="99">
        <f>IFERROR(_xll.qlRateHelperEarliestDate(J22,Trigger),"--")</f>
        <v>42321</v>
      </c>
      <c r="Q22" s="99">
        <f>IFERROR(_xll.qlRateHelperPillarDate(J22,Trigger),"--")</f>
        <v>42961</v>
      </c>
      <c r="S22" s="4" t="str">
        <f t="shared" si="0"/>
        <v>BasSw</v>
      </c>
      <c r="T22" s="4" t="str">
        <v>obj_0036f</v>
      </c>
      <c r="U22" s="4" t="str">
        <f>IFERROR(_xll.qlRateHelperQuoteName(T22,Trigger),"")</f>
        <v>GBPSM3L3Y_LCHQuote</v>
      </c>
      <c r="V22" s="70">
        <f>IFERROR(_xll.qlRateHelperRate(T22,Trigger),"")</f>
        <v>1.0749999999999999E-2</v>
      </c>
      <c r="W22" s="104" t="str">
        <f>IF(ISERROR(_xll.qlSwapRateHelperSpread($T22)),IF(ISERROR(_xll.qlFuturesRateHelperConvexityAdjustment($T22)),"",_xll.qlFuturesRateHelperConvexityAdjustment($T22)),_xll.qlSwapRateHelperSpread($T22))</f>
        <v/>
      </c>
      <c r="X22" s="5">
        <f>IFERROR(_xll.qlRateHelperEarliestDate(T22,Trigger),"")</f>
        <v>42321</v>
      </c>
      <c r="Y22" s="5">
        <f>IFERROR(_xll.qlRateHelperPillarDate(T22,Trigger),"")</f>
        <v>43417</v>
      </c>
      <c r="Z22" s="70">
        <v>9.0658944005832156E-3</v>
      </c>
      <c r="AA22" s="77">
        <v>0.97314500460507158</v>
      </c>
      <c r="AB22" s="169">
        <v>43416</v>
      </c>
      <c r="AC22" s="170">
        <v>9.35409088215358E-3</v>
      </c>
      <c r="AD22" s="172">
        <f t="shared" si="2"/>
        <v>-2.8819648157036443E-4</v>
      </c>
      <c r="AE22" s="174">
        <v>0.97230337781779097</v>
      </c>
      <c r="AF22" s="173">
        <f t="shared" si="3"/>
        <v>8.416267872806138E-4</v>
      </c>
      <c r="AG22" s="170"/>
    </row>
    <row r="23" spans="1:33" ht="11.25" customHeight="1" x14ac:dyDescent="0.2">
      <c r="A23" s="59" t="s">
        <v>69</v>
      </c>
      <c r="B23" s="60" t="s">
        <v>49</v>
      </c>
      <c r="C23" s="61">
        <v>0</v>
      </c>
      <c r="D23" s="62" t="str">
        <f t="shared" si="7"/>
        <v>Sonia</v>
      </c>
      <c r="E23" s="63" t="str">
        <f t="shared" si="6"/>
        <v>GBP18MOIS_LCHQuote</v>
      </c>
      <c r="F23" s="123"/>
      <c r="G23" s="64" t="str">
        <f>_xll.qlOISRateHelper(,C23,B23,E23,$D23,,Permanent,Trigger,ObjectOverwrite)</f>
        <v>obj_0037a#0007</v>
      </c>
      <c r="I23" s="10" t="str">
        <f t="shared" si="4"/>
        <v>OIS</v>
      </c>
      <c r="J23" s="94" t="str">
        <f t="shared" si="5"/>
        <v>obj_00372#0007</v>
      </c>
      <c r="K23" s="146" t="str">
        <f>IFERROR(_xll.qlRateHelperQuoteName(J23,Trigger),"--")</f>
        <v>GBP2YOIS_LCHQuote</v>
      </c>
      <c r="L23" s="98">
        <f>IFERROR(_xll.qlRateHelperQuoteValue($J23,Trigger),"--")</f>
        <v>7.2370000000000004E-3</v>
      </c>
      <c r="M23" s="97" t="b">
        <v>1</v>
      </c>
      <c r="N23" s="94">
        <v>50</v>
      </c>
      <c r="O23" s="94">
        <v>1</v>
      </c>
      <c r="P23" s="99">
        <f>IFERROR(_xll.qlRateHelperEarliestDate(J23,Trigger),"--")</f>
        <v>42321</v>
      </c>
      <c r="Q23" s="99">
        <f>IFERROR(_xll.qlRateHelperPillarDate(J23,Trigger),"--")</f>
        <v>43052</v>
      </c>
      <c r="S23" s="4" t="str">
        <f t="shared" si="0"/>
        <v>BasSw</v>
      </c>
      <c r="T23" s="4" t="str">
        <v>obj_0036d</v>
      </c>
      <c r="U23" s="4" t="str">
        <f>IFERROR(_xll.qlRateHelperQuoteName(T23,Trigger),"")</f>
        <v>GBPSM3L4Y_LCHQuote</v>
      </c>
      <c r="V23" s="70">
        <f>IFERROR(_xll.qlRateHelperRate(T23,Trigger),"")</f>
        <v>1.2490000000000001E-2</v>
      </c>
      <c r="W23" s="104" t="str">
        <f>IF(ISERROR(_xll.qlSwapRateHelperSpread($T23)),IF(ISERROR(_xll.qlFuturesRateHelperConvexityAdjustment($T23)),"",_xll.qlFuturesRateHelperConvexityAdjustment($T23)),_xll.qlSwapRateHelperSpread($T23))</f>
        <v/>
      </c>
      <c r="X23" s="5">
        <f>IFERROR(_xll.qlRateHelperEarliestDate(T23,Trigger),"")</f>
        <v>42321</v>
      </c>
      <c r="Y23" s="5">
        <f>IFERROR(_xll.qlRateHelperPillarDate(T23,Trigger),"")</f>
        <v>43782</v>
      </c>
      <c r="Z23" s="70">
        <v>1.0659266273700493E-2</v>
      </c>
      <c r="AA23" s="77">
        <v>0.95823202579540778</v>
      </c>
      <c r="AB23" s="169">
        <v>43781</v>
      </c>
      <c r="AC23" s="170">
        <v>1.0963386935437599E-2</v>
      </c>
      <c r="AD23" s="172">
        <f t="shared" si="2"/>
        <v>-3.0412066173710582E-4</v>
      </c>
      <c r="AE23" s="174">
        <v>0.957066575477028</v>
      </c>
      <c r="AF23" s="173">
        <f t="shared" si="3"/>
        <v>1.1654503183797793E-3</v>
      </c>
      <c r="AG23" s="170"/>
    </row>
    <row r="24" spans="1:33" ht="11.25" customHeight="1" x14ac:dyDescent="0.2">
      <c r="A24" s="59" t="s">
        <v>69</v>
      </c>
      <c r="B24" s="60" t="s">
        <v>50</v>
      </c>
      <c r="C24" s="61">
        <v>0</v>
      </c>
      <c r="D24" s="62" t="str">
        <f t="shared" si="7"/>
        <v>Sonia</v>
      </c>
      <c r="E24" s="63" t="str">
        <f t="shared" si="6"/>
        <v>GBP21MOIS_LCHQuote</v>
      </c>
      <c r="F24" s="123"/>
      <c r="G24" s="64" t="str">
        <f>_xll.qlOISRateHelper(,C24,B24,E24,$D24,,Permanent,Trigger,ObjectOverwrite)</f>
        <v>obj_00375#0007</v>
      </c>
      <c r="I24" s="10" t="str">
        <f t="shared" si="4"/>
        <v>OIS</v>
      </c>
      <c r="J24" s="94" t="str">
        <f t="shared" si="5"/>
        <v>--</v>
      </c>
      <c r="K24" s="146" t="str">
        <f>IFERROR(_xll.qlRateHelperQuoteName(J24,Trigger),"--")</f>
        <v>--</v>
      </c>
      <c r="L24" s="98" t="str">
        <f>IFERROR(_xll.qlRateHelperQuoteValue($J24,Trigger),"--")</f>
        <v>--</v>
      </c>
      <c r="M24" s="97" t="b">
        <v>0</v>
      </c>
      <c r="N24" s="94">
        <v>50</v>
      </c>
      <c r="O24" s="94">
        <v>1</v>
      </c>
      <c r="P24" s="99" t="str">
        <f>IFERROR(_xll.qlRateHelperEarliestDate(J24,Trigger),"--")</f>
        <v>--</v>
      </c>
      <c r="Q24" s="99" t="str">
        <f>IFERROR(_xll.qlRateHelperPillarDate(J24,Trigger),"--")</f>
        <v>--</v>
      </c>
      <c r="S24" s="4" t="str">
        <f t="shared" si="0"/>
        <v>BasSw</v>
      </c>
      <c r="T24" s="4" t="str">
        <v>obj_00367</v>
      </c>
      <c r="U24" s="4" t="str">
        <f>IFERROR(_xll.qlRateHelperQuoteName(T24,Trigger),"")</f>
        <v>GBPSM3L5Y_LCHQuote</v>
      </c>
      <c r="V24" s="70">
        <f>IFERROR(_xll.qlRateHelperRate(T24,Trigger),"")</f>
        <v>1.3950000000000001E-2</v>
      </c>
      <c r="W24" s="104" t="str">
        <f>IF(ISERROR(_xll.qlSwapRateHelperSpread($T24)),IF(ISERROR(_xll.qlFuturesRateHelperConvexityAdjustment($T24)),"",_xll.qlFuturesRateHelperConvexityAdjustment($T24)),_xll.qlSwapRateHelperSpread($T24))</f>
        <v/>
      </c>
      <c r="X24" s="5">
        <f>IFERROR(_xll.qlRateHelperEarliestDate(T24,Trigger),"")</f>
        <v>42321</v>
      </c>
      <c r="Y24" s="5">
        <f>IFERROR(_xll.qlRateHelperPillarDate(T24,Trigger),"")</f>
        <v>44148</v>
      </c>
      <c r="Z24" s="70">
        <v>1.2052932545947177E-2</v>
      </c>
      <c r="AA24" s="77">
        <v>0.94145473865346896</v>
      </c>
      <c r="AB24" s="169">
        <v>44147</v>
      </c>
      <c r="AC24" s="170">
        <v>1.23132246006907E-2</v>
      </c>
      <c r="AD24" s="172">
        <f t="shared" si="2"/>
        <v>-2.6029205474352272E-4</v>
      </c>
      <c r="AE24" s="174">
        <v>0.94022927685565005</v>
      </c>
      <c r="AF24" s="173">
        <f t="shared" si="3"/>
        <v>1.2254617978189053E-3</v>
      </c>
      <c r="AG24" s="170"/>
    </row>
    <row r="25" spans="1:33" ht="11.25" customHeight="1" x14ac:dyDescent="0.2">
      <c r="A25" s="59" t="s">
        <v>69</v>
      </c>
      <c r="B25" s="60" t="s">
        <v>51</v>
      </c>
      <c r="C25" s="61">
        <v>0</v>
      </c>
      <c r="D25" s="62" t="str">
        <f t="shared" si="7"/>
        <v>Sonia</v>
      </c>
      <c r="E25" s="63" t="str">
        <f t="shared" si="6"/>
        <v>GBP2YOIS_LCHQuote</v>
      </c>
      <c r="F25" s="123"/>
      <c r="G25" s="64" t="str">
        <f>_xll.qlOISRateHelper(,C25,B25,E25,$D25,,Permanent,Trigger,ObjectOverwrite)</f>
        <v>obj_00372#0007</v>
      </c>
      <c r="I25" s="10" t="str">
        <f t="shared" si="4"/>
        <v>OIS</v>
      </c>
      <c r="J25" s="94" t="str">
        <f t="shared" si="5"/>
        <v>--</v>
      </c>
      <c r="K25" s="146" t="str">
        <f>IFERROR(_xll.qlRateHelperQuoteName(J25,Trigger),"--")</f>
        <v>--</v>
      </c>
      <c r="L25" s="98" t="str">
        <f>IFERROR(_xll.qlRateHelperQuoteValue($J25,Trigger),"--")</f>
        <v>--</v>
      </c>
      <c r="M25" s="97" t="b">
        <v>0</v>
      </c>
      <c r="N25" s="94">
        <v>50</v>
      </c>
      <c r="O25" s="94">
        <v>1</v>
      </c>
      <c r="P25" s="99" t="str">
        <f>IFERROR(_xll.qlRateHelperEarliestDate(J25,Trigger),"--")</f>
        <v>--</v>
      </c>
      <c r="Q25" s="99" t="str">
        <f>IFERROR(_xll.qlRateHelperPillarDate(J25,Trigger),"--")</f>
        <v>--</v>
      </c>
      <c r="S25" s="4" t="str">
        <f t="shared" si="0"/>
        <v>BasSw</v>
      </c>
      <c r="T25" s="4" t="str">
        <v>obj_00377</v>
      </c>
      <c r="U25" s="4" t="str">
        <f>IFERROR(_xll.qlRateHelperQuoteName(T25,Trigger),"")</f>
        <v>GBPSM3L6Y_LCHQuote</v>
      </c>
      <c r="V25" s="70">
        <f>IFERROR(_xll.qlRateHelperRate(T25,Trigger),"")</f>
        <v>1.5179999999999997E-2</v>
      </c>
      <c r="W25" s="104" t="str">
        <f>IF(ISERROR(_xll.qlSwapRateHelperSpread($T25)),IF(ISERROR(_xll.qlFuturesRateHelperConvexityAdjustment($T25)),"",_xll.qlFuturesRateHelperConvexityAdjustment($T25)),_xll.qlSwapRateHelperSpread($T25))</f>
        <v/>
      </c>
      <c r="X25" s="5">
        <f>IFERROR(_xll.qlRateHelperEarliestDate(T25,Trigger),"")</f>
        <v>42321</v>
      </c>
      <c r="Y25" s="5">
        <f>IFERROR(_xll.qlRateHelperPillarDate(T25,Trigger),"")</f>
        <v>44515</v>
      </c>
      <c r="Z25" s="70">
        <v>1.3272788959453819E-2</v>
      </c>
      <c r="AA25" s="77">
        <v>0.92331982853225403</v>
      </c>
      <c r="AB25" s="169">
        <v>44512</v>
      </c>
      <c r="AC25" s="170">
        <v>1.3519856762602801E-2</v>
      </c>
      <c r="AD25" s="172">
        <f t="shared" si="2"/>
        <v>-2.4706780314898147E-4</v>
      </c>
      <c r="AE25" s="174">
        <v>0.92201820912492005</v>
      </c>
      <c r="AF25" s="173">
        <f t="shared" si="3"/>
        <v>1.301619407333976E-3</v>
      </c>
      <c r="AG25" s="170"/>
    </row>
    <row r="26" spans="1:33" ht="11.25" customHeight="1" x14ac:dyDescent="0.2">
      <c r="A26" s="59" t="s">
        <v>69</v>
      </c>
      <c r="B26" s="60" t="s">
        <v>52</v>
      </c>
      <c r="C26" s="61">
        <v>0</v>
      </c>
      <c r="D26" s="62" t="str">
        <f t="shared" si="7"/>
        <v>Sonia</v>
      </c>
      <c r="E26" s="63" t="str">
        <f t="shared" si="6"/>
        <v>GBP3YOIS_LCHQuote</v>
      </c>
      <c r="F26" s="123"/>
      <c r="G26" s="64"/>
      <c r="I26" s="10" t="str">
        <f t="shared" si="4"/>
        <v>OIS</v>
      </c>
      <c r="J26" s="94" t="str">
        <f t="shared" si="5"/>
        <v>--</v>
      </c>
      <c r="K26" s="146" t="str">
        <f>IFERROR(_xll.qlRateHelperQuoteName(J26,Trigger),"--")</f>
        <v>--</v>
      </c>
      <c r="L26" s="98" t="str">
        <f>IFERROR(_xll.qlRateHelperQuoteValue($J26,Trigger),"--")</f>
        <v>--</v>
      </c>
      <c r="M26" s="97" t="b">
        <v>0</v>
      </c>
      <c r="N26" s="94">
        <v>50</v>
      </c>
      <c r="O26" s="94">
        <v>1</v>
      </c>
      <c r="P26" s="99" t="str">
        <f>IFERROR(_xll.qlRateHelperEarliestDate(J26,Trigger),"--")</f>
        <v>--</v>
      </c>
      <c r="Q26" s="99" t="str">
        <f>IFERROR(_xll.qlRateHelperPillarDate(J26,Trigger),"--")</f>
        <v>--</v>
      </c>
      <c r="S26" s="4" t="str">
        <f t="shared" si="0"/>
        <v>BasSw</v>
      </c>
      <c r="T26" s="4" t="str">
        <v>obj_00371</v>
      </c>
      <c r="U26" s="4" t="str">
        <f>IFERROR(_xll.qlRateHelperQuoteName(T26,Trigger),"")</f>
        <v>GBPSM3L7Y_LCHQuote</v>
      </c>
      <c r="V26" s="70">
        <f>IFERROR(_xll.qlRateHelperRate(T26,Trigger),"")</f>
        <v>1.6219999999999998E-2</v>
      </c>
      <c r="W26" s="104" t="str">
        <f>IF(ISERROR(_xll.qlSwapRateHelperSpread($T26)),IF(ISERROR(_xll.qlFuturesRateHelperConvexityAdjustment($T26)),"",_xll.qlFuturesRateHelperConvexityAdjustment($T26)),_xll.qlSwapRateHelperSpread($T26))</f>
        <v/>
      </c>
      <c r="X26" s="5">
        <f>IFERROR(_xll.qlRateHelperEarliestDate(T26,Trigger),"")</f>
        <v>42321</v>
      </c>
      <c r="Y26" s="5">
        <f>IFERROR(_xll.qlRateHelperPillarDate(T26,Trigger),"")</f>
        <v>44879</v>
      </c>
      <c r="Z26" s="70">
        <v>1.4330314307468714E-2</v>
      </c>
      <c r="AA26" s="77">
        <v>0.90445182606898467</v>
      </c>
      <c r="AB26" s="169">
        <v>44879</v>
      </c>
      <c r="AC26" s="170">
        <v>1.4569674217415901E-2</v>
      </c>
      <c r="AD26" s="172">
        <f t="shared" si="2"/>
        <v>-2.393599099471868E-4</v>
      </c>
      <c r="AE26" s="174">
        <v>0.90290026658116296</v>
      </c>
      <c r="AF26" s="173">
        <f t="shared" si="3"/>
        <v>1.5515594878217076E-3</v>
      </c>
      <c r="AG26" s="170"/>
    </row>
    <row r="27" spans="1:33" ht="11.25" customHeight="1" x14ac:dyDescent="0.2">
      <c r="A27" s="59" t="s">
        <v>69</v>
      </c>
      <c r="B27" s="60" t="s">
        <v>53</v>
      </c>
      <c r="C27" s="61">
        <v>0</v>
      </c>
      <c r="D27" s="62" t="str">
        <f t="shared" si="7"/>
        <v>Sonia</v>
      </c>
      <c r="E27" s="63" t="str">
        <f t="shared" si="6"/>
        <v>GBP4YOIS_LCHQuote</v>
      </c>
      <c r="F27" s="123"/>
      <c r="G27" s="64"/>
      <c r="I27" s="10" t="str">
        <f t="shared" si="4"/>
        <v>OIS</v>
      </c>
      <c r="J27" s="94" t="str">
        <f t="shared" si="5"/>
        <v>--</v>
      </c>
      <c r="K27" s="146" t="str">
        <f>IFERROR(_xll.qlRateHelperQuoteName(J27,Trigger),"--")</f>
        <v>--</v>
      </c>
      <c r="L27" s="98" t="str">
        <f>IFERROR(_xll.qlRateHelperQuoteValue($J27,Trigger),"--")</f>
        <v>--</v>
      </c>
      <c r="M27" s="97" t="b">
        <v>0</v>
      </c>
      <c r="N27" s="94">
        <v>50</v>
      </c>
      <c r="O27" s="94">
        <v>1</v>
      </c>
      <c r="P27" s="99" t="str">
        <f>IFERROR(_xll.qlRateHelperEarliestDate(J27,Trigger),"--")</f>
        <v>--</v>
      </c>
      <c r="Q27" s="99" t="str">
        <f>IFERROR(_xll.qlRateHelperPillarDate(J27,Trigger),"--")</f>
        <v>--</v>
      </c>
      <c r="S27" s="4" t="str">
        <f t="shared" si="0"/>
        <v>BasSw</v>
      </c>
      <c r="T27" s="4" t="str">
        <v>obj_0036c</v>
      </c>
      <c r="U27" s="4" t="str">
        <f>IFERROR(_xll.qlRateHelperQuoteName(T27,Trigger),"")</f>
        <v>GBPSM3L8Y_LCHQuote</v>
      </c>
      <c r="V27" s="70">
        <f>IFERROR(_xll.qlRateHelperRate(T27,Trigger),"")</f>
        <v>1.7069999999999998E-2</v>
      </c>
      <c r="W27" s="104" t="str">
        <f>IF(ISERROR(_xll.qlSwapRateHelperSpread($T27)),IF(ISERROR(_xll.qlFuturesRateHelperConvexityAdjustment($T27)),"",_xll.qlFuturesRateHelperConvexityAdjustment($T27)),_xll.qlSwapRateHelperSpread($T27))</f>
        <v/>
      </c>
      <c r="X27" s="5">
        <f>IFERROR(_xll.qlRateHelperEarliestDate(T27,Trigger),"")</f>
        <v>42321</v>
      </c>
      <c r="Y27" s="5">
        <f>IFERROR(_xll.qlRateHelperPillarDate(T27,Trigger),"")</f>
        <v>45243</v>
      </c>
      <c r="Z27" s="70">
        <v>1.5224553773204525E-2</v>
      </c>
      <c r="AA27" s="77">
        <v>0.88525913002088596</v>
      </c>
      <c r="AB27" s="169">
        <v>45243</v>
      </c>
      <c r="AC27" s="170">
        <v>1.5447384151248199E-2</v>
      </c>
      <c r="AD27" s="172">
        <f t="shared" si="2"/>
        <v>-2.2283037804367474E-4</v>
      </c>
      <c r="AE27" s="174">
        <v>0.88364431852281899</v>
      </c>
      <c r="AF27" s="173">
        <f t="shared" si="3"/>
        <v>1.6148114980669703E-3</v>
      </c>
      <c r="AG27" s="170"/>
    </row>
    <row r="28" spans="1:33" ht="11.25" customHeight="1" x14ac:dyDescent="0.2">
      <c r="A28" s="59" t="s">
        <v>69</v>
      </c>
      <c r="B28" s="60" t="s">
        <v>54</v>
      </c>
      <c r="C28" s="61">
        <v>0</v>
      </c>
      <c r="D28" s="62" t="str">
        <f t="shared" si="7"/>
        <v>Sonia</v>
      </c>
      <c r="E28" s="63" t="str">
        <f t="shared" si="6"/>
        <v>GBP5YOIS_LCHQuote</v>
      </c>
      <c r="F28" s="123"/>
      <c r="G28" s="64"/>
      <c r="I28" s="10" t="str">
        <f t="shared" si="4"/>
        <v>OIS</v>
      </c>
      <c r="J28" s="94" t="str">
        <f t="shared" si="5"/>
        <v>--</v>
      </c>
      <c r="K28" s="146" t="str">
        <f>IFERROR(_xll.qlRateHelperQuoteName(J28,Trigger),"--")</f>
        <v>--</v>
      </c>
      <c r="L28" s="98" t="str">
        <f>IFERROR(_xll.qlRateHelperQuoteValue($J28,Trigger),"--")</f>
        <v>--</v>
      </c>
      <c r="M28" s="97" t="b">
        <v>0</v>
      </c>
      <c r="N28" s="94">
        <v>50</v>
      </c>
      <c r="O28" s="94">
        <v>1</v>
      </c>
      <c r="P28" s="99" t="str">
        <f>IFERROR(_xll.qlRateHelperEarliestDate(J28,Trigger),"--")</f>
        <v>--</v>
      </c>
      <c r="Q28" s="99" t="str">
        <f>IFERROR(_xll.qlRateHelperPillarDate(J28,Trigger),"--")</f>
        <v>--</v>
      </c>
      <c r="S28" s="4" t="str">
        <f t="shared" si="0"/>
        <v>BasSw</v>
      </c>
      <c r="T28" s="4" t="str">
        <v>obj_00368</v>
      </c>
      <c r="U28" s="4" t="str">
        <f>IFERROR(_xll.qlRateHelperQuoteName(T28,Trigger),"")</f>
        <v>GBPSM3L9Y_LCHQuote</v>
      </c>
      <c r="V28" s="70">
        <f>IFERROR(_xll.qlRateHelperRate(T28,Trigger),"")</f>
        <v>1.779E-2</v>
      </c>
      <c r="W28" s="104" t="str">
        <f>IF(ISERROR(_xll.qlSwapRateHelperSpread($T28)),IF(ISERROR(_xll.qlFuturesRateHelperConvexityAdjustment($T28)),"",_xll.qlFuturesRateHelperConvexityAdjustment($T28)),_xll.qlSwapRateHelperSpread($T28))</f>
        <v/>
      </c>
      <c r="X28" s="5">
        <f>IFERROR(_xll.qlRateHelperEarliestDate(T28,Trigger),"")</f>
        <v>42321</v>
      </c>
      <c r="Y28" s="5">
        <f>IFERROR(_xll.qlRateHelperPillarDate(T28,Trigger),"")</f>
        <v>45609</v>
      </c>
      <c r="Z28" s="70">
        <v>1.6001522189898008E-2</v>
      </c>
      <c r="AA28" s="77">
        <v>0.86576749713865664</v>
      </c>
      <c r="AB28" s="169">
        <v>45608</v>
      </c>
      <c r="AC28" s="170">
        <v>1.6217386083037699E-2</v>
      </c>
      <c r="AD28" s="172">
        <f t="shared" si="2"/>
        <v>-2.1586389313969084E-4</v>
      </c>
      <c r="AE28" s="174">
        <v>0.86408592207283796</v>
      </c>
      <c r="AF28" s="173">
        <f t="shared" si="3"/>
        <v>1.6815750658186746E-3</v>
      </c>
      <c r="AG28" s="170"/>
    </row>
    <row r="29" spans="1:33" ht="11.25" customHeight="1" x14ac:dyDescent="0.2">
      <c r="A29" s="59" t="s">
        <v>69</v>
      </c>
      <c r="B29" s="60" t="s">
        <v>55</v>
      </c>
      <c r="C29" s="61">
        <v>0</v>
      </c>
      <c r="D29" s="62" t="str">
        <f t="shared" si="7"/>
        <v>Sonia</v>
      </c>
      <c r="E29" s="63" t="str">
        <f t="shared" si="6"/>
        <v>GBP6YOIS_LCHQuote</v>
      </c>
      <c r="F29" s="123"/>
      <c r="G29" s="64"/>
      <c r="I29" s="10" t="str">
        <f t="shared" si="4"/>
        <v>OIS</v>
      </c>
      <c r="J29" s="94" t="str">
        <f t="shared" si="5"/>
        <v>--</v>
      </c>
      <c r="K29" s="146" t="str">
        <f>IFERROR(_xll.qlRateHelperQuoteName(J29,Trigger),"--")</f>
        <v>--</v>
      </c>
      <c r="L29" s="98" t="str">
        <f>IFERROR(_xll.qlRateHelperQuoteValue($J29,Trigger),"--")</f>
        <v>--</v>
      </c>
      <c r="M29" s="97" t="b">
        <v>0</v>
      </c>
      <c r="N29" s="94">
        <v>50</v>
      </c>
      <c r="O29" s="94">
        <v>1</v>
      </c>
      <c r="P29" s="99" t="str">
        <f>IFERROR(_xll.qlRateHelperEarliestDate(J29,Trigger),"--")</f>
        <v>--</v>
      </c>
      <c r="Q29" s="99" t="str">
        <f>IFERROR(_xll.qlRateHelperPillarDate(J29,Trigger),"--")</f>
        <v>--</v>
      </c>
      <c r="S29" s="4" t="str">
        <f t="shared" si="0"/>
        <v>BasSw</v>
      </c>
      <c r="T29" s="4" t="str">
        <v>obj_00373</v>
      </c>
      <c r="U29" s="4" t="str">
        <f>IFERROR(_xll.qlRateHelperQuoteName(T29,Trigger),"")</f>
        <v>GBPSM3L10Y_LCHQuote</v>
      </c>
      <c r="V29" s="70">
        <f>IFERROR(_xll.qlRateHelperRate(T29,Trigger),"")</f>
        <v>1.839E-2</v>
      </c>
      <c r="W29" s="104" t="str">
        <f>IF(ISERROR(_xll.qlSwapRateHelperSpread($T29)),IF(ISERROR(_xll.qlFuturesRateHelperConvexityAdjustment($T29)),"",_xll.qlFuturesRateHelperConvexityAdjustment($T29)),_xll.qlSwapRateHelperSpread($T29))</f>
        <v/>
      </c>
      <c r="X29" s="5">
        <f>IFERROR(_xll.qlRateHelperEarliestDate(T29,Trigger),"")</f>
        <v>42321</v>
      </c>
      <c r="Y29" s="5">
        <f>IFERROR(_xll.qlRateHelperPillarDate(T29,Trigger),"")</f>
        <v>45974</v>
      </c>
      <c r="Z29" s="70">
        <v>1.665691204355018E-2</v>
      </c>
      <c r="AA29" s="77">
        <v>0.84645467734890878</v>
      </c>
      <c r="AB29" s="169">
        <v>45973</v>
      </c>
      <c r="AC29" s="170">
        <v>1.6873203437030599E-2</v>
      </c>
      <c r="AD29" s="172">
        <f t="shared" si="2"/>
        <v>-2.1629139348041879E-4</v>
      </c>
      <c r="AE29" s="174">
        <v>0.8446246216676</v>
      </c>
      <c r="AF29" s="173">
        <f t="shared" si="3"/>
        <v>1.8300556813087843E-3</v>
      </c>
      <c r="AG29" s="170"/>
    </row>
    <row r="30" spans="1:33" ht="11.25" customHeight="1" x14ac:dyDescent="0.2">
      <c r="A30" s="59" t="s">
        <v>69</v>
      </c>
      <c r="B30" s="60" t="s">
        <v>56</v>
      </c>
      <c r="C30" s="61">
        <v>0</v>
      </c>
      <c r="D30" s="62" t="str">
        <f t="shared" si="7"/>
        <v>Sonia</v>
      </c>
      <c r="E30" s="63" t="str">
        <f t="shared" si="6"/>
        <v>GBP7YOIS_LCHQuote</v>
      </c>
      <c r="F30" s="123"/>
      <c r="G30" s="64"/>
      <c r="I30" s="10" t="str">
        <f t="shared" si="4"/>
        <v>OIS</v>
      </c>
      <c r="J30" s="94" t="str">
        <f t="shared" si="5"/>
        <v>--</v>
      </c>
      <c r="K30" s="146" t="str">
        <f>IFERROR(_xll.qlRateHelperQuoteName(J30,Trigger),"--")</f>
        <v>--</v>
      </c>
      <c r="L30" s="98" t="str">
        <f>IFERROR(_xll.qlRateHelperQuoteValue($J30,Trigger),"--")</f>
        <v>--</v>
      </c>
      <c r="M30" s="97" t="b">
        <v>0</v>
      </c>
      <c r="N30" s="94">
        <v>50</v>
      </c>
      <c r="O30" s="94">
        <v>1</v>
      </c>
      <c r="P30" s="99" t="str">
        <f>IFERROR(_xll.qlRateHelperEarliestDate(J30,Trigger),"--")</f>
        <v>--</v>
      </c>
      <c r="Q30" s="99" t="str">
        <f>IFERROR(_xll.qlRateHelperPillarDate(J30,Trigger),"--")</f>
        <v>--</v>
      </c>
      <c r="S30" s="4" t="str">
        <f t="shared" si="0"/>
        <v>BasSw</v>
      </c>
      <c r="T30" s="4" t="str">
        <v>obj_0036b</v>
      </c>
      <c r="U30" s="4" t="str">
        <f>IFERROR(_xll.qlRateHelperQuoteName(T30,Trigger),"")</f>
        <v>GBPSM3L12Y_LCHQuote</v>
      </c>
      <c r="V30" s="70">
        <f>IFERROR(_xll.qlRateHelperRate(T30,Trigger),"")</f>
        <v>1.941E-2</v>
      </c>
      <c r="W30" s="104" t="str">
        <f>IF(ISERROR(_xll.qlSwapRateHelperSpread($T30)),IF(ISERROR(_xll.qlFuturesRateHelperConvexityAdjustment($T30)),"",_xll.qlFuturesRateHelperConvexityAdjustment($T30)),_xll.qlSwapRateHelperSpread($T30))</f>
        <v/>
      </c>
      <c r="X30" s="5">
        <f>IFERROR(_xll.qlRateHelperEarliestDate(T30,Trigger),"")</f>
        <v>42321</v>
      </c>
      <c r="Y30" s="5">
        <f>IFERROR(_xll.qlRateHelperPillarDate(T30,Trigger),"")</f>
        <v>46706</v>
      </c>
      <c r="Z30" s="70">
        <v>1.7819602785078895E-2</v>
      </c>
      <c r="AA30" s="77">
        <v>0.80729634935072292</v>
      </c>
      <c r="AB30" s="169">
        <v>46703</v>
      </c>
      <c r="AC30" s="170">
        <v>1.80441285275201E-2</v>
      </c>
      <c r="AD30" s="172">
        <f t="shared" si="2"/>
        <v>-2.2452574244120546E-4</v>
      </c>
      <c r="AE30" s="174">
        <v>0.80520195931650895</v>
      </c>
      <c r="AF30" s="173">
        <f t="shared" si="3"/>
        <v>2.0943900342139665E-3</v>
      </c>
      <c r="AG30" s="170"/>
    </row>
    <row r="31" spans="1:33" ht="11.25" customHeight="1" x14ac:dyDescent="0.2">
      <c r="A31" s="59" t="s">
        <v>69</v>
      </c>
      <c r="B31" s="60" t="s">
        <v>57</v>
      </c>
      <c r="C31" s="61">
        <v>0</v>
      </c>
      <c r="D31" s="62" t="str">
        <f t="shared" si="7"/>
        <v>Sonia</v>
      </c>
      <c r="E31" s="63" t="str">
        <f t="shared" si="6"/>
        <v>GBP8YOIS_LCHQuote</v>
      </c>
      <c r="F31" s="123"/>
      <c r="G31" s="64"/>
      <c r="I31" s="10" t="str">
        <f t="shared" si="4"/>
        <v>OIS</v>
      </c>
      <c r="J31" s="94" t="str">
        <f t="shared" si="5"/>
        <v>--</v>
      </c>
      <c r="K31" s="146" t="str">
        <f>IFERROR(_xll.qlRateHelperQuoteName(J31,Trigger),"--")</f>
        <v>--</v>
      </c>
      <c r="L31" s="98" t="str">
        <f>IFERROR(_xll.qlRateHelperQuoteValue($J31,Trigger),"--")</f>
        <v>--</v>
      </c>
      <c r="M31" s="97" t="b">
        <v>0</v>
      </c>
      <c r="N31" s="94">
        <v>50</v>
      </c>
      <c r="O31" s="94">
        <v>1</v>
      </c>
      <c r="P31" s="99" t="str">
        <f>IFERROR(_xll.qlRateHelperEarliestDate(J31,Trigger),"--")</f>
        <v>--</v>
      </c>
      <c r="Q31" s="99" t="str">
        <f>IFERROR(_xll.qlRateHelperPillarDate(J31,Trigger),"--")</f>
        <v>--</v>
      </c>
      <c r="S31" s="4" t="str">
        <f t="shared" si="0"/>
        <v>BasSw</v>
      </c>
      <c r="T31" s="4" t="str">
        <v>obj_0036e</v>
      </c>
      <c r="U31" s="4" t="str">
        <f>IFERROR(_xll.qlRateHelperQuoteName(T31,Trigger),"")</f>
        <v>GBPSM3L15Y_LCHQuote</v>
      </c>
      <c r="V31" s="70">
        <f>IFERROR(_xll.qlRateHelperRate(T31,Trigger),"")</f>
        <v>2.0409999999999998E-2</v>
      </c>
      <c r="W31" s="104" t="str">
        <f>IF(ISERROR(_xll.qlSwapRateHelperSpread($T31)),IF(ISERROR(_xll.qlFuturesRateHelperConvexityAdjustment($T31)),"",_xll.qlFuturesRateHelperConvexityAdjustment($T31)),_xll.qlSwapRateHelperSpread($T31))</f>
        <v/>
      </c>
      <c r="X31" s="5">
        <f>IFERROR(_xll.qlRateHelperEarliestDate(T31,Trigger),"")</f>
        <v>42321</v>
      </c>
      <c r="Y31" s="5">
        <f>IFERROR(_xll.qlRateHelperPillarDate(T31,Trigger),"")</f>
        <v>47800</v>
      </c>
      <c r="Z31" s="70">
        <v>1.9028120031776275E-2</v>
      </c>
      <c r="AA31" s="77">
        <v>0.75158184424387919</v>
      </c>
      <c r="AB31" s="169">
        <v>47799</v>
      </c>
      <c r="AC31" s="170">
        <v>1.9218209466045799E-2</v>
      </c>
      <c r="AD31" s="172">
        <f t="shared" si="2"/>
        <v>-1.9008943426952404E-4</v>
      </c>
      <c r="AE31" s="174">
        <v>0.74944307982050296</v>
      </c>
      <c r="AF31" s="173">
        <f t="shared" si="3"/>
        <v>2.1387644233762382E-3</v>
      </c>
      <c r="AG31" s="170"/>
    </row>
    <row r="32" spans="1:33" ht="11.25" customHeight="1" x14ac:dyDescent="0.2">
      <c r="A32" s="59" t="s">
        <v>69</v>
      </c>
      <c r="B32" s="60" t="s">
        <v>58</v>
      </c>
      <c r="C32" s="61">
        <v>0</v>
      </c>
      <c r="D32" s="62" t="str">
        <f t="shared" si="7"/>
        <v>Sonia</v>
      </c>
      <c r="E32" s="63" t="str">
        <f t="shared" si="6"/>
        <v>GBP9YOIS_LCHQuote</v>
      </c>
      <c r="F32" s="123"/>
      <c r="G32" s="64"/>
      <c r="I32" s="10" t="str">
        <f t="shared" si="4"/>
        <v>OIS</v>
      </c>
      <c r="J32" s="94" t="str">
        <f t="shared" si="5"/>
        <v>--</v>
      </c>
      <c r="K32" s="146" t="str">
        <f>IFERROR(_xll.qlRateHelperQuoteName(J32,Trigger),"--")</f>
        <v>--</v>
      </c>
      <c r="L32" s="98" t="str">
        <f>IFERROR(_xll.qlRateHelperQuoteValue($J32,Trigger),"--")</f>
        <v>--</v>
      </c>
      <c r="M32" s="97" t="b">
        <v>0</v>
      </c>
      <c r="N32" s="94">
        <v>50</v>
      </c>
      <c r="O32" s="94">
        <v>1</v>
      </c>
      <c r="P32" s="99" t="str">
        <f>IFERROR(_xll.qlRateHelperEarliestDate(J32,Trigger),"--")</f>
        <v>--</v>
      </c>
      <c r="Q32" s="99" t="str">
        <f>IFERROR(_xll.qlRateHelperPillarDate(J32,Trigger),"--")</f>
        <v>--</v>
      </c>
      <c r="S32" s="4" t="str">
        <f t="shared" si="0"/>
        <v>BasSw</v>
      </c>
      <c r="T32" s="4" t="str">
        <v>obj_00369</v>
      </c>
      <c r="U32" s="4" t="str">
        <f>IFERROR(_xll.qlRateHelperQuoteName(T32,Trigger),"")</f>
        <v>GBPSM3L20Y_LCHQuote</v>
      </c>
      <c r="V32" s="70">
        <f>IFERROR(_xll.qlRateHelperRate(T32,Trigger),"")</f>
        <v>2.1049999999999999E-2</v>
      </c>
      <c r="W32" s="104" t="str">
        <f>IF(ISERROR(_xll.qlSwapRateHelperSpread($T32)),IF(ISERROR(_xll.qlFuturesRateHelperConvexityAdjustment($T32)),"",_xll.qlFuturesRateHelperConvexityAdjustment($T32)),_xll.qlSwapRateHelperSpread($T32))</f>
        <v/>
      </c>
      <c r="X32" s="5">
        <f>IFERROR(_xll.qlRateHelperEarliestDate(T32,Trigger),"")</f>
        <v>42321</v>
      </c>
      <c r="Y32" s="5">
        <f>IFERROR(_xll.qlRateHelperPillarDate(T32,Trigger),"")</f>
        <v>49626</v>
      </c>
      <c r="Z32" s="70">
        <v>1.9883924190279931E-2</v>
      </c>
      <c r="AA32" s="77">
        <v>0.67184932588148816</v>
      </c>
      <c r="AB32" s="169">
        <v>49625</v>
      </c>
      <c r="AC32" s="170">
        <v>2.0026176130590601E-2</v>
      </c>
      <c r="AD32" s="172">
        <f t="shared" si="2"/>
        <v>-1.4225194031066909E-4</v>
      </c>
      <c r="AE32" s="174">
        <v>0.669939036166599</v>
      </c>
      <c r="AF32" s="173">
        <f t="shared" si="3"/>
        <v>1.9102897148891573E-3</v>
      </c>
      <c r="AG32" s="170"/>
    </row>
    <row r="33" spans="1:33" ht="11.25" customHeight="1" x14ac:dyDescent="0.2">
      <c r="A33" s="59" t="s">
        <v>69</v>
      </c>
      <c r="B33" s="60" t="s">
        <v>59</v>
      </c>
      <c r="C33" s="61">
        <v>0</v>
      </c>
      <c r="D33" s="62" t="str">
        <f t="shared" si="7"/>
        <v>Sonia</v>
      </c>
      <c r="E33" s="63" t="str">
        <f t="shared" si="6"/>
        <v>GBP10YOIS_LCHQuote</v>
      </c>
      <c r="F33" s="123"/>
      <c r="G33" s="64"/>
      <c r="I33" s="10" t="str">
        <f t="shared" si="4"/>
        <v>OIS</v>
      </c>
      <c r="J33" s="94" t="str">
        <f t="shared" si="5"/>
        <v>--</v>
      </c>
      <c r="K33" s="146" t="str">
        <f>IFERROR(_xll.qlRateHelperQuoteName(J33,Trigger),"--")</f>
        <v>--</v>
      </c>
      <c r="L33" s="98" t="str">
        <f>IFERROR(_xll.qlRateHelperQuoteValue($J33,Trigger),"--")</f>
        <v>--</v>
      </c>
      <c r="M33" s="97" t="b">
        <v>0</v>
      </c>
      <c r="N33" s="94">
        <v>50</v>
      </c>
      <c r="O33" s="94">
        <v>1</v>
      </c>
      <c r="P33" s="99" t="str">
        <f>IFERROR(_xll.qlRateHelperEarliestDate(J33,Trigger),"--")</f>
        <v>--</v>
      </c>
      <c r="Q33" s="99" t="str">
        <f>IFERROR(_xll.qlRateHelperPillarDate(J33,Trigger),"--")</f>
        <v>--</v>
      </c>
      <c r="S33" s="4" t="str">
        <f t="shared" si="0"/>
        <v>BasSw</v>
      </c>
      <c r="T33" s="4" t="str">
        <v>obj_00366</v>
      </c>
      <c r="U33" s="4" t="str">
        <f>IFERROR(_xll.qlRateHelperQuoteName(T33,Trigger),"")</f>
        <v>GBPSM3L25Y_LCHQuote</v>
      </c>
      <c r="V33" s="70">
        <f>IFERROR(_xll.qlRateHelperRate(T33,Trigger),"")</f>
        <v>2.104E-2</v>
      </c>
      <c r="W33" s="104" t="str">
        <f>IF(ISERROR(_xll.qlSwapRateHelperSpread($T33)),IF(ISERROR(_xll.qlFuturesRateHelperConvexityAdjustment($T33)),"",_xll.qlFuturesRateHelperConvexityAdjustment($T33)),_xll.qlSwapRateHelperSpread($T33))</f>
        <v/>
      </c>
      <c r="X33" s="5">
        <f>IFERROR(_xll.qlRateHelperEarliestDate(T33,Trigger),"")</f>
        <v>42321</v>
      </c>
      <c r="Y33" s="5">
        <f>IFERROR(_xll.qlRateHelperPillarDate(T33,Trigger),"")</f>
        <v>51453</v>
      </c>
      <c r="Z33" s="70">
        <v>1.9900365201281099E-2</v>
      </c>
      <c r="AA33" s="77">
        <v>0.60798904238160034</v>
      </c>
      <c r="AB33" s="169">
        <v>51452</v>
      </c>
      <c r="AC33" s="170">
        <v>1.9999753440039701E-2</v>
      </c>
      <c r="AD33" s="172">
        <f t="shared" si="2"/>
        <v>-9.9388238758602032E-5</v>
      </c>
      <c r="AE33" s="174">
        <v>0.60648216647579301</v>
      </c>
      <c r="AF33" s="173">
        <f t="shared" si="3"/>
        <v>1.5068759058073367E-3</v>
      </c>
      <c r="AG33" s="170"/>
    </row>
    <row r="34" spans="1:33" ht="11.25" customHeight="1" x14ac:dyDescent="0.2">
      <c r="A34" s="59" t="s">
        <v>69</v>
      </c>
      <c r="B34" s="60" t="s">
        <v>95</v>
      </c>
      <c r="C34" s="61">
        <v>0</v>
      </c>
      <c r="D34" s="62" t="str">
        <f t="shared" si="7"/>
        <v>Sonia</v>
      </c>
      <c r="E34" s="63" t="str">
        <f t="shared" si="6"/>
        <v>GBP11YOIS_LCHQuote</v>
      </c>
      <c r="F34" s="123"/>
      <c r="G34" s="64"/>
      <c r="I34" s="10" t="str">
        <f t="shared" si="4"/>
        <v>OIS</v>
      </c>
      <c r="J34" s="94" t="str">
        <f t="shared" si="5"/>
        <v>--</v>
      </c>
      <c r="K34" s="146" t="str">
        <f>IFERROR(_xll.qlRateHelperQuoteName(J34,Trigger),"--")</f>
        <v>--</v>
      </c>
      <c r="L34" s="98" t="str">
        <f>IFERROR(_xll.qlRateHelperQuoteValue($J34,Trigger),"--")</f>
        <v>--</v>
      </c>
      <c r="M34" s="97" t="b">
        <v>0</v>
      </c>
      <c r="N34" s="94">
        <v>50</v>
      </c>
      <c r="O34" s="94">
        <v>1</v>
      </c>
      <c r="P34" s="99" t="str">
        <f>IFERROR(_xll.qlRateHelperEarliestDate(J34,Trigger),"--")</f>
        <v>--</v>
      </c>
      <c r="Q34" s="99" t="str">
        <f>IFERROR(_xll.qlRateHelperPillarDate(J34,Trigger),"--")</f>
        <v>--</v>
      </c>
      <c r="S34" s="4" t="str">
        <f t="shared" si="0"/>
        <v>BasSw</v>
      </c>
      <c r="T34" s="4" t="str">
        <v>obj_00374</v>
      </c>
      <c r="U34" s="4" t="str">
        <f>IFERROR(_xll.qlRateHelperQuoteName(T34,Trigger),"")</f>
        <v>GBPSM3L30Y_LCHQuote</v>
      </c>
      <c r="V34" s="70">
        <f>IFERROR(_xll.qlRateHelperRate(T34,Trigger),"")</f>
        <v>2.0930000000000001E-2</v>
      </c>
      <c r="W34" s="104" t="str">
        <f>IF(ISERROR(_xll.qlSwapRateHelperSpread($T34)),IF(ISERROR(_xll.qlFuturesRateHelperConvexityAdjustment($T34)),"",_xll.qlFuturesRateHelperConvexityAdjustment($T34)),_xll.qlSwapRateHelperSpread($T34))</f>
        <v/>
      </c>
      <c r="X34" s="5">
        <f>IFERROR(_xll.qlRateHelperEarliestDate(T34,Trigger),"")</f>
        <v>42321</v>
      </c>
      <c r="Y34" s="5">
        <f>IFERROR(_xll.qlRateHelperPillarDate(T34,Trigger),"")</f>
        <v>53279</v>
      </c>
      <c r="Z34" s="70">
        <v>1.9802352580555373E-2</v>
      </c>
      <c r="AA34" s="77">
        <v>0.55201244336144262</v>
      </c>
      <c r="AB34" s="169">
        <v>53279</v>
      </c>
      <c r="AC34" s="170">
        <v>1.98286914736047E-2</v>
      </c>
      <c r="AD34" s="172">
        <f t="shared" si="2"/>
        <v>-2.6338893049326212E-5</v>
      </c>
      <c r="AE34" s="174">
        <v>0.55154783085867598</v>
      </c>
      <c r="AF34" s="173">
        <f t="shared" si="3"/>
        <v>4.6461250276663701E-4</v>
      </c>
      <c r="AG34" s="170"/>
    </row>
    <row r="35" spans="1:33" ht="11.25" customHeight="1" x14ac:dyDescent="0.2">
      <c r="A35" s="59" t="s">
        <v>69</v>
      </c>
      <c r="B35" s="60" t="s">
        <v>60</v>
      </c>
      <c r="C35" s="61">
        <v>0</v>
      </c>
      <c r="D35" s="62" t="str">
        <f t="shared" si="7"/>
        <v>Sonia</v>
      </c>
      <c r="E35" s="63" t="str">
        <f t="shared" si="6"/>
        <v>GBP12YOIS_LCHQuote</v>
      </c>
      <c r="F35" s="123"/>
      <c r="G35" s="64"/>
      <c r="I35" s="10" t="str">
        <f t="shared" si="4"/>
        <v>OIS</v>
      </c>
      <c r="J35" s="94" t="str">
        <f t="shared" si="5"/>
        <v>--</v>
      </c>
      <c r="K35" s="146" t="str">
        <f>IFERROR(_xll.qlRateHelperQuoteName(J35,Trigger),"--")</f>
        <v>--</v>
      </c>
      <c r="L35" s="98" t="str">
        <f>IFERROR(_xll.qlRateHelperQuoteValue($J35,Trigger),"--")</f>
        <v>--</v>
      </c>
      <c r="M35" s="97" t="b">
        <v>0</v>
      </c>
      <c r="N35" s="94">
        <v>50</v>
      </c>
      <c r="O35" s="94">
        <v>1</v>
      </c>
      <c r="P35" s="99" t="str">
        <f>IFERROR(_xll.qlRateHelperEarliestDate(J35,Trigger),"--")</f>
        <v>--</v>
      </c>
      <c r="Q35" s="99" t="str">
        <f>IFERROR(_xll.qlRateHelperPillarDate(J35,Trigger),"--")</f>
        <v>--</v>
      </c>
      <c r="S35" s="4" t="str">
        <f t="shared" si="0"/>
        <v>BasSw</v>
      </c>
      <c r="T35" s="4" t="str">
        <v>obj_0036a</v>
      </c>
      <c r="U35" s="4" t="str">
        <f>IFERROR(_xll.qlRateHelperQuoteName(T35,Trigger),"")</f>
        <v>GBPSM3L40Y_LCHQuote</v>
      </c>
      <c r="V35" s="70">
        <f>IFERROR(_xll.qlRateHelperRate(T35,Trigger),"")</f>
        <v>2.0390000000000002E-2</v>
      </c>
      <c r="W35" s="104" t="str">
        <f>IF(ISERROR(_xll.qlSwapRateHelperSpread($T35)),IF(ISERROR(_xll.qlFuturesRateHelperConvexityAdjustment($T35)),"",_xll.qlFuturesRateHelperConvexityAdjustment($T35)),_xll.qlSwapRateHelperSpread($T35))</f>
        <v/>
      </c>
      <c r="X35" s="5">
        <f>IFERROR(_xll.qlRateHelperEarliestDate(T35,Trigger),"")</f>
        <v>42321</v>
      </c>
      <c r="Y35" s="5">
        <f>IFERROR(_xll.qlRateHelperPillarDate(T35,Trigger),"")</f>
        <v>56933</v>
      </c>
      <c r="Z35" s="70">
        <v>1.9129193217987742E-2</v>
      </c>
      <c r="AA35" s="77">
        <v>0.46518196966252934</v>
      </c>
      <c r="AB35" s="169">
        <v>56930</v>
      </c>
      <c r="AC35" s="170">
        <v>1.9100345413934901E-2</v>
      </c>
      <c r="AD35" s="172">
        <f t="shared" si="2"/>
        <v>2.8847804052840181E-5</v>
      </c>
      <c r="AE35" s="174">
        <v>0.465738139361213</v>
      </c>
      <c r="AF35" s="173">
        <f t="shared" si="3"/>
        <v>-5.5616969868366173E-4</v>
      </c>
      <c r="AG35" s="170"/>
    </row>
    <row r="36" spans="1:33" ht="11.25" customHeight="1" x14ac:dyDescent="0.2">
      <c r="A36" s="59" t="s">
        <v>69</v>
      </c>
      <c r="B36" s="60" t="s">
        <v>61</v>
      </c>
      <c r="C36" s="61">
        <v>0</v>
      </c>
      <c r="D36" s="62" t="str">
        <f t="shared" si="7"/>
        <v>Sonia</v>
      </c>
      <c r="E36" s="63" t="str">
        <f t="shared" si="6"/>
        <v>GBP15YOIS_LCHQuote</v>
      </c>
      <c r="F36" s="123"/>
      <c r="G36" s="64"/>
      <c r="I36" s="10" t="str">
        <f t="shared" si="4"/>
        <v>OIS</v>
      </c>
      <c r="J36" s="94" t="str">
        <f t="shared" si="5"/>
        <v>--</v>
      </c>
      <c r="K36" s="146" t="str">
        <f>IFERROR(_xll.qlRateHelperQuoteName(J36,Trigger),"--")</f>
        <v>--</v>
      </c>
      <c r="L36" s="98" t="str">
        <f>IFERROR(_xll.qlRateHelperQuoteValue($J36,Trigger),"--")</f>
        <v>--</v>
      </c>
      <c r="M36" s="97" t="b">
        <v>0</v>
      </c>
      <c r="N36" s="94">
        <v>50</v>
      </c>
      <c r="O36" s="94">
        <v>1</v>
      </c>
      <c r="P36" s="99" t="str">
        <f>IFERROR(_xll.qlRateHelperEarliestDate(J36,Trigger),"--")</f>
        <v>--</v>
      </c>
      <c r="Q36" s="99" t="str">
        <f>IFERROR(_xll.qlRateHelperPillarDate(J36,Trigger),"--")</f>
        <v>--</v>
      </c>
      <c r="S36" s="4" t="str">
        <f t="shared" si="0"/>
        <v>BasSw</v>
      </c>
      <c r="T36" s="4" t="str">
        <v>obj_00376</v>
      </c>
      <c r="U36" s="4" t="str">
        <f>IFERROR(_xll.qlRateHelperQuoteName(T36,Trigger),"")</f>
        <v>GBPSM3L50Y_LCHQuote</v>
      </c>
      <c r="V36" s="70">
        <f>IFERROR(_xll.qlRateHelperRate(T36,Trigger),"")</f>
        <v>2.001E-2</v>
      </c>
      <c r="W36" s="104" t="str">
        <f>IF(ISERROR(_xll.qlSwapRateHelperSpread($T36)),IF(ISERROR(_xll.qlFuturesRateHelperConvexityAdjustment($T36)),"",_xll.qlFuturesRateHelperConvexityAdjustment($T36)),_xll.qlSwapRateHelperSpread($T36))</f>
        <v/>
      </c>
      <c r="X36" s="5">
        <f>IFERROR(_xll.qlRateHelperEarliestDate(T36,Trigger),"")</f>
        <v>42321</v>
      </c>
      <c r="Y36" s="5">
        <f>IFERROR(_xll.qlRateHelperPillarDate(T36,Trigger),"")</f>
        <v>60584</v>
      </c>
      <c r="Z36" s="70">
        <v>1.8653622921377178E-2</v>
      </c>
      <c r="AA36" s="77">
        <v>0.39325037600623269</v>
      </c>
      <c r="AB36" s="169">
        <v>60583</v>
      </c>
      <c r="AC36" s="170">
        <v>1.86354307681415E-2</v>
      </c>
      <c r="AD36" s="172">
        <f t="shared" si="2"/>
        <v>1.8192153235677827E-5</v>
      </c>
      <c r="AE36" s="174">
        <v>0.39358031917500302</v>
      </c>
      <c r="AF36" s="173">
        <f t="shared" si="3"/>
        <v>-3.2994316877033025E-4</v>
      </c>
      <c r="AG36" s="170"/>
    </row>
    <row r="37" spans="1:33" ht="11.25" customHeight="1" x14ac:dyDescent="0.2">
      <c r="A37" s="59" t="s">
        <v>69</v>
      </c>
      <c r="B37" s="60" t="s">
        <v>62</v>
      </c>
      <c r="C37" s="61">
        <v>0</v>
      </c>
      <c r="D37" s="62" t="str">
        <f t="shared" si="7"/>
        <v>Sonia</v>
      </c>
      <c r="E37" s="63" t="str">
        <f t="shared" si="6"/>
        <v>GBP20YOIS_LCHQuote</v>
      </c>
      <c r="F37" s="123"/>
      <c r="G37" s="64"/>
      <c r="I37" s="10" t="str">
        <f t="shared" si="4"/>
        <v>OIS</v>
      </c>
      <c r="J37" s="94" t="str">
        <f t="shared" si="5"/>
        <v>--</v>
      </c>
      <c r="K37" s="146" t="str">
        <f>IFERROR(_xll.qlRateHelperQuoteName(J37,Trigger),"--")</f>
        <v>--</v>
      </c>
      <c r="L37" s="98" t="str">
        <f>IFERROR(_xll.qlRateHelperQuoteValue($J37,Trigger),"--")</f>
        <v>--</v>
      </c>
      <c r="M37" s="97" t="b">
        <v>0</v>
      </c>
      <c r="N37" s="94">
        <v>50</v>
      </c>
      <c r="O37" s="94">
        <v>1</v>
      </c>
      <c r="P37" s="99" t="str">
        <f>IFERROR(_xll.qlRateHelperEarliestDate(J37,Trigger),"--")</f>
        <v>--</v>
      </c>
      <c r="Q37" s="99" t="str">
        <f>IFERROR(_xll.qlRateHelperPillarDate(J37,Trigger),"--")</f>
        <v>--</v>
      </c>
      <c r="S37" s="4" t="str">
        <f t="shared" si="0"/>
        <v>BasSw</v>
      </c>
      <c r="T37" s="4" t="str">
        <v>obj_00370</v>
      </c>
      <c r="U37" s="4" t="str">
        <f>IFERROR(_xll.qlRateHelperQuoteName(T37,Trigger),"")</f>
        <v>GBPSM3L60Y_LCHQuote</v>
      </c>
      <c r="V37" s="70">
        <f>IFERROR(_xll.qlRateHelperRate(T37,Trigger),"")</f>
        <v>2.001E-2</v>
      </c>
      <c r="W37" s="104" t="str">
        <f>IF(ISERROR(_xll.qlSwapRateHelperSpread($T37)),IF(ISERROR(_xll.qlFuturesRateHelperConvexityAdjustment($T37)),"",_xll.qlFuturesRateHelperConvexityAdjustment($T37)),_xll.qlSwapRateHelperSpread($T37))</f>
        <v/>
      </c>
      <c r="X37" s="5">
        <f>IFERROR(_xll.qlRateHelperEarliestDate(T37,Trigger),"")</f>
        <v>42321</v>
      </c>
      <c r="Y37" s="5">
        <f>IFERROR(_xll.qlRateHelperPillarDate(T37,Trigger),"")</f>
        <v>64236</v>
      </c>
      <c r="Z37" s="70">
        <v>1.8752571219109192E-2</v>
      </c>
      <c r="AA37" s="77">
        <v>0.32427735577884054</v>
      </c>
      <c r="AB37" s="169">
        <v>64235</v>
      </c>
      <c r="AC37" s="170">
        <v>1.8736842203216302E-2</v>
      </c>
      <c r="AD37" s="172">
        <f t="shared" si="2"/>
        <v>1.5729015892890219E-5</v>
      </c>
      <c r="AE37" s="174">
        <v>0.32456343436422003</v>
      </c>
      <c r="AF37" s="173">
        <f t="shared" si="3"/>
        <v>-2.8607858537949005E-4</v>
      </c>
      <c r="AG37" s="170"/>
    </row>
    <row r="38" spans="1:33" ht="11.25" customHeight="1" x14ac:dyDescent="0.2">
      <c r="A38" s="59" t="s">
        <v>69</v>
      </c>
      <c r="B38" s="60" t="s">
        <v>63</v>
      </c>
      <c r="C38" s="61">
        <v>0</v>
      </c>
      <c r="D38" s="62" t="str">
        <f t="shared" si="7"/>
        <v>Sonia</v>
      </c>
      <c r="E38" s="63" t="str">
        <f t="shared" si="6"/>
        <v>GBP25YOIS_LCHQuote</v>
      </c>
      <c r="F38" s="123"/>
      <c r="G38" s="64"/>
      <c r="I38" s="10" t="str">
        <f t="shared" si="4"/>
        <v>OIS</v>
      </c>
      <c r="J38" s="94" t="str">
        <f t="shared" si="5"/>
        <v>--</v>
      </c>
      <c r="K38" s="146" t="str">
        <f>IFERROR(_xll.qlRateHelperQuoteName(J38,Trigger),"--")</f>
        <v>--</v>
      </c>
      <c r="L38" s="98" t="str">
        <f>IFERROR(_xll.qlRateHelperQuoteValue($J38,Trigger),"--")</f>
        <v>--</v>
      </c>
      <c r="M38" s="97" t="b">
        <v>0</v>
      </c>
      <c r="N38" s="94">
        <v>50</v>
      </c>
      <c r="O38" s="94">
        <v>1</v>
      </c>
      <c r="P38" s="99" t="str">
        <f>IFERROR(_xll.qlRateHelperEarliestDate(J38,Trigger),"--")</f>
        <v>--</v>
      </c>
      <c r="Q38" s="99" t="str">
        <f>IFERROR(_xll.qlRateHelperPillarDate(J38,Trigger),"--")</f>
        <v>--</v>
      </c>
      <c r="S38" s="4" t="str">
        <f t="shared" si="0"/>
        <v/>
      </c>
      <c r="T38" s="4" t="e">
        <v>#N/A</v>
      </c>
      <c r="U38" s="4" t="str">
        <f>IFERROR(_xll.qlRateHelperQuoteName(T38,Trigger),"")</f>
        <v/>
      </c>
      <c r="V38" s="70" t="str">
        <f>IFERROR(_xll.qlRateHelperRate(T38,Trigger),"")</f>
        <v/>
      </c>
      <c r="W38" s="104" t="str">
        <f>IF(ISERROR(_xll.qlSwapRateHelperSpread($T38)),IF(ISERROR(_xll.qlFuturesRateHelperConvexityAdjustment($T38)),"",_xll.qlFuturesRateHelperConvexityAdjustment($T38)),_xll.qlSwapRateHelperSpread($T38))</f>
        <v/>
      </c>
      <c r="X38" s="5" t="str">
        <f>IFERROR(_xll.qlRateHelperEarliestDate(T38,Trigger),"")</f>
        <v/>
      </c>
      <c r="Y38" s="5" t="str">
        <f>IFERROR(_xll.qlRateHelperPillarDate(T38,Trigger),"")</f>
        <v/>
      </c>
      <c r="Z38" s="70" t="e">
        <v>#N/A</v>
      </c>
      <c r="AA38" s="77" t="e">
        <v>#N/A</v>
      </c>
      <c r="AB38" s="169" t="e">
        <v>#N/A</v>
      </c>
      <c r="AC38" s="170" t="e">
        <v>#N/A</v>
      </c>
      <c r="AD38" s="172" t="e">
        <f t="shared" si="2"/>
        <v>#N/A</v>
      </c>
      <c r="AE38" s="174" t="e">
        <v>#N/A</v>
      </c>
      <c r="AF38" s="173" t="e">
        <f t="shared" si="3"/>
        <v>#N/A</v>
      </c>
      <c r="AG38" s="170"/>
    </row>
    <row r="39" spans="1:33" ht="11.25" customHeight="1" x14ac:dyDescent="0.2">
      <c r="A39" s="59" t="s">
        <v>69</v>
      </c>
      <c r="B39" s="60" t="s">
        <v>65</v>
      </c>
      <c r="C39" s="61">
        <v>0</v>
      </c>
      <c r="D39" s="62" t="str">
        <f t="shared" si="7"/>
        <v>Sonia</v>
      </c>
      <c r="E39" s="63" t="str">
        <f t="shared" si="6"/>
        <v>GBP30YOIS_LCHQuote</v>
      </c>
      <c r="F39" s="123"/>
      <c r="G39" s="64"/>
      <c r="I39" s="10" t="str">
        <f t="shared" si="4"/>
        <v>OIS</v>
      </c>
      <c r="J39" s="94" t="str">
        <f t="shared" si="5"/>
        <v>--</v>
      </c>
      <c r="K39" s="146" t="str">
        <f>IFERROR(_xll.qlRateHelperQuoteName(J39,Trigger),"--")</f>
        <v>--</v>
      </c>
      <c r="L39" s="98" t="str">
        <f>IFERROR(_xll.qlRateHelperQuoteValue($J39,Trigger),"--")</f>
        <v>--</v>
      </c>
      <c r="M39" s="97" t="b">
        <v>0</v>
      </c>
      <c r="N39" s="94">
        <v>50</v>
      </c>
      <c r="O39" s="94">
        <v>1</v>
      </c>
      <c r="P39" s="99" t="str">
        <f>IFERROR(_xll.qlRateHelperEarliestDate(J39,Trigger),"--")</f>
        <v>--</v>
      </c>
      <c r="Q39" s="99" t="str">
        <f>IFERROR(_xll.qlRateHelperPillarDate(J39,Trigger),"--")</f>
        <v>--</v>
      </c>
      <c r="S39" s="4" t="str">
        <f t="shared" si="0"/>
        <v/>
      </c>
      <c r="T39" s="4" t="e">
        <v>#N/A</v>
      </c>
      <c r="U39" s="4" t="str">
        <f>IFERROR(_xll.qlRateHelperQuoteName(T39,Trigger),"")</f>
        <v/>
      </c>
      <c r="V39" s="70" t="str">
        <f>IFERROR(_xll.qlRateHelperRate(T39,Trigger),"")</f>
        <v/>
      </c>
      <c r="W39" s="104" t="str">
        <f>IF(ISERROR(_xll.qlSwapRateHelperSpread($T39)),IF(ISERROR(_xll.qlFuturesRateHelperConvexityAdjustment($T39)),"",_xll.qlFuturesRateHelperConvexityAdjustment($T39)),_xll.qlSwapRateHelperSpread($T39))</f>
        <v/>
      </c>
      <c r="X39" s="5" t="str">
        <f>IFERROR(_xll.qlRateHelperEarliestDate(T39,Trigger),"")</f>
        <v/>
      </c>
      <c r="Y39" s="5" t="str">
        <f>IFERROR(_xll.qlRateHelperPillarDate(T39,Trigger),"")</f>
        <v/>
      </c>
      <c r="Z39" s="70" t="e">
        <v>#N/A</v>
      </c>
      <c r="AA39" s="77" t="e">
        <v>#N/A</v>
      </c>
      <c r="AB39" s="169" t="e">
        <v>#N/A</v>
      </c>
      <c r="AC39" s="170" t="e">
        <v>#N/A</v>
      </c>
      <c r="AD39" s="172" t="e">
        <f t="shared" si="2"/>
        <v>#N/A</v>
      </c>
      <c r="AE39" s="174" t="e">
        <v>#N/A</v>
      </c>
      <c r="AF39" s="173" t="e">
        <f t="shared" si="3"/>
        <v>#N/A</v>
      </c>
      <c r="AG39" s="170"/>
    </row>
    <row r="40" spans="1:33" ht="11.25" customHeight="1" x14ac:dyDescent="0.2">
      <c r="A40" s="59" t="s">
        <v>69</v>
      </c>
      <c r="B40" s="60" t="s">
        <v>67</v>
      </c>
      <c r="C40" s="61">
        <v>0</v>
      </c>
      <c r="D40" s="62" t="str">
        <f t="shared" si="7"/>
        <v>Sonia</v>
      </c>
      <c r="E40" s="63" t="str">
        <f t="shared" si="6"/>
        <v>GBP40YOIS_LCHQuote</v>
      </c>
      <c r="F40" s="123"/>
      <c r="G40" s="64"/>
      <c r="I40" s="11" t="str">
        <f t="shared" si="4"/>
        <v>OIS</v>
      </c>
      <c r="J40" s="95" t="str">
        <f t="shared" si="5"/>
        <v>--</v>
      </c>
      <c r="K40" s="147" t="str">
        <f>IFERROR(_xll.qlRateHelperQuoteName(J40,Trigger),"--")</f>
        <v>--</v>
      </c>
      <c r="L40" s="101" t="str">
        <f>IFERROR(_xll.qlRateHelperQuoteValue($J40,Trigger),"--")</f>
        <v>--</v>
      </c>
      <c r="M40" s="100" t="b">
        <v>0</v>
      </c>
      <c r="N40" s="95">
        <v>50</v>
      </c>
      <c r="O40" s="95">
        <v>1</v>
      </c>
      <c r="P40" s="102" t="str">
        <f>IFERROR(_xll.qlRateHelperEarliestDate(J40,Trigger),"--")</f>
        <v>--</v>
      </c>
      <c r="Q40" s="102" t="str">
        <f>IFERROR(_xll.qlRateHelperPillarDate(J40,Trigger),"--")</f>
        <v>--</v>
      </c>
      <c r="S40" s="4" t="str">
        <f t="shared" si="0"/>
        <v/>
      </c>
      <c r="T40" s="4" t="e">
        <v>#N/A</v>
      </c>
      <c r="U40" s="4" t="str">
        <f>IFERROR(_xll.qlRateHelperQuoteName(T40,Trigger),"")</f>
        <v/>
      </c>
      <c r="V40" s="70" t="str">
        <f>IFERROR(_xll.qlRateHelperRate(T40,Trigger),"")</f>
        <v/>
      </c>
      <c r="W40" s="104" t="str">
        <f>IF(ISERROR(_xll.qlSwapRateHelperSpread($T40)),IF(ISERROR(_xll.qlFuturesRateHelperConvexityAdjustment($T40)),"",_xll.qlFuturesRateHelperConvexityAdjustment($T40)),_xll.qlSwapRateHelperSpread($T40))</f>
        <v/>
      </c>
      <c r="X40" s="5" t="str">
        <f>IFERROR(_xll.qlRateHelperEarliestDate(T40,Trigger),"")</f>
        <v/>
      </c>
      <c r="Y40" s="5" t="str">
        <f>IFERROR(_xll.qlRateHelperPillarDate(T40,Trigger),"")</f>
        <v/>
      </c>
      <c r="Z40" s="70" t="e">
        <v>#N/A</v>
      </c>
      <c r="AA40" s="77" t="e">
        <v>#N/A</v>
      </c>
      <c r="AB40" s="169" t="e">
        <v>#N/A</v>
      </c>
      <c r="AC40" s="170" t="e">
        <v>#N/A</v>
      </c>
      <c r="AD40" s="172" t="e">
        <f t="shared" si="2"/>
        <v>#N/A</v>
      </c>
      <c r="AE40" s="174" t="e">
        <v>#N/A</v>
      </c>
      <c r="AF40" s="173" t="e">
        <f t="shared" si="3"/>
        <v>#N/A</v>
      </c>
      <c r="AG40" s="170"/>
    </row>
    <row r="41" spans="1:33" ht="11.25" customHeight="1" x14ac:dyDescent="0.2">
      <c r="A41" s="59" t="s">
        <v>69</v>
      </c>
      <c r="B41" s="60" t="s">
        <v>68</v>
      </c>
      <c r="C41" s="61">
        <v>0</v>
      </c>
      <c r="D41" s="62" t="str">
        <f t="shared" si="7"/>
        <v>Sonia</v>
      </c>
      <c r="E41" s="63" t="str">
        <f t="shared" si="6"/>
        <v>GBP50YOIS_LCHQuote</v>
      </c>
      <c r="F41" s="123"/>
      <c r="G41" s="64"/>
      <c r="I41" s="10" t="str">
        <f>A45</f>
        <v>BasSw</v>
      </c>
      <c r="J41" s="94" t="str">
        <f>IF(ISBLANK(G45),"--",G45)</f>
        <v>--</v>
      </c>
      <c r="K41" s="146" t="str">
        <f>IFERROR(_xll.qlRateHelperQuoteName(J41,Trigger),"--")</f>
        <v>--</v>
      </c>
      <c r="L41" s="98" t="str">
        <f>IFERROR(_xll.qlRateHelperQuoteValue($J41,Trigger),"--")</f>
        <v>--</v>
      </c>
      <c r="M41" s="97" t="b">
        <v>0</v>
      </c>
      <c r="N41" s="94">
        <v>50</v>
      </c>
      <c r="O41" s="94">
        <v>1</v>
      </c>
      <c r="P41" s="99" t="str">
        <f>IFERROR(_xll.qlRateHelperEarliestDate(J41,Trigger),"--")</f>
        <v>--</v>
      </c>
      <c r="Q41" s="99" t="str">
        <f>IFERROR(_xll.qlRateHelperPillarDate(J41,Trigger),"--")</f>
        <v>--</v>
      </c>
      <c r="S41" s="4" t="str">
        <f t="shared" si="0"/>
        <v/>
      </c>
      <c r="T41" s="4" t="e">
        <v>#N/A</v>
      </c>
      <c r="U41" s="4" t="str">
        <f>IFERROR(_xll.qlRateHelperQuoteName(T41,Trigger),"")</f>
        <v/>
      </c>
      <c r="V41" s="70" t="str">
        <f>IFERROR(_xll.qlRateHelperRate(T41,Trigger),"")</f>
        <v/>
      </c>
      <c r="W41" s="104" t="str">
        <f>IF(ISERROR(_xll.qlSwapRateHelperSpread($T41)),IF(ISERROR(_xll.qlFuturesRateHelperConvexityAdjustment($T41)),"",_xll.qlFuturesRateHelperConvexityAdjustment($T41)),_xll.qlSwapRateHelperSpread($T41))</f>
        <v/>
      </c>
      <c r="X41" s="5" t="str">
        <f>IFERROR(_xll.qlRateHelperEarliestDate(T41,Trigger),"")</f>
        <v/>
      </c>
      <c r="Y41" s="5" t="str">
        <f>IFERROR(_xll.qlRateHelperPillarDate(T41,Trigger),"")</f>
        <v/>
      </c>
      <c r="Z41" s="70" t="e">
        <v>#N/A</v>
      </c>
      <c r="AA41" s="77" t="e">
        <v>#N/A</v>
      </c>
      <c r="AB41" s="169" t="e">
        <v>#N/A</v>
      </c>
      <c r="AC41" s="170" t="e">
        <v>#N/A</v>
      </c>
      <c r="AD41" s="172" t="e">
        <f t="shared" si="2"/>
        <v>#N/A</v>
      </c>
      <c r="AE41" s="174" t="e">
        <v>#N/A</v>
      </c>
      <c r="AF41" s="173" t="e">
        <f t="shared" si="3"/>
        <v>#N/A</v>
      </c>
      <c r="AG41" s="170"/>
    </row>
    <row r="42" spans="1:33" ht="11.25" customHeight="1" x14ac:dyDescent="0.2">
      <c r="A42" s="1" t="s">
        <v>69</v>
      </c>
      <c r="B42" s="8" t="s">
        <v>109</v>
      </c>
      <c r="C42" s="7">
        <v>0</v>
      </c>
      <c r="D42" s="9" t="str">
        <f t="shared" si="7"/>
        <v>Sonia</v>
      </c>
      <c r="E42" s="2" t="str">
        <f t="shared" si="6"/>
        <v>GBP60YOIS_LCHQuote</v>
      </c>
      <c r="F42" s="124"/>
      <c r="G42" s="3"/>
      <c r="I42" s="10" t="str">
        <f t="shared" ref="I42:I77" si="8">A46</f>
        <v>BasSw</v>
      </c>
      <c r="J42" s="94" t="str">
        <f t="shared" ref="J42:J77" si="9">IF(ISBLANK(G46),"--",G46)</f>
        <v>--</v>
      </c>
      <c r="K42" s="146" t="str">
        <f>IFERROR(_xll.qlRateHelperQuoteName(J42,Trigger),"--")</f>
        <v>--</v>
      </c>
      <c r="L42" s="98" t="str">
        <f>IFERROR(_xll.qlRateHelperQuoteValue($J42,Trigger),"--")</f>
        <v>--</v>
      </c>
      <c r="M42" s="97" t="b">
        <v>0</v>
      </c>
      <c r="N42" s="94">
        <v>50</v>
      </c>
      <c r="O42" s="94">
        <v>1</v>
      </c>
      <c r="P42" s="99" t="str">
        <f>IFERROR(_xll.qlRateHelperEarliestDate(J42,Trigger),"--")</f>
        <v>--</v>
      </c>
      <c r="Q42" s="99" t="str">
        <f>IFERROR(_xll.qlRateHelperPillarDate(J42,Trigger),"--")</f>
        <v>--</v>
      </c>
      <c r="S42" s="4" t="str">
        <f t="shared" si="0"/>
        <v/>
      </c>
      <c r="T42" s="4" t="e">
        <v>#N/A</v>
      </c>
      <c r="U42" s="4" t="str">
        <f>IFERROR(_xll.qlRateHelperQuoteName(T42,Trigger),"")</f>
        <v/>
      </c>
      <c r="V42" s="70" t="str">
        <f>IFERROR(_xll.qlRateHelperRate(T42,Trigger),"")</f>
        <v/>
      </c>
      <c r="W42" s="104" t="str">
        <f>IF(ISERROR(_xll.qlSwapRateHelperSpread($T42)),IF(ISERROR(_xll.qlFuturesRateHelperConvexityAdjustment($T42)),"",_xll.qlFuturesRateHelperConvexityAdjustment($T42)),_xll.qlSwapRateHelperSpread($T42))</f>
        <v/>
      </c>
      <c r="X42" s="5" t="str">
        <f>IFERROR(_xll.qlRateHelperEarliestDate(T42,Trigger),"")</f>
        <v/>
      </c>
      <c r="Y42" s="5" t="str">
        <f>IFERROR(_xll.qlRateHelperPillarDate(T42,Trigger),"")</f>
        <v/>
      </c>
      <c r="Z42" s="70" t="e">
        <v>#N/A</v>
      </c>
      <c r="AA42" s="77" t="e">
        <v>#N/A</v>
      </c>
      <c r="AB42" s="169" t="e">
        <v>#N/A</v>
      </c>
      <c r="AC42" s="170" t="e">
        <v>#N/A</v>
      </c>
      <c r="AD42" s="172" t="e">
        <f t="shared" si="2"/>
        <v>#N/A</v>
      </c>
      <c r="AE42" s="174" t="e">
        <v>#N/A</v>
      </c>
      <c r="AF42" s="173" t="e">
        <f t="shared" si="3"/>
        <v>#N/A</v>
      </c>
      <c r="AG42" s="170"/>
    </row>
    <row r="43" spans="1:33" ht="11.25" customHeight="1" x14ac:dyDescent="0.2">
      <c r="C43" s="50" t="s">
        <v>165</v>
      </c>
      <c r="D43" s="103" t="s">
        <v>147</v>
      </c>
      <c r="E43" s="103" t="s">
        <v>163</v>
      </c>
      <c r="F43" s="103" t="s">
        <v>164</v>
      </c>
      <c r="I43" s="10" t="str">
        <f t="shared" si="8"/>
        <v>BasSw</v>
      </c>
      <c r="J43" s="94" t="str">
        <f t="shared" si="9"/>
        <v>--</v>
      </c>
      <c r="K43" s="146" t="str">
        <f>IFERROR(_xll.qlRateHelperQuoteName(J43,Trigger),"--")</f>
        <v>--</v>
      </c>
      <c r="L43" s="98" t="str">
        <f>IFERROR(_xll.qlRateHelperQuoteValue($J43,Trigger),"--")</f>
        <v>--</v>
      </c>
      <c r="M43" s="97" t="b">
        <v>0</v>
      </c>
      <c r="N43" s="94">
        <v>50</v>
      </c>
      <c r="O43" s="94">
        <v>1</v>
      </c>
      <c r="P43" s="99" t="str">
        <f>IFERROR(_xll.qlRateHelperEarliestDate(J43,Trigger),"--")</f>
        <v>--</v>
      </c>
      <c r="Q43" s="99" t="str">
        <f>IFERROR(_xll.qlRateHelperPillarDate(J43,Trigger),"--")</f>
        <v>--</v>
      </c>
      <c r="S43" s="4" t="str">
        <f t="shared" si="0"/>
        <v/>
      </c>
      <c r="T43" s="4" t="e">
        <v>#N/A</v>
      </c>
      <c r="U43" s="4" t="str">
        <f>IFERROR(_xll.qlRateHelperQuoteName(T43,Trigger),"")</f>
        <v/>
      </c>
      <c r="V43" s="70" t="str">
        <f>IFERROR(_xll.qlRateHelperRate(T43,Trigger),"")</f>
        <v/>
      </c>
      <c r="W43" s="104" t="str">
        <f>IF(ISERROR(_xll.qlSwapRateHelperSpread($T43)),IF(ISERROR(_xll.qlFuturesRateHelperConvexityAdjustment($T43)),"",_xll.qlFuturesRateHelperConvexityAdjustment($T43)),_xll.qlSwapRateHelperSpread($T43))</f>
        <v/>
      </c>
      <c r="X43" s="5" t="str">
        <f>IFERROR(_xll.qlRateHelperEarliestDate(T43,Trigger),"")</f>
        <v/>
      </c>
      <c r="Y43" s="5" t="str">
        <f>IFERROR(_xll.qlRateHelperPillarDate(T43,Trigger),"")</f>
        <v/>
      </c>
      <c r="Z43" s="70" t="e">
        <v>#N/A</v>
      </c>
      <c r="AA43" s="77" t="e">
        <v>#N/A</v>
      </c>
      <c r="AB43" s="169" t="e">
        <v>#N/A</v>
      </c>
      <c r="AC43" s="170" t="e">
        <v>#N/A</v>
      </c>
      <c r="AD43" s="172" t="e">
        <f t="shared" si="2"/>
        <v>#N/A</v>
      </c>
      <c r="AE43" s="174" t="e">
        <v>#N/A</v>
      </c>
      <c r="AF43" s="173" t="e">
        <f t="shared" si="3"/>
        <v>#N/A</v>
      </c>
      <c r="AG43" s="170"/>
    </row>
    <row r="44" spans="1:33" ht="12.75" customHeight="1" x14ac:dyDescent="0.2">
      <c r="A44" s="65" t="s">
        <v>9</v>
      </c>
      <c r="B44" s="65" t="s">
        <v>28</v>
      </c>
      <c r="C44" s="65" t="s">
        <v>76</v>
      </c>
      <c r="D44" s="65" t="s">
        <v>4</v>
      </c>
      <c r="E44" s="65" t="s">
        <v>1</v>
      </c>
      <c r="F44" s="65" t="s">
        <v>129</v>
      </c>
      <c r="G44" s="65" t="s">
        <v>24</v>
      </c>
      <c r="I44" s="10" t="str">
        <f t="shared" si="8"/>
        <v>BasSw</v>
      </c>
      <c r="J44" s="94" t="str">
        <f t="shared" si="9"/>
        <v>--</v>
      </c>
      <c r="K44" s="146" t="str">
        <f>IFERROR(_xll.qlRateHelperQuoteName(J44,Trigger),"--")</f>
        <v>--</v>
      </c>
      <c r="L44" s="98" t="str">
        <f>IFERROR(_xll.qlRateHelperQuoteValue($J44,Trigger),"--")</f>
        <v>--</v>
      </c>
      <c r="M44" s="97" t="b">
        <v>0</v>
      </c>
      <c r="N44" s="94">
        <v>50</v>
      </c>
      <c r="O44" s="94">
        <v>1</v>
      </c>
      <c r="P44" s="99" t="str">
        <f>IFERROR(_xll.qlRateHelperEarliestDate(J44,Trigger),"--")</f>
        <v>--</v>
      </c>
      <c r="Q44" s="99" t="str">
        <f>IFERROR(_xll.qlRateHelperPillarDate(J44,Trigger),"--")</f>
        <v>--</v>
      </c>
      <c r="S44" s="4" t="str">
        <f t="shared" si="0"/>
        <v/>
      </c>
      <c r="T44" s="4" t="e">
        <v>#N/A</v>
      </c>
      <c r="U44" s="4" t="str">
        <f>IFERROR(_xll.qlRateHelperQuoteName(T44,Trigger),"")</f>
        <v/>
      </c>
      <c r="V44" s="70" t="str">
        <f>IFERROR(_xll.qlRateHelperRate(T44,Trigger),"")</f>
        <v/>
      </c>
      <c r="W44" s="104" t="str">
        <f>IF(ISERROR(_xll.qlSwapRateHelperSpread($T44)),IF(ISERROR(_xll.qlFuturesRateHelperConvexityAdjustment($T44)),"",_xll.qlFuturesRateHelperConvexityAdjustment($T44)),_xll.qlSwapRateHelperSpread($T44))</f>
        <v/>
      </c>
      <c r="X44" s="5" t="str">
        <f>IFERROR(_xll.qlRateHelperEarliestDate(T44,Trigger),"")</f>
        <v/>
      </c>
      <c r="Y44" s="5" t="str">
        <f>IFERROR(_xll.qlRateHelperPillarDate(T44,Trigger),"")</f>
        <v/>
      </c>
      <c r="Z44" s="70" t="e">
        <v>#N/A</v>
      </c>
      <c r="AA44" s="77" t="e">
        <v>#N/A</v>
      </c>
      <c r="AB44" s="169" t="e">
        <v>#N/A</v>
      </c>
      <c r="AC44" s="170" t="e">
        <v>#N/A</v>
      </c>
      <c r="AD44" s="172" t="e">
        <f t="shared" si="2"/>
        <v>#N/A</v>
      </c>
      <c r="AE44" s="174" t="e">
        <v>#N/A</v>
      </c>
      <c r="AF44" s="173" t="e">
        <f t="shared" si="3"/>
        <v>#N/A</v>
      </c>
      <c r="AG44" s="170"/>
    </row>
    <row r="45" spans="1:33" ht="11.25" customHeight="1" x14ac:dyDescent="0.2">
      <c r="A45" s="53" t="s">
        <v>115</v>
      </c>
      <c r="B45" s="54" t="s">
        <v>27</v>
      </c>
      <c r="C45" s="55">
        <v>0</v>
      </c>
      <c r="D45" s="56" t="str">
        <f t="shared" ref="D45:D65" si="10">$D$1</f>
        <v>Sonia</v>
      </c>
      <c r="E45" s="57" t="str">
        <f t="shared" ref="E45:E81" si="11">IF(ReportQuoteOverwrite,Currency&amp;$E$43&amp;$D$43&amp;B45&amp;ReportQuoteSuffix,Currency&amp;$C$43&amp;$D$43&amp;B45&amp;QuoteSuffix)</f>
        <v>GBPSM3L1Y_LCHQuote</v>
      </c>
      <c r="F45" s="175" t="str">
        <f t="shared" ref="F45:F81" si="12">IF(ReportQuoteOverwrite,0,Currency&amp;$F$43&amp;$D$43&amp;B45&amp;QuoteSuffix)</f>
        <v>GBPSO3L1Y_LCHQuote</v>
      </c>
      <c r="G45" s="58"/>
      <c r="I45" s="10" t="str">
        <f t="shared" si="8"/>
        <v>BasSw</v>
      </c>
      <c r="J45" s="94" t="str">
        <f t="shared" si="9"/>
        <v>--</v>
      </c>
      <c r="K45" s="146" t="str">
        <f>IFERROR(_xll.qlRateHelperQuoteName(J45,Trigger),"--")</f>
        <v>--</v>
      </c>
      <c r="L45" s="98" t="str">
        <f>IFERROR(_xll.qlRateHelperQuoteValue($J45,Trigger),"--")</f>
        <v>--</v>
      </c>
      <c r="M45" s="97" t="b">
        <v>0</v>
      </c>
      <c r="N45" s="94">
        <v>50</v>
      </c>
      <c r="O45" s="94">
        <v>1</v>
      </c>
      <c r="P45" s="99" t="str">
        <f>IFERROR(_xll.qlRateHelperEarliestDate(J45,Trigger),"--")</f>
        <v>--</v>
      </c>
      <c r="Q45" s="99" t="str">
        <f>IFERROR(_xll.qlRateHelperPillarDate(J45,Trigger),"--")</f>
        <v>--</v>
      </c>
      <c r="S45" s="4" t="str">
        <f t="shared" ref="S45:S77" si="13">IFERROR(INDEX($I$3:$I$77,MATCH(U45,$K$3:$K$77,0),1),"")</f>
        <v/>
      </c>
      <c r="T45" s="4" t="e">
        <v>#N/A</v>
      </c>
      <c r="U45" s="4" t="str">
        <f>IFERROR(_xll.qlRateHelperQuoteName(T45,Trigger),"")</f>
        <v/>
      </c>
      <c r="V45" s="70" t="str">
        <f>IFERROR(_xll.qlRateHelperRate(T45,Trigger),"")</f>
        <v/>
      </c>
      <c r="W45" s="104" t="str">
        <f>IF(ISERROR(_xll.qlSwapRateHelperSpread($T45)),IF(ISERROR(_xll.qlFuturesRateHelperConvexityAdjustment($T45)),"",_xll.qlFuturesRateHelperConvexityAdjustment($T45)),_xll.qlSwapRateHelperSpread($T45))</f>
        <v/>
      </c>
      <c r="X45" s="5" t="str">
        <f>IFERROR(_xll.qlRateHelperEarliestDate(T45,Trigger),"")</f>
        <v/>
      </c>
      <c r="Y45" s="5" t="str">
        <f>IFERROR(_xll.qlRateHelperPillarDate(T45,Trigger),"")</f>
        <v/>
      </c>
      <c r="Z45" s="70" t="e">
        <v>#N/A</v>
      </c>
      <c r="AA45" s="77" t="e">
        <v>#N/A</v>
      </c>
      <c r="AB45" s="169" t="e">
        <v>#N/A</v>
      </c>
      <c r="AC45" s="170" t="e">
        <v>#N/A</v>
      </c>
      <c r="AD45" s="172" t="e">
        <f t="shared" si="2"/>
        <v>#N/A</v>
      </c>
      <c r="AE45" s="174" t="e">
        <v>#N/A</v>
      </c>
      <c r="AF45" s="173" t="e">
        <f t="shared" si="3"/>
        <v>#N/A</v>
      </c>
      <c r="AG45" s="170"/>
    </row>
    <row r="46" spans="1:33" ht="11.25" customHeight="1" x14ac:dyDescent="0.2">
      <c r="A46" s="59" t="s">
        <v>115</v>
      </c>
      <c r="B46" s="60" t="s">
        <v>48</v>
      </c>
      <c r="C46" s="61">
        <v>0</v>
      </c>
      <c r="D46" s="62" t="str">
        <f t="shared" si="10"/>
        <v>Sonia</v>
      </c>
      <c r="E46" s="63" t="str">
        <f t="shared" si="11"/>
        <v>GBPSM3L15M_LCHQuote</v>
      </c>
      <c r="F46" s="176" t="str">
        <f t="shared" si="12"/>
        <v>GBPSO3L15M_LCHQuote</v>
      </c>
      <c r="G46" s="64"/>
      <c r="I46" s="10" t="str">
        <f t="shared" si="8"/>
        <v>BasSw</v>
      </c>
      <c r="J46" s="94" t="str">
        <f t="shared" si="9"/>
        <v>obj_0036f#0007</v>
      </c>
      <c r="K46" s="146" t="str">
        <f>IFERROR(_xll.qlRateHelperQuoteName(J46,Trigger),"--")</f>
        <v>GBPSM3L3Y_LCHQuote</v>
      </c>
      <c r="L46" s="98">
        <f>IFERROR(_xll.qlRateHelperQuoteValue($J46,Trigger),"--")</f>
        <v>1.0749999999999999E-2</v>
      </c>
      <c r="M46" s="97" t="b">
        <v>1</v>
      </c>
      <c r="N46" s="94">
        <v>50</v>
      </c>
      <c r="O46" s="94">
        <v>1</v>
      </c>
      <c r="P46" s="99">
        <f>IFERROR(_xll.qlRateHelperEarliestDate(J46,Trigger),"--")</f>
        <v>42321</v>
      </c>
      <c r="Q46" s="99">
        <f>IFERROR(_xll.qlRateHelperPillarDate(J46,Trigger),"--")</f>
        <v>43417</v>
      </c>
      <c r="S46" s="4" t="str">
        <f t="shared" si="13"/>
        <v/>
      </c>
      <c r="T46" s="4" t="e">
        <v>#N/A</v>
      </c>
      <c r="U46" s="4" t="str">
        <f>IFERROR(_xll.qlRateHelperQuoteName(T46,Trigger),"")</f>
        <v/>
      </c>
      <c r="V46" s="70" t="str">
        <f>IFERROR(_xll.qlRateHelperRate(T46,Trigger),"")</f>
        <v/>
      </c>
      <c r="W46" s="104" t="str">
        <f>IF(ISERROR(_xll.qlSwapRateHelperSpread($T46)),IF(ISERROR(_xll.qlFuturesRateHelperConvexityAdjustment($T46)),"",_xll.qlFuturesRateHelperConvexityAdjustment($T46)),_xll.qlSwapRateHelperSpread($T46))</f>
        <v/>
      </c>
      <c r="X46" s="5" t="str">
        <f>IFERROR(_xll.qlRateHelperEarliestDate(T46,Trigger),"")</f>
        <v/>
      </c>
      <c r="Y46" s="5" t="str">
        <f>IFERROR(_xll.qlRateHelperPillarDate(T46,Trigger),"")</f>
        <v/>
      </c>
      <c r="Z46" s="70" t="e">
        <v>#N/A</v>
      </c>
      <c r="AA46" s="77" t="e">
        <v>#N/A</v>
      </c>
      <c r="AB46" s="169" t="e">
        <v>#N/A</v>
      </c>
      <c r="AC46" s="170" t="e">
        <v>#N/A</v>
      </c>
      <c r="AD46" s="172" t="e">
        <f t="shared" si="2"/>
        <v>#N/A</v>
      </c>
      <c r="AE46" s="174" t="e">
        <v>#N/A</v>
      </c>
      <c r="AF46" s="173" t="e">
        <f t="shared" si="3"/>
        <v>#N/A</v>
      </c>
      <c r="AG46" s="170"/>
    </row>
    <row r="47" spans="1:33" ht="11.25" customHeight="1" x14ac:dyDescent="0.2">
      <c r="A47" s="59" t="s">
        <v>115</v>
      </c>
      <c r="B47" s="60" t="s">
        <v>49</v>
      </c>
      <c r="C47" s="61">
        <v>0</v>
      </c>
      <c r="D47" s="62" t="str">
        <f t="shared" si="10"/>
        <v>Sonia</v>
      </c>
      <c r="E47" s="63" t="str">
        <f t="shared" si="11"/>
        <v>GBPSM3L18M_LCHQuote</v>
      </c>
      <c r="F47" s="176" t="str">
        <f t="shared" si="12"/>
        <v>GBPSO3L18M_LCHQuote</v>
      </c>
      <c r="G47" s="64"/>
      <c r="I47" s="10" t="str">
        <f t="shared" si="8"/>
        <v>BasSw</v>
      </c>
      <c r="J47" s="94" t="str">
        <f t="shared" si="9"/>
        <v>obj_0036d#0007</v>
      </c>
      <c r="K47" s="146" t="str">
        <f>IFERROR(_xll.qlRateHelperQuoteName(J47,Trigger),"--")</f>
        <v>GBPSM3L4Y_LCHQuote</v>
      </c>
      <c r="L47" s="98">
        <f>IFERROR(_xll.qlRateHelperQuoteValue($J47,Trigger),"--")</f>
        <v>1.2490000000000001E-2</v>
      </c>
      <c r="M47" s="97" t="b">
        <v>1</v>
      </c>
      <c r="N47" s="94">
        <v>50</v>
      </c>
      <c r="O47" s="94">
        <v>1</v>
      </c>
      <c r="P47" s="99">
        <f>IFERROR(_xll.qlRateHelperEarliestDate(J47,Trigger),"--")</f>
        <v>42321</v>
      </c>
      <c r="Q47" s="99">
        <f>IFERROR(_xll.qlRateHelperPillarDate(J47,Trigger),"--")</f>
        <v>43782</v>
      </c>
      <c r="S47" s="4" t="str">
        <f t="shared" si="13"/>
        <v/>
      </c>
      <c r="T47" s="4" t="e">
        <v>#N/A</v>
      </c>
      <c r="U47" s="4" t="str">
        <f>IFERROR(_xll.qlRateHelperQuoteName(T47,Trigger),"")</f>
        <v/>
      </c>
      <c r="V47" s="70" t="str">
        <f>IFERROR(_xll.qlRateHelperRate(T47,Trigger),"")</f>
        <v/>
      </c>
      <c r="W47" s="104" t="str">
        <f>IF(ISERROR(_xll.qlSwapRateHelperSpread($T47)),IF(ISERROR(_xll.qlFuturesRateHelperConvexityAdjustment($T47)),"",_xll.qlFuturesRateHelperConvexityAdjustment($T47)),_xll.qlSwapRateHelperSpread($T47))</f>
        <v/>
      </c>
      <c r="X47" s="5" t="str">
        <f>IFERROR(_xll.qlRateHelperEarliestDate(T47,Trigger),"")</f>
        <v/>
      </c>
      <c r="Y47" s="5" t="str">
        <f>IFERROR(_xll.qlRateHelperPillarDate(T47,Trigger),"")</f>
        <v/>
      </c>
      <c r="Z47" s="70" t="e">
        <v>#N/A</v>
      </c>
      <c r="AA47" s="77" t="e">
        <v>#N/A</v>
      </c>
      <c r="AB47" s="169" t="e">
        <v>#N/A</v>
      </c>
      <c r="AC47" s="170" t="e">
        <v>#N/A</v>
      </c>
      <c r="AD47" s="172" t="e">
        <f t="shared" si="2"/>
        <v>#N/A</v>
      </c>
      <c r="AE47" s="174" t="e">
        <v>#N/A</v>
      </c>
      <c r="AF47" s="173" t="e">
        <f t="shared" si="3"/>
        <v>#N/A</v>
      </c>
      <c r="AG47" s="170"/>
    </row>
    <row r="48" spans="1:33" ht="11.25" customHeight="1" x14ac:dyDescent="0.2">
      <c r="A48" s="59" t="s">
        <v>115</v>
      </c>
      <c r="B48" s="60" t="s">
        <v>50</v>
      </c>
      <c r="C48" s="61">
        <v>0</v>
      </c>
      <c r="D48" s="62" t="str">
        <f t="shared" si="10"/>
        <v>Sonia</v>
      </c>
      <c r="E48" s="63" t="str">
        <f t="shared" si="11"/>
        <v>GBPSM3L21M_LCHQuote</v>
      </c>
      <c r="F48" s="176" t="str">
        <f t="shared" si="12"/>
        <v>GBPSO3L21M_LCHQuote</v>
      </c>
      <c r="G48" s="64"/>
      <c r="I48" s="10" t="str">
        <f t="shared" si="8"/>
        <v>BasSw</v>
      </c>
      <c r="J48" s="94" t="str">
        <f t="shared" si="9"/>
        <v>obj_00367#0007</v>
      </c>
      <c r="K48" s="146" t="str">
        <f>IFERROR(_xll.qlRateHelperQuoteName(J48,Trigger),"--")</f>
        <v>GBPSM3L5Y_LCHQuote</v>
      </c>
      <c r="L48" s="98">
        <f>IFERROR(_xll.qlRateHelperQuoteValue($J48,Trigger),"--")</f>
        <v>1.3950000000000001E-2</v>
      </c>
      <c r="M48" s="97" t="b">
        <v>1</v>
      </c>
      <c r="N48" s="94">
        <v>50</v>
      </c>
      <c r="O48" s="94">
        <v>1</v>
      </c>
      <c r="P48" s="99">
        <f>IFERROR(_xll.qlRateHelperEarliestDate(J48,Trigger),"--")</f>
        <v>42321</v>
      </c>
      <c r="Q48" s="99">
        <f>IFERROR(_xll.qlRateHelperPillarDate(J48,Trigger),"--")</f>
        <v>44148</v>
      </c>
      <c r="S48" s="4" t="str">
        <f t="shared" si="13"/>
        <v/>
      </c>
      <c r="T48" s="4" t="e">
        <v>#N/A</v>
      </c>
      <c r="U48" s="4" t="str">
        <f>IFERROR(_xll.qlRateHelperQuoteName(T48,Trigger),"")</f>
        <v/>
      </c>
      <c r="V48" s="70" t="str">
        <f>IFERROR(_xll.qlRateHelperRate(T48,Trigger),"")</f>
        <v/>
      </c>
      <c r="W48" s="104" t="str">
        <f>IF(ISERROR(_xll.qlSwapRateHelperSpread($T48)),IF(ISERROR(_xll.qlFuturesRateHelperConvexityAdjustment($T48)),"",_xll.qlFuturesRateHelperConvexityAdjustment($T48)),_xll.qlSwapRateHelperSpread($T48))</f>
        <v/>
      </c>
      <c r="X48" s="5" t="str">
        <f>IFERROR(_xll.qlRateHelperEarliestDate(T48,Trigger),"")</f>
        <v/>
      </c>
      <c r="Y48" s="5" t="str">
        <f>IFERROR(_xll.qlRateHelperPillarDate(T48,Trigger),"")</f>
        <v/>
      </c>
      <c r="Z48" s="70" t="e">
        <v>#N/A</v>
      </c>
      <c r="AA48" s="77" t="e">
        <v>#N/A</v>
      </c>
      <c r="AB48" s="169" t="e">
        <v>#N/A</v>
      </c>
      <c r="AC48" s="170" t="e">
        <v>#N/A</v>
      </c>
      <c r="AD48" s="172" t="e">
        <f t="shared" si="2"/>
        <v>#N/A</v>
      </c>
      <c r="AE48" s="174" t="e">
        <v>#N/A</v>
      </c>
      <c r="AF48" s="173" t="e">
        <f t="shared" si="3"/>
        <v>#N/A</v>
      </c>
      <c r="AG48" s="170"/>
    </row>
    <row r="49" spans="1:33" ht="11.25" customHeight="1" x14ac:dyDescent="0.2">
      <c r="A49" s="59" t="s">
        <v>115</v>
      </c>
      <c r="B49" s="60" t="s">
        <v>51</v>
      </c>
      <c r="C49" s="61">
        <v>0</v>
      </c>
      <c r="D49" s="62" t="str">
        <f t="shared" si="10"/>
        <v>Sonia</v>
      </c>
      <c r="E49" s="63" t="str">
        <f t="shared" si="11"/>
        <v>GBPSM3L2Y_LCHQuote</v>
      </c>
      <c r="F49" s="176" t="str">
        <f t="shared" si="12"/>
        <v>GBPSO3L2Y_LCHQuote</v>
      </c>
      <c r="G49" s="64"/>
      <c r="I49" s="10" t="str">
        <f t="shared" si="8"/>
        <v>BasSw</v>
      </c>
      <c r="J49" s="94" t="str">
        <f t="shared" si="9"/>
        <v>obj_00377#0007</v>
      </c>
      <c r="K49" s="146" t="str">
        <f>IFERROR(_xll.qlRateHelperQuoteName(J49,Trigger),"--")</f>
        <v>GBPSM3L6Y_LCHQuote</v>
      </c>
      <c r="L49" s="98">
        <f>IFERROR(_xll.qlRateHelperQuoteValue($J49,Trigger),"--")</f>
        <v>1.5179999999999997E-2</v>
      </c>
      <c r="M49" s="97" t="b">
        <v>1</v>
      </c>
      <c r="N49" s="94">
        <v>50</v>
      </c>
      <c r="O49" s="94">
        <v>1</v>
      </c>
      <c r="P49" s="99">
        <f>IFERROR(_xll.qlRateHelperEarliestDate(J49,Trigger),"--")</f>
        <v>42321</v>
      </c>
      <c r="Q49" s="99">
        <f>IFERROR(_xll.qlRateHelperPillarDate(J49,Trigger),"--")</f>
        <v>44515</v>
      </c>
      <c r="S49" s="4" t="str">
        <f t="shared" si="13"/>
        <v/>
      </c>
      <c r="T49" s="4" t="e">
        <v>#N/A</v>
      </c>
      <c r="U49" s="4" t="str">
        <f>IFERROR(_xll.qlRateHelperQuoteName(T49,Trigger),"")</f>
        <v/>
      </c>
      <c r="V49" s="70" t="str">
        <f>IFERROR(_xll.qlRateHelperRate(T49,Trigger),"")</f>
        <v/>
      </c>
      <c r="W49" s="104" t="str">
        <f>IF(ISERROR(_xll.qlSwapRateHelperSpread($T49)),IF(ISERROR(_xll.qlFuturesRateHelperConvexityAdjustment($T49)),"",_xll.qlFuturesRateHelperConvexityAdjustment($T49)),_xll.qlSwapRateHelperSpread($T49))</f>
        <v/>
      </c>
      <c r="X49" s="5" t="str">
        <f>IFERROR(_xll.qlRateHelperEarliestDate(T49,Trigger),"")</f>
        <v/>
      </c>
      <c r="Y49" s="5" t="str">
        <f>IFERROR(_xll.qlRateHelperPillarDate(T49,Trigger),"")</f>
        <v/>
      </c>
      <c r="Z49" s="70" t="e">
        <v>#N/A</v>
      </c>
      <c r="AA49" s="77" t="e">
        <v>#N/A</v>
      </c>
      <c r="AB49" s="169" t="e">
        <v>#N/A</v>
      </c>
      <c r="AC49" s="170" t="e">
        <v>#N/A</v>
      </c>
      <c r="AD49" s="172" t="e">
        <f t="shared" si="2"/>
        <v>#N/A</v>
      </c>
      <c r="AE49" s="174" t="e">
        <v>#N/A</v>
      </c>
      <c r="AF49" s="173" t="e">
        <f t="shared" si="3"/>
        <v>#N/A</v>
      </c>
      <c r="AG49" s="170"/>
    </row>
    <row r="50" spans="1:33" ht="11.25" customHeight="1" x14ac:dyDescent="0.2">
      <c r="A50" s="59" t="s">
        <v>115</v>
      </c>
      <c r="B50" s="60" t="s">
        <v>52</v>
      </c>
      <c r="C50" s="61">
        <v>0</v>
      </c>
      <c r="D50" s="62" t="str">
        <f t="shared" si="10"/>
        <v>Sonia</v>
      </c>
      <c r="E50" s="63" t="str">
        <f t="shared" si="11"/>
        <v>GBPSM3L3Y_LCHQuote</v>
      </c>
      <c r="F50" s="176" t="str">
        <f t="shared" si="12"/>
        <v>GBPSO3L3Y_LCHQuote</v>
      </c>
      <c r="G50" s="64" t="str">
        <f>_xll.qlOISRateHelper2(,$C50,$B50,$E50,$D50,,"Semiannual",F50,Permanent,Trigger,ObjectOverwrite)</f>
        <v>obj_0036f#0007</v>
      </c>
      <c r="I50" s="10" t="str">
        <f t="shared" si="8"/>
        <v>BasSw</v>
      </c>
      <c r="J50" s="94" t="str">
        <f t="shared" si="9"/>
        <v>obj_00371#0007</v>
      </c>
      <c r="K50" s="146" t="str">
        <f>IFERROR(_xll.qlRateHelperQuoteName(J50,Trigger),"--")</f>
        <v>GBPSM3L7Y_LCHQuote</v>
      </c>
      <c r="L50" s="98">
        <f>IFERROR(_xll.qlRateHelperQuoteValue($J50,Trigger),"--")</f>
        <v>1.6219999999999998E-2</v>
      </c>
      <c r="M50" s="97" t="b">
        <v>1</v>
      </c>
      <c r="N50" s="94">
        <v>50</v>
      </c>
      <c r="O50" s="94">
        <v>1</v>
      </c>
      <c r="P50" s="99">
        <f>IFERROR(_xll.qlRateHelperEarliestDate(J50,Trigger),"--")</f>
        <v>42321</v>
      </c>
      <c r="Q50" s="99">
        <f>IFERROR(_xll.qlRateHelperPillarDate(J50,Trigger),"--")</f>
        <v>44879</v>
      </c>
      <c r="S50" s="4" t="str">
        <f t="shared" si="13"/>
        <v/>
      </c>
      <c r="T50" s="4" t="e">
        <v>#N/A</v>
      </c>
      <c r="U50" s="4" t="str">
        <f>IFERROR(_xll.qlRateHelperQuoteName(T50,Trigger),"")</f>
        <v/>
      </c>
      <c r="V50" s="70" t="str">
        <f>IFERROR(_xll.qlRateHelperRate(T50,Trigger),"")</f>
        <v/>
      </c>
      <c r="W50" s="104" t="str">
        <f>IF(ISERROR(_xll.qlSwapRateHelperSpread($T50)),IF(ISERROR(_xll.qlFuturesRateHelperConvexityAdjustment($T50)),"",_xll.qlFuturesRateHelperConvexityAdjustment($T50)),_xll.qlSwapRateHelperSpread($T50))</f>
        <v/>
      </c>
      <c r="X50" s="5" t="str">
        <f>IFERROR(_xll.qlRateHelperEarliestDate(T50,Trigger),"")</f>
        <v/>
      </c>
      <c r="Y50" s="5" t="str">
        <f>IFERROR(_xll.qlRateHelperPillarDate(T50,Trigger),"")</f>
        <v/>
      </c>
      <c r="Z50" s="70" t="e">
        <v>#N/A</v>
      </c>
      <c r="AA50" s="77" t="e">
        <v>#N/A</v>
      </c>
      <c r="AB50" s="169" t="e">
        <v>#N/A</v>
      </c>
      <c r="AC50" s="170" t="e">
        <v>#N/A</v>
      </c>
      <c r="AD50" s="172" t="e">
        <f t="shared" si="2"/>
        <v>#N/A</v>
      </c>
      <c r="AE50" s="174" t="e">
        <v>#N/A</v>
      </c>
      <c r="AF50" s="173" t="e">
        <f t="shared" si="3"/>
        <v>#N/A</v>
      </c>
      <c r="AG50" s="170"/>
    </row>
    <row r="51" spans="1:33" ht="11.25" customHeight="1" x14ac:dyDescent="0.2">
      <c r="A51" s="59" t="s">
        <v>115</v>
      </c>
      <c r="B51" s="60" t="s">
        <v>53</v>
      </c>
      <c r="C51" s="61">
        <v>0</v>
      </c>
      <c r="D51" s="62" t="str">
        <f t="shared" si="10"/>
        <v>Sonia</v>
      </c>
      <c r="E51" s="63" t="str">
        <f t="shared" si="11"/>
        <v>GBPSM3L4Y_LCHQuote</v>
      </c>
      <c r="F51" s="176" t="str">
        <f t="shared" si="12"/>
        <v>GBPSO3L4Y_LCHQuote</v>
      </c>
      <c r="G51" s="64" t="str">
        <f>_xll.qlOISRateHelper2(,$C51,$B51,$E51,$D51,,"Semiannual",F51,Permanent,Trigger,ObjectOverwrite)</f>
        <v>obj_0036d#0007</v>
      </c>
      <c r="I51" s="10" t="str">
        <f t="shared" si="8"/>
        <v>BasSw</v>
      </c>
      <c r="J51" s="94" t="str">
        <f t="shared" si="9"/>
        <v>obj_0036c#0007</v>
      </c>
      <c r="K51" s="146" t="str">
        <f>IFERROR(_xll.qlRateHelperQuoteName(J51,Trigger),"--")</f>
        <v>GBPSM3L8Y_LCHQuote</v>
      </c>
      <c r="L51" s="98">
        <f>IFERROR(_xll.qlRateHelperQuoteValue($J51,Trigger),"--")</f>
        <v>1.7069999999999998E-2</v>
      </c>
      <c r="M51" s="97" t="b">
        <v>1</v>
      </c>
      <c r="N51" s="94">
        <v>50</v>
      </c>
      <c r="O51" s="94">
        <v>1</v>
      </c>
      <c r="P51" s="99">
        <f>IFERROR(_xll.qlRateHelperEarliestDate(J51,Trigger),"--")</f>
        <v>42321</v>
      </c>
      <c r="Q51" s="99">
        <f>IFERROR(_xll.qlRateHelperPillarDate(J51,Trigger),"--")</f>
        <v>45243</v>
      </c>
      <c r="S51" s="4" t="str">
        <f t="shared" si="13"/>
        <v/>
      </c>
      <c r="T51" s="4" t="e">
        <v>#N/A</v>
      </c>
      <c r="U51" s="4" t="str">
        <f>IFERROR(_xll.qlRateHelperQuoteName(T51,Trigger),"")</f>
        <v/>
      </c>
      <c r="V51" s="70" t="str">
        <f>IFERROR(_xll.qlRateHelperRate(T51,Trigger),"")</f>
        <v/>
      </c>
      <c r="W51" s="104" t="str">
        <f>IF(ISERROR(_xll.qlSwapRateHelperSpread($T51)),IF(ISERROR(_xll.qlFuturesRateHelperConvexityAdjustment($T51)),"",_xll.qlFuturesRateHelperConvexityAdjustment($T51)),_xll.qlSwapRateHelperSpread($T51))</f>
        <v/>
      </c>
      <c r="X51" s="5" t="str">
        <f>IFERROR(_xll.qlRateHelperEarliestDate(T51,Trigger),"")</f>
        <v/>
      </c>
      <c r="Y51" s="5" t="str">
        <f>IFERROR(_xll.qlRateHelperPillarDate(T51,Trigger),"")</f>
        <v/>
      </c>
      <c r="Z51" s="70" t="e">
        <v>#N/A</v>
      </c>
      <c r="AA51" s="77" t="e">
        <v>#N/A</v>
      </c>
      <c r="AB51" s="169" t="e">
        <v>#N/A</v>
      </c>
      <c r="AC51" s="170" t="e">
        <v>#N/A</v>
      </c>
      <c r="AD51" s="172" t="e">
        <f t="shared" si="2"/>
        <v>#N/A</v>
      </c>
      <c r="AE51" s="174" t="e">
        <v>#N/A</v>
      </c>
      <c r="AF51" s="173" t="e">
        <f t="shared" si="3"/>
        <v>#N/A</v>
      </c>
      <c r="AG51" s="170"/>
    </row>
    <row r="52" spans="1:33" ht="11.25" customHeight="1" x14ac:dyDescent="0.2">
      <c r="A52" s="59" t="s">
        <v>115</v>
      </c>
      <c r="B52" s="60" t="s">
        <v>54</v>
      </c>
      <c r="C52" s="61">
        <v>0</v>
      </c>
      <c r="D52" s="62" t="str">
        <f t="shared" si="10"/>
        <v>Sonia</v>
      </c>
      <c r="E52" s="63" t="str">
        <f t="shared" si="11"/>
        <v>GBPSM3L5Y_LCHQuote</v>
      </c>
      <c r="F52" s="176" t="str">
        <f t="shared" si="12"/>
        <v>GBPSO3L5Y_LCHQuote</v>
      </c>
      <c r="G52" s="64" t="str">
        <f>_xll.qlOISRateHelper2(,$C52,$B52,$E52,$D52,,"Semiannual",F52,Permanent,Trigger,ObjectOverwrite)</f>
        <v>obj_00367#0007</v>
      </c>
      <c r="I52" s="10" t="str">
        <f t="shared" si="8"/>
        <v>BasSw</v>
      </c>
      <c r="J52" s="94" t="str">
        <f t="shared" si="9"/>
        <v>obj_00368#0007</v>
      </c>
      <c r="K52" s="146" t="str">
        <f>IFERROR(_xll.qlRateHelperQuoteName(J52,Trigger),"--")</f>
        <v>GBPSM3L9Y_LCHQuote</v>
      </c>
      <c r="L52" s="98">
        <f>IFERROR(_xll.qlRateHelperQuoteValue($J52,Trigger),"--")</f>
        <v>1.779E-2</v>
      </c>
      <c r="M52" s="97" t="b">
        <v>1</v>
      </c>
      <c r="N52" s="94">
        <v>50</v>
      </c>
      <c r="O52" s="94">
        <v>1</v>
      </c>
      <c r="P52" s="99">
        <f>IFERROR(_xll.qlRateHelperEarliestDate(J52,Trigger),"--")</f>
        <v>42321</v>
      </c>
      <c r="Q52" s="99">
        <f>IFERROR(_xll.qlRateHelperPillarDate(J52,Trigger),"--")</f>
        <v>45609</v>
      </c>
      <c r="S52" s="4" t="str">
        <f t="shared" si="13"/>
        <v/>
      </c>
      <c r="T52" s="4" t="e">
        <v>#N/A</v>
      </c>
      <c r="U52" s="4" t="str">
        <f>IFERROR(_xll.qlRateHelperQuoteName(T52,Trigger),"")</f>
        <v/>
      </c>
      <c r="V52" s="70" t="str">
        <f>IFERROR(_xll.qlRateHelperRate(T52,Trigger),"")</f>
        <v/>
      </c>
      <c r="W52" s="104" t="str">
        <f>IF(ISERROR(_xll.qlSwapRateHelperSpread($T52)),IF(ISERROR(_xll.qlFuturesRateHelperConvexityAdjustment($T52)),"",_xll.qlFuturesRateHelperConvexityAdjustment($T52)),_xll.qlSwapRateHelperSpread($T52))</f>
        <v/>
      </c>
      <c r="X52" s="5" t="str">
        <f>IFERROR(_xll.qlRateHelperEarliestDate(T52,Trigger),"")</f>
        <v/>
      </c>
      <c r="Y52" s="5" t="str">
        <f>IFERROR(_xll.qlRateHelperPillarDate(T52,Trigger),"")</f>
        <v/>
      </c>
      <c r="Z52" s="70" t="e">
        <v>#N/A</v>
      </c>
      <c r="AA52" s="77" t="e">
        <v>#N/A</v>
      </c>
      <c r="AB52" s="169" t="e">
        <v>#N/A</v>
      </c>
      <c r="AC52" s="170" t="e">
        <v>#N/A</v>
      </c>
      <c r="AD52" s="172" t="e">
        <f t="shared" si="2"/>
        <v>#N/A</v>
      </c>
      <c r="AE52" s="174" t="e">
        <v>#N/A</v>
      </c>
      <c r="AF52" s="173" t="e">
        <f t="shared" si="3"/>
        <v>#N/A</v>
      </c>
      <c r="AG52" s="170"/>
    </row>
    <row r="53" spans="1:33" ht="11.25" customHeight="1" x14ac:dyDescent="0.2">
      <c r="A53" s="59" t="s">
        <v>115</v>
      </c>
      <c r="B53" s="60" t="s">
        <v>55</v>
      </c>
      <c r="C53" s="61">
        <v>0</v>
      </c>
      <c r="D53" s="62" t="str">
        <f t="shared" si="10"/>
        <v>Sonia</v>
      </c>
      <c r="E53" s="63" t="str">
        <f t="shared" si="11"/>
        <v>GBPSM3L6Y_LCHQuote</v>
      </c>
      <c r="F53" s="176" t="str">
        <f t="shared" si="12"/>
        <v>GBPSO3L6Y_LCHQuote</v>
      </c>
      <c r="G53" s="64" t="str">
        <f>_xll.qlOISRateHelper2(,$C53,$B53,$E53,$D53,,"Semiannual",F53,Permanent,Trigger,ObjectOverwrite)</f>
        <v>obj_00377#0007</v>
      </c>
      <c r="I53" s="10" t="str">
        <f t="shared" si="8"/>
        <v>BasSw</v>
      </c>
      <c r="J53" s="94" t="str">
        <f t="shared" si="9"/>
        <v>obj_00373#0007</v>
      </c>
      <c r="K53" s="146" t="str">
        <f>IFERROR(_xll.qlRateHelperQuoteName(J53,Trigger),"--")</f>
        <v>GBPSM3L10Y_LCHQuote</v>
      </c>
      <c r="L53" s="98">
        <f>IFERROR(_xll.qlRateHelperQuoteValue($J53,Trigger),"--")</f>
        <v>1.839E-2</v>
      </c>
      <c r="M53" s="97" t="b">
        <v>1</v>
      </c>
      <c r="N53" s="94">
        <v>50</v>
      </c>
      <c r="O53" s="94">
        <v>1</v>
      </c>
      <c r="P53" s="99">
        <f>IFERROR(_xll.qlRateHelperEarliestDate(J53,Trigger),"--")</f>
        <v>42321</v>
      </c>
      <c r="Q53" s="99">
        <f>IFERROR(_xll.qlRateHelperPillarDate(J53,Trigger),"--")</f>
        <v>45974</v>
      </c>
      <c r="S53" s="4" t="str">
        <f t="shared" si="13"/>
        <v/>
      </c>
      <c r="T53" s="4" t="e">
        <v>#N/A</v>
      </c>
      <c r="U53" s="4" t="str">
        <f>IFERROR(_xll.qlRateHelperQuoteName(T53,Trigger),"")</f>
        <v/>
      </c>
      <c r="V53" s="70" t="str">
        <f>IFERROR(_xll.qlRateHelperRate(T53,Trigger),"")</f>
        <v/>
      </c>
      <c r="W53" s="104" t="str">
        <f>IF(ISERROR(_xll.qlSwapRateHelperSpread($T53)),IF(ISERROR(_xll.qlFuturesRateHelperConvexityAdjustment($T53)),"",_xll.qlFuturesRateHelperConvexityAdjustment($T53)),_xll.qlSwapRateHelperSpread($T53))</f>
        <v/>
      </c>
      <c r="X53" s="5" t="str">
        <f>IFERROR(_xll.qlRateHelperEarliestDate(T53,Trigger),"")</f>
        <v/>
      </c>
      <c r="Y53" s="5" t="str">
        <f>IFERROR(_xll.qlRateHelperPillarDate(T53,Trigger),"")</f>
        <v/>
      </c>
      <c r="Z53" s="70" t="e">
        <v>#N/A</v>
      </c>
      <c r="AA53" s="77" t="e">
        <v>#N/A</v>
      </c>
      <c r="AB53" s="169" t="e">
        <v>#N/A</v>
      </c>
      <c r="AC53" s="170" t="e">
        <v>#N/A</v>
      </c>
      <c r="AD53" s="172" t="e">
        <f t="shared" si="2"/>
        <v>#N/A</v>
      </c>
      <c r="AE53" s="174" t="e">
        <v>#N/A</v>
      </c>
      <c r="AF53" s="173" t="e">
        <f t="shared" si="3"/>
        <v>#N/A</v>
      </c>
      <c r="AG53" s="170"/>
    </row>
    <row r="54" spans="1:33" ht="11.25" customHeight="1" x14ac:dyDescent="0.2">
      <c r="A54" s="59" t="s">
        <v>115</v>
      </c>
      <c r="B54" s="60" t="s">
        <v>56</v>
      </c>
      <c r="C54" s="61">
        <v>0</v>
      </c>
      <c r="D54" s="62" t="str">
        <f t="shared" si="10"/>
        <v>Sonia</v>
      </c>
      <c r="E54" s="63" t="str">
        <f t="shared" si="11"/>
        <v>GBPSM3L7Y_LCHQuote</v>
      </c>
      <c r="F54" s="176" t="str">
        <f t="shared" si="12"/>
        <v>GBPSO3L7Y_LCHQuote</v>
      </c>
      <c r="G54" s="64" t="str">
        <f>_xll.qlOISRateHelper2(,$C54,$B54,$E54,$D54,,"Semiannual",F54,Permanent,Trigger,ObjectOverwrite)</f>
        <v>obj_00371#0007</v>
      </c>
      <c r="I54" s="10" t="str">
        <f t="shared" si="8"/>
        <v>BasSw</v>
      </c>
      <c r="J54" s="94" t="str">
        <f t="shared" si="9"/>
        <v>--</v>
      </c>
      <c r="K54" s="146" t="str">
        <f>IFERROR(_xll.qlRateHelperQuoteName(J54,Trigger),"--")</f>
        <v>--</v>
      </c>
      <c r="L54" s="98" t="str">
        <f>IFERROR(_xll.qlRateHelperQuoteValue($J54,Trigger),"--")</f>
        <v>--</v>
      </c>
      <c r="M54" s="97" t="b">
        <v>0</v>
      </c>
      <c r="N54" s="94">
        <v>50</v>
      </c>
      <c r="O54" s="94">
        <v>1</v>
      </c>
      <c r="P54" s="99" t="str">
        <f>IFERROR(_xll.qlRateHelperEarliestDate(J54,Trigger),"--")</f>
        <v>--</v>
      </c>
      <c r="Q54" s="99" t="str">
        <f>IFERROR(_xll.qlRateHelperPillarDate(J54,Trigger),"--")</f>
        <v>--</v>
      </c>
      <c r="S54" s="4" t="str">
        <f t="shared" si="13"/>
        <v/>
      </c>
      <c r="T54" s="4" t="e">
        <v>#N/A</v>
      </c>
      <c r="U54" s="4" t="str">
        <f>IFERROR(_xll.qlRateHelperQuoteName(T54,Trigger),"")</f>
        <v/>
      </c>
      <c r="V54" s="70" t="str">
        <f>IFERROR(_xll.qlRateHelperRate(T54,Trigger),"")</f>
        <v/>
      </c>
      <c r="W54" s="104" t="str">
        <f>IF(ISERROR(_xll.qlSwapRateHelperSpread($T54)),IF(ISERROR(_xll.qlFuturesRateHelperConvexityAdjustment($T54)),"",_xll.qlFuturesRateHelperConvexityAdjustment($T54)),_xll.qlSwapRateHelperSpread($T54))</f>
        <v/>
      </c>
      <c r="X54" s="5" t="str">
        <f>IFERROR(_xll.qlRateHelperEarliestDate(T54,Trigger),"")</f>
        <v/>
      </c>
      <c r="Y54" s="5" t="str">
        <f>IFERROR(_xll.qlRateHelperPillarDate(T54,Trigger),"")</f>
        <v/>
      </c>
      <c r="Z54" s="70" t="e">
        <v>#N/A</v>
      </c>
      <c r="AA54" s="77" t="e">
        <v>#N/A</v>
      </c>
      <c r="AB54" s="169" t="e">
        <v>#N/A</v>
      </c>
      <c r="AC54" s="170" t="e">
        <v>#N/A</v>
      </c>
      <c r="AD54" s="172" t="e">
        <f t="shared" si="2"/>
        <v>#N/A</v>
      </c>
      <c r="AE54" s="174" t="e">
        <v>#N/A</v>
      </c>
      <c r="AF54" s="173" t="e">
        <f t="shared" si="3"/>
        <v>#N/A</v>
      </c>
      <c r="AG54" s="170"/>
    </row>
    <row r="55" spans="1:33" ht="11.25" customHeight="1" x14ac:dyDescent="0.2">
      <c r="A55" s="59" t="s">
        <v>115</v>
      </c>
      <c r="B55" s="60" t="s">
        <v>57</v>
      </c>
      <c r="C55" s="61">
        <v>0</v>
      </c>
      <c r="D55" s="62" t="str">
        <f t="shared" si="10"/>
        <v>Sonia</v>
      </c>
      <c r="E55" s="63" t="str">
        <f t="shared" si="11"/>
        <v>GBPSM3L8Y_LCHQuote</v>
      </c>
      <c r="F55" s="176" t="str">
        <f t="shared" si="12"/>
        <v>GBPSO3L8Y_LCHQuote</v>
      </c>
      <c r="G55" s="64" t="str">
        <f>_xll.qlOISRateHelper2(,$C55,$B55,$E55,$D55,,"Semiannual",F55,Permanent,Trigger,ObjectOverwrite)</f>
        <v>obj_0036c#0007</v>
      </c>
      <c r="I55" s="10" t="str">
        <f t="shared" si="8"/>
        <v>BasSw</v>
      </c>
      <c r="J55" s="94" t="str">
        <f t="shared" si="9"/>
        <v>obj_0036b#0007</v>
      </c>
      <c r="K55" s="146" t="str">
        <f>IFERROR(_xll.qlRateHelperQuoteName(J55,Trigger),"--")</f>
        <v>GBPSM3L12Y_LCHQuote</v>
      </c>
      <c r="L55" s="98">
        <f>IFERROR(_xll.qlRateHelperQuoteValue($J55,Trigger),"--")</f>
        <v>1.941E-2</v>
      </c>
      <c r="M55" s="97" t="b">
        <v>1</v>
      </c>
      <c r="N55" s="94">
        <v>50</v>
      </c>
      <c r="O55" s="94">
        <v>1</v>
      </c>
      <c r="P55" s="99">
        <f>IFERROR(_xll.qlRateHelperEarliestDate(J55,Trigger),"--")</f>
        <v>42321</v>
      </c>
      <c r="Q55" s="99">
        <f>IFERROR(_xll.qlRateHelperPillarDate(J55,Trigger),"--")</f>
        <v>46706</v>
      </c>
      <c r="S55" s="4" t="str">
        <f t="shared" si="13"/>
        <v/>
      </c>
      <c r="T55" s="4" t="e">
        <v>#N/A</v>
      </c>
      <c r="U55" s="4" t="str">
        <f>IFERROR(_xll.qlRateHelperQuoteName(T55,Trigger),"")</f>
        <v/>
      </c>
      <c r="V55" s="70" t="str">
        <f>IFERROR(_xll.qlRateHelperRate(T55,Trigger),"")</f>
        <v/>
      </c>
      <c r="W55" s="104" t="str">
        <f>IF(ISERROR(_xll.qlSwapRateHelperSpread($T55)),IF(ISERROR(_xll.qlFuturesRateHelperConvexityAdjustment($T55)),"",_xll.qlFuturesRateHelperConvexityAdjustment($T55)),_xll.qlSwapRateHelperSpread($T55))</f>
        <v/>
      </c>
      <c r="X55" s="5" t="str">
        <f>IFERROR(_xll.qlRateHelperEarliestDate(T55,Trigger),"")</f>
        <v/>
      </c>
      <c r="Y55" s="5" t="str">
        <f>IFERROR(_xll.qlRateHelperPillarDate(T55,Trigger),"")</f>
        <v/>
      </c>
      <c r="Z55" s="70" t="e">
        <v>#N/A</v>
      </c>
      <c r="AA55" s="77" t="e">
        <v>#N/A</v>
      </c>
      <c r="AB55" s="169" t="e">
        <v>#N/A</v>
      </c>
      <c r="AC55" s="170" t="e">
        <v>#N/A</v>
      </c>
      <c r="AD55" s="172" t="e">
        <f t="shared" si="2"/>
        <v>#N/A</v>
      </c>
      <c r="AE55" s="174" t="e">
        <v>#N/A</v>
      </c>
      <c r="AF55" s="173" t="e">
        <f t="shared" si="3"/>
        <v>#N/A</v>
      </c>
      <c r="AG55" s="170"/>
    </row>
    <row r="56" spans="1:33" ht="11.25" customHeight="1" x14ac:dyDescent="0.2">
      <c r="A56" s="59" t="s">
        <v>115</v>
      </c>
      <c r="B56" s="60" t="s">
        <v>58</v>
      </c>
      <c r="C56" s="61">
        <v>0</v>
      </c>
      <c r="D56" s="62" t="str">
        <f t="shared" si="10"/>
        <v>Sonia</v>
      </c>
      <c r="E56" s="63" t="str">
        <f t="shared" si="11"/>
        <v>GBPSM3L9Y_LCHQuote</v>
      </c>
      <c r="F56" s="176" t="str">
        <f t="shared" si="12"/>
        <v>GBPSO3L9Y_LCHQuote</v>
      </c>
      <c r="G56" s="64" t="str">
        <f>_xll.qlOISRateHelper2(,$C56,$B56,$E56,$D56,,"Semiannual",F56,Permanent,Trigger,ObjectOverwrite)</f>
        <v>obj_00368#0007</v>
      </c>
      <c r="I56" s="10" t="str">
        <f t="shared" si="8"/>
        <v>BasSw</v>
      </c>
      <c r="J56" s="94" t="str">
        <f t="shared" si="9"/>
        <v>--</v>
      </c>
      <c r="K56" s="146" t="str">
        <f>IFERROR(_xll.qlRateHelperQuoteName(J56,Trigger),"--")</f>
        <v>--</v>
      </c>
      <c r="L56" s="98" t="str">
        <f>IFERROR(_xll.qlRateHelperQuoteValue($J56,Trigger),"--")</f>
        <v>--</v>
      </c>
      <c r="M56" s="97" t="b">
        <v>0</v>
      </c>
      <c r="N56" s="94">
        <v>50</v>
      </c>
      <c r="O56" s="94">
        <v>1</v>
      </c>
      <c r="P56" s="99" t="str">
        <f>IFERROR(_xll.qlRateHelperEarliestDate(J56,Trigger),"--")</f>
        <v>--</v>
      </c>
      <c r="Q56" s="99" t="str">
        <f>IFERROR(_xll.qlRateHelperPillarDate(J56,Trigger),"--")</f>
        <v>--</v>
      </c>
      <c r="S56" s="4" t="str">
        <f t="shared" si="13"/>
        <v/>
      </c>
      <c r="T56" s="4" t="e">
        <v>#N/A</v>
      </c>
      <c r="U56" s="4" t="str">
        <f>IFERROR(_xll.qlRateHelperQuoteName(T56,Trigger),"")</f>
        <v/>
      </c>
      <c r="V56" s="70" t="str">
        <f>IFERROR(_xll.qlRateHelperRate(T56,Trigger),"")</f>
        <v/>
      </c>
      <c r="W56" s="104" t="str">
        <f>IF(ISERROR(_xll.qlSwapRateHelperSpread($T56)),IF(ISERROR(_xll.qlFuturesRateHelperConvexityAdjustment($T56)),"",_xll.qlFuturesRateHelperConvexityAdjustment($T56)),_xll.qlSwapRateHelperSpread($T56))</f>
        <v/>
      </c>
      <c r="X56" s="5" t="str">
        <f>IFERROR(_xll.qlRateHelperEarliestDate(T56,Trigger),"")</f>
        <v/>
      </c>
      <c r="Y56" s="5" t="str">
        <f>IFERROR(_xll.qlRateHelperPillarDate(T56,Trigger),"")</f>
        <v/>
      </c>
      <c r="Z56" s="70" t="e">
        <v>#N/A</v>
      </c>
      <c r="AA56" s="77" t="e">
        <v>#N/A</v>
      </c>
      <c r="AB56" s="169" t="e">
        <v>#N/A</v>
      </c>
      <c r="AC56" s="170" t="e">
        <v>#N/A</v>
      </c>
      <c r="AD56" s="172" t="e">
        <f t="shared" si="2"/>
        <v>#N/A</v>
      </c>
      <c r="AE56" s="174" t="e">
        <v>#N/A</v>
      </c>
      <c r="AF56" s="173" t="e">
        <f t="shared" si="3"/>
        <v>#N/A</v>
      </c>
      <c r="AG56" s="170"/>
    </row>
    <row r="57" spans="1:33" ht="11.25" customHeight="1" x14ac:dyDescent="0.2">
      <c r="A57" s="59" t="s">
        <v>115</v>
      </c>
      <c r="B57" s="60" t="s">
        <v>59</v>
      </c>
      <c r="C57" s="61">
        <v>0</v>
      </c>
      <c r="D57" s="62" t="str">
        <f t="shared" si="10"/>
        <v>Sonia</v>
      </c>
      <c r="E57" s="63" t="str">
        <f t="shared" si="11"/>
        <v>GBPSM3L10Y_LCHQuote</v>
      </c>
      <c r="F57" s="176" t="str">
        <f t="shared" si="12"/>
        <v>GBPSO3L10Y_LCHQuote</v>
      </c>
      <c r="G57" s="64" t="str">
        <f>_xll.qlOISRateHelper2(,$C57,$B57,$E57,$D57,,"Semiannual",F57,Permanent,Trigger,ObjectOverwrite)</f>
        <v>obj_00373#0007</v>
      </c>
      <c r="I57" s="10" t="str">
        <f t="shared" si="8"/>
        <v>BasSw</v>
      </c>
      <c r="J57" s="94" t="str">
        <f t="shared" si="9"/>
        <v>--</v>
      </c>
      <c r="K57" s="146" t="str">
        <f>IFERROR(_xll.qlRateHelperQuoteName(J57,Trigger),"--")</f>
        <v>--</v>
      </c>
      <c r="L57" s="98" t="str">
        <f>IFERROR(_xll.qlRateHelperQuoteValue($J57,Trigger),"--")</f>
        <v>--</v>
      </c>
      <c r="M57" s="97" t="b">
        <v>0</v>
      </c>
      <c r="N57" s="94">
        <v>50</v>
      </c>
      <c r="O57" s="94">
        <v>1</v>
      </c>
      <c r="P57" s="99" t="str">
        <f>IFERROR(_xll.qlRateHelperEarliestDate(J57,Trigger),"--")</f>
        <v>--</v>
      </c>
      <c r="Q57" s="99" t="str">
        <f>IFERROR(_xll.qlRateHelperPillarDate(J57,Trigger),"--")</f>
        <v>--</v>
      </c>
      <c r="S57" s="4" t="str">
        <f t="shared" si="13"/>
        <v/>
      </c>
      <c r="T57" s="4" t="e">
        <v>#N/A</v>
      </c>
      <c r="U57" s="4" t="str">
        <f>IFERROR(_xll.qlRateHelperQuoteName(T57,Trigger),"")</f>
        <v/>
      </c>
      <c r="V57" s="70" t="str">
        <f>IFERROR(_xll.qlRateHelperRate(T57,Trigger),"")</f>
        <v/>
      </c>
      <c r="W57" s="104" t="str">
        <f>IF(ISERROR(_xll.qlSwapRateHelperSpread($T57)),IF(ISERROR(_xll.qlFuturesRateHelperConvexityAdjustment($T57)),"",_xll.qlFuturesRateHelperConvexityAdjustment($T57)),_xll.qlSwapRateHelperSpread($T57))</f>
        <v/>
      </c>
      <c r="X57" s="5" t="str">
        <f>IFERROR(_xll.qlRateHelperEarliestDate(T57,Trigger),"")</f>
        <v/>
      </c>
      <c r="Y57" s="5" t="str">
        <f>IFERROR(_xll.qlRateHelperPillarDate(T57,Trigger),"")</f>
        <v/>
      </c>
      <c r="Z57" s="70" t="e">
        <v>#N/A</v>
      </c>
      <c r="AA57" s="77" t="e">
        <v>#N/A</v>
      </c>
      <c r="AB57" s="169" t="e">
        <v>#N/A</v>
      </c>
      <c r="AC57" s="170" t="e">
        <v>#N/A</v>
      </c>
      <c r="AD57" s="172" t="e">
        <f t="shared" si="2"/>
        <v>#N/A</v>
      </c>
      <c r="AE57" s="174" t="e">
        <v>#N/A</v>
      </c>
      <c r="AF57" s="173" t="e">
        <f t="shared" si="3"/>
        <v>#N/A</v>
      </c>
      <c r="AG57" s="170"/>
    </row>
    <row r="58" spans="1:33" ht="11.25" customHeight="1" x14ac:dyDescent="0.2">
      <c r="A58" s="59" t="s">
        <v>115</v>
      </c>
      <c r="B58" s="60" t="s">
        <v>95</v>
      </c>
      <c r="C58" s="61">
        <v>0</v>
      </c>
      <c r="D58" s="62" t="str">
        <f t="shared" si="10"/>
        <v>Sonia</v>
      </c>
      <c r="E58" s="63" t="str">
        <f t="shared" si="11"/>
        <v>GBPSM3L11Y_LCHQuote</v>
      </c>
      <c r="F58" s="176" t="str">
        <f t="shared" si="12"/>
        <v>GBPSO3L11Y_LCHQuote</v>
      </c>
      <c r="G58" s="64"/>
      <c r="I58" s="10" t="str">
        <f t="shared" si="8"/>
        <v>BasSw</v>
      </c>
      <c r="J58" s="94" t="str">
        <f t="shared" si="9"/>
        <v>obj_0036e#0007</v>
      </c>
      <c r="K58" s="146" t="str">
        <f>IFERROR(_xll.qlRateHelperQuoteName(J58,Trigger),"--")</f>
        <v>GBPSM3L15Y_LCHQuote</v>
      </c>
      <c r="L58" s="98">
        <f>IFERROR(_xll.qlRateHelperQuoteValue($J58,Trigger),"--")</f>
        <v>2.0409999999999998E-2</v>
      </c>
      <c r="M58" s="97" t="b">
        <v>1</v>
      </c>
      <c r="N58" s="94">
        <v>50</v>
      </c>
      <c r="O58" s="94">
        <v>1</v>
      </c>
      <c r="P58" s="99">
        <f>IFERROR(_xll.qlRateHelperEarliestDate(J58,Trigger),"--")</f>
        <v>42321</v>
      </c>
      <c r="Q58" s="99">
        <f>IFERROR(_xll.qlRateHelperPillarDate(J58,Trigger),"--")</f>
        <v>47800</v>
      </c>
      <c r="S58" s="4" t="str">
        <f t="shared" si="13"/>
        <v/>
      </c>
      <c r="T58" s="4" t="e">
        <v>#N/A</v>
      </c>
      <c r="U58" s="4" t="str">
        <f>IFERROR(_xll.qlRateHelperQuoteName(T58,Trigger),"")</f>
        <v/>
      </c>
      <c r="V58" s="70" t="str">
        <f>IFERROR(_xll.qlRateHelperRate(T58,Trigger),"")</f>
        <v/>
      </c>
      <c r="W58" s="104" t="str">
        <f>IF(ISERROR(_xll.qlSwapRateHelperSpread($T58)),IF(ISERROR(_xll.qlFuturesRateHelperConvexityAdjustment($T58)),"",_xll.qlFuturesRateHelperConvexityAdjustment($T58)),_xll.qlSwapRateHelperSpread($T58))</f>
        <v/>
      </c>
      <c r="X58" s="5" t="str">
        <f>IFERROR(_xll.qlRateHelperEarliestDate(T58,Trigger),"")</f>
        <v/>
      </c>
      <c r="Y58" s="5" t="str">
        <f>IFERROR(_xll.qlRateHelperPillarDate(T58,Trigger),"")</f>
        <v/>
      </c>
      <c r="Z58" s="70" t="e">
        <v>#N/A</v>
      </c>
      <c r="AA58" s="77" t="e">
        <v>#N/A</v>
      </c>
      <c r="AB58" s="169" t="e">
        <v>#N/A</v>
      </c>
      <c r="AC58" s="170" t="e">
        <v>#N/A</v>
      </c>
      <c r="AD58" s="172" t="e">
        <f t="shared" si="2"/>
        <v>#N/A</v>
      </c>
      <c r="AE58" s="174" t="e">
        <v>#N/A</v>
      </c>
      <c r="AF58" s="173" t="e">
        <f t="shared" si="3"/>
        <v>#N/A</v>
      </c>
      <c r="AG58" s="170"/>
    </row>
    <row r="59" spans="1:33" ht="11.25" customHeight="1" x14ac:dyDescent="0.2">
      <c r="A59" s="59" t="s">
        <v>115</v>
      </c>
      <c r="B59" s="60" t="s">
        <v>60</v>
      </c>
      <c r="C59" s="61">
        <v>0</v>
      </c>
      <c r="D59" s="62" t="str">
        <f t="shared" si="10"/>
        <v>Sonia</v>
      </c>
      <c r="E59" s="63" t="str">
        <f t="shared" si="11"/>
        <v>GBPSM3L12Y_LCHQuote</v>
      </c>
      <c r="F59" s="176" t="str">
        <f t="shared" si="12"/>
        <v>GBPSO3L12Y_LCHQuote</v>
      </c>
      <c r="G59" s="64" t="str">
        <f>_xll.qlOISRateHelper2(,$C59,$B59,$E59,$D59,,"Semiannual",F59,Permanent,Trigger,ObjectOverwrite)</f>
        <v>obj_0036b#0007</v>
      </c>
      <c r="I59" s="10" t="str">
        <f t="shared" si="8"/>
        <v>BasSw</v>
      </c>
      <c r="J59" s="94" t="str">
        <f t="shared" si="9"/>
        <v>--</v>
      </c>
      <c r="K59" s="146" t="str">
        <f>IFERROR(_xll.qlRateHelperQuoteName(J59,Trigger),"--")</f>
        <v>--</v>
      </c>
      <c r="L59" s="98" t="str">
        <f>IFERROR(_xll.qlRateHelperQuoteValue($J59,Trigger),"--")</f>
        <v>--</v>
      </c>
      <c r="M59" s="97" t="b">
        <v>0</v>
      </c>
      <c r="N59" s="94">
        <v>50</v>
      </c>
      <c r="O59" s="94">
        <v>1</v>
      </c>
      <c r="P59" s="99" t="str">
        <f>IFERROR(_xll.qlRateHelperEarliestDate(J59,Trigger),"--")</f>
        <v>--</v>
      </c>
      <c r="Q59" s="99" t="str">
        <f>IFERROR(_xll.qlRateHelperPillarDate(J59,Trigger),"--")</f>
        <v>--</v>
      </c>
      <c r="S59" s="4" t="str">
        <f t="shared" si="13"/>
        <v/>
      </c>
      <c r="T59" s="4" t="e">
        <v>#N/A</v>
      </c>
      <c r="U59" s="4" t="str">
        <f>IFERROR(_xll.qlRateHelperQuoteName(T59,Trigger),"")</f>
        <v/>
      </c>
      <c r="V59" s="70" t="str">
        <f>IFERROR(_xll.qlRateHelperRate(T59,Trigger),"")</f>
        <v/>
      </c>
      <c r="W59" s="104" t="str">
        <f>IF(ISERROR(_xll.qlSwapRateHelperSpread($T59)),IF(ISERROR(_xll.qlFuturesRateHelperConvexityAdjustment($T59)),"",_xll.qlFuturesRateHelperConvexityAdjustment($T59)),_xll.qlSwapRateHelperSpread($T59))</f>
        <v/>
      </c>
      <c r="X59" s="5" t="str">
        <f>IFERROR(_xll.qlRateHelperEarliestDate(T59,Trigger),"")</f>
        <v/>
      </c>
      <c r="Y59" s="5" t="str">
        <f>IFERROR(_xll.qlRateHelperPillarDate(T59,Trigger),"")</f>
        <v/>
      </c>
      <c r="Z59" s="70" t="e">
        <v>#N/A</v>
      </c>
      <c r="AA59" s="77" t="e">
        <v>#N/A</v>
      </c>
      <c r="AB59" s="169" t="e">
        <v>#N/A</v>
      </c>
      <c r="AC59" s="170" t="e">
        <v>#N/A</v>
      </c>
      <c r="AD59" s="172" t="e">
        <f t="shared" si="2"/>
        <v>#N/A</v>
      </c>
      <c r="AE59" s="174" t="e">
        <v>#N/A</v>
      </c>
      <c r="AF59" s="173" t="e">
        <f t="shared" si="3"/>
        <v>#N/A</v>
      </c>
      <c r="AG59" s="170"/>
    </row>
    <row r="60" spans="1:33" ht="11.25" customHeight="1" x14ac:dyDescent="0.2">
      <c r="A60" s="59" t="s">
        <v>115</v>
      </c>
      <c r="B60" s="60" t="s">
        <v>96</v>
      </c>
      <c r="C60" s="61">
        <v>0</v>
      </c>
      <c r="D60" s="62" t="str">
        <f t="shared" si="10"/>
        <v>Sonia</v>
      </c>
      <c r="E60" s="63" t="str">
        <f t="shared" si="11"/>
        <v>GBPSM3L13Y_LCHQuote</v>
      </c>
      <c r="F60" s="176" t="str">
        <f t="shared" si="12"/>
        <v>GBPSO3L13Y_LCHQuote</v>
      </c>
      <c r="G60" s="64"/>
      <c r="I60" s="10" t="str">
        <f t="shared" si="8"/>
        <v>BasSw</v>
      </c>
      <c r="J60" s="94" t="str">
        <f t="shared" si="9"/>
        <v>--</v>
      </c>
      <c r="K60" s="146" t="str">
        <f>IFERROR(_xll.qlRateHelperQuoteName(J60,Trigger),"--")</f>
        <v>--</v>
      </c>
      <c r="L60" s="98" t="str">
        <f>IFERROR(_xll.qlRateHelperQuoteValue($J60,Trigger),"--")</f>
        <v>--</v>
      </c>
      <c r="M60" s="97" t="b">
        <v>0</v>
      </c>
      <c r="N60" s="94">
        <v>50</v>
      </c>
      <c r="O60" s="94">
        <v>1</v>
      </c>
      <c r="P60" s="99" t="str">
        <f>IFERROR(_xll.qlRateHelperEarliestDate(J60,Trigger),"--")</f>
        <v>--</v>
      </c>
      <c r="Q60" s="99" t="str">
        <f>IFERROR(_xll.qlRateHelperPillarDate(J60,Trigger),"--")</f>
        <v>--</v>
      </c>
      <c r="S60" s="4" t="str">
        <f t="shared" si="13"/>
        <v/>
      </c>
      <c r="T60" s="4" t="e">
        <v>#N/A</v>
      </c>
      <c r="U60" s="4" t="str">
        <f>IFERROR(_xll.qlRateHelperQuoteName(T60,Trigger),"")</f>
        <v/>
      </c>
      <c r="V60" s="70" t="str">
        <f>IFERROR(_xll.qlRateHelperRate(T60,Trigger),"")</f>
        <v/>
      </c>
      <c r="W60" s="104" t="str">
        <f>IF(ISERROR(_xll.qlSwapRateHelperSpread($T60)),IF(ISERROR(_xll.qlFuturesRateHelperConvexityAdjustment($T60)),"",_xll.qlFuturesRateHelperConvexityAdjustment($T60)),_xll.qlSwapRateHelperSpread($T60))</f>
        <v/>
      </c>
      <c r="X60" s="5" t="str">
        <f>IFERROR(_xll.qlRateHelperEarliestDate(T60,Trigger),"")</f>
        <v/>
      </c>
      <c r="Y60" s="5" t="str">
        <f>IFERROR(_xll.qlRateHelperPillarDate(T60,Trigger),"")</f>
        <v/>
      </c>
      <c r="Z60" s="70" t="e">
        <v>#N/A</v>
      </c>
      <c r="AA60" s="77" t="e">
        <v>#N/A</v>
      </c>
      <c r="AB60" s="169" t="e">
        <v>#N/A</v>
      </c>
      <c r="AC60" s="170" t="e">
        <v>#N/A</v>
      </c>
      <c r="AD60" s="172" t="e">
        <f t="shared" si="2"/>
        <v>#N/A</v>
      </c>
      <c r="AE60" s="174" t="e">
        <v>#N/A</v>
      </c>
      <c r="AF60" s="173" t="e">
        <f t="shared" si="3"/>
        <v>#N/A</v>
      </c>
      <c r="AG60" s="170"/>
    </row>
    <row r="61" spans="1:33" ht="11.25" customHeight="1" x14ac:dyDescent="0.2">
      <c r="A61" s="59" t="s">
        <v>115</v>
      </c>
      <c r="B61" s="60" t="s">
        <v>97</v>
      </c>
      <c r="C61" s="61">
        <v>0</v>
      </c>
      <c r="D61" s="62" t="str">
        <f t="shared" si="10"/>
        <v>Sonia</v>
      </c>
      <c r="E61" s="63" t="str">
        <f t="shared" si="11"/>
        <v>GBPSM3L14Y_LCHQuote</v>
      </c>
      <c r="F61" s="176" t="str">
        <f t="shared" si="12"/>
        <v>GBPSO3L14Y_LCHQuote</v>
      </c>
      <c r="G61" s="64"/>
      <c r="I61" s="10" t="str">
        <f t="shared" si="8"/>
        <v>BasSw</v>
      </c>
      <c r="J61" s="94" t="str">
        <f t="shared" si="9"/>
        <v>--</v>
      </c>
      <c r="K61" s="146" t="str">
        <f>IFERROR(_xll.qlRateHelperQuoteName(J61,Trigger),"--")</f>
        <v>--</v>
      </c>
      <c r="L61" s="98" t="str">
        <f>IFERROR(_xll.qlRateHelperQuoteValue($J61,Trigger),"--")</f>
        <v>--</v>
      </c>
      <c r="M61" s="97" t="b">
        <v>0</v>
      </c>
      <c r="N61" s="94">
        <v>50</v>
      </c>
      <c r="O61" s="94">
        <v>1</v>
      </c>
      <c r="P61" s="99" t="str">
        <f>IFERROR(_xll.qlRateHelperEarliestDate(J61,Trigger),"--")</f>
        <v>--</v>
      </c>
      <c r="Q61" s="99" t="str">
        <f>IFERROR(_xll.qlRateHelperPillarDate(J61,Trigger),"--")</f>
        <v>--</v>
      </c>
      <c r="S61" s="4" t="str">
        <f t="shared" si="13"/>
        <v/>
      </c>
      <c r="T61" s="4" t="e">
        <v>#N/A</v>
      </c>
      <c r="U61" s="4" t="str">
        <f>IFERROR(_xll.qlRateHelperQuoteName(T61,Trigger),"")</f>
        <v/>
      </c>
      <c r="V61" s="70" t="str">
        <f>IFERROR(_xll.qlRateHelperRate(T61,Trigger),"")</f>
        <v/>
      </c>
      <c r="W61" s="104" t="str">
        <f>IF(ISERROR(_xll.qlSwapRateHelperSpread($T61)),IF(ISERROR(_xll.qlFuturesRateHelperConvexityAdjustment($T61)),"",_xll.qlFuturesRateHelperConvexityAdjustment($T61)),_xll.qlSwapRateHelperSpread($T61))</f>
        <v/>
      </c>
      <c r="X61" s="5" t="str">
        <f>IFERROR(_xll.qlRateHelperEarliestDate(T61,Trigger),"")</f>
        <v/>
      </c>
      <c r="Y61" s="5" t="str">
        <f>IFERROR(_xll.qlRateHelperPillarDate(T61,Trigger),"")</f>
        <v/>
      </c>
      <c r="Z61" s="70" t="e">
        <v>#N/A</v>
      </c>
      <c r="AA61" s="77" t="e">
        <v>#N/A</v>
      </c>
      <c r="AB61" s="169" t="e">
        <v>#N/A</v>
      </c>
      <c r="AC61" s="170" t="e">
        <v>#N/A</v>
      </c>
      <c r="AD61" s="172" t="e">
        <f t="shared" si="2"/>
        <v>#N/A</v>
      </c>
      <c r="AE61" s="174" t="e">
        <v>#N/A</v>
      </c>
      <c r="AF61" s="173" t="e">
        <f t="shared" si="3"/>
        <v>#N/A</v>
      </c>
      <c r="AG61" s="170"/>
    </row>
    <row r="62" spans="1:33" ht="11.25" customHeight="1" x14ac:dyDescent="0.2">
      <c r="A62" s="59" t="s">
        <v>115</v>
      </c>
      <c r="B62" s="60" t="s">
        <v>61</v>
      </c>
      <c r="C62" s="61">
        <v>0</v>
      </c>
      <c r="D62" s="62" t="str">
        <f t="shared" si="10"/>
        <v>Sonia</v>
      </c>
      <c r="E62" s="63" t="str">
        <f t="shared" si="11"/>
        <v>GBPSM3L15Y_LCHQuote</v>
      </c>
      <c r="F62" s="176" t="str">
        <f t="shared" si="12"/>
        <v>GBPSO3L15Y_LCHQuote</v>
      </c>
      <c r="G62" s="64" t="str">
        <f>_xll.qlOISRateHelper2(,$C62,$B62,$E62,$D62,,"Semiannual",F62,Permanent,Trigger,ObjectOverwrite)</f>
        <v>obj_0036e#0007</v>
      </c>
      <c r="I62" s="10" t="str">
        <f t="shared" si="8"/>
        <v>BasSw</v>
      </c>
      <c r="J62" s="94" t="str">
        <f t="shared" si="9"/>
        <v>--</v>
      </c>
      <c r="K62" s="146" t="str">
        <f>IFERROR(_xll.qlRateHelperQuoteName(J62,Trigger),"--")</f>
        <v>--</v>
      </c>
      <c r="L62" s="98" t="str">
        <f>IFERROR(_xll.qlRateHelperQuoteValue($J62,Trigger),"--")</f>
        <v>--</v>
      </c>
      <c r="M62" s="97" t="b">
        <v>0</v>
      </c>
      <c r="N62" s="94">
        <v>50</v>
      </c>
      <c r="O62" s="94">
        <v>1</v>
      </c>
      <c r="P62" s="99" t="str">
        <f>IFERROR(_xll.qlRateHelperEarliestDate(J62,Trigger),"--")</f>
        <v>--</v>
      </c>
      <c r="Q62" s="99" t="str">
        <f>IFERROR(_xll.qlRateHelperPillarDate(J62,Trigger),"--")</f>
        <v>--</v>
      </c>
      <c r="S62" s="4" t="str">
        <f t="shared" si="13"/>
        <v/>
      </c>
      <c r="T62" s="4" t="e">
        <v>#N/A</v>
      </c>
      <c r="U62" s="4" t="str">
        <f>IFERROR(_xll.qlRateHelperQuoteName(T62,Trigger),"")</f>
        <v/>
      </c>
      <c r="V62" s="70" t="str">
        <f>IFERROR(_xll.qlRateHelperRate(T62,Trigger),"")</f>
        <v/>
      </c>
      <c r="W62" s="104" t="str">
        <f>IF(ISERROR(_xll.qlSwapRateHelperSpread($T62)),IF(ISERROR(_xll.qlFuturesRateHelperConvexityAdjustment($T62)),"",_xll.qlFuturesRateHelperConvexityAdjustment($T62)),_xll.qlSwapRateHelperSpread($T62))</f>
        <v/>
      </c>
      <c r="X62" s="5" t="str">
        <f>IFERROR(_xll.qlRateHelperEarliestDate(T62,Trigger),"")</f>
        <v/>
      </c>
      <c r="Y62" s="5" t="str">
        <f>IFERROR(_xll.qlRateHelperPillarDate(T62,Trigger),"")</f>
        <v/>
      </c>
      <c r="Z62" s="70" t="e">
        <v>#N/A</v>
      </c>
      <c r="AA62" s="77" t="e">
        <v>#N/A</v>
      </c>
      <c r="AB62" s="169" t="e">
        <v>#N/A</v>
      </c>
      <c r="AC62" s="170" t="e">
        <v>#N/A</v>
      </c>
      <c r="AD62" s="172" t="e">
        <f t="shared" si="2"/>
        <v>#N/A</v>
      </c>
      <c r="AE62" s="174" t="e">
        <v>#N/A</v>
      </c>
      <c r="AF62" s="173" t="e">
        <f t="shared" si="3"/>
        <v>#N/A</v>
      </c>
      <c r="AG62" s="170"/>
    </row>
    <row r="63" spans="1:33" ht="11.25" customHeight="1" x14ac:dyDescent="0.2">
      <c r="A63" s="59" t="s">
        <v>115</v>
      </c>
      <c r="B63" s="60" t="s">
        <v>98</v>
      </c>
      <c r="C63" s="61">
        <v>0</v>
      </c>
      <c r="D63" s="62" t="str">
        <f t="shared" si="10"/>
        <v>Sonia</v>
      </c>
      <c r="E63" s="63" t="str">
        <f t="shared" si="11"/>
        <v>GBPSM3L16Y_LCHQuote</v>
      </c>
      <c r="F63" s="176" t="str">
        <f t="shared" si="12"/>
        <v>GBPSO3L16Y_LCHQuote</v>
      </c>
      <c r="G63" s="64"/>
      <c r="I63" s="10" t="str">
        <f t="shared" si="8"/>
        <v>BasSw</v>
      </c>
      <c r="J63" s="94" t="str">
        <f t="shared" si="9"/>
        <v>obj_00369#0007</v>
      </c>
      <c r="K63" s="146" t="str">
        <f>IFERROR(_xll.qlRateHelperQuoteName(J63,Trigger),"--")</f>
        <v>GBPSM3L20Y_LCHQuote</v>
      </c>
      <c r="L63" s="98">
        <f>IFERROR(_xll.qlRateHelperQuoteValue($J63,Trigger),"--")</f>
        <v>2.1049999999999999E-2</v>
      </c>
      <c r="M63" s="97" t="b">
        <v>1</v>
      </c>
      <c r="N63" s="94">
        <v>50</v>
      </c>
      <c r="O63" s="94">
        <v>1</v>
      </c>
      <c r="P63" s="99">
        <f>IFERROR(_xll.qlRateHelperEarliestDate(J63,Trigger),"--")</f>
        <v>42321</v>
      </c>
      <c r="Q63" s="99">
        <f>IFERROR(_xll.qlRateHelperPillarDate(J63,Trigger),"--")</f>
        <v>49626</v>
      </c>
      <c r="S63" s="4" t="str">
        <f t="shared" si="13"/>
        <v/>
      </c>
      <c r="T63" s="4" t="e">
        <v>#N/A</v>
      </c>
      <c r="U63" s="4" t="str">
        <f>IFERROR(_xll.qlRateHelperQuoteName(T63,Trigger),"")</f>
        <v/>
      </c>
      <c r="V63" s="70" t="str">
        <f>IFERROR(_xll.qlRateHelperRate(T63,Trigger),"")</f>
        <v/>
      </c>
      <c r="W63" s="104" t="str">
        <f>IF(ISERROR(_xll.qlSwapRateHelperSpread($T63)),IF(ISERROR(_xll.qlFuturesRateHelperConvexityAdjustment($T63)),"",_xll.qlFuturesRateHelperConvexityAdjustment($T63)),_xll.qlSwapRateHelperSpread($T63))</f>
        <v/>
      </c>
      <c r="X63" s="5" t="str">
        <f>IFERROR(_xll.qlRateHelperEarliestDate(T63,Trigger),"")</f>
        <v/>
      </c>
      <c r="Y63" s="5" t="str">
        <f>IFERROR(_xll.qlRateHelperPillarDate(T63,Trigger),"")</f>
        <v/>
      </c>
      <c r="Z63" s="70" t="e">
        <v>#N/A</v>
      </c>
      <c r="AA63" s="77" t="e">
        <v>#N/A</v>
      </c>
      <c r="AB63" s="46" t="e">
        <v>#N/A</v>
      </c>
      <c r="AC63" s="46" t="e">
        <v>#N/A</v>
      </c>
      <c r="AD63" s="172" t="e">
        <f>Z63-AC63</f>
        <v>#N/A</v>
      </c>
      <c r="AE63" s="46" t="e">
        <v>#N/A</v>
      </c>
      <c r="AF63" s="173" t="e">
        <f t="shared" si="3"/>
        <v>#N/A</v>
      </c>
    </row>
    <row r="64" spans="1:33" ht="11.25" customHeight="1" x14ac:dyDescent="0.2">
      <c r="A64" s="59" t="s">
        <v>115</v>
      </c>
      <c r="B64" s="60" t="s">
        <v>99</v>
      </c>
      <c r="C64" s="61">
        <v>0</v>
      </c>
      <c r="D64" s="62" t="str">
        <f t="shared" si="10"/>
        <v>Sonia</v>
      </c>
      <c r="E64" s="63" t="str">
        <f t="shared" si="11"/>
        <v>GBPSM3L17Y_LCHQuote</v>
      </c>
      <c r="F64" s="176" t="str">
        <f t="shared" si="12"/>
        <v>GBPSO3L17Y_LCHQuote</v>
      </c>
      <c r="G64" s="64"/>
      <c r="I64" s="10" t="str">
        <f t="shared" si="8"/>
        <v>BasSw</v>
      </c>
      <c r="J64" s="94" t="str">
        <f t="shared" si="9"/>
        <v>--</v>
      </c>
      <c r="K64" s="146" t="str">
        <f>IFERROR(_xll.qlRateHelperQuoteName(J64,Trigger),"--")</f>
        <v>--</v>
      </c>
      <c r="L64" s="98" t="str">
        <f>IFERROR(_xll.qlRateHelperQuoteValue($J64,Trigger),"--")</f>
        <v>--</v>
      </c>
      <c r="M64" s="97" t="b">
        <v>0</v>
      </c>
      <c r="N64" s="94">
        <v>50</v>
      </c>
      <c r="O64" s="94">
        <v>1</v>
      </c>
      <c r="P64" s="99" t="str">
        <f>IFERROR(_xll.qlRateHelperEarliestDate(J64,Trigger),"--")</f>
        <v>--</v>
      </c>
      <c r="Q64" s="99" t="str">
        <f>IFERROR(_xll.qlRateHelperPillarDate(J64,Trigger),"--")</f>
        <v>--</v>
      </c>
      <c r="S64" s="4" t="str">
        <f t="shared" si="13"/>
        <v/>
      </c>
      <c r="T64" s="4" t="e">
        <v>#N/A</v>
      </c>
      <c r="U64" s="4" t="str">
        <f>IFERROR(_xll.qlRateHelperQuoteName(T64,Trigger),"")</f>
        <v/>
      </c>
      <c r="V64" s="70" t="str">
        <f>IFERROR(_xll.qlRateHelperRate(T64,Trigger),"")</f>
        <v/>
      </c>
      <c r="W64" s="104" t="str">
        <f>IF(ISERROR(_xll.qlSwapRateHelperSpread($T64)),IF(ISERROR(_xll.qlFuturesRateHelperConvexityAdjustment($T64)),"",_xll.qlFuturesRateHelperConvexityAdjustment($T64)),_xll.qlSwapRateHelperSpread($T64))</f>
        <v/>
      </c>
      <c r="X64" s="5" t="str">
        <f>IFERROR(_xll.qlRateHelperEarliestDate(T64,Trigger),"")</f>
        <v/>
      </c>
      <c r="Y64" s="5" t="str">
        <f>IFERROR(_xll.qlRateHelperPillarDate(T64,Trigger),"")</f>
        <v/>
      </c>
      <c r="Z64" s="70" t="e">
        <v>#N/A</v>
      </c>
      <c r="AA64" s="77" t="e">
        <v>#N/A</v>
      </c>
      <c r="AB64" s="46" t="e">
        <v>#N/A</v>
      </c>
      <c r="AC64" s="46" t="e">
        <v>#N/A</v>
      </c>
      <c r="AD64" s="172" t="e">
        <f t="shared" si="2"/>
        <v>#N/A</v>
      </c>
      <c r="AE64" s="46" t="e">
        <v>#N/A</v>
      </c>
      <c r="AF64" s="173" t="e">
        <f t="shared" si="3"/>
        <v>#N/A</v>
      </c>
    </row>
    <row r="65" spans="1:32" ht="11.25" customHeight="1" x14ac:dyDescent="0.2">
      <c r="A65" s="59" t="s">
        <v>115</v>
      </c>
      <c r="B65" s="60" t="s">
        <v>100</v>
      </c>
      <c r="C65" s="61">
        <v>0</v>
      </c>
      <c r="D65" s="62" t="str">
        <f t="shared" si="10"/>
        <v>Sonia</v>
      </c>
      <c r="E65" s="63" t="str">
        <f t="shared" si="11"/>
        <v>GBPSM3L18Y_LCHQuote</v>
      </c>
      <c r="F65" s="176" t="str">
        <f t="shared" si="12"/>
        <v>GBPSO3L18Y_LCHQuote</v>
      </c>
      <c r="G65" s="64"/>
      <c r="I65" s="10" t="str">
        <f t="shared" si="8"/>
        <v>BasSw</v>
      </c>
      <c r="J65" s="94" t="str">
        <f t="shared" si="9"/>
        <v>--</v>
      </c>
      <c r="K65" s="146" t="str">
        <f>IFERROR(_xll.qlRateHelperQuoteName(J65,Trigger),"--")</f>
        <v>--</v>
      </c>
      <c r="L65" s="98" t="str">
        <f>IFERROR(_xll.qlRateHelperQuoteValue($J65,Trigger),"--")</f>
        <v>--</v>
      </c>
      <c r="M65" s="97" t="b">
        <v>0</v>
      </c>
      <c r="N65" s="94">
        <v>50</v>
      </c>
      <c r="O65" s="94">
        <v>1</v>
      </c>
      <c r="P65" s="99" t="str">
        <f>IFERROR(_xll.qlRateHelperEarliestDate(J65,Trigger),"--")</f>
        <v>--</v>
      </c>
      <c r="Q65" s="99" t="str">
        <f>IFERROR(_xll.qlRateHelperPillarDate(J65,Trigger),"--")</f>
        <v>--</v>
      </c>
      <c r="S65" s="4" t="str">
        <f t="shared" si="13"/>
        <v/>
      </c>
      <c r="T65" s="4" t="e">
        <v>#N/A</v>
      </c>
      <c r="U65" s="4" t="str">
        <f>IFERROR(_xll.qlRateHelperQuoteName(T65,Trigger),"")</f>
        <v/>
      </c>
      <c r="V65" s="70" t="str">
        <f>IFERROR(_xll.qlRateHelperRate(T65,Trigger),"")</f>
        <v/>
      </c>
      <c r="W65" s="104" t="str">
        <f>IF(ISERROR(_xll.qlSwapRateHelperSpread($T65)),IF(ISERROR(_xll.qlFuturesRateHelperConvexityAdjustment($T65)),"",_xll.qlFuturesRateHelperConvexityAdjustment($T65)),_xll.qlSwapRateHelperSpread($T65))</f>
        <v/>
      </c>
      <c r="X65" s="5" t="str">
        <f>IFERROR(_xll.qlRateHelperEarliestDate(T65,Trigger),"")</f>
        <v/>
      </c>
      <c r="Y65" s="5" t="str">
        <f>IFERROR(_xll.qlRateHelperPillarDate(T65,Trigger),"")</f>
        <v/>
      </c>
      <c r="Z65" s="70" t="e">
        <v>#N/A</v>
      </c>
      <c r="AA65" s="77" t="e">
        <v>#N/A</v>
      </c>
      <c r="AB65" s="46" t="e">
        <v>#N/A</v>
      </c>
      <c r="AC65" s="46" t="e">
        <v>#N/A</v>
      </c>
      <c r="AD65" s="172" t="e">
        <f t="shared" si="2"/>
        <v>#N/A</v>
      </c>
      <c r="AE65" s="46" t="e">
        <v>#N/A</v>
      </c>
      <c r="AF65" s="173" t="e">
        <f t="shared" si="3"/>
        <v>#N/A</v>
      </c>
    </row>
    <row r="66" spans="1:32" ht="11.25" customHeight="1" x14ac:dyDescent="0.2">
      <c r="A66" s="59" t="s">
        <v>115</v>
      </c>
      <c r="B66" s="60" t="s">
        <v>101</v>
      </c>
      <c r="C66" s="61">
        <v>0</v>
      </c>
      <c r="D66" s="62" t="str">
        <f t="shared" ref="D66:D81" si="14">$D$1</f>
        <v>Sonia</v>
      </c>
      <c r="E66" s="63" t="str">
        <f t="shared" si="11"/>
        <v>GBPSM3L19Y_LCHQuote</v>
      </c>
      <c r="F66" s="176" t="str">
        <f t="shared" si="12"/>
        <v>GBPSO3L19Y_LCHQuote</v>
      </c>
      <c r="G66" s="64"/>
      <c r="I66" s="10" t="str">
        <f t="shared" si="8"/>
        <v>BasSw</v>
      </c>
      <c r="J66" s="94" t="str">
        <f t="shared" si="9"/>
        <v>--</v>
      </c>
      <c r="K66" s="146" t="str">
        <f>IFERROR(_xll.qlRateHelperQuoteName(J66,Trigger),"--")</f>
        <v>--</v>
      </c>
      <c r="L66" s="98" t="str">
        <f>IFERROR(_xll.qlRateHelperQuoteValue($J66,Trigger),"--")</f>
        <v>--</v>
      </c>
      <c r="M66" s="97" t="b">
        <v>0</v>
      </c>
      <c r="N66" s="94">
        <v>50</v>
      </c>
      <c r="O66" s="94">
        <v>1</v>
      </c>
      <c r="P66" s="99" t="str">
        <f>IFERROR(_xll.qlRateHelperEarliestDate(J66,Trigger),"--")</f>
        <v>--</v>
      </c>
      <c r="Q66" s="99" t="str">
        <f>IFERROR(_xll.qlRateHelperPillarDate(J66,Trigger),"--")</f>
        <v>--</v>
      </c>
      <c r="S66" s="4" t="str">
        <f t="shared" si="13"/>
        <v/>
      </c>
      <c r="T66" s="4" t="e">
        <v>#N/A</v>
      </c>
      <c r="U66" s="4" t="str">
        <f>IFERROR(_xll.qlRateHelperQuoteName(T66,Trigger),"")</f>
        <v/>
      </c>
      <c r="V66" s="70" t="str">
        <f>IFERROR(_xll.qlRateHelperRate(T66,Trigger),"")</f>
        <v/>
      </c>
      <c r="W66" s="104" t="str">
        <f>IF(ISERROR(_xll.qlSwapRateHelperSpread($T66)),IF(ISERROR(_xll.qlFuturesRateHelperConvexityAdjustment($T66)),"",_xll.qlFuturesRateHelperConvexityAdjustment($T66)),_xll.qlSwapRateHelperSpread($T66))</f>
        <v/>
      </c>
      <c r="X66" s="5" t="str">
        <f>IFERROR(_xll.qlRateHelperEarliestDate(T66,Trigger),"")</f>
        <v/>
      </c>
      <c r="Y66" s="5" t="str">
        <f>IFERROR(_xll.qlRateHelperPillarDate(T66,Trigger),"")</f>
        <v/>
      </c>
      <c r="Z66" s="70" t="e">
        <v>#N/A</v>
      </c>
      <c r="AA66" s="77" t="e">
        <v>#N/A</v>
      </c>
      <c r="AB66" s="46" t="e">
        <v>#N/A</v>
      </c>
      <c r="AC66" s="46" t="e">
        <v>#N/A</v>
      </c>
      <c r="AD66" s="172" t="e">
        <f t="shared" si="2"/>
        <v>#N/A</v>
      </c>
      <c r="AE66" s="46" t="e">
        <v>#N/A</v>
      </c>
      <c r="AF66" s="173" t="e">
        <f t="shared" si="3"/>
        <v>#N/A</v>
      </c>
    </row>
    <row r="67" spans="1:32" ht="11.25" customHeight="1" x14ac:dyDescent="0.2">
      <c r="A67" s="59" t="s">
        <v>115</v>
      </c>
      <c r="B67" s="60" t="s">
        <v>62</v>
      </c>
      <c r="C67" s="61">
        <v>0</v>
      </c>
      <c r="D67" s="62" t="str">
        <f t="shared" si="14"/>
        <v>Sonia</v>
      </c>
      <c r="E67" s="63" t="str">
        <f t="shared" si="11"/>
        <v>GBPSM3L20Y_LCHQuote</v>
      </c>
      <c r="F67" s="176" t="str">
        <f t="shared" si="12"/>
        <v>GBPSO3L20Y_LCHQuote</v>
      </c>
      <c r="G67" s="64" t="str">
        <f>_xll.qlOISRateHelper2(,$C67,$B67,$E67,$D67,,"Semiannual",F67,Permanent,Trigger,ObjectOverwrite)</f>
        <v>obj_00369#0007</v>
      </c>
      <c r="I67" s="10" t="str">
        <f t="shared" si="8"/>
        <v>BasSw</v>
      </c>
      <c r="J67" s="94" t="str">
        <f t="shared" si="9"/>
        <v>--</v>
      </c>
      <c r="K67" s="146" t="str">
        <f>IFERROR(_xll.qlRateHelperQuoteName(J67,Trigger),"--")</f>
        <v>--</v>
      </c>
      <c r="L67" s="98" t="str">
        <f>IFERROR(_xll.qlRateHelperQuoteValue($J67,Trigger),"--")</f>
        <v>--</v>
      </c>
      <c r="M67" s="97" t="b">
        <v>0</v>
      </c>
      <c r="N67" s="94">
        <v>50</v>
      </c>
      <c r="O67" s="94">
        <v>1</v>
      </c>
      <c r="P67" s="99" t="str">
        <f>IFERROR(_xll.qlRateHelperEarliestDate(J67,Trigger),"--")</f>
        <v>--</v>
      </c>
      <c r="Q67" s="99" t="str">
        <f>IFERROR(_xll.qlRateHelperPillarDate(J67,Trigger),"--")</f>
        <v>--</v>
      </c>
      <c r="S67" s="4" t="str">
        <f t="shared" si="13"/>
        <v/>
      </c>
      <c r="T67" s="4" t="e">
        <v>#N/A</v>
      </c>
      <c r="U67" s="4" t="str">
        <f>IFERROR(_xll.qlRateHelperQuoteName(T67,Trigger),"")</f>
        <v/>
      </c>
      <c r="V67" s="70" t="str">
        <f>IFERROR(_xll.qlRateHelperRate(T67,Trigger),"")</f>
        <v/>
      </c>
      <c r="W67" s="104" t="str">
        <f>IF(ISERROR(_xll.qlSwapRateHelperSpread($T67)),IF(ISERROR(_xll.qlFuturesRateHelperConvexityAdjustment($T67)),"",_xll.qlFuturesRateHelperConvexityAdjustment($T67)),_xll.qlSwapRateHelperSpread($T67))</f>
        <v/>
      </c>
      <c r="X67" s="5" t="str">
        <f>IFERROR(_xll.qlRateHelperEarliestDate(T67,Trigger),"")</f>
        <v/>
      </c>
      <c r="Y67" s="5" t="str">
        <f>IFERROR(_xll.qlRateHelperPillarDate(T67,Trigger),"")</f>
        <v/>
      </c>
      <c r="Z67" s="70" t="e">
        <v>#N/A</v>
      </c>
      <c r="AA67" s="77" t="e">
        <v>#N/A</v>
      </c>
      <c r="AB67" s="46" t="e">
        <v>#N/A</v>
      </c>
      <c r="AC67" s="46" t="e">
        <v>#N/A</v>
      </c>
      <c r="AD67" s="172" t="e">
        <f t="shared" si="2"/>
        <v>#N/A</v>
      </c>
      <c r="AE67" s="46" t="e">
        <v>#N/A</v>
      </c>
      <c r="AF67" s="173" t="e">
        <f t="shared" si="3"/>
        <v>#N/A</v>
      </c>
    </row>
    <row r="68" spans="1:32" ht="11.25" customHeight="1" x14ac:dyDescent="0.2">
      <c r="A68" s="59" t="s">
        <v>115</v>
      </c>
      <c r="B68" s="60" t="s">
        <v>102</v>
      </c>
      <c r="C68" s="61">
        <v>0</v>
      </c>
      <c r="D68" s="62" t="str">
        <f t="shared" si="14"/>
        <v>Sonia</v>
      </c>
      <c r="E68" s="63" t="str">
        <f t="shared" si="11"/>
        <v>GBPSM3L21Y_LCHQuote</v>
      </c>
      <c r="F68" s="176" t="str">
        <f t="shared" si="12"/>
        <v>GBPSO3L21Y_LCHQuote</v>
      </c>
      <c r="G68" s="64"/>
      <c r="I68" s="10" t="str">
        <f t="shared" si="8"/>
        <v>BasSw</v>
      </c>
      <c r="J68" s="94" t="str">
        <f t="shared" si="9"/>
        <v>obj_00366#0007</v>
      </c>
      <c r="K68" s="146" t="str">
        <f>IFERROR(_xll.qlRateHelperQuoteName(J68,Trigger),"--")</f>
        <v>GBPSM3L25Y_LCHQuote</v>
      </c>
      <c r="L68" s="98">
        <f>IFERROR(_xll.qlRateHelperQuoteValue($J68,Trigger),"--")</f>
        <v>2.104E-2</v>
      </c>
      <c r="M68" s="97" t="b">
        <v>1</v>
      </c>
      <c r="N68" s="94">
        <v>50</v>
      </c>
      <c r="O68" s="94">
        <v>1</v>
      </c>
      <c r="P68" s="99">
        <f>IFERROR(_xll.qlRateHelperEarliestDate(J68,Trigger),"--")</f>
        <v>42321</v>
      </c>
      <c r="Q68" s="99">
        <f>IFERROR(_xll.qlRateHelperPillarDate(J68,Trigger),"--")</f>
        <v>51453</v>
      </c>
      <c r="S68" s="4" t="str">
        <f t="shared" si="13"/>
        <v/>
      </c>
      <c r="T68" s="4" t="e">
        <v>#N/A</v>
      </c>
      <c r="U68" s="4" t="str">
        <f>IFERROR(_xll.qlRateHelperQuoteName(T68,Trigger),"")</f>
        <v/>
      </c>
      <c r="V68" s="70" t="str">
        <f>IFERROR(_xll.qlRateHelperRate(T68,Trigger),"")</f>
        <v/>
      </c>
      <c r="W68" s="104" t="str">
        <f>IF(ISERROR(_xll.qlSwapRateHelperSpread($T68)),IF(ISERROR(_xll.qlFuturesRateHelperConvexityAdjustment($T68)),"",_xll.qlFuturesRateHelperConvexityAdjustment($T68)),_xll.qlSwapRateHelperSpread($T68))</f>
        <v/>
      </c>
      <c r="X68" s="5" t="str">
        <f>IFERROR(_xll.qlRateHelperEarliestDate(T68,Trigger),"")</f>
        <v/>
      </c>
      <c r="Y68" s="5" t="str">
        <f>IFERROR(_xll.qlRateHelperPillarDate(T68,Trigger),"")</f>
        <v/>
      </c>
      <c r="Z68" s="70" t="e">
        <v>#N/A</v>
      </c>
      <c r="AA68" s="77" t="e">
        <v>#N/A</v>
      </c>
      <c r="AB68" s="46" t="e">
        <v>#N/A</v>
      </c>
      <c r="AC68" s="46" t="e">
        <v>#N/A</v>
      </c>
      <c r="AD68" s="172" t="e">
        <f t="shared" ref="AD68:AD77" si="15">Z68-AC68</f>
        <v>#N/A</v>
      </c>
      <c r="AE68" s="46" t="e">
        <v>#N/A</v>
      </c>
      <c r="AF68" s="173" t="e">
        <f t="shared" ref="AF68:AF77" si="16">AA68-AE68</f>
        <v>#N/A</v>
      </c>
    </row>
    <row r="69" spans="1:32" ht="11.25" customHeight="1" x14ac:dyDescent="0.2">
      <c r="A69" s="59" t="s">
        <v>115</v>
      </c>
      <c r="B69" s="60" t="s">
        <v>103</v>
      </c>
      <c r="C69" s="61">
        <v>0</v>
      </c>
      <c r="D69" s="62" t="str">
        <f t="shared" si="14"/>
        <v>Sonia</v>
      </c>
      <c r="E69" s="63" t="str">
        <f t="shared" si="11"/>
        <v>GBPSM3L22Y_LCHQuote</v>
      </c>
      <c r="F69" s="176" t="str">
        <f t="shared" si="12"/>
        <v>GBPSO3L22Y_LCHQuote</v>
      </c>
      <c r="G69" s="64"/>
      <c r="I69" s="10" t="str">
        <f t="shared" si="8"/>
        <v>BasSw</v>
      </c>
      <c r="J69" s="94" t="str">
        <f t="shared" si="9"/>
        <v>--</v>
      </c>
      <c r="K69" s="146" t="str">
        <f>IFERROR(_xll.qlRateHelperQuoteName(J69,Trigger),"--")</f>
        <v>--</v>
      </c>
      <c r="L69" s="98" t="str">
        <f>IFERROR(_xll.qlRateHelperQuoteValue($J69,Trigger),"--")</f>
        <v>--</v>
      </c>
      <c r="M69" s="97" t="b">
        <v>0</v>
      </c>
      <c r="N69" s="94">
        <v>50</v>
      </c>
      <c r="O69" s="94">
        <v>1</v>
      </c>
      <c r="P69" s="99" t="str">
        <f>IFERROR(_xll.qlRateHelperEarliestDate(J69,Trigger),"--")</f>
        <v>--</v>
      </c>
      <c r="Q69" s="99" t="str">
        <f>IFERROR(_xll.qlRateHelperPillarDate(J69,Trigger),"--")</f>
        <v>--</v>
      </c>
      <c r="S69" s="4" t="str">
        <f t="shared" si="13"/>
        <v/>
      </c>
      <c r="T69" s="4" t="e">
        <v>#N/A</v>
      </c>
      <c r="U69" s="4" t="str">
        <f>IFERROR(_xll.qlRateHelperQuoteName(T69,Trigger),"")</f>
        <v/>
      </c>
      <c r="V69" s="70" t="str">
        <f>IFERROR(_xll.qlRateHelperRate(T69,Trigger),"")</f>
        <v/>
      </c>
      <c r="W69" s="104" t="str">
        <f>IF(ISERROR(_xll.qlSwapRateHelperSpread($T69)),IF(ISERROR(_xll.qlFuturesRateHelperConvexityAdjustment($T69)),"",_xll.qlFuturesRateHelperConvexityAdjustment($T69)),_xll.qlSwapRateHelperSpread($T69))</f>
        <v/>
      </c>
      <c r="X69" s="5" t="str">
        <f>IFERROR(_xll.qlRateHelperEarliestDate(T69,Trigger),"")</f>
        <v/>
      </c>
      <c r="Y69" s="5" t="str">
        <f>IFERROR(_xll.qlRateHelperPillarDate(T69,Trigger),"")</f>
        <v/>
      </c>
      <c r="Z69" s="70" t="e">
        <v>#N/A</v>
      </c>
      <c r="AA69" s="77" t="e">
        <v>#N/A</v>
      </c>
      <c r="AB69" s="46" t="e">
        <v>#N/A</v>
      </c>
      <c r="AC69" s="46" t="e">
        <v>#N/A</v>
      </c>
      <c r="AD69" s="172" t="e">
        <f t="shared" si="15"/>
        <v>#N/A</v>
      </c>
      <c r="AE69" s="46" t="e">
        <v>#N/A</v>
      </c>
      <c r="AF69" s="173" t="e">
        <f t="shared" si="16"/>
        <v>#N/A</v>
      </c>
    </row>
    <row r="70" spans="1:32" ht="11.25" customHeight="1" x14ac:dyDescent="0.2">
      <c r="A70" s="59" t="s">
        <v>115</v>
      </c>
      <c r="B70" s="60" t="s">
        <v>104</v>
      </c>
      <c r="C70" s="61">
        <v>0</v>
      </c>
      <c r="D70" s="62" t="str">
        <f t="shared" si="14"/>
        <v>Sonia</v>
      </c>
      <c r="E70" s="63" t="str">
        <f t="shared" si="11"/>
        <v>GBPSM3L23Y_LCHQuote</v>
      </c>
      <c r="F70" s="176" t="str">
        <f t="shared" si="12"/>
        <v>GBPSO3L23Y_LCHQuote</v>
      </c>
      <c r="G70" s="64"/>
      <c r="I70" s="10" t="str">
        <f t="shared" si="8"/>
        <v>BasSw</v>
      </c>
      <c r="J70" s="94" t="str">
        <f t="shared" si="9"/>
        <v>--</v>
      </c>
      <c r="K70" s="146" t="str">
        <f>IFERROR(_xll.qlRateHelperQuoteName(J70,Trigger),"--")</f>
        <v>--</v>
      </c>
      <c r="L70" s="98" t="str">
        <f>IFERROR(_xll.qlRateHelperQuoteValue($J70,Trigger),"--")</f>
        <v>--</v>
      </c>
      <c r="M70" s="97" t="b">
        <v>0</v>
      </c>
      <c r="N70" s="94">
        <v>50</v>
      </c>
      <c r="O70" s="94">
        <v>1</v>
      </c>
      <c r="P70" s="99" t="str">
        <f>IFERROR(_xll.qlRateHelperEarliestDate(J70,Trigger),"--")</f>
        <v>--</v>
      </c>
      <c r="Q70" s="99" t="str">
        <f>IFERROR(_xll.qlRateHelperPillarDate(J70,Trigger),"--")</f>
        <v>--</v>
      </c>
      <c r="S70" s="4" t="str">
        <f t="shared" si="13"/>
        <v/>
      </c>
      <c r="T70" s="4" t="e">
        <v>#N/A</v>
      </c>
      <c r="U70" s="4" t="str">
        <f>IFERROR(_xll.qlRateHelperQuoteName(T70,Trigger),"")</f>
        <v/>
      </c>
      <c r="V70" s="70" t="str">
        <f>IFERROR(_xll.qlRateHelperRate(T70,Trigger),"")</f>
        <v/>
      </c>
      <c r="W70" s="104" t="str">
        <f>IF(ISERROR(_xll.qlSwapRateHelperSpread($T70)),IF(ISERROR(_xll.qlFuturesRateHelperConvexityAdjustment($T70)),"",_xll.qlFuturesRateHelperConvexityAdjustment($T70)),_xll.qlSwapRateHelperSpread($T70))</f>
        <v/>
      </c>
      <c r="X70" s="5" t="str">
        <f>IFERROR(_xll.qlRateHelperEarliestDate(T70,Trigger),"")</f>
        <v/>
      </c>
      <c r="Y70" s="5" t="str">
        <f>IFERROR(_xll.qlRateHelperPillarDate(T70,Trigger),"")</f>
        <v/>
      </c>
      <c r="Z70" s="70" t="e">
        <v>#N/A</v>
      </c>
      <c r="AA70" s="77" t="e">
        <v>#N/A</v>
      </c>
      <c r="AB70" s="46" t="e">
        <v>#N/A</v>
      </c>
      <c r="AC70" s="46" t="e">
        <v>#N/A</v>
      </c>
      <c r="AD70" s="172" t="e">
        <f t="shared" si="15"/>
        <v>#N/A</v>
      </c>
      <c r="AE70" s="46" t="e">
        <v>#N/A</v>
      </c>
      <c r="AF70" s="173" t="e">
        <f t="shared" si="16"/>
        <v>#N/A</v>
      </c>
    </row>
    <row r="71" spans="1:32" ht="11.25" customHeight="1" x14ac:dyDescent="0.2">
      <c r="A71" s="59" t="s">
        <v>115</v>
      </c>
      <c r="B71" s="60" t="s">
        <v>105</v>
      </c>
      <c r="C71" s="61">
        <v>0</v>
      </c>
      <c r="D71" s="62" t="str">
        <f t="shared" si="14"/>
        <v>Sonia</v>
      </c>
      <c r="E71" s="63" t="str">
        <f t="shared" si="11"/>
        <v>GBPSM3L24Y_LCHQuote</v>
      </c>
      <c r="F71" s="176" t="str">
        <f t="shared" si="12"/>
        <v>GBPSO3L24Y_LCHQuote</v>
      </c>
      <c r="G71" s="64"/>
      <c r="I71" s="10" t="str">
        <f t="shared" si="8"/>
        <v>BasSw</v>
      </c>
      <c r="J71" s="94" t="str">
        <f t="shared" si="9"/>
        <v>--</v>
      </c>
      <c r="K71" s="146" t="str">
        <f>IFERROR(_xll.qlRateHelperQuoteName(J71,Trigger),"--")</f>
        <v>--</v>
      </c>
      <c r="L71" s="98" t="str">
        <f>IFERROR(_xll.qlRateHelperQuoteValue($J71,Trigger),"--")</f>
        <v>--</v>
      </c>
      <c r="M71" s="97" t="b">
        <v>0</v>
      </c>
      <c r="N71" s="94">
        <v>50</v>
      </c>
      <c r="O71" s="94">
        <v>1</v>
      </c>
      <c r="P71" s="99" t="str">
        <f>IFERROR(_xll.qlRateHelperEarliestDate(J71,Trigger),"--")</f>
        <v>--</v>
      </c>
      <c r="Q71" s="99" t="str">
        <f>IFERROR(_xll.qlRateHelperPillarDate(J71,Trigger),"--")</f>
        <v>--</v>
      </c>
      <c r="S71" s="4" t="str">
        <f t="shared" si="13"/>
        <v/>
      </c>
      <c r="T71" s="4" t="e">
        <v>#N/A</v>
      </c>
      <c r="U71" s="4" t="str">
        <f>IFERROR(_xll.qlRateHelperQuoteName(T71,Trigger),"")</f>
        <v/>
      </c>
      <c r="V71" s="70" t="str">
        <f>IFERROR(_xll.qlRateHelperRate(T71,Trigger),"")</f>
        <v/>
      </c>
      <c r="W71" s="104" t="str">
        <f>IF(ISERROR(_xll.qlSwapRateHelperSpread($T71)),IF(ISERROR(_xll.qlFuturesRateHelperConvexityAdjustment($T71)),"",_xll.qlFuturesRateHelperConvexityAdjustment($T71)),_xll.qlSwapRateHelperSpread($T71))</f>
        <v/>
      </c>
      <c r="X71" s="5" t="str">
        <f>IFERROR(_xll.qlRateHelperEarliestDate(T71,Trigger),"")</f>
        <v/>
      </c>
      <c r="Y71" s="5" t="str">
        <f>IFERROR(_xll.qlRateHelperPillarDate(T71,Trigger),"")</f>
        <v/>
      </c>
      <c r="Z71" s="70" t="e">
        <v>#N/A</v>
      </c>
      <c r="AA71" s="77" t="e">
        <v>#N/A</v>
      </c>
      <c r="AB71" s="46" t="e">
        <v>#N/A</v>
      </c>
      <c r="AC71" s="46" t="e">
        <v>#N/A</v>
      </c>
      <c r="AD71" s="172" t="e">
        <f t="shared" si="15"/>
        <v>#N/A</v>
      </c>
      <c r="AE71" s="46" t="e">
        <v>#N/A</v>
      </c>
      <c r="AF71" s="173" t="e">
        <f t="shared" si="16"/>
        <v>#N/A</v>
      </c>
    </row>
    <row r="72" spans="1:32" ht="11.25" customHeight="1" x14ac:dyDescent="0.2">
      <c r="A72" s="59" t="s">
        <v>115</v>
      </c>
      <c r="B72" s="60" t="s">
        <v>63</v>
      </c>
      <c r="C72" s="61">
        <v>0</v>
      </c>
      <c r="D72" s="62" t="str">
        <f t="shared" si="14"/>
        <v>Sonia</v>
      </c>
      <c r="E72" s="63" t="str">
        <f t="shared" si="11"/>
        <v>GBPSM3L25Y_LCHQuote</v>
      </c>
      <c r="F72" s="176" t="str">
        <f t="shared" si="12"/>
        <v>GBPSO3L25Y_LCHQuote</v>
      </c>
      <c r="G72" s="64" t="str">
        <f>_xll.qlOISRateHelper2(,$C72,$B72,$E72,$D72,,"Semiannual",F72,Permanent,Trigger,ObjectOverwrite)</f>
        <v>obj_00366#0007</v>
      </c>
      <c r="I72" s="10" t="str">
        <f t="shared" si="8"/>
        <v>BasSw</v>
      </c>
      <c r="J72" s="94" t="str">
        <f t="shared" si="9"/>
        <v>--</v>
      </c>
      <c r="K72" s="146" t="str">
        <f>IFERROR(_xll.qlRateHelperQuoteName(J72,Trigger),"--")</f>
        <v>--</v>
      </c>
      <c r="L72" s="98" t="str">
        <f>IFERROR(_xll.qlRateHelperQuoteValue($J72,Trigger),"--")</f>
        <v>--</v>
      </c>
      <c r="M72" s="97" t="b">
        <v>0</v>
      </c>
      <c r="N72" s="94">
        <v>50</v>
      </c>
      <c r="O72" s="94">
        <v>1</v>
      </c>
      <c r="P72" s="99" t="str">
        <f>IFERROR(_xll.qlRateHelperEarliestDate(J72,Trigger),"--")</f>
        <v>--</v>
      </c>
      <c r="Q72" s="99" t="str">
        <f>IFERROR(_xll.qlRateHelperPillarDate(J72,Trigger),"--")</f>
        <v>--</v>
      </c>
      <c r="S72" s="4" t="str">
        <f t="shared" si="13"/>
        <v/>
      </c>
      <c r="T72" s="4" t="e">
        <v>#N/A</v>
      </c>
      <c r="U72" s="4" t="str">
        <f>IFERROR(_xll.qlRateHelperQuoteName(T72,Trigger),"")</f>
        <v/>
      </c>
      <c r="V72" s="70" t="str">
        <f>IFERROR(_xll.qlRateHelperRate(T72,Trigger),"")</f>
        <v/>
      </c>
      <c r="W72" s="104" t="str">
        <f>IF(ISERROR(_xll.qlSwapRateHelperSpread($T72)),IF(ISERROR(_xll.qlFuturesRateHelperConvexityAdjustment($T72)),"",_xll.qlFuturesRateHelperConvexityAdjustment($T72)),_xll.qlSwapRateHelperSpread($T72))</f>
        <v/>
      </c>
      <c r="X72" s="5" t="str">
        <f>IFERROR(_xll.qlRateHelperEarliestDate(T72,Trigger),"")</f>
        <v/>
      </c>
      <c r="Y72" s="5" t="str">
        <f>IFERROR(_xll.qlRateHelperPillarDate(T72,Trigger),"")</f>
        <v/>
      </c>
      <c r="Z72" s="70" t="e">
        <v>#N/A</v>
      </c>
      <c r="AA72" s="77" t="e">
        <v>#N/A</v>
      </c>
      <c r="AB72" s="46" t="e">
        <v>#N/A</v>
      </c>
      <c r="AC72" s="46" t="e">
        <v>#N/A</v>
      </c>
      <c r="AD72" s="172" t="e">
        <f t="shared" si="15"/>
        <v>#N/A</v>
      </c>
      <c r="AE72" s="46" t="e">
        <v>#N/A</v>
      </c>
      <c r="AF72" s="173" t="e">
        <f t="shared" si="16"/>
        <v>#N/A</v>
      </c>
    </row>
    <row r="73" spans="1:32" ht="11.25" customHeight="1" x14ac:dyDescent="0.2">
      <c r="A73" s="59" t="s">
        <v>115</v>
      </c>
      <c r="B73" s="60" t="s">
        <v>106</v>
      </c>
      <c r="C73" s="61">
        <v>0</v>
      </c>
      <c r="D73" s="62" t="str">
        <f t="shared" si="14"/>
        <v>Sonia</v>
      </c>
      <c r="E73" s="63" t="str">
        <f t="shared" si="11"/>
        <v>GBPSM3L26Y_LCHQuote</v>
      </c>
      <c r="F73" s="176" t="str">
        <f t="shared" si="12"/>
        <v>GBPSO3L26Y_LCHQuote</v>
      </c>
      <c r="G73" s="64"/>
      <c r="I73" s="10" t="str">
        <f t="shared" si="8"/>
        <v>BasSw</v>
      </c>
      <c r="J73" s="94" t="str">
        <f t="shared" si="9"/>
        <v>obj_00374#0007</v>
      </c>
      <c r="K73" s="146" t="str">
        <f>IFERROR(_xll.qlRateHelperQuoteName(J73,Trigger),"--")</f>
        <v>GBPSM3L30Y_LCHQuote</v>
      </c>
      <c r="L73" s="98">
        <f>IFERROR(_xll.qlRateHelperQuoteValue($J73,Trigger),"--")</f>
        <v>2.0930000000000001E-2</v>
      </c>
      <c r="M73" s="97" t="b">
        <v>1</v>
      </c>
      <c r="N73" s="94">
        <v>50</v>
      </c>
      <c r="O73" s="94">
        <v>1</v>
      </c>
      <c r="P73" s="99">
        <f>IFERROR(_xll.qlRateHelperEarliestDate(J73,Trigger),"--")</f>
        <v>42321</v>
      </c>
      <c r="Q73" s="99">
        <f>IFERROR(_xll.qlRateHelperPillarDate(J73,Trigger),"--")</f>
        <v>53279</v>
      </c>
      <c r="S73" s="4" t="str">
        <f t="shared" si="13"/>
        <v/>
      </c>
      <c r="T73" s="4" t="e">
        <v>#N/A</v>
      </c>
      <c r="U73" s="4" t="str">
        <f>IFERROR(_xll.qlRateHelperQuoteName(T73,Trigger),"")</f>
        <v/>
      </c>
      <c r="V73" s="70" t="str">
        <f>IFERROR(_xll.qlRateHelperRate(T73,Trigger),"")</f>
        <v/>
      </c>
      <c r="W73" s="104" t="str">
        <f>IF(ISERROR(_xll.qlSwapRateHelperSpread($T73)),IF(ISERROR(_xll.qlFuturesRateHelperConvexityAdjustment($T73)),"",_xll.qlFuturesRateHelperConvexityAdjustment($T73)),_xll.qlSwapRateHelperSpread($T73))</f>
        <v/>
      </c>
      <c r="X73" s="5" t="str">
        <f>IFERROR(_xll.qlRateHelperEarliestDate(T73,Trigger),"")</f>
        <v/>
      </c>
      <c r="Y73" s="5" t="str">
        <f>IFERROR(_xll.qlRateHelperPillarDate(T73,Trigger),"")</f>
        <v/>
      </c>
      <c r="Z73" s="70" t="e">
        <v>#N/A</v>
      </c>
      <c r="AA73" s="77" t="e">
        <v>#N/A</v>
      </c>
      <c r="AB73" s="46" t="e">
        <v>#N/A</v>
      </c>
      <c r="AC73" s="46" t="e">
        <v>#N/A</v>
      </c>
      <c r="AD73" s="172" t="e">
        <f t="shared" si="15"/>
        <v>#N/A</v>
      </c>
      <c r="AE73" s="46" t="e">
        <v>#N/A</v>
      </c>
      <c r="AF73" s="173" t="e">
        <f t="shared" si="16"/>
        <v>#N/A</v>
      </c>
    </row>
    <row r="74" spans="1:32" ht="11.25" customHeight="1" x14ac:dyDescent="0.2">
      <c r="A74" s="59" t="s">
        <v>115</v>
      </c>
      <c r="B74" s="60" t="s">
        <v>64</v>
      </c>
      <c r="C74" s="61">
        <v>0</v>
      </c>
      <c r="D74" s="62" t="str">
        <f t="shared" si="14"/>
        <v>Sonia</v>
      </c>
      <c r="E74" s="63" t="str">
        <f t="shared" si="11"/>
        <v>GBPSM3L27Y_LCHQuote</v>
      </c>
      <c r="F74" s="176" t="str">
        <f t="shared" si="12"/>
        <v>GBPSO3L27Y_LCHQuote</v>
      </c>
      <c r="G74" s="64"/>
      <c r="I74" s="10" t="str">
        <f t="shared" si="8"/>
        <v>BasSw</v>
      </c>
      <c r="J74" s="94" t="str">
        <f t="shared" si="9"/>
        <v>--</v>
      </c>
      <c r="K74" s="146" t="str">
        <f>IFERROR(_xll.qlRateHelperQuoteName(J74,Trigger),"--")</f>
        <v>--</v>
      </c>
      <c r="L74" s="98" t="str">
        <f>IFERROR(_xll.qlRateHelperQuoteValue($J74,Trigger),"--")</f>
        <v>--</v>
      </c>
      <c r="M74" s="97" t="b">
        <v>0</v>
      </c>
      <c r="N74" s="94">
        <v>50</v>
      </c>
      <c r="O74" s="94">
        <v>1</v>
      </c>
      <c r="P74" s="99" t="str">
        <f>IFERROR(_xll.qlRateHelperEarliestDate(J74,Trigger),"--")</f>
        <v>--</v>
      </c>
      <c r="Q74" s="99" t="str">
        <f>IFERROR(_xll.qlRateHelperPillarDate(J74,Trigger),"--")</f>
        <v>--</v>
      </c>
      <c r="S74" s="4" t="str">
        <f t="shared" si="13"/>
        <v/>
      </c>
      <c r="T74" s="4" t="e">
        <v>#N/A</v>
      </c>
      <c r="U74" s="4" t="str">
        <f>IFERROR(_xll.qlRateHelperQuoteName(T74,Trigger),"")</f>
        <v/>
      </c>
      <c r="V74" s="70" t="str">
        <f>IFERROR(_xll.qlRateHelperRate(T74,Trigger),"")</f>
        <v/>
      </c>
      <c r="W74" s="104" t="str">
        <f>IF(ISERROR(_xll.qlSwapRateHelperSpread($T74)),IF(ISERROR(_xll.qlFuturesRateHelperConvexityAdjustment($T74)),"",_xll.qlFuturesRateHelperConvexityAdjustment($T74)),_xll.qlSwapRateHelperSpread($T74))</f>
        <v/>
      </c>
      <c r="X74" s="5" t="str">
        <f>IFERROR(_xll.qlRateHelperEarliestDate(T74,Trigger),"")</f>
        <v/>
      </c>
      <c r="Y74" s="5" t="str">
        <f>IFERROR(_xll.qlRateHelperPillarDate(T74,Trigger),"")</f>
        <v/>
      </c>
      <c r="Z74" s="70" t="e">
        <v>#N/A</v>
      </c>
      <c r="AA74" s="77" t="e">
        <v>#N/A</v>
      </c>
      <c r="AB74" s="46" t="e">
        <v>#N/A</v>
      </c>
      <c r="AC74" s="46" t="e">
        <v>#N/A</v>
      </c>
      <c r="AD74" s="172" t="e">
        <f t="shared" si="15"/>
        <v>#N/A</v>
      </c>
      <c r="AE74" s="46" t="e">
        <v>#N/A</v>
      </c>
      <c r="AF74" s="173" t="e">
        <f t="shared" si="16"/>
        <v>#N/A</v>
      </c>
    </row>
    <row r="75" spans="1:32" ht="11.25" customHeight="1" x14ac:dyDescent="0.2">
      <c r="A75" s="59" t="s">
        <v>115</v>
      </c>
      <c r="B75" s="60" t="s">
        <v>107</v>
      </c>
      <c r="C75" s="61">
        <v>0</v>
      </c>
      <c r="D75" s="62" t="str">
        <f t="shared" si="14"/>
        <v>Sonia</v>
      </c>
      <c r="E75" s="63" t="str">
        <f t="shared" si="11"/>
        <v>GBPSM3L28Y_LCHQuote</v>
      </c>
      <c r="F75" s="176" t="str">
        <f t="shared" si="12"/>
        <v>GBPSO3L28Y_LCHQuote</v>
      </c>
      <c r="G75" s="64"/>
      <c r="I75" s="10" t="str">
        <f t="shared" si="8"/>
        <v>BasSw</v>
      </c>
      <c r="J75" s="94" t="str">
        <f t="shared" si="9"/>
        <v>obj_0036a#0007</v>
      </c>
      <c r="K75" s="146" t="str">
        <f>IFERROR(_xll.qlRateHelperQuoteName(J75,Trigger),"--")</f>
        <v>GBPSM3L40Y_LCHQuote</v>
      </c>
      <c r="L75" s="98">
        <f>IFERROR(_xll.qlRateHelperQuoteValue($J75,Trigger),"--")</f>
        <v>2.0390000000000002E-2</v>
      </c>
      <c r="M75" s="97" t="b">
        <v>1</v>
      </c>
      <c r="N75" s="94">
        <v>50</v>
      </c>
      <c r="O75" s="94">
        <v>1</v>
      </c>
      <c r="P75" s="99">
        <f>IFERROR(_xll.qlRateHelperEarliestDate(J75,Trigger),"--")</f>
        <v>42321</v>
      </c>
      <c r="Q75" s="99">
        <f>IFERROR(_xll.qlRateHelperPillarDate(J75,Trigger),"--")</f>
        <v>56933</v>
      </c>
      <c r="S75" s="4" t="str">
        <f t="shared" si="13"/>
        <v/>
      </c>
      <c r="T75" s="4" t="e">
        <v>#N/A</v>
      </c>
      <c r="U75" s="4" t="str">
        <f>IFERROR(_xll.qlRateHelperQuoteName(T75,Trigger),"")</f>
        <v/>
      </c>
      <c r="V75" s="70" t="str">
        <f>IFERROR(_xll.qlRateHelperRate(T75,Trigger),"")</f>
        <v/>
      </c>
      <c r="W75" s="104" t="str">
        <f>IF(ISERROR(_xll.qlSwapRateHelperSpread($T75)),IF(ISERROR(_xll.qlFuturesRateHelperConvexityAdjustment($T75)),"",_xll.qlFuturesRateHelperConvexityAdjustment($T75)),_xll.qlSwapRateHelperSpread($T75))</f>
        <v/>
      </c>
      <c r="X75" s="5" t="str">
        <f>IFERROR(_xll.qlRateHelperEarliestDate(T75,Trigger),"")</f>
        <v/>
      </c>
      <c r="Y75" s="5" t="str">
        <f>IFERROR(_xll.qlRateHelperPillarDate(T75,Trigger),"")</f>
        <v/>
      </c>
      <c r="Z75" s="70" t="e">
        <v>#N/A</v>
      </c>
      <c r="AA75" s="77" t="e">
        <v>#N/A</v>
      </c>
      <c r="AB75" s="46" t="e">
        <v>#N/A</v>
      </c>
      <c r="AC75" s="46" t="e">
        <v>#N/A</v>
      </c>
      <c r="AD75" s="172" t="e">
        <f t="shared" si="15"/>
        <v>#N/A</v>
      </c>
      <c r="AE75" s="46" t="e">
        <v>#N/A</v>
      </c>
      <c r="AF75" s="173" t="e">
        <f t="shared" si="16"/>
        <v>#N/A</v>
      </c>
    </row>
    <row r="76" spans="1:32" ht="11.25" customHeight="1" x14ac:dyDescent="0.2">
      <c r="A76" s="59" t="s">
        <v>115</v>
      </c>
      <c r="B76" s="60" t="s">
        <v>108</v>
      </c>
      <c r="C76" s="61">
        <v>0</v>
      </c>
      <c r="D76" s="62" t="str">
        <f t="shared" si="14"/>
        <v>Sonia</v>
      </c>
      <c r="E76" s="63" t="str">
        <f t="shared" si="11"/>
        <v>GBPSM3L29Y_LCHQuote</v>
      </c>
      <c r="F76" s="176" t="str">
        <f t="shared" si="12"/>
        <v>GBPSO3L29Y_LCHQuote</v>
      </c>
      <c r="G76" s="64"/>
      <c r="I76" s="10" t="str">
        <f t="shared" si="8"/>
        <v>BasSw</v>
      </c>
      <c r="J76" s="94" t="str">
        <f t="shared" si="9"/>
        <v>obj_00376#0007</v>
      </c>
      <c r="K76" s="146" t="str">
        <f>IFERROR(_xll.qlRateHelperQuoteName(J76,Trigger),"--")</f>
        <v>GBPSM3L50Y_LCHQuote</v>
      </c>
      <c r="L76" s="98">
        <f>IFERROR(_xll.qlRateHelperQuoteValue($J76,Trigger),"--")</f>
        <v>2.001E-2</v>
      </c>
      <c r="M76" s="97" t="b">
        <v>1</v>
      </c>
      <c r="N76" s="94">
        <v>50</v>
      </c>
      <c r="O76" s="94">
        <v>1</v>
      </c>
      <c r="P76" s="99">
        <f>IFERROR(_xll.qlRateHelperEarliestDate(J76,Trigger),"--")</f>
        <v>42321</v>
      </c>
      <c r="Q76" s="99">
        <f>IFERROR(_xll.qlRateHelperPillarDate(J76,Trigger),"--")</f>
        <v>60584</v>
      </c>
      <c r="S76" s="4" t="str">
        <f t="shared" si="13"/>
        <v/>
      </c>
      <c r="T76" s="4" t="e">
        <v>#N/A</v>
      </c>
      <c r="U76" s="4" t="str">
        <f>IFERROR(_xll.qlRateHelperQuoteName(T76,Trigger),"")</f>
        <v/>
      </c>
      <c r="V76" s="70" t="str">
        <f>IFERROR(_xll.qlRateHelperRate(T76,Trigger),"")</f>
        <v/>
      </c>
      <c r="W76" s="104" t="str">
        <f>IF(ISERROR(_xll.qlSwapRateHelperSpread($T76)),IF(ISERROR(_xll.qlFuturesRateHelperConvexityAdjustment($T76)),"",_xll.qlFuturesRateHelperConvexityAdjustment($T76)),_xll.qlSwapRateHelperSpread($T76))</f>
        <v/>
      </c>
      <c r="X76" s="5" t="str">
        <f>IFERROR(_xll.qlRateHelperEarliestDate(T76,Trigger),"")</f>
        <v/>
      </c>
      <c r="Y76" s="5" t="str">
        <f>IFERROR(_xll.qlRateHelperPillarDate(T76,Trigger),"")</f>
        <v/>
      </c>
      <c r="Z76" s="70" t="e">
        <v>#N/A</v>
      </c>
      <c r="AA76" s="77" t="e">
        <v>#N/A</v>
      </c>
      <c r="AB76" s="46" t="e">
        <v>#N/A</v>
      </c>
      <c r="AC76" s="46" t="e">
        <v>#N/A</v>
      </c>
      <c r="AD76" s="172" t="e">
        <f t="shared" si="15"/>
        <v>#N/A</v>
      </c>
      <c r="AE76" s="46" t="e">
        <v>#N/A</v>
      </c>
      <c r="AF76" s="173" t="e">
        <f t="shared" si="16"/>
        <v>#N/A</v>
      </c>
    </row>
    <row r="77" spans="1:32" ht="11.25" customHeight="1" x14ac:dyDescent="0.2">
      <c r="A77" s="59" t="s">
        <v>115</v>
      </c>
      <c r="B77" s="60" t="s">
        <v>65</v>
      </c>
      <c r="C77" s="61">
        <v>0</v>
      </c>
      <c r="D77" s="62" t="str">
        <f t="shared" si="14"/>
        <v>Sonia</v>
      </c>
      <c r="E77" s="63" t="str">
        <f t="shared" si="11"/>
        <v>GBPSM3L30Y_LCHQuote</v>
      </c>
      <c r="F77" s="176" t="str">
        <f t="shared" si="12"/>
        <v>GBPSO3L30Y_LCHQuote</v>
      </c>
      <c r="G77" s="64" t="str">
        <f>_xll.qlOISRateHelper2(,$C77,$B77,$E77,$D77,,"Semiannual",F77,Permanent,Trigger,ObjectOverwrite)</f>
        <v>obj_00374#0007</v>
      </c>
      <c r="I77" s="11" t="str">
        <f t="shared" si="8"/>
        <v>BasSw</v>
      </c>
      <c r="J77" s="95" t="str">
        <f t="shared" si="9"/>
        <v>obj_00370#0007</v>
      </c>
      <c r="K77" s="147" t="str">
        <f>IFERROR(_xll.qlRateHelperQuoteName(J77,Trigger),"--")</f>
        <v>GBPSM3L60Y_LCHQuote</v>
      </c>
      <c r="L77" s="101">
        <f>IFERROR(_xll.qlRateHelperQuoteValue($J77,Trigger),"--")</f>
        <v>2.001E-2</v>
      </c>
      <c r="M77" s="100" t="b">
        <v>1</v>
      </c>
      <c r="N77" s="95">
        <v>50</v>
      </c>
      <c r="O77" s="95">
        <v>1</v>
      </c>
      <c r="P77" s="102">
        <f>IFERROR(_xll.qlRateHelperEarliestDate(J77,Trigger),"--")</f>
        <v>42321</v>
      </c>
      <c r="Q77" s="102">
        <f>IFERROR(_xll.qlRateHelperPillarDate(J77,Trigger),"--")</f>
        <v>64236</v>
      </c>
      <c r="S77" s="4" t="str">
        <f t="shared" si="13"/>
        <v/>
      </c>
      <c r="T77" s="6" t="e">
        <v>#N/A</v>
      </c>
      <c r="U77" s="6" t="str">
        <f>IFERROR(_xll.qlRateHelperQuoteName(T77,Trigger),"")</f>
        <v/>
      </c>
      <c r="V77" s="79" t="str">
        <f>IFERROR(_xll.qlRateHelperRate(T77,Trigger),"")</f>
        <v/>
      </c>
      <c r="W77" s="105" t="str">
        <f>IF(ISERROR(_xll.qlSwapRateHelperSpread($T77)),IF(ISERROR(_xll.qlFuturesRateHelperConvexityAdjustment($T77)),"",_xll.qlFuturesRateHelperConvexityAdjustment($T77)),_xll.qlSwapRateHelperSpread($T77))</f>
        <v/>
      </c>
      <c r="X77" s="12" t="str">
        <f>IFERROR(_xll.qlRateHelperEarliestDate(T77,Trigger),"")</f>
        <v/>
      </c>
      <c r="Y77" s="12" t="str">
        <f>IFERROR(_xll.qlRateHelperPillarDate(T77,Trigger),"")</f>
        <v/>
      </c>
      <c r="Z77" s="79" t="e">
        <v>#N/A</v>
      </c>
      <c r="AA77" s="78" t="e">
        <v>#N/A</v>
      </c>
      <c r="AB77" s="46" t="e">
        <v>#N/A</v>
      </c>
      <c r="AC77" s="46" t="e">
        <v>#N/A</v>
      </c>
      <c r="AD77" s="172" t="e">
        <f t="shared" si="15"/>
        <v>#N/A</v>
      </c>
      <c r="AE77" s="46" t="e">
        <v>#N/A</v>
      </c>
      <c r="AF77" s="173" t="e">
        <f t="shared" si="16"/>
        <v>#N/A</v>
      </c>
    </row>
    <row r="78" spans="1:32" ht="11.25" customHeight="1" x14ac:dyDescent="0.2">
      <c r="A78" s="59" t="s">
        <v>115</v>
      </c>
      <c r="B78" s="60" t="s">
        <v>66</v>
      </c>
      <c r="C78" s="61">
        <v>0</v>
      </c>
      <c r="D78" s="62" t="str">
        <f t="shared" si="14"/>
        <v>Sonia</v>
      </c>
      <c r="E78" s="63" t="str">
        <f t="shared" si="11"/>
        <v>GBPSM3L35Y_LCHQuote</v>
      </c>
      <c r="F78" s="176" t="str">
        <f t="shared" si="12"/>
        <v>GBPSO3L35Y_LCHQuote</v>
      </c>
      <c r="G78" s="64"/>
    </row>
    <row r="79" spans="1:32" ht="11.25" customHeight="1" x14ac:dyDescent="0.2">
      <c r="A79" s="59" t="s">
        <v>115</v>
      </c>
      <c r="B79" s="60" t="s">
        <v>67</v>
      </c>
      <c r="C79" s="61">
        <v>0</v>
      </c>
      <c r="D79" s="62" t="str">
        <f t="shared" si="14"/>
        <v>Sonia</v>
      </c>
      <c r="E79" s="63" t="str">
        <f t="shared" si="11"/>
        <v>GBPSM3L40Y_LCHQuote</v>
      </c>
      <c r="F79" s="176" t="str">
        <f t="shared" si="12"/>
        <v>GBPSO3L40Y_LCHQuote</v>
      </c>
      <c r="G79" s="64" t="str">
        <f>_xll.qlOISRateHelper2(,$C79,$B79,$E79,$D79,,"Semiannual",F79,Permanent,Trigger,ObjectOverwrite)</f>
        <v>obj_0036a#0007</v>
      </c>
    </row>
    <row r="80" spans="1:32" ht="11.25" customHeight="1" x14ac:dyDescent="0.2">
      <c r="A80" s="59" t="s">
        <v>115</v>
      </c>
      <c r="B80" s="60" t="s">
        <v>68</v>
      </c>
      <c r="C80" s="61">
        <v>0</v>
      </c>
      <c r="D80" s="62" t="str">
        <f t="shared" si="14"/>
        <v>Sonia</v>
      </c>
      <c r="E80" s="63" t="str">
        <f t="shared" si="11"/>
        <v>GBPSM3L50Y_LCHQuote</v>
      </c>
      <c r="F80" s="176" t="str">
        <f t="shared" si="12"/>
        <v>GBPSO3L50Y_LCHQuote</v>
      </c>
      <c r="G80" s="64" t="str">
        <f>_xll.qlOISRateHelper2(,$C80,$B80,$E80,$D80,,"Semiannual",F80,Permanent,Trigger,ObjectOverwrite)</f>
        <v>obj_00376#0007</v>
      </c>
    </row>
    <row r="81" spans="1:7" x14ac:dyDescent="0.2">
      <c r="A81" s="1" t="s">
        <v>115</v>
      </c>
      <c r="B81" s="8" t="s">
        <v>109</v>
      </c>
      <c r="C81" s="7">
        <v>0</v>
      </c>
      <c r="D81" s="9" t="str">
        <f t="shared" si="14"/>
        <v>Sonia</v>
      </c>
      <c r="E81" s="2" t="str">
        <f t="shared" si="11"/>
        <v>GBPSM3L60Y_LCHQuote</v>
      </c>
      <c r="F81" s="177" t="str">
        <f t="shared" si="12"/>
        <v>GBPSO3L60Y_LCHQuote</v>
      </c>
      <c r="G81" s="3" t="str">
        <f>_xll.qlOISRateHelper2(,$C81,$B81,$E81,$D81,,"Semiannual",F81,Permanent,Trigger,ObjectOverwrite)</f>
        <v>obj_00370#0007</v>
      </c>
    </row>
  </sheetData>
  <mergeCells count="1">
    <mergeCell ref="AH2:AI2"/>
  </mergeCells>
  <dataValidations count="1"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103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5.5703125" style="52" hidden="1" customWidth="1" outlineLevel="1"/>
    <col min="9" max="9" width="27.57031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1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4" width="11.85546875" style="46" hidden="1" customWidth="1" outlineLevel="1"/>
    <col min="35" max="35" width="9" style="46" hidden="1" customWidth="1" outlineLevel="1"/>
    <col min="36" max="38" width="12.4257812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0</v>
      </c>
      <c r="H1" s="50" t="str">
        <f>"_SYNTH"&amp;$G$1</f>
        <v>_SYNTH3M</v>
      </c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GBP3M</v>
      </c>
      <c r="Y1" s="66"/>
      <c r="Z1" s="66"/>
      <c r="AA1" s="66"/>
      <c r="AB1" s="69"/>
      <c r="AC1" s="69"/>
      <c r="AD1" s="66"/>
      <c r="AE1" s="66"/>
      <c r="AF1" s="178" t="s">
        <v>128</v>
      </c>
      <c r="AG1" s="178" t="s">
        <v>135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132</v>
      </c>
      <c r="Z2" s="73" t="s">
        <v>133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71">
        <f t="array" ref="AF2:AF65">_xll.qlPiecewiseYieldCurveData(YieldCurve1_3M,Trigger)</f>
        <v>5.7457468352537086E-3</v>
      </c>
      <c r="AG2" s="76">
        <f t="array" ref="AG2:AG65">_xll.qlPiecewiseYieldCurveData(yieldcurve2_3M,Trigger)</f>
        <v>1</v>
      </c>
      <c r="AJ2" s="46" t="s">
        <v>136</v>
      </c>
      <c r="AL2" s="46" t="s">
        <v>137</v>
      </c>
      <c r="AN2" s="213" t="s">
        <v>83</v>
      </c>
      <c r="AO2" s="214"/>
    </row>
    <row r="3" spans="1:41" ht="11.25" customHeight="1" x14ac:dyDescent="0.2">
      <c r="A3" s="1" t="s">
        <v>26</v>
      </c>
      <c r="B3" s="8" t="s">
        <v>0</v>
      </c>
      <c r="C3" s="124"/>
      <c r="D3" s="124"/>
      <c r="E3" s="124"/>
      <c r="F3" s="124"/>
      <c r="G3" s="7" t="str">
        <f>PROPER(Currency)&amp;FamilyName&amp;B3</f>
        <v>GbpLibor3M</v>
      </c>
      <c r="H3" s="121" t="str">
        <f>IF(ReportQuoteOverwrite,Currency&amp;Tenor&amp;"D"&amp;ReportQuoteSuffix,Currency&amp;Tenor&amp;"D"&amp;QuoteSuffix)</f>
        <v>GBP3MD_LCHQuote</v>
      </c>
      <c r="I3" s="124"/>
      <c r="J3" s="3" t="str">
        <f>_xll.qlDepositRateHelper(,H3,G3,Permanent,Trigger,ObjectOverwrite)</f>
        <v>obj_0041c#0007</v>
      </c>
      <c r="K3" s="3" t="str">
        <f>J3</f>
        <v>obj_0041c#0007</v>
      </c>
      <c r="L3" s="49"/>
      <c r="M3" s="11" t="str">
        <f>A3</f>
        <v>Dp</v>
      </c>
      <c r="N3" s="95" t="str">
        <f>IF(ISBLANK(J3),"--",J3)</f>
        <v>obj_0041c#0007</v>
      </c>
      <c r="O3" s="95" t="str">
        <f>IF(ISBLANK(K3),"--",K3)</f>
        <v>obj_0041c#0007</v>
      </c>
      <c r="P3" s="147" t="str">
        <f>IFERROR(_xll.qlRateHelperQuoteName(N3,Trigger),"--")</f>
        <v>GBP3MD_LCHQuote</v>
      </c>
      <c r="Q3" s="101">
        <f>IFERROR(_xll.qlRateHelperQuoteValue($N3,Trigger),"--")</f>
        <v>5.7499999999999999E-3</v>
      </c>
      <c r="R3" s="100" t="b">
        <v>1</v>
      </c>
      <c r="S3" s="95"/>
      <c r="T3" s="95">
        <v>1</v>
      </c>
      <c r="U3" s="102">
        <f>IFERROR(_xll.qlRateHelperEarliestDate(N3,Trigger),"--")</f>
        <v>42321</v>
      </c>
      <c r="V3" s="102">
        <f>IFERROR(_xll.qlRateHelperPillarDate(N3,Trigger),"--")</f>
        <v>42415</v>
      </c>
      <c r="X3" s="4" t="str">
        <f t="shared" ref="X3:X34" si="0">IFERROR(INDEX($M$3:$M$65,MATCH(AA3,$P$3:$P$65,0),1),"")</f>
        <v>Dp</v>
      </c>
      <c r="Y3" s="4" t="str">
        <f t="array" ref="Y3:Y65">_xll.qlRateHelperSelection(_xll.ohFilter(RateHelpers1,IncludeFlag),_xll.ohFilter(Priority,IncludeFlag),$AO$3,$AO$4,$AO$5,$AO$6,_xll.ohFilter(MinDistance,IncludeFlag),Trigger)</f>
        <v>obj_0041c</v>
      </c>
      <c r="Z3" s="4" t="str">
        <f t="array" ref="Z3:Z65">_xll.qlRateHelperSelection(_xll.ohFilter(RateHelpers2,IncludeFlag),_xll.ohFilter(Priority,IncludeFlag),$AO$3,$AO$4,$AO$5,$AO$6,_xll.ohFilter(MinDistance,IncludeFlag),Trigger)</f>
        <v>obj_0041c</v>
      </c>
      <c r="AA3" s="4" t="str">
        <f>IFERROR(_xll.qlRateHelperQuoteName(Y3,Trigger),"")</f>
        <v>GBP3MD_LCHQuote</v>
      </c>
      <c r="AB3" s="70">
        <f>IFERROR(_xll.qlRateHelperRate(Y3,Trigger),"")</f>
        <v>5.7499999999999999E-3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42415</v>
      </c>
      <c r="AF3" s="70">
        <v>5.7457468352537086E-3</v>
      </c>
      <c r="AG3" s="77">
        <v>0.99852136767340172</v>
      </c>
      <c r="AH3" s="169">
        <f t="array" ref="AH3:AH103">_xll.ohFilter([1]REP00100!$C$2:$C$2000,([1]REP00100!$A$2:$A$2000="GBP_LIBOR_3M_EOD"))</f>
        <v>42412</v>
      </c>
      <c r="AI3" s="170">
        <f t="array" ref="AI3:AI103">_xll.ohFilter([1]REP00100!$E$2:$E$2000,([1]REP00100!$A$2:$A$2000="GBP_LIBOR_3M_EOD"))</f>
        <v>5.7458372407918797E-3</v>
      </c>
      <c r="AJ3" s="172">
        <f t="shared" ref="AJ3:AJ66" si="1">AF3-AI3</f>
        <v>-9.040553817108582E-8</v>
      </c>
      <c r="AK3" s="80">
        <f t="array" ref="AK3:AK103">_xll.ohFilter([1]REP00101!$F$2:$F$2000,([1]REP00101!$A$2:$A$2000="GBP_LIBOR_3M_EOD"))</f>
        <v>0.99855278240577405</v>
      </c>
      <c r="AL3" s="161">
        <f t="shared" ref="AL3:AL66" si="2">AK3-AG3</f>
        <v>3.1414732372336829E-5</v>
      </c>
      <c r="AN3" s="107" t="s">
        <v>84</v>
      </c>
      <c r="AO3" s="108">
        <v>8</v>
      </c>
    </row>
    <row r="4" spans="1:41" ht="11.25" customHeight="1" x14ac:dyDescent="0.2">
      <c r="B4" s="46"/>
      <c r="C4" s="46"/>
      <c r="D4" s="46"/>
      <c r="E4" s="46"/>
      <c r="F4" s="46"/>
      <c r="G4" s="103" t="s">
        <v>166</v>
      </c>
      <c r="H4" s="103" t="s">
        <v>92</v>
      </c>
      <c r="L4" s="48"/>
      <c r="M4" s="10" t="str">
        <f t="shared" ref="M4:M14" si="3">A6</f>
        <v>FUT</v>
      </c>
      <c r="N4" s="94" t="str">
        <f t="shared" ref="N4:N14" si="4">IF(ISBLANK(J6),"--",J6)</f>
        <v>obj_003e6#0007</v>
      </c>
      <c r="O4" s="94" t="str">
        <f t="shared" ref="O4:O14" si="5">IF(ISBLANK(K6),"--",K6)</f>
        <v>obj_003e6#0007</v>
      </c>
      <c r="P4" s="146" t="str">
        <f>IFERROR(_xll.qlRateHelperQuoteName(N4,Trigger),"--")</f>
        <v>GBPFUT3MZ5_LCHQuote</v>
      </c>
      <c r="Q4" s="150">
        <f>IFERROR(_xll.qlRateHelperQuoteValue($N4,Trigger),"--")</f>
        <v>99.414999999999992</v>
      </c>
      <c r="R4" s="97" t="b">
        <v>1</v>
      </c>
      <c r="S4" s="94"/>
      <c r="T4" s="94">
        <v>1</v>
      </c>
      <c r="U4" s="99">
        <f>IFERROR(_xll.qlRateHelperEarliestDate(N4,Trigger),"--")</f>
        <v>42354</v>
      </c>
      <c r="V4" s="99">
        <f>IFERROR(_xll.qlRateHelperPillarDate(N4,Trigger),"--")</f>
        <v>42445</v>
      </c>
      <c r="X4" s="4" t="str">
        <f t="shared" si="0"/>
        <v>FUT</v>
      </c>
      <c r="Y4" s="4" t="str">
        <v>obj_003e6</v>
      </c>
      <c r="Z4" s="4" t="str">
        <v>obj_003e6</v>
      </c>
      <c r="AA4" s="4" t="str">
        <f>IFERROR(_xll.qlRateHelperQuoteName(Y4,Trigger),"")</f>
        <v>GBPFUT3MZ5_LCHQuote</v>
      </c>
      <c r="AB4" s="70">
        <f>IFERROR(_xll.qlRateHelperRate(Y4,Trigger),"")</f>
        <v>5.8486098226905184E-3</v>
      </c>
      <c r="AC4" s="104">
        <f>IF(ISERROR(_xll.qlSwapRateHelperSpread($Y4)),IF(ISERROR(_xll.qlFuturesRateHelperConvexityAdjustment($Y4)),"",_xll.qlFuturesRateHelperConvexityAdjustment($Y4)),_xll.qlSwapRateHelperSpread($Y4))</f>
        <v>1.3901773096148644E-6</v>
      </c>
      <c r="AD4" s="5">
        <f>IFERROR(_xll.qlRateHelperEarliestDate(Y4,Trigger),"")</f>
        <v>42354</v>
      </c>
      <c r="AE4" s="5">
        <f>IFERROR(_xll.qlRateHelperPillarDate(Y4,Trigger),"")</f>
        <v>42445</v>
      </c>
      <c r="AF4" s="70">
        <v>5.8181087604126857E-3</v>
      </c>
      <c r="AG4" s="77">
        <v>0.99802538913810657</v>
      </c>
      <c r="AH4" s="169">
        <v>42445</v>
      </c>
      <c r="AI4" s="170">
        <v>5.78076391828658E-3</v>
      </c>
      <c r="AJ4" s="172">
        <f t="shared" si="1"/>
        <v>3.7344842126105747E-5</v>
      </c>
      <c r="AK4" s="80">
        <v>0.99802224466993195</v>
      </c>
      <c r="AL4" s="161">
        <f t="shared" si="2"/>
        <v>-3.1444681746206626E-6</v>
      </c>
      <c r="AN4" s="107" t="s">
        <v>85</v>
      </c>
      <c r="AO4" s="108">
        <v>0</v>
      </c>
    </row>
    <row r="5" spans="1:41" ht="11.25" customHeight="1" x14ac:dyDescent="0.2">
      <c r="A5" s="65" t="s">
        <v>9</v>
      </c>
      <c r="B5" s="65" t="s">
        <v>94</v>
      </c>
      <c r="C5" s="65" t="s">
        <v>32</v>
      </c>
      <c r="D5" s="65"/>
      <c r="E5" s="65" t="s">
        <v>130</v>
      </c>
      <c r="F5" s="65" t="s">
        <v>131</v>
      </c>
      <c r="G5" s="65" t="s">
        <v>4</v>
      </c>
      <c r="H5" s="65" t="s">
        <v>1</v>
      </c>
      <c r="I5" s="65" t="s">
        <v>93</v>
      </c>
      <c r="J5" s="65" t="s">
        <v>132</v>
      </c>
      <c r="K5" s="65" t="s">
        <v>133</v>
      </c>
      <c r="L5" s="48"/>
      <c r="M5" s="10" t="str">
        <f t="shared" si="3"/>
        <v>FUT</v>
      </c>
      <c r="N5" s="94" t="str">
        <f t="shared" si="4"/>
        <v>obj_00448#0007</v>
      </c>
      <c r="O5" s="94" t="str">
        <f t="shared" si="5"/>
        <v>obj_00448#0007</v>
      </c>
      <c r="P5" s="146" t="str">
        <f>IFERROR(_xll.qlRateHelperQuoteName(N5,Trigger),"--")</f>
        <v>GBPFUT3MH6_LCHQuote</v>
      </c>
      <c r="Q5" s="150">
        <f>IFERROR(_xll.qlRateHelperQuoteValue($N5,Trigger),"--")</f>
        <v>99.365000000000009</v>
      </c>
      <c r="R5" s="97" t="b">
        <v>1</v>
      </c>
      <c r="S5" s="94"/>
      <c r="T5" s="94">
        <v>1</v>
      </c>
      <c r="U5" s="99">
        <f>IFERROR(_xll.qlRateHelperEarliestDate(N5,Trigger),"--")</f>
        <v>42445</v>
      </c>
      <c r="V5" s="99">
        <f>IFERROR(_xll.qlRateHelperPillarDate(N5,Trigger),"--")</f>
        <v>42536</v>
      </c>
      <c r="X5" s="4" t="str">
        <f t="shared" si="0"/>
        <v>FUT</v>
      </c>
      <c r="Y5" s="4" t="str">
        <v>obj_00448</v>
      </c>
      <c r="Z5" s="4" t="str">
        <v>obj_00448</v>
      </c>
      <c r="AA5" s="4" t="str">
        <f>IFERROR(_xll.qlRateHelperQuoteName(Y5,Trigger),"")</f>
        <v>GBPFUT3MH6_LCHQuote</v>
      </c>
      <c r="AB5" s="70">
        <f>IFERROR(_xll.qlRateHelperRate(Y5,Trigger),"")</f>
        <v>6.3425649326892229E-3</v>
      </c>
      <c r="AC5" s="104">
        <f>IF(ISERROR(_xll.qlSwapRateHelperSpread($Y5)),IF(ISERROR(_xll.qlFuturesRateHelperConvexityAdjustment($Y5)),"",_xll.qlFuturesRateHelperConvexityAdjustment($Y5)),_xll.qlSwapRateHelperSpread($Y5))</f>
        <v>7.4350673106329661E-6</v>
      </c>
      <c r="AD5" s="5">
        <f>IFERROR(_xll.qlRateHelperEarliestDate(Y5,Trigger),"")</f>
        <v>42445</v>
      </c>
      <c r="AE5" s="5">
        <f>IFERROR(_xll.qlRateHelperPillarDate(Y5,Trigger),"")</f>
        <v>42536</v>
      </c>
      <c r="AF5" s="70">
        <v>6.0379443267461188E-3</v>
      </c>
      <c r="AG5" s="77">
        <v>0.99644971985775632</v>
      </c>
      <c r="AH5" s="169">
        <v>42536</v>
      </c>
      <c r="AI5" s="170">
        <v>6.0352666664460599E-3</v>
      </c>
      <c r="AJ5" s="172">
        <f t="shared" si="1"/>
        <v>2.6776603000589622E-6</v>
      </c>
      <c r="AK5" s="80">
        <v>0.99643481534808598</v>
      </c>
      <c r="AL5" s="161">
        <f t="shared" si="2"/>
        <v>-1.4904509670343735E-5</v>
      </c>
      <c r="AM5" s="80"/>
      <c r="AN5" s="107" t="s">
        <v>86</v>
      </c>
      <c r="AO5" s="108">
        <f>AO7+AO8</f>
        <v>8</v>
      </c>
    </row>
    <row r="6" spans="1:41" ht="11.25" customHeight="1" x14ac:dyDescent="0.2">
      <c r="A6" s="59" t="s">
        <v>92</v>
      </c>
      <c r="B6" s="116" t="b">
        <v>1</v>
      </c>
      <c r="C6" s="62" t="str">
        <f>_xll.qlIMMNextCode(_xll.qlSettingsEvaluationDate(Trigger),B6,Trigger)</f>
        <v>Z5</v>
      </c>
      <c r="D6" s="123"/>
      <c r="E6" s="156">
        <f>_xll.qlIMMdate(C6,,Trigger)</f>
        <v>42354</v>
      </c>
      <c r="F6" s="156">
        <f>_xll.qlIMMNextDate(E6,,Trigger)</f>
        <v>42445</v>
      </c>
      <c r="G6" s="61" t="str">
        <f t="shared" ref="G6:G29" si="6">PROPER(Currency)&amp;FamilyName&amp;Tenor</f>
        <v>GbpLibor3M</v>
      </c>
      <c r="H6" s="119" t="str">
        <f t="shared" ref="H6:H29" si="7">IF(ReportQuoteOverwrite,$G$4&amp;$C6&amp;ReportQuoteSuffix,Currency&amp;$H$4&amp;$G$1&amp;$C6&amp;QuoteSuffix)</f>
        <v>GBPFUT3MZ5_LCHQuote</v>
      </c>
      <c r="I6" s="125" t="str">
        <f t="shared" ref="I6:I29" si="8">IF(ReportQuoteOverwrite,0,Currency&amp;"FUT"&amp;$G$1&amp;$C6&amp;"ConvAdj"&amp;QuoteSuffix)</f>
        <v>GBPFUT3MZ5ConvAdj_LCHQuote</v>
      </c>
      <c r="J6" s="64" t="str">
        <f>_xll.qlFuturesRateHelper(,$H6,,$E6,$G6,$I6,FALSE,"customdate",$F6,Permanent,Trigger,ObjectOverwrite)</f>
        <v>obj_003e6#0007</v>
      </c>
      <c r="K6" s="64" t="str">
        <f>J6</f>
        <v>obj_003e6#0007</v>
      </c>
      <c r="L6" s="48"/>
      <c r="M6" s="10" t="str">
        <f t="shared" si="3"/>
        <v>FUT</v>
      </c>
      <c r="N6" s="94" t="str">
        <f t="shared" si="4"/>
        <v>obj_0043f#0007</v>
      </c>
      <c r="O6" s="94" t="str">
        <f t="shared" si="5"/>
        <v>obj_0043f#0007</v>
      </c>
      <c r="P6" s="146" t="str">
        <f>IFERROR(_xll.qlRateHelperQuoteName(N6,Trigger),"--")</f>
        <v>GBPFUT3MM6_LCHQuote</v>
      </c>
      <c r="Q6" s="150">
        <f>IFERROR(_xll.qlRateHelperQuoteValue($N6,Trigger),"--")</f>
        <v>99.284999999999997</v>
      </c>
      <c r="R6" s="97" t="b">
        <v>1</v>
      </c>
      <c r="S6" s="94"/>
      <c r="T6" s="94">
        <v>1</v>
      </c>
      <c r="U6" s="99">
        <f>IFERROR(_xll.qlRateHelperEarliestDate(N6,Trigger),"--")</f>
        <v>42536</v>
      </c>
      <c r="V6" s="99">
        <f>IFERROR(_xll.qlRateHelperPillarDate(N6,Trigger),"--")</f>
        <v>42634</v>
      </c>
      <c r="X6" s="4" t="str">
        <f t="shared" si="0"/>
        <v>FUT</v>
      </c>
      <c r="Y6" s="4" t="str">
        <v>obj_0043f</v>
      </c>
      <c r="Z6" s="4" t="str">
        <v>obj_0043f</v>
      </c>
      <c r="AA6" s="4" t="str">
        <f>IFERROR(_xll.qlRateHelperQuoteName(Y6,Trigger),"")</f>
        <v>GBPFUT3MM6_LCHQuote</v>
      </c>
      <c r="AB6" s="70">
        <f>IFERROR(_xll.qlRateHelperRate(Y6,Trigger),"")</f>
        <v>7.13341190159797E-3</v>
      </c>
      <c r="AC6" s="104">
        <f>IF(ISERROR(_xll.qlSwapRateHelperSpread($Y6)),IF(ISERROR(_xll.qlFuturesRateHelperConvexityAdjustment($Y6)),"",_xll.qlFuturesRateHelperConvexityAdjustment($Y6)),_xll.qlSwapRateHelperSpread($Y6))</f>
        <v>1.6588098402019898E-5</v>
      </c>
      <c r="AD6" s="5">
        <f>IFERROR(_xll.qlRateHelperEarliestDate(Y6,Trigger),"")</f>
        <v>42536</v>
      </c>
      <c r="AE6" s="5">
        <f>IFERROR(_xll.qlRateHelperPillarDate(Y6,Trigger),"")</f>
        <v>42634</v>
      </c>
      <c r="AF6" s="70">
        <v>6.3789286815870072E-3</v>
      </c>
      <c r="AG6" s="77">
        <v>0.99454478422544434</v>
      </c>
      <c r="AH6" s="169">
        <v>42634</v>
      </c>
      <c r="AI6" s="170">
        <v>6.4518846905865703E-3</v>
      </c>
      <c r="AJ6" s="172">
        <f t="shared" si="1"/>
        <v>-7.2956008999563136E-5</v>
      </c>
      <c r="AK6" s="80">
        <v>0.99446498647376202</v>
      </c>
      <c r="AL6" s="161">
        <f t="shared" si="2"/>
        <v>-7.9797751682320062E-5</v>
      </c>
      <c r="AN6" s="107" t="s">
        <v>87</v>
      </c>
      <c r="AO6" s="109" t="s">
        <v>88</v>
      </c>
    </row>
    <row r="7" spans="1:41" ht="11.25" customHeight="1" x14ac:dyDescent="0.2">
      <c r="A7" s="59" t="s">
        <v>92</v>
      </c>
      <c r="B7" s="116" t="b">
        <v>1</v>
      </c>
      <c r="C7" s="62" t="str">
        <f>_xll.qlIMMNextCode(C6,B7,Trigger)</f>
        <v>H6</v>
      </c>
      <c r="D7" s="123"/>
      <c r="E7" s="156">
        <f>_xll.qlIMMdate(C7,,Trigger)</f>
        <v>42445</v>
      </c>
      <c r="F7" s="156">
        <f>_xll.qlIMMNextDate(E7,,Trigger)</f>
        <v>42536</v>
      </c>
      <c r="G7" s="61" t="str">
        <f t="shared" si="6"/>
        <v>GbpLibor3M</v>
      </c>
      <c r="H7" s="119" t="str">
        <f t="shared" si="7"/>
        <v>GBPFUT3MH6_LCHQuote</v>
      </c>
      <c r="I7" s="125" t="str">
        <f t="shared" si="8"/>
        <v>GBPFUT3MH6ConvAdj_LCHQuote</v>
      </c>
      <c r="J7" s="64" t="str">
        <f>_xll.qlFuturesRateHelper(,$H7,,$E7,$G7,$I7,FALSE,"customdate",$F7,Permanent,Trigger,ObjectOverwrite)</f>
        <v>obj_00448#0007</v>
      </c>
      <c r="K7" s="64" t="str">
        <f t="shared" ref="K7:K16" si="9">J7</f>
        <v>obj_00448#0007</v>
      </c>
      <c r="L7" s="48"/>
      <c r="M7" s="10" t="str">
        <f t="shared" si="3"/>
        <v>FUT</v>
      </c>
      <c r="N7" s="94" t="str">
        <f t="shared" si="4"/>
        <v>obj_00454#0007</v>
      </c>
      <c r="O7" s="94" t="str">
        <f t="shared" si="5"/>
        <v>obj_00454#0007</v>
      </c>
      <c r="P7" s="146" t="str">
        <f>IFERROR(_xll.qlRateHelperQuoteName(N7,Trigger),"--")</f>
        <v>GBPFUT3MU6_LCHQuote</v>
      </c>
      <c r="Q7" s="150">
        <f>IFERROR(_xll.qlRateHelperQuoteValue($N7,Trigger),"--")</f>
        <v>99.185000000000002</v>
      </c>
      <c r="R7" s="97" t="b">
        <v>1</v>
      </c>
      <c r="S7" s="94"/>
      <c r="T7" s="94">
        <v>1</v>
      </c>
      <c r="U7" s="99">
        <f>IFERROR(_xll.qlRateHelperEarliestDate(N7,Trigger),"--")</f>
        <v>42634</v>
      </c>
      <c r="V7" s="99">
        <f>IFERROR(_xll.qlRateHelperPillarDate(N7,Trigger),"--")</f>
        <v>42725</v>
      </c>
      <c r="X7" s="4" t="str">
        <f t="shared" si="0"/>
        <v>FUT</v>
      </c>
      <c r="Y7" s="4" t="str">
        <v>obj_00454</v>
      </c>
      <c r="Z7" s="4" t="str">
        <v>obj_00454</v>
      </c>
      <c r="AA7" s="4" t="str">
        <f>IFERROR(_xll.qlRateHelperQuoteName(Y7,Trigger),"")</f>
        <v>GBPFUT3MU6_LCHQuote</v>
      </c>
      <c r="AB7" s="70">
        <f>IFERROR(_xll.qlRateHelperRate(Y7,Trigger),"")</f>
        <v>8.120260788608006E-3</v>
      </c>
      <c r="AC7" s="104">
        <f>IF(ISERROR(_xll.qlSwapRateHelperSpread($Y7)),IF(ISERROR(_xll.qlFuturesRateHelperConvexityAdjustment($Y7)),"",_xll.qlFuturesRateHelperConvexityAdjustment($Y7)),_xll.qlSwapRateHelperSpread($Y7))</f>
        <v>2.9739211391984166E-5</v>
      </c>
      <c r="AD7" s="5">
        <f>IFERROR(_xll.qlRateHelperEarliestDate(Y7,Trigger),"")</f>
        <v>42634</v>
      </c>
      <c r="AE7" s="5">
        <f>IFERROR(_xll.qlRateHelperPillarDate(Y7,Trigger),"")</f>
        <v>42725</v>
      </c>
      <c r="AF7" s="70">
        <v>6.7693104457255465E-3</v>
      </c>
      <c r="AG7" s="77">
        <v>0.99253539297286753</v>
      </c>
      <c r="AH7" s="169">
        <v>42725</v>
      </c>
      <c r="AI7" s="170">
        <v>6.90131319671287E-3</v>
      </c>
      <c r="AJ7" s="172">
        <f t="shared" si="1"/>
        <v>-1.3200275098732353E-4</v>
      </c>
      <c r="AK7" s="80">
        <v>0.99237162339484597</v>
      </c>
      <c r="AL7" s="161">
        <f t="shared" si="2"/>
        <v>-1.6376957802155534E-4</v>
      </c>
      <c r="AN7" s="107" t="s">
        <v>144</v>
      </c>
      <c r="AO7" s="109">
        <v>0</v>
      </c>
    </row>
    <row r="8" spans="1:41" ht="11.25" customHeight="1" x14ac:dyDescent="0.2">
      <c r="A8" s="59" t="s">
        <v>92</v>
      </c>
      <c r="B8" s="116" t="b">
        <v>1</v>
      </c>
      <c r="C8" s="62" t="str">
        <f>_xll.qlIMMNextCode(C7,B8,Trigger)</f>
        <v>M6</v>
      </c>
      <c r="D8" s="123"/>
      <c r="E8" s="156">
        <f>_xll.qlIMMdate(C8,,Trigger)</f>
        <v>42536</v>
      </c>
      <c r="F8" s="156">
        <f>_xll.qlIMMNextDate(E8,,Trigger)</f>
        <v>42634</v>
      </c>
      <c r="G8" s="61" t="str">
        <f t="shared" si="6"/>
        <v>GbpLibor3M</v>
      </c>
      <c r="H8" s="119" t="str">
        <f t="shared" si="7"/>
        <v>GBPFUT3MM6_LCHQuote</v>
      </c>
      <c r="I8" s="125" t="str">
        <f t="shared" si="8"/>
        <v>GBPFUT3MM6ConvAdj_LCHQuote</v>
      </c>
      <c r="J8" s="64" t="str">
        <f>_xll.qlFuturesRateHelper(,$H8,,$E8,$G8,$I8,FALSE,"customdate",$F8,Permanent,Trigger,ObjectOverwrite)</f>
        <v>obj_0043f#0007</v>
      </c>
      <c r="K8" s="64" t="str">
        <f t="shared" si="9"/>
        <v>obj_0043f#0007</v>
      </c>
      <c r="L8" s="48"/>
      <c r="M8" s="10" t="str">
        <f t="shared" si="3"/>
        <v>FUT</v>
      </c>
      <c r="N8" s="94" t="str">
        <f t="shared" si="4"/>
        <v>obj_00442#0007</v>
      </c>
      <c r="O8" s="94" t="str">
        <f t="shared" si="5"/>
        <v>obj_00442#0007</v>
      </c>
      <c r="P8" s="146" t="str">
        <f>IFERROR(_xll.qlRateHelperQuoteName(N8,Trigger),"--")</f>
        <v>GBPFUT3MZ6_LCHQuote</v>
      </c>
      <c r="Q8" s="150">
        <f>IFERROR(_xll.qlRateHelperQuoteValue($N8,Trigger),"--")</f>
        <v>99.055000000000007</v>
      </c>
      <c r="R8" s="97" t="b">
        <v>1</v>
      </c>
      <c r="S8" s="94"/>
      <c r="T8" s="94">
        <v>1</v>
      </c>
      <c r="U8" s="99">
        <f>IFERROR(_xll.qlRateHelperEarliestDate(N8,Trigger),"--")</f>
        <v>42725</v>
      </c>
      <c r="V8" s="99">
        <f>IFERROR(_xll.qlRateHelperPillarDate(N8,Trigger),"--")</f>
        <v>42809</v>
      </c>
      <c r="X8" s="4" t="str">
        <f t="shared" si="0"/>
        <v>FUT</v>
      </c>
      <c r="Y8" s="4" t="str">
        <v>obj_00442</v>
      </c>
      <c r="Z8" s="4" t="str">
        <v>obj_00442</v>
      </c>
      <c r="AA8" s="4" t="str">
        <f>IFERROR(_xll.qlRateHelperQuoteName(Y8,Trigger),"")</f>
        <v>GBPFUT3MZ6_LCHQuote</v>
      </c>
      <c r="AB8" s="70">
        <f>IFERROR(_xll.qlRateHelperRate(Y8,Trigger),"")</f>
        <v>9.4050226913656269E-3</v>
      </c>
      <c r="AC8" s="104">
        <f>IF(ISERROR(_xll.qlSwapRateHelperSpread($Y8)),IF(ISERROR(_xll.qlFuturesRateHelperConvexityAdjustment($Y8)),"",_xll.qlFuturesRateHelperConvexityAdjustment($Y8)),_xll.qlSwapRateHelperSpread($Y8))</f>
        <v>4.4977308634331572E-5</v>
      </c>
      <c r="AD8" s="5">
        <f>IFERROR(_xll.qlRateHelperEarliestDate(Y8,Trigger),"")</f>
        <v>42725</v>
      </c>
      <c r="AE8" s="5">
        <f>IFERROR(_xll.qlRateHelperPillarDate(Y8,Trigger),"")</f>
        <v>42809</v>
      </c>
      <c r="AF8" s="70">
        <v>7.2211243669019574E-3</v>
      </c>
      <c r="AG8" s="77">
        <v>0.99039191113164216</v>
      </c>
      <c r="AH8" s="169">
        <v>42809</v>
      </c>
      <c r="AI8" s="170">
        <v>7.3874520969204396E-3</v>
      </c>
      <c r="AJ8" s="172">
        <f t="shared" si="1"/>
        <v>-1.6632773001848226E-4</v>
      </c>
      <c r="AK8" s="80">
        <v>0.99015165387749504</v>
      </c>
      <c r="AL8" s="161">
        <f t="shared" si="2"/>
        <v>-2.4025725414711374E-4</v>
      </c>
      <c r="AN8" s="107" t="s">
        <v>145</v>
      </c>
      <c r="AO8" s="109">
        <v>8</v>
      </c>
    </row>
    <row r="9" spans="1:41" ht="11.25" customHeight="1" x14ac:dyDescent="0.2">
      <c r="A9" s="59" t="s">
        <v>92</v>
      </c>
      <c r="B9" s="116" t="b">
        <v>1</v>
      </c>
      <c r="C9" s="62" t="str">
        <f>_xll.qlIMMNextCode(C8,B9,Trigger)</f>
        <v>U6</v>
      </c>
      <c r="D9" s="123"/>
      <c r="E9" s="156">
        <f>_xll.qlIMMdate(C9,,Trigger)</f>
        <v>42634</v>
      </c>
      <c r="F9" s="156">
        <f>_xll.qlIMMNextDate(E9,,Trigger)</f>
        <v>42725</v>
      </c>
      <c r="G9" s="61" t="str">
        <f t="shared" si="6"/>
        <v>GbpLibor3M</v>
      </c>
      <c r="H9" s="119" t="str">
        <f t="shared" si="7"/>
        <v>GBPFUT3MU6_LCHQuote</v>
      </c>
      <c r="I9" s="125" t="str">
        <f t="shared" si="8"/>
        <v>GBPFUT3MU6ConvAdj_LCHQuote</v>
      </c>
      <c r="J9" s="64" t="str">
        <f>_xll.qlFuturesRateHelper(,$H9,,$E9,$G9,$I9,FALSE,"customdate",$F9,Permanent,Trigger,ObjectOverwrite)</f>
        <v>obj_00454#0007</v>
      </c>
      <c r="K9" s="64" t="str">
        <f t="shared" si="9"/>
        <v>obj_00454#0007</v>
      </c>
      <c r="L9" s="48"/>
      <c r="M9" s="10" t="str">
        <f t="shared" si="3"/>
        <v>FUT</v>
      </c>
      <c r="N9" s="94" t="str">
        <f t="shared" si="4"/>
        <v>obj_0044b#0007</v>
      </c>
      <c r="O9" s="94" t="str">
        <f t="shared" si="5"/>
        <v>obj_0044b#0007</v>
      </c>
      <c r="P9" s="146" t="str">
        <f>IFERROR(_xll.qlRateHelperQuoteName(N9,Trigger),"--")</f>
        <v>GBPFUT3MH7_LCHQuote</v>
      </c>
      <c r="Q9" s="150">
        <f>IFERROR(_xll.qlRateHelperQuoteValue($N9,Trigger),"--")</f>
        <v>98.925000000000011</v>
      </c>
      <c r="R9" s="97" t="b">
        <v>1</v>
      </c>
      <c r="S9" s="94"/>
      <c r="T9" s="94">
        <v>1</v>
      </c>
      <c r="U9" s="99">
        <f>IFERROR(_xll.qlRateHelperEarliestDate(N9,Trigger),"--")</f>
        <v>42809</v>
      </c>
      <c r="V9" s="99">
        <f>IFERROR(_xll.qlRateHelperPillarDate(N9,Trigger),"--")</f>
        <v>42907</v>
      </c>
      <c r="X9" s="4" t="str">
        <f t="shared" si="0"/>
        <v>FUT</v>
      </c>
      <c r="Y9" s="4" t="str">
        <v>obj_0044b</v>
      </c>
      <c r="Z9" s="4" t="str">
        <v>obj_0044b</v>
      </c>
      <c r="AA9" s="4" t="str">
        <f>IFERROR(_xll.qlRateHelperQuoteName(Y9,Trigger),"")</f>
        <v>GBPFUT3MH7_LCHQuote</v>
      </c>
      <c r="AB9" s="70">
        <f>IFERROR(_xll.qlRateHelperRate(Y9,Trigger),"")</f>
        <v>1.068788663174527E-2</v>
      </c>
      <c r="AC9" s="104">
        <f>IF(ISERROR(_xll.qlSwapRateHelperSpread($Y9)),IF(ISERROR(_xll.qlFuturesRateHelperConvexityAdjustment($Y9)),"",_xll.qlFuturesRateHelperConvexityAdjustment($Y9)),_xll.qlSwapRateHelperSpread($Y9))</f>
        <v>6.2113368254657379E-5</v>
      </c>
      <c r="AD9" s="5">
        <f>IFERROR(_xll.qlRateHelperEarliestDate(Y9,Trigger),"")</f>
        <v>42809</v>
      </c>
      <c r="AE9" s="5">
        <f>IFERROR(_xll.qlRateHelperPillarDate(Y9,Trigger),"")</f>
        <v>42907</v>
      </c>
      <c r="AF9" s="70">
        <v>7.7984868251180844E-3</v>
      </c>
      <c r="AG9" s="77">
        <v>0.98755774264167351</v>
      </c>
      <c r="AH9" s="169">
        <v>42907</v>
      </c>
      <c r="AI9" s="170">
        <v>7.9995125098784401E-3</v>
      </c>
      <c r="AJ9" s="172">
        <f t="shared" si="1"/>
        <v>-2.010256847603557E-4</v>
      </c>
      <c r="AK9" s="80">
        <v>0.98721743054931299</v>
      </c>
      <c r="AL9" s="161">
        <f t="shared" si="2"/>
        <v>-3.403120923605174E-4</v>
      </c>
    </row>
    <row r="10" spans="1:41" ht="11.25" customHeight="1" x14ac:dyDescent="0.2">
      <c r="A10" s="59" t="s">
        <v>92</v>
      </c>
      <c r="B10" s="116" t="b">
        <v>1</v>
      </c>
      <c r="C10" s="62" t="str">
        <f>_xll.qlIMMNextCode(C9,B10,Trigger)</f>
        <v>Z6</v>
      </c>
      <c r="D10" s="123"/>
      <c r="E10" s="156">
        <f>_xll.qlIMMdate(C10,,Trigger)</f>
        <v>42725</v>
      </c>
      <c r="F10" s="156">
        <f>_xll.qlIMMNextDate(E10,,Trigger)</f>
        <v>42809</v>
      </c>
      <c r="G10" s="61" t="str">
        <f t="shared" si="6"/>
        <v>GbpLibor3M</v>
      </c>
      <c r="H10" s="119" t="str">
        <f t="shared" si="7"/>
        <v>GBPFUT3MZ6_LCHQuote</v>
      </c>
      <c r="I10" s="125" t="str">
        <f t="shared" si="8"/>
        <v>GBPFUT3MZ6ConvAdj_LCHQuote</v>
      </c>
      <c r="J10" s="64" t="str">
        <f>_xll.qlFuturesRateHelper(,$H10,,$E10,$G10,$I10,FALSE,"customdate",$F10,Permanent,Trigger,ObjectOverwrite)</f>
        <v>obj_00442#0007</v>
      </c>
      <c r="K10" s="64" t="str">
        <f t="shared" si="9"/>
        <v>obj_00442#0007</v>
      </c>
      <c r="L10" s="48"/>
      <c r="M10" s="10" t="str">
        <f t="shared" si="3"/>
        <v>FUT</v>
      </c>
      <c r="N10" s="94" t="str">
        <f t="shared" si="4"/>
        <v>obj_00441#0007</v>
      </c>
      <c r="O10" s="94" t="str">
        <f t="shared" si="5"/>
        <v>obj_00441#0007</v>
      </c>
      <c r="P10" s="146" t="str">
        <f>IFERROR(_xll.qlRateHelperQuoteName(N10,Trigger),"--")</f>
        <v>GBPFUT3MM7_LCHQuote</v>
      </c>
      <c r="Q10" s="150">
        <f>IFERROR(_xll.qlRateHelperQuoteValue($N10,Trigger),"--")</f>
        <v>98.795000000000002</v>
      </c>
      <c r="R10" s="97" t="b">
        <v>1</v>
      </c>
      <c r="S10" s="94"/>
      <c r="T10" s="94">
        <v>1</v>
      </c>
      <c r="U10" s="99">
        <f>IFERROR(_xll.qlRateHelperEarliestDate(N10,Trigger),"--")</f>
        <v>42907</v>
      </c>
      <c r="V10" s="99">
        <f>IFERROR(_xll.qlRateHelperPillarDate(N10,Trigger),"--")</f>
        <v>42998</v>
      </c>
      <c r="X10" s="4" t="str">
        <f t="shared" si="0"/>
        <v>FUT</v>
      </c>
      <c r="Y10" s="4" t="str">
        <v>obj_00441</v>
      </c>
      <c r="Z10" s="4" t="str">
        <v>obj_00441</v>
      </c>
      <c r="AA10" s="4" t="str">
        <f>IFERROR(_xll.qlRateHelperQuoteName(Y10,Trigger),"")</f>
        <v>GBPFUT3MM7_LCHQuote</v>
      </c>
      <c r="AB10" s="70">
        <f>IFERROR(_xll.qlRateHelperRate(Y10,Trigger),"")</f>
        <v>1.1965176965724265E-2</v>
      </c>
      <c r="AC10" s="104">
        <f>IF(ISERROR(_xll.qlSwapRateHelperSpread($Y10)),IF(ISERROR(_xll.qlFuturesRateHelperConvexityAdjustment($Y10)),"",_xll.qlFuturesRateHelperConvexityAdjustment($Y10)),_xll.qlSwapRateHelperSpread($Y10))</f>
        <v>8.482303427574004E-5</v>
      </c>
      <c r="AD10" s="5">
        <f>IFERROR(_xll.qlRateHelperEarliestDate(Y10,Trigger),"")</f>
        <v>42907</v>
      </c>
      <c r="AE10" s="5">
        <f>IFERROR(_xll.qlRateHelperPillarDate(Y10,Trigger),"")</f>
        <v>42998</v>
      </c>
      <c r="AF10" s="70">
        <v>8.3561385303109054E-3</v>
      </c>
      <c r="AG10" s="77">
        <v>0.98462057018144644</v>
      </c>
      <c r="AH10" s="169">
        <v>42998</v>
      </c>
      <c r="AI10" s="170">
        <v>8.5797824969448908E-3</v>
      </c>
      <c r="AJ10" s="172">
        <f t="shared" si="1"/>
        <v>-2.2364396663398546E-4</v>
      </c>
      <c r="AK10" s="80">
        <v>0.98418908600493304</v>
      </c>
      <c r="AL10" s="161">
        <f t="shared" si="2"/>
        <v>-4.3148417651339699E-4</v>
      </c>
      <c r="AO10" s="169"/>
    </row>
    <row r="11" spans="1:41" ht="11.25" customHeight="1" x14ac:dyDescent="0.2">
      <c r="A11" s="59" t="s">
        <v>92</v>
      </c>
      <c r="B11" s="116" t="b">
        <v>1</v>
      </c>
      <c r="C11" s="62" t="str">
        <f>_xll.qlIMMNextCode(C10,B11,Trigger)</f>
        <v>H7</v>
      </c>
      <c r="D11" s="123"/>
      <c r="E11" s="156">
        <f>_xll.qlIMMdate(C11,,Trigger)</f>
        <v>42809</v>
      </c>
      <c r="F11" s="156">
        <f>_xll.qlIMMNextDate(E11,,Trigger)</f>
        <v>42907</v>
      </c>
      <c r="G11" s="61" t="str">
        <f t="shared" si="6"/>
        <v>GbpLibor3M</v>
      </c>
      <c r="H11" s="119" t="str">
        <f t="shared" si="7"/>
        <v>GBPFUT3MH7_LCHQuote</v>
      </c>
      <c r="I11" s="125" t="str">
        <f t="shared" si="8"/>
        <v>GBPFUT3MH7ConvAdj_LCHQuote</v>
      </c>
      <c r="J11" s="64" t="str">
        <f>_xll.qlFuturesRateHelper(,$H11,,$E11,$G11,$I11,FALSE,"customdate",$F11,Permanent,Trigger,ObjectOverwrite)</f>
        <v>obj_0044b#0007</v>
      </c>
      <c r="K11" s="64" t="str">
        <f t="shared" si="9"/>
        <v>obj_0044b#0007</v>
      </c>
      <c r="L11" s="48"/>
      <c r="M11" s="10" t="str">
        <f t="shared" si="3"/>
        <v>FUT</v>
      </c>
      <c r="N11" s="94" t="str">
        <f t="shared" si="4"/>
        <v>obj_0044e#0007</v>
      </c>
      <c r="O11" s="94" t="str">
        <f t="shared" si="5"/>
        <v>obj_0044e#0007</v>
      </c>
      <c r="P11" s="146" t="str">
        <f>IFERROR(_xll.qlRateHelperQuoteName(N11,Trigger),"--")</f>
        <v>GBPFUT3MU7_LCHQuote</v>
      </c>
      <c r="Q11" s="150">
        <f>IFERROR(_xll.qlRateHelperQuoteValue($N11,Trigger),"--")</f>
        <v>98.685000000000002</v>
      </c>
      <c r="R11" s="97" t="b">
        <v>1</v>
      </c>
      <c r="S11" s="94"/>
      <c r="T11" s="94">
        <v>1</v>
      </c>
      <c r="U11" s="99">
        <f>IFERROR(_xll.qlRateHelperEarliestDate(N11,Trigger),"--")</f>
        <v>42998</v>
      </c>
      <c r="V11" s="99">
        <f>IFERROR(_xll.qlRateHelperPillarDate(N11,Trigger),"--")</f>
        <v>43089</v>
      </c>
      <c r="X11" s="4" t="str">
        <f t="shared" si="0"/>
        <v>FUT</v>
      </c>
      <c r="Y11" s="4" t="str">
        <v>obj_0044e</v>
      </c>
      <c r="Z11" s="4" t="str">
        <v>obj_0044e</v>
      </c>
      <c r="AA11" s="4" t="str">
        <f>IFERROR(_xll.qlRateHelperQuoteName(Y11,Trigger),"")</f>
        <v>GBPFUT3MU7_LCHQuote</v>
      </c>
      <c r="AB11" s="70">
        <f>IFERROR(_xll.qlRateHelperRate(Y11,Trigger),"")</f>
        <v>1.3041442464401993E-2</v>
      </c>
      <c r="AC11" s="104">
        <f>IF(ISERROR(_xll.qlSwapRateHelperSpread($Y11)),IF(ISERROR(_xll.qlFuturesRateHelperConvexityAdjustment($Y11)),"",_xll.qlFuturesRateHelperConvexityAdjustment($Y11)),_xll.qlSwapRateHelperSpread($Y11))</f>
        <v>1.0855753559800158E-4</v>
      </c>
      <c r="AD11" s="5">
        <f>IFERROR(_xll.qlRateHelperEarliestDate(Y11,Trigger),"")</f>
        <v>42998</v>
      </c>
      <c r="AE11" s="5">
        <f>IFERROR(_xll.qlRateHelperPillarDate(Y11,Trigger),"")</f>
        <v>43089</v>
      </c>
      <c r="AF11" s="70">
        <v>8.9087914980140598E-3</v>
      </c>
      <c r="AG11" s="77">
        <v>0.98142952263252259</v>
      </c>
      <c r="AH11" s="169">
        <v>43089</v>
      </c>
      <c r="AI11" s="170">
        <v>9.1488398240427808E-3</v>
      </c>
      <c r="AJ11" s="172">
        <f t="shared" si="1"/>
        <v>-2.4004832602872103E-4</v>
      </c>
      <c r="AK11" s="80">
        <v>0.98090935243064403</v>
      </c>
      <c r="AL11" s="161">
        <f t="shared" si="2"/>
        <v>-5.2017020187855589E-4</v>
      </c>
      <c r="AO11" s="169"/>
    </row>
    <row r="12" spans="1:41" ht="11.25" customHeight="1" x14ac:dyDescent="0.2">
      <c r="A12" s="59" t="s">
        <v>92</v>
      </c>
      <c r="B12" s="116" t="b">
        <v>1</v>
      </c>
      <c r="C12" s="62" t="str">
        <f>_xll.qlIMMNextCode(C11,B12,Trigger)</f>
        <v>M7</v>
      </c>
      <c r="D12" s="123"/>
      <c r="E12" s="156">
        <f>_xll.qlIMMdate(C12,,Trigger)</f>
        <v>42907</v>
      </c>
      <c r="F12" s="156">
        <f>_xll.qlIMMNextDate(E12,,Trigger)</f>
        <v>42998</v>
      </c>
      <c r="G12" s="61" t="str">
        <f t="shared" si="6"/>
        <v>GbpLibor3M</v>
      </c>
      <c r="H12" s="119" t="str">
        <f t="shared" si="7"/>
        <v>GBPFUT3MM7_LCHQuote</v>
      </c>
      <c r="I12" s="125" t="str">
        <f t="shared" si="8"/>
        <v>GBPFUT3MM7ConvAdj_LCHQuote</v>
      </c>
      <c r="J12" s="64" t="str">
        <f>_xll.qlFuturesRateHelper(,$H12,,$E12,$G12,$I12,FALSE,"customdate",$F12,Permanent,Trigger,ObjectOverwrite)</f>
        <v>obj_00441#0007</v>
      </c>
      <c r="K12" s="64" t="str">
        <f t="shared" si="9"/>
        <v>obj_00441#0007</v>
      </c>
      <c r="L12" s="48" t="s">
        <v>35</v>
      </c>
      <c r="M12" s="10" t="str">
        <f t="shared" si="3"/>
        <v>FUT</v>
      </c>
      <c r="N12" s="94" t="str">
        <f t="shared" si="4"/>
        <v>obj_0044a#0007</v>
      </c>
      <c r="O12" s="94" t="str">
        <f t="shared" si="5"/>
        <v>obj_0044a#0007</v>
      </c>
      <c r="P12" s="146" t="str">
        <f>IFERROR(_xll.qlRateHelperQuoteName(N12,Trigger),"--")</f>
        <v>GBPFUT3MZ7_LCHQuote</v>
      </c>
      <c r="Q12" s="150">
        <f>IFERROR(_xll.qlRateHelperQuoteValue($N12,Trigger),"--")</f>
        <v>98.585000000000008</v>
      </c>
      <c r="R12" s="97" t="b">
        <v>1</v>
      </c>
      <c r="S12" s="94"/>
      <c r="T12" s="94">
        <v>1</v>
      </c>
      <c r="U12" s="99">
        <f>IFERROR(_xll.qlRateHelperEarliestDate(N12,Trigger),"--")</f>
        <v>43089</v>
      </c>
      <c r="V12" s="99">
        <f>IFERROR(_xll.qlRateHelperPillarDate(N12,Trigger),"--")</f>
        <v>43180</v>
      </c>
      <c r="X12" s="4" t="str">
        <f t="shared" si="0"/>
        <v>BasSw</v>
      </c>
      <c r="Y12" s="4" t="str">
        <v>obj_00392</v>
      </c>
      <c r="Z12" s="4" t="str">
        <v>obj_00391</v>
      </c>
      <c r="AA12" s="4" t="str">
        <f>IFERROR(_xll.qlRateHelperQuoteName(Y12,Trigger),"")</f>
        <v>GBPSB6L3Y_LCHQuote</v>
      </c>
      <c r="AB12" s="70">
        <f>IFERROR(_xll.qlRateHelperRate(Y12,Trigger),"")</f>
        <v>1.1979999999999999E-2</v>
      </c>
      <c r="AC12" s="104">
        <f>IF(ISERROR(_xll.qlSwapRateHelperSpread($Y12)),IF(ISERROR(_xll.qlFuturesRateHelperConvexityAdjustment($Y12)),"",_xll.qlFuturesRateHelperConvexityAdjustment($Y12)),_xll.qlSwapRateHelperSpread($Y12))</f>
        <v>1.225E-3</v>
      </c>
      <c r="AD12" s="5">
        <f>IFERROR(_xll.qlRateHelperEarliestDate(Y12,Trigger),"")</f>
        <v>42321</v>
      </c>
      <c r="AE12" s="5">
        <f>IFERROR(_xll.qlRateHelperPillarDate(Y12,Trigger),"")</f>
        <v>43417</v>
      </c>
      <c r="AF12" s="70">
        <v>1.0750766360478468E-2</v>
      </c>
      <c r="AG12" s="77">
        <v>0.96823402237867873</v>
      </c>
      <c r="AH12" s="169">
        <v>43416</v>
      </c>
      <c r="AI12" s="170">
        <v>1.1047394919655701E-2</v>
      </c>
      <c r="AJ12" s="172">
        <f t="shared" si="1"/>
        <v>-2.9662855917723246E-4</v>
      </c>
      <c r="AK12" s="80">
        <v>0.967374268999735</v>
      </c>
      <c r="AL12" s="161">
        <f t="shared" si="2"/>
        <v>-8.5975337894372839E-4</v>
      </c>
    </row>
    <row r="13" spans="1:41" ht="11.25" customHeight="1" x14ac:dyDescent="0.2">
      <c r="A13" s="59" t="s">
        <v>92</v>
      </c>
      <c r="B13" s="116" t="b">
        <v>1</v>
      </c>
      <c r="C13" s="62" t="str">
        <f>_xll.qlIMMNextCode(C12,B13,Trigger)</f>
        <v>U7</v>
      </c>
      <c r="D13" s="123"/>
      <c r="E13" s="156">
        <f>_xll.qlIMMdate(C13,,Trigger)</f>
        <v>42998</v>
      </c>
      <c r="F13" s="156">
        <f>_xll.qlIMMNextDate(E13,,Trigger)</f>
        <v>43089</v>
      </c>
      <c r="G13" s="61" t="str">
        <f t="shared" si="6"/>
        <v>GbpLibor3M</v>
      </c>
      <c r="H13" s="119" t="str">
        <f t="shared" si="7"/>
        <v>GBPFUT3MU7_LCHQuote</v>
      </c>
      <c r="I13" s="125" t="str">
        <f t="shared" si="8"/>
        <v>GBPFUT3MU7ConvAdj_LCHQuote</v>
      </c>
      <c r="J13" s="64" t="str">
        <f>_xll.qlFuturesRateHelper(,$H13,,$E13,$G13,$I13,FALSE,"customdate",$F13,Permanent,Trigger,ObjectOverwrite)</f>
        <v>obj_0044e#0007</v>
      </c>
      <c r="K13" s="64" t="str">
        <f t="shared" si="9"/>
        <v>obj_0044e#0007</v>
      </c>
      <c r="L13" s="48"/>
      <c r="M13" s="10" t="str">
        <f t="shared" si="3"/>
        <v>FUT</v>
      </c>
      <c r="N13" s="94" t="str">
        <f t="shared" si="4"/>
        <v>obj_00447#0007</v>
      </c>
      <c r="O13" s="94" t="str">
        <f t="shared" si="5"/>
        <v>obj_00447#0007</v>
      </c>
      <c r="P13" s="146" t="str">
        <f>IFERROR(_xll.qlRateHelperQuoteName(N13,Trigger),"--")</f>
        <v>GBPFUT3MH8_LCHQuote</v>
      </c>
      <c r="Q13" s="150">
        <f>IFERROR(_xll.qlRateHelperQuoteValue($N13,Trigger),"--")</f>
        <v>98.495000000000005</v>
      </c>
      <c r="R13" s="97" t="b">
        <v>1</v>
      </c>
      <c r="S13" s="94"/>
      <c r="T13" s="94">
        <v>1</v>
      </c>
      <c r="U13" s="99">
        <f>IFERROR(_xll.qlRateHelperEarliestDate(N13,Trigger),"--")</f>
        <v>43180</v>
      </c>
      <c r="V13" s="99">
        <f>IFERROR(_xll.qlRateHelperPillarDate(N13,Trigger),"--")</f>
        <v>43271</v>
      </c>
      <c r="X13" s="4" t="str">
        <f t="shared" si="0"/>
        <v>BasSw</v>
      </c>
      <c r="Y13" s="4" t="str">
        <v>obj_0038e</v>
      </c>
      <c r="Z13" s="4" t="str">
        <v>obj_003a4</v>
      </c>
      <c r="AA13" s="4" t="str">
        <f>IFERROR(_xll.qlRateHelperQuoteName(Y13,Trigger),"")</f>
        <v>GBPSB6L4Y_LCHQuote</v>
      </c>
      <c r="AB13" s="70">
        <f>IFERROR(_xll.qlRateHelperRate(Y13,Trigger),"")</f>
        <v>1.3729999999999999E-2</v>
      </c>
      <c r="AC13" s="104">
        <f>IF(ISERROR(_xll.qlSwapRateHelperSpread($Y13)),IF(ISERROR(_xll.qlFuturesRateHelperConvexityAdjustment($Y13)),"",_xll.qlFuturesRateHelperConvexityAdjustment($Y13)),_xll.qlSwapRateHelperSpread($Y13))</f>
        <v>1.238E-3</v>
      </c>
      <c r="AD13" s="5">
        <f>IFERROR(_xll.qlRateHelperEarliestDate(Y13,Trigger),"")</f>
        <v>42321</v>
      </c>
      <c r="AE13" s="5">
        <f>IFERROR(_xll.qlRateHelperPillarDate(Y13,Trigger),"")</f>
        <v>43782</v>
      </c>
      <c r="AF13" s="70">
        <v>1.250413666011674E-2</v>
      </c>
      <c r="AG13" s="77">
        <v>0.9511821411216671</v>
      </c>
      <c r="AH13" s="169">
        <v>43781</v>
      </c>
      <c r="AI13" s="170">
        <v>1.28075033071781E-2</v>
      </c>
      <c r="AJ13" s="172">
        <f t="shared" si="1"/>
        <v>-3.0336664706136045E-4</v>
      </c>
      <c r="AK13" s="80">
        <v>0.95002982853566598</v>
      </c>
      <c r="AL13" s="161">
        <f t="shared" si="2"/>
        <v>-1.1523125860011252E-3</v>
      </c>
    </row>
    <row r="14" spans="1:41" ht="11.25" customHeight="1" x14ac:dyDescent="0.2">
      <c r="A14" s="59" t="s">
        <v>92</v>
      </c>
      <c r="B14" s="116" t="b">
        <v>1</v>
      </c>
      <c r="C14" s="62" t="str">
        <f>_xll.qlIMMNextCode(C13,B14,Trigger)</f>
        <v>Z7</v>
      </c>
      <c r="D14" s="123"/>
      <c r="E14" s="156">
        <f>_xll.qlIMMdate(C14,,Trigger)</f>
        <v>43089</v>
      </c>
      <c r="F14" s="156">
        <f>_xll.qlIMMNextDate(E14,,Trigger)</f>
        <v>43180</v>
      </c>
      <c r="G14" s="61" t="str">
        <f t="shared" si="6"/>
        <v>GbpLibor3M</v>
      </c>
      <c r="H14" s="119" t="str">
        <f t="shared" si="7"/>
        <v>GBPFUT3MZ7_LCHQuote</v>
      </c>
      <c r="I14" s="125" t="str">
        <f t="shared" si="8"/>
        <v>GBPFUT3MZ7ConvAdj_LCHQuote</v>
      </c>
      <c r="J14" s="64" t="str">
        <f>_xll.qlFuturesRateHelper(,$H14,,$E14,$G14,$I14,FALSE,"customdate",$F14,Permanent,Trigger,ObjectOverwrite)</f>
        <v>obj_0044a#0007</v>
      </c>
      <c r="K14" s="64" t="str">
        <f t="shared" si="9"/>
        <v>obj_0044a#0007</v>
      </c>
      <c r="L14" s="48"/>
      <c r="M14" s="10" t="str">
        <f t="shared" si="3"/>
        <v>FUT</v>
      </c>
      <c r="N14" s="94" t="str">
        <f t="shared" si="4"/>
        <v>obj_00451#0007</v>
      </c>
      <c r="O14" s="94" t="str">
        <f t="shared" si="5"/>
        <v>obj_00451#0007</v>
      </c>
      <c r="P14" s="146" t="str">
        <f>IFERROR(_xll.qlRateHelperQuoteName(N14,Trigger),"--")</f>
        <v>GBPFUT3MM8_LCHQuote</v>
      </c>
      <c r="Q14" s="150">
        <f>IFERROR(_xll.qlRateHelperQuoteValue($N14,Trigger),"--")</f>
        <v>98.405000000000001</v>
      </c>
      <c r="R14" s="97" t="b">
        <v>1</v>
      </c>
      <c r="S14" s="94"/>
      <c r="T14" s="94">
        <v>1</v>
      </c>
      <c r="U14" s="99">
        <f>IFERROR(_xll.qlRateHelperEarliestDate(N14,Trigger),"--")</f>
        <v>43271</v>
      </c>
      <c r="V14" s="99">
        <f>IFERROR(_xll.qlRateHelperPillarDate(N14,Trigger),"--")</f>
        <v>43362</v>
      </c>
      <c r="X14" s="4" t="str">
        <f t="shared" si="0"/>
        <v>BasSw</v>
      </c>
      <c r="Y14" s="4" t="str">
        <v>obj_0039a</v>
      </c>
      <c r="Z14" s="4" t="str">
        <v>obj_003a2</v>
      </c>
      <c r="AA14" s="4" t="str">
        <f>IFERROR(_xll.qlRateHelperQuoteName(Y14,Trigger),"")</f>
        <v>GBPSB6L5Y_LCHQuote</v>
      </c>
      <c r="AB14" s="70">
        <f>IFERROR(_xll.qlRateHelperRate(Y14,Trigger),"")</f>
        <v>1.5190000000000002E-2</v>
      </c>
      <c r="AC14" s="104">
        <f>IF(ISERROR(_xll.qlSwapRateHelperSpread($Y14)),IF(ISERROR(_xll.qlFuturesRateHelperConvexityAdjustment($Y14)),"",_xll.qlFuturesRateHelperConvexityAdjustment($Y14)),_xll.qlSwapRateHelperSpread($Y14))</f>
        <v>1.238E-3</v>
      </c>
      <c r="AD14" s="5">
        <f>IFERROR(_xll.qlRateHelperEarliestDate(Y14,Trigger),"")</f>
        <v>42321</v>
      </c>
      <c r="AE14" s="5">
        <f>IFERROR(_xll.qlRateHelperPillarDate(Y14,Trigger),"")</f>
        <v>44148</v>
      </c>
      <c r="AF14" s="70">
        <v>1.3986122943628438E-2</v>
      </c>
      <c r="AG14" s="77">
        <v>0.93238909213492549</v>
      </c>
      <c r="AH14" s="169">
        <v>44147</v>
      </c>
      <c r="AI14" s="170">
        <v>1.4258286568848E-2</v>
      </c>
      <c r="AJ14" s="172">
        <f t="shared" si="1"/>
        <v>-2.721636252195625E-4</v>
      </c>
      <c r="AK14" s="80">
        <v>0.93112172876351096</v>
      </c>
      <c r="AL14" s="161">
        <f t="shared" si="2"/>
        <v>-1.2673633714145316E-3</v>
      </c>
    </row>
    <row r="15" spans="1:41" ht="11.25" customHeight="1" x14ac:dyDescent="0.2">
      <c r="A15" s="59" t="s">
        <v>92</v>
      </c>
      <c r="B15" s="116" t="b">
        <v>1</v>
      </c>
      <c r="C15" s="62" t="str">
        <f>_xll.qlIMMNextCode(C14,B15,Trigger)</f>
        <v>H8</v>
      </c>
      <c r="D15" s="123"/>
      <c r="E15" s="156">
        <f>_xll.qlIMMdate(C15,,Trigger)</f>
        <v>43180</v>
      </c>
      <c r="F15" s="156">
        <f>_xll.qlIMMNextDate(E15,,Trigger)</f>
        <v>43271</v>
      </c>
      <c r="G15" s="61" t="str">
        <f t="shared" si="6"/>
        <v>GbpLibor3M</v>
      </c>
      <c r="H15" s="119" t="str">
        <f t="shared" si="7"/>
        <v>GBPFUT3MH8_LCHQuote</v>
      </c>
      <c r="I15" s="125" t="str">
        <f t="shared" si="8"/>
        <v>GBPFUT3MH8ConvAdj_LCHQuote</v>
      </c>
      <c r="J15" s="64" t="str">
        <f>_xll.qlFuturesRateHelper(,$H15,,$E15,$G15,$I15,FALSE,"customdate",$F15,Permanent,Trigger,ObjectOverwrite)</f>
        <v>obj_00447#0007</v>
      </c>
      <c r="K15" s="64" t="str">
        <f t="shared" si="9"/>
        <v>obj_00447#0007</v>
      </c>
      <c r="L15" s="48"/>
      <c r="M15" s="10" t="str">
        <f t="shared" ref="M15:M16" si="10">A17</f>
        <v>FUT</v>
      </c>
      <c r="N15" s="94" t="str">
        <f t="shared" ref="N15:N16" si="11">IF(ISBLANK(J17),"--",J17)</f>
        <v>obj_00446#0007</v>
      </c>
      <c r="O15" s="94" t="str">
        <f t="shared" ref="O15:O16" si="12">IF(ISBLANK(K17),"--",K17)</f>
        <v>obj_00446#0007</v>
      </c>
      <c r="P15" s="146" t="str">
        <f>IFERROR(_xll.qlRateHelperQuoteName(N15,Trigger),"--")</f>
        <v>GBPFUT3MU8_LCHQuote</v>
      </c>
      <c r="Q15" s="150">
        <f>IFERROR(_xll.qlRateHelperQuoteValue($N15,Trigger),"--")</f>
        <v>98.314999999999998</v>
      </c>
      <c r="R15" s="97" t="b">
        <v>1</v>
      </c>
      <c r="S15" s="94"/>
      <c r="T15" s="94">
        <v>1</v>
      </c>
      <c r="U15" s="99">
        <f>IFERROR(_xll.qlRateHelperEarliestDate(N15,Trigger),"--")</f>
        <v>43362</v>
      </c>
      <c r="V15" s="99">
        <f>IFERROR(_xll.qlRateHelperPillarDate(N15,Trigger),"--")</f>
        <v>43453</v>
      </c>
      <c r="X15" s="4" t="str">
        <f t="shared" si="0"/>
        <v>BasSw</v>
      </c>
      <c r="Y15" s="4" t="str">
        <v>obj_0037b</v>
      </c>
      <c r="Z15" s="4" t="str">
        <v>obj_0038b</v>
      </c>
      <c r="AA15" s="4" t="str">
        <f>IFERROR(_xll.qlRateHelperQuoteName(Y15,Trigger),"")</f>
        <v>GBPSB6L6Y_LCHQuote</v>
      </c>
      <c r="AB15" s="70">
        <f>IFERROR(_xll.qlRateHelperRate(Y15,Trigger),"")</f>
        <v>1.6410000000000001E-2</v>
      </c>
      <c r="AC15" s="104">
        <f>IF(ISERROR(_xll.qlSwapRateHelperSpread($Y15)),IF(ISERROR(_xll.qlFuturesRateHelperConvexityAdjustment($Y15)),"",_xll.qlFuturesRateHelperConvexityAdjustment($Y15)),_xll.qlSwapRateHelperSpread($Y15))</f>
        <v>1.225E-3</v>
      </c>
      <c r="AD15" s="5">
        <f>IFERROR(_xll.qlRateHelperEarliestDate(Y15,Trigger),"")</f>
        <v>42321</v>
      </c>
      <c r="AE15" s="5">
        <f>IFERROR(_xll.qlRateHelperPillarDate(Y15,Trigger),"")</f>
        <v>44515</v>
      </c>
      <c r="AF15" s="70">
        <v>1.5244874836590594E-2</v>
      </c>
      <c r="AG15" s="77">
        <v>0.91243873231099459</v>
      </c>
      <c r="AH15" s="169">
        <v>44512</v>
      </c>
      <c r="AI15" s="170">
        <v>1.5502051861560701E-2</v>
      </c>
      <c r="AJ15" s="172">
        <f t="shared" si="1"/>
        <v>-2.5717702497010664E-4</v>
      </c>
      <c r="AK15" s="80">
        <v>0.91110999334772103</v>
      </c>
      <c r="AL15" s="161">
        <f t="shared" si="2"/>
        <v>-1.328738963273568E-3</v>
      </c>
    </row>
    <row r="16" spans="1:41" ht="11.25" customHeight="1" x14ac:dyDescent="0.2">
      <c r="A16" s="59" t="s">
        <v>92</v>
      </c>
      <c r="B16" s="116" t="b">
        <v>1</v>
      </c>
      <c r="C16" s="62" t="str">
        <f>_xll.qlIMMNextCode(C15,B16,Trigger)</f>
        <v>M8</v>
      </c>
      <c r="D16" s="123"/>
      <c r="E16" s="156">
        <f>_xll.qlIMMdate(C16,,Trigger)</f>
        <v>43271</v>
      </c>
      <c r="F16" s="156">
        <f>_xll.qlIMMNextDate(E16,,Trigger)</f>
        <v>43362</v>
      </c>
      <c r="G16" s="61" t="str">
        <f t="shared" si="6"/>
        <v>GbpLibor3M</v>
      </c>
      <c r="H16" s="119" t="str">
        <f t="shared" si="7"/>
        <v>GBPFUT3MM8_LCHQuote</v>
      </c>
      <c r="I16" s="125" t="str">
        <f t="shared" si="8"/>
        <v>GBPFUT3MM8ConvAdj_LCHQuote</v>
      </c>
      <c r="J16" s="64" t="str">
        <f>_xll.qlFuturesRateHelper(,$H16,,$E16,$G16,$I16,FALSE,"customdate",$F16,Permanent,Trigger,ObjectOverwrite)</f>
        <v>obj_00451#0007</v>
      </c>
      <c r="K16" s="64" t="str">
        <f t="shared" si="9"/>
        <v>obj_00451#0007</v>
      </c>
      <c r="L16" s="48"/>
      <c r="M16" s="10" t="str">
        <f t="shared" si="10"/>
        <v>FUT</v>
      </c>
      <c r="N16" s="94" t="str">
        <f t="shared" si="11"/>
        <v>obj_00455#0007</v>
      </c>
      <c r="O16" s="94" t="str">
        <f t="shared" si="12"/>
        <v>obj_00455#0007</v>
      </c>
      <c r="P16" s="146" t="str">
        <f>IFERROR(_xll.qlRateHelperQuoteName(N16,Trigger),"--")</f>
        <v>GBPFUT3MZ8_LCHQuote</v>
      </c>
      <c r="Q16" s="150">
        <f>IFERROR(_xll.qlRateHelperQuoteValue($N16,Trigger),"--")</f>
        <v>98.234999999999999</v>
      </c>
      <c r="R16" s="97" t="b">
        <v>1</v>
      </c>
      <c r="S16" s="94"/>
      <c r="T16" s="94">
        <v>1</v>
      </c>
      <c r="U16" s="99">
        <f>IFERROR(_xll.qlRateHelperEarliestDate(N16,Trigger),"--")</f>
        <v>43453</v>
      </c>
      <c r="V16" s="99">
        <f>IFERROR(_xll.qlRateHelperPillarDate(N16,Trigger),"--")</f>
        <v>43544</v>
      </c>
      <c r="X16" s="4" t="str">
        <f t="shared" si="0"/>
        <v>BasSw</v>
      </c>
      <c r="Y16" s="4" t="str">
        <v>obj_00378</v>
      </c>
      <c r="Z16" s="4" t="str">
        <v>obj_00387</v>
      </c>
      <c r="AA16" s="4" t="str">
        <f>IFERROR(_xll.qlRateHelperQuoteName(Y16,Trigger),"")</f>
        <v>GBPSB6L7Y_LCHQuote</v>
      </c>
      <c r="AB16" s="70">
        <f>IFERROR(_xll.qlRateHelperRate(Y16,Trigger),"")</f>
        <v>1.7420000000000001E-2</v>
      </c>
      <c r="AC16" s="104">
        <f>IF(ISERROR(_xll.qlSwapRateHelperSpread($Y16)),IF(ISERROR(_xll.qlFuturesRateHelperConvexityAdjustment($Y16)),"",_xll.qlFuturesRateHelperConvexityAdjustment($Y16)),_xll.qlSwapRateHelperSpread($Y16))</f>
        <v>1.1999999999999999E-3</v>
      </c>
      <c r="AD16" s="5">
        <f>IFERROR(_xll.qlRateHelperEarliestDate(Y16,Trigger),"")</f>
        <v>42321</v>
      </c>
      <c r="AE16" s="5">
        <f>IFERROR(_xll.qlRateHelperPillarDate(Y16,Trigger),"")</f>
        <v>44879</v>
      </c>
      <c r="AF16" s="70">
        <v>1.6309082568550754E-2</v>
      </c>
      <c r="AG16" s="77">
        <v>0.89199662704626981</v>
      </c>
      <c r="AH16" s="169">
        <v>44879</v>
      </c>
      <c r="AI16" s="170">
        <v>1.6549832511566501E-2</v>
      </c>
      <c r="AJ16" s="172">
        <f t="shared" si="1"/>
        <v>-2.4074994301574726E-4</v>
      </c>
      <c r="AK16" s="80">
        <v>0.89045316145301401</v>
      </c>
      <c r="AL16" s="161">
        <f t="shared" si="2"/>
        <v>-1.5434655932557995E-3</v>
      </c>
    </row>
    <row r="17" spans="1:38" ht="11.25" customHeight="1" x14ac:dyDescent="0.2">
      <c r="A17" s="59" t="s">
        <v>92</v>
      </c>
      <c r="B17" s="116" t="b">
        <v>1</v>
      </c>
      <c r="C17" s="62" t="str">
        <f>_xll.qlIMMNextCode(C16,B17,Trigger)</f>
        <v>U8</v>
      </c>
      <c r="D17" s="123"/>
      <c r="E17" s="156">
        <f>_xll.qlIMMdate(C17,,Trigger)</f>
        <v>43362</v>
      </c>
      <c r="F17" s="156">
        <f>_xll.qlIMMNextDate(E17,,Trigger)</f>
        <v>43453</v>
      </c>
      <c r="G17" s="61" t="str">
        <f t="shared" si="6"/>
        <v>GbpLibor3M</v>
      </c>
      <c r="H17" s="119" t="str">
        <f t="shared" si="7"/>
        <v>GBPFUT3MU8_LCHQuote</v>
      </c>
      <c r="I17" s="125" t="str">
        <f t="shared" si="8"/>
        <v>GBPFUT3MU8ConvAdj_LCHQuote</v>
      </c>
      <c r="J17" s="64" t="str">
        <f>_xll.qlFuturesRateHelper(,$H17,,$E17,$G17,$I17,FALSE,"customdate",$F17,Permanent,Trigger,ObjectOverwrite)</f>
        <v>obj_00446#0007</v>
      </c>
      <c r="K17" s="64" t="str">
        <f t="shared" ref="K17:K25" si="13">J17</f>
        <v>obj_00446#0007</v>
      </c>
      <c r="L17" s="48"/>
      <c r="M17" s="10" t="str">
        <f t="shared" ref="M17:M27" si="14">A19</f>
        <v>FUT</v>
      </c>
      <c r="N17" s="94" t="str">
        <f t="shared" ref="N17:N27" si="15">IF(ISBLANK(J19),"--",J19)</f>
        <v>obj_00452#0007</v>
      </c>
      <c r="O17" s="94" t="str">
        <f t="shared" ref="O17:O27" si="16">IF(ISBLANK(K19),"--",K19)</f>
        <v>obj_00452#0007</v>
      </c>
      <c r="P17" s="146" t="str">
        <f>IFERROR(_xll.qlRateHelperQuoteName(N17,Trigger),"--")</f>
        <v>GBPFUT3MH9_LCHQuote</v>
      </c>
      <c r="Q17" s="150">
        <f>IFERROR(_xll.qlRateHelperQuoteValue($N17,Trigger),"--")</f>
        <v>98.164999999999992</v>
      </c>
      <c r="R17" s="97" t="b">
        <v>1</v>
      </c>
      <c r="S17" s="94"/>
      <c r="T17" s="94">
        <v>1</v>
      </c>
      <c r="U17" s="99">
        <f>IFERROR(_xll.qlRateHelperEarliestDate(N17,Trigger),"--")</f>
        <v>43544</v>
      </c>
      <c r="V17" s="99">
        <f>IFERROR(_xll.qlRateHelperPillarDate(N17,Trigger),"--")</f>
        <v>43635</v>
      </c>
      <c r="X17" s="4" t="str">
        <f t="shared" si="0"/>
        <v>BasSw</v>
      </c>
      <c r="Y17" s="4" t="str">
        <v>obj_003a6</v>
      </c>
      <c r="Z17" s="4" t="str">
        <v>obj_003a3</v>
      </c>
      <c r="AA17" s="4" t="str">
        <f>IFERROR(_xll.qlRateHelperQuoteName(Y17,Trigger),"")</f>
        <v>GBPSB6L8Y_LCHQuote</v>
      </c>
      <c r="AB17" s="70">
        <f>IFERROR(_xll.qlRateHelperRate(Y17,Trigger),"")</f>
        <v>1.8250000000000002E-2</v>
      </c>
      <c r="AC17" s="104">
        <f>IF(ISERROR(_xll.qlSwapRateHelperSpread($Y17)),IF(ISERROR(_xll.qlFuturesRateHelperConvexityAdjustment($Y17)),"",_xll.qlFuturesRateHelperConvexityAdjustment($Y17)),_xll.qlSwapRateHelperSpread($Y17))</f>
        <v>1.175E-3</v>
      </c>
      <c r="AD17" s="5">
        <f>IFERROR(_xll.qlRateHelperEarliestDate(Y17,Trigger),"")</f>
        <v>42321</v>
      </c>
      <c r="AE17" s="5">
        <f>IFERROR(_xll.qlRateHelperPillarDate(Y17,Trigger),"")</f>
        <v>45243</v>
      </c>
      <c r="AF17" s="70">
        <v>1.7193696681233699E-2</v>
      </c>
      <c r="AG17" s="77">
        <v>0.87141606063010202</v>
      </c>
      <c r="AH17" s="169">
        <v>45243</v>
      </c>
      <c r="AI17" s="170">
        <v>1.7413050470169299E-2</v>
      </c>
      <c r="AJ17" s="172">
        <f t="shared" si="1"/>
        <v>-2.193537889355994E-4</v>
      </c>
      <c r="AK17" s="80">
        <v>0.869845551002286</v>
      </c>
      <c r="AL17" s="161">
        <f t="shared" si="2"/>
        <v>-1.5705096278160191E-3</v>
      </c>
    </row>
    <row r="18" spans="1:38" ht="11.25" customHeight="1" x14ac:dyDescent="0.2">
      <c r="A18" s="59" t="s">
        <v>92</v>
      </c>
      <c r="B18" s="116" t="b">
        <v>1</v>
      </c>
      <c r="C18" s="62" t="str">
        <f>_xll.qlIMMNextCode(C17,B18,Trigger)</f>
        <v>Z8</v>
      </c>
      <c r="D18" s="123"/>
      <c r="E18" s="156">
        <f>_xll.qlIMMdate(C18,,Trigger)</f>
        <v>43453</v>
      </c>
      <c r="F18" s="156">
        <f>_xll.qlIMMNextDate(E18,,Trigger)</f>
        <v>43544</v>
      </c>
      <c r="G18" s="61" t="str">
        <f t="shared" si="6"/>
        <v>GbpLibor3M</v>
      </c>
      <c r="H18" s="119" t="str">
        <f t="shared" si="7"/>
        <v>GBPFUT3MZ8_LCHQuote</v>
      </c>
      <c r="I18" s="125" t="str">
        <f t="shared" si="8"/>
        <v>GBPFUT3MZ8ConvAdj_LCHQuote</v>
      </c>
      <c r="J18" s="64" t="str">
        <f>_xll.qlFuturesRateHelper(,$H18,,$E18,$G18,$I18,FALSE,"customdate",$F18,Permanent,Trigger,ObjectOverwrite)</f>
        <v>obj_00455#0007</v>
      </c>
      <c r="K18" s="64" t="str">
        <f t="shared" si="13"/>
        <v>obj_00455#0007</v>
      </c>
      <c r="L18" s="48"/>
      <c r="M18" s="10" t="str">
        <f t="shared" si="14"/>
        <v>FUT</v>
      </c>
      <c r="N18" s="94" t="str">
        <f t="shared" si="15"/>
        <v>obj_00443#0007</v>
      </c>
      <c r="O18" s="94" t="str">
        <f t="shared" si="16"/>
        <v>obj_00443#0007</v>
      </c>
      <c r="P18" s="146" t="str">
        <f>IFERROR(_xll.qlRateHelperQuoteName(N18,Trigger),"--")</f>
        <v>GBPFUT3MM9_LCHQuote</v>
      </c>
      <c r="Q18" s="150">
        <f>IFERROR(_xll.qlRateHelperQuoteValue($N18,Trigger),"--")</f>
        <v>98.09</v>
      </c>
      <c r="R18" s="97" t="b">
        <v>1</v>
      </c>
      <c r="S18" s="94"/>
      <c r="T18" s="94">
        <v>1</v>
      </c>
      <c r="U18" s="99">
        <f>IFERROR(_xll.qlRateHelperEarliestDate(N18,Trigger),"--")</f>
        <v>43635</v>
      </c>
      <c r="V18" s="99">
        <f>IFERROR(_xll.qlRateHelperPillarDate(N18,Trigger),"--")</f>
        <v>43726</v>
      </c>
      <c r="X18" s="4" t="str">
        <f t="shared" si="0"/>
        <v>BasSw</v>
      </c>
      <c r="Y18" s="4" t="str">
        <v>obj_00382</v>
      </c>
      <c r="Z18" s="4" t="str">
        <v>obj_00398</v>
      </c>
      <c r="AA18" s="4" t="str">
        <f>IFERROR(_xll.qlRateHelperQuoteName(Y18,Trigger),"")</f>
        <v>GBPSB6L9Y_LCHQuote</v>
      </c>
      <c r="AB18" s="70">
        <f>IFERROR(_xll.qlRateHelperRate(Y18,Trigger),"")</f>
        <v>1.8940000000000002E-2</v>
      </c>
      <c r="AC18" s="104">
        <f>IF(ISERROR(_xll.qlSwapRateHelperSpread($Y18)),IF(ISERROR(_xll.qlFuturesRateHelperConvexityAdjustment($Y18)),"",_xll.qlFuturesRateHelperConvexityAdjustment($Y18)),_xll.qlSwapRateHelperSpread($Y18))</f>
        <v>1.15E-3</v>
      </c>
      <c r="AD18" s="5">
        <f>IFERROR(_xll.qlRateHelperEarliestDate(Y18,Trigger),"")</f>
        <v>42321</v>
      </c>
      <c r="AE18" s="5">
        <f>IFERROR(_xll.qlRateHelperPillarDate(Y18,Trigger),"")</f>
        <v>45609</v>
      </c>
      <c r="AF18" s="70">
        <v>1.793752820109764E-2</v>
      </c>
      <c r="AG18" s="77">
        <v>0.8508020425593722</v>
      </c>
      <c r="AH18" s="169">
        <v>45608</v>
      </c>
      <c r="AI18" s="170">
        <v>1.8141834954767899E-2</v>
      </c>
      <c r="AJ18" s="172">
        <f t="shared" si="1"/>
        <v>-2.0430675367025947E-4</v>
      </c>
      <c r="AK18" s="80">
        <v>0.849236786099966</v>
      </c>
      <c r="AL18" s="161">
        <f t="shared" si="2"/>
        <v>-1.5652564594061946E-3</v>
      </c>
    </row>
    <row r="19" spans="1:38" ht="11.25" customHeight="1" x14ac:dyDescent="0.2">
      <c r="A19" s="59" t="s">
        <v>92</v>
      </c>
      <c r="B19" s="116" t="b">
        <v>1</v>
      </c>
      <c r="C19" s="62" t="str">
        <f>_xll.qlIMMNextCode(C18,B19,Trigger)</f>
        <v>H9</v>
      </c>
      <c r="D19" s="123"/>
      <c r="E19" s="156">
        <f>_xll.qlIMMdate(C19,,Trigger)</f>
        <v>43544</v>
      </c>
      <c r="F19" s="156">
        <f>_xll.qlIMMNextDate(E19,,Trigger)</f>
        <v>43635</v>
      </c>
      <c r="G19" s="61" t="str">
        <f t="shared" si="6"/>
        <v>GbpLibor3M</v>
      </c>
      <c r="H19" s="119" t="str">
        <f t="shared" si="7"/>
        <v>GBPFUT3MH9_LCHQuote</v>
      </c>
      <c r="I19" s="125" t="str">
        <f t="shared" si="8"/>
        <v>GBPFUT3MH9ConvAdj_LCHQuote</v>
      </c>
      <c r="J19" s="64" t="str">
        <f>_xll.qlFuturesRateHelper(,$H19,,$E19,$G19,$I19,FALSE,"customdate",$F19,Permanent,Trigger,ObjectOverwrite)</f>
        <v>obj_00452#0007</v>
      </c>
      <c r="K19" s="64" t="str">
        <f t="shared" si="13"/>
        <v>obj_00452#0007</v>
      </c>
      <c r="L19" s="48"/>
      <c r="M19" s="10" t="str">
        <f t="shared" si="14"/>
        <v>FUT</v>
      </c>
      <c r="N19" s="94" t="str">
        <f t="shared" si="15"/>
        <v>obj_0044d#0007</v>
      </c>
      <c r="O19" s="94" t="str">
        <f t="shared" si="16"/>
        <v>obj_0044d#0007</v>
      </c>
      <c r="P19" s="146" t="str">
        <f>IFERROR(_xll.qlRateHelperQuoteName(N19,Trigger),"--")</f>
        <v>GBPFUT3MU9_LCHQuote</v>
      </c>
      <c r="Q19" s="150">
        <f>IFERROR(_xll.qlRateHelperQuoteValue($N19,Trigger),"--")</f>
        <v>98.03</v>
      </c>
      <c r="R19" s="97" t="b">
        <v>1</v>
      </c>
      <c r="S19" s="94"/>
      <c r="T19" s="94">
        <v>1</v>
      </c>
      <c r="U19" s="99">
        <f>IFERROR(_xll.qlRateHelperEarliestDate(N19,Trigger),"--")</f>
        <v>43726</v>
      </c>
      <c r="V19" s="99">
        <f>IFERROR(_xll.qlRateHelperPillarDate(N19,Trigger),"--")</f>
        <v>43817</v>
      </c>
      <c r="X19" s="4" t="str">
        <f t="shared" si="0"/>
        <v>BasSw</v>
      </c>
      <c r="Y19" s="4" t="str">
        <v>obj_0039d</v>
      </c>
      <c r="Z19" s="4" t="str">
        <v>obj_0039c</v>
      </c>
      <c r="AA19" s="4" t="str">
        <f>IFERROR(_xll.qlRateHelperQuoteName(Y19,Trigger),"")</f>
        <v>GBPSB6L10Y_LCHQuote</v>
      </c>
      <c r="AB19" s="70">
        <f>IFERROR(_xll.qlRateHelperRate(Y19,Trigger),"")</f>
        <v>1.9519999999999999E-2</v>
      </c>
      <c r="AC19" s="104">
        <f>IF(ISERROR(_xll.qlSwapRateHelperSpread($Y19)),IF(ISERROR(_xll.qlFuturesRateHelperConvexityAdjustment($Y19)),"",_xll.qlFuturesRateHelperConvexityAdjustment($Y19)),_xll.qlSwapRateHelperSpread($Y19))</f>
        <v>1.1249999999999999E-3</v>
      </c>
      <c r="AD19" s="5">
        <f>IFERROR(_xll.qlRateHelperEarliestDate(Y19,Trigger),"")</f>
        <v>42321</v>
      </c>
      <c r="AE19" s="5">
        <f>IFERROR(_xll.qlRateHelperPillarDate(Y19,Trigger),"")</f>
        <v>45974</v>
      </c>
      <c r="AF19" s="70">
        <v>1.8570651437154698E-2</v>
      </c>
      <c r="AG19" s="77">
        <v>0.83039918557258041</v>
      </c>
      <c r="AH19" s="169">
        <v>45973</v>
      </c>
      <c r="AI19" s="170">
        <v>1.8783682467046502E-2</v>
      </c>
      <c r="AJ19" s="172">
        <f t="shared" si="1"/>
        <v>-2.1303102989180325E-4</v>
      </c>
      <c r="AK19" s="80">
        <v>0.82862981909885203</v>
      </c>
      <c r="AL19" s="161">
        <f t="shared" si="2"/>
        <v>-1.7693664737283843E-3</v>
      </c>
    </row>
    <row r="20" spans="1:38" ht="11.25" customHeight="1" x14ac:dyDescent="0.2">
      <c r="A20" s="59" t="s">
        <v>92</v>
      </c>
      <c r="B20" s="116" t="b">
        <v>1</v>
      </c>
      <c r="C20" s="62" t="str">
        <f>_xll.qlIMMNextCode(C19,B20,Trigger)</f>
        <v>M9</v>
      </c>
      <c r="D20" s="123"/>
      <c r="E20" s="156">
        <f>_xll.qlIMMdate(C20,,Trigger)</f>
        <v>43635</v>
      </c>
      <c r="F20" s="156">
        <f>_xll.qlIMMNextDate(E20,,Trigger)</f>
        <v>43726</v>
      </c>
      <c r="G20" s="61" t="str">
        <f t="shared" si="6"/>
        <v>GbpLibor3M</v>
      </c>
      <c r="H20" s="119" t="str">
        <f t="shared" si="7"/>
        <v>GBPFUT3MM9_LCHQuote</v>
      </c>
      <c r="I20" s="125" t="str">
        <f t="shared" si="8"/>
        <v>GBPFUT3MM9ConvAdj_LCHQuote</v>
      </c>
      <c r="J20" s="64" t="str">
        <f>_xll.qlFuturesRateHelper(,$H20,,$E20,$G20,$I20,FALSE,"customdate",$F20,Permanent,Trigger,ObjectOverwrite)</f>
        <v>obj_00443#0007</v>
      </c>
      <c r="K20" s="64" t="str">
        <f t="shared" si="13"/>
        <v>obj_00443#0007</v>
      </c>
      <c r="L20" s="48"/>
      <c r="M20" s="10" t="str">
        <f t="shared" si="14"/>
        <v>FUT</v>
      </c>
      <c r="N20" s="94" t="str">
        <f t="shared" si="15"/>
        <v>obj_0044c#0007</v>
      </c>
      <c r="O20" s="94" t="str">
        <f t="shared" si="16"/>
        <v>obj_0044c#0007</v>
      </c>
      <c r="P20" s="146" t="str">
        <f>IFERROR(_xll.qlRateHelperQuoteName(N20,Trigger),"--")</f>
        <v>GBPFUT3MZ9_LCHQuote</v>
      </c>
      <c r="Q20" s="150">
        <f>IFERROR(_xll.qlRateHelperQuoteValue($N20,Trigger),"--")</f>
        <v>97.960000000000008</v>
      </c>
      <c r="R20" s="97" t="b">
        <v>1</v>
      </c>
      <c r="S20" s="94"/>
      <c r="T20" s="94">
        <v>1</v>
      </c>
      <c r="U20" s="99">
        <f>IFERROR(_xll.qlRateHelperEarliestDate(N20,Trigger),"--")</f>
        <v>43817</v>
      </c>
      <c r="V20" s="99">
        <f>IFERROR(_xll.qlRateHelperPillarDate(N20,Trigger),"--")</f>
        <v>43908</v>
      </c>
      <c r="X20" s="4" t="str">
        <f t="shared" si="0"/>
        <v>BasSw</v>
      </c>
      <c r="Y20" s="4" t="str">
        <v>obj_0039b</v>
      </c>
      <c r="Z20" s="4" t="str">
        <v>obj_00393</v>
      </c>
      <c r="AA20" s="4" t="str">
        <f>IFERROR(_xll.qlRateHelperQuoteName(Y20,Trigger),"")</f>
        <v>GBPSB6L12Y_LCHQuote</v>
      </c>
      <c r="AB20" s="70">
        <f>IFERROR(_xll.qlRateHelperRate(Y20,Trigger),"")</f>
        <v>2.043E-2</v>
      </c>
      <c r="AC20" s="104">
        <f>IF(ISERROR(_xll.qlSwapRateHelperSpread($Y20)),IF(ISERROR(_xll.qlFuturesRateHelperConvexityAdjustment($Y20)),"",_xll.qlFuturesRateHelperConvexityAdjustment($Y20)),_xll.qlSwapRateHelperSpread($Y20))</f>
        <v>1.013E-3</v>
      </c>
      <c r="AD20" s="5">
        <f>IFERROR(_xll.qlRateHelperEarliestDate(Y20,Trigger),"")</f>
        <v>42321</v>
      </c>
      <c r="AE20" s="5">
        <f>IFERROR(_xll.qlRateHelperPillarDate(Y20,Trigger),"")</f>
        <v>46706</v>
      </c>
      <c r="AF20" s="70">
        <v>1.9652190494696128E-2</v>
      </c>
      <c r="AG20" s="77">
        <v>0.78971993431444953</v>
      </c>
      <c r="AH20" s="169">
        <v>46703</v>
      </c>
      <c r="AI20" s="170">
        <v>1.9843740663208199E-2</v>
      </c>
      <c r="AJ20" s="172">
        <f t="shared" si="1"/>
        <v>-1.9155016851207102E-4</v>
      </c>
      <c r="AK20" s="80">
        <v>0.78799136862671804</v>
      </c>
      <c r="AL20" s="161">
        <f t="shared" si="2"/>
        <v>-1.7285656877314981E-3</v>
      </c>
    </row>
    <row r="21" spans="1:38" ht="11.25" customHeight="1" x14ac:dyDescent="0.2">
      <c r="A21" s="59" t="s">
        <v>92</v>
      </c>
      <c r="B21" s="116" t="b">
        <v>1</v>
      </c>
      <c r="C21" s="62" t="str">
        <f>_xll.qlIMMNextCode(C20,B21,Trigger)</f>
        <v>U9</v>
      </c>
      <c r="D21" s="123"/>
      <c r="E21" s="156">
        <f>_xll.qlIMMdate(C21,,Trigger)</f>
        <v>43726</v>
      </c>
      <c r="F21" s="156">
        <f>_xll.qlIMMNextDate(E21,,Trigger)</f>
        <v>43817</v>
      </c>
      <c r="G21" s="61" t="str">
        <f t="shared" si="6"/>
        <v>GbpLibor3M</v>
      </c>
      <c r="H21" s="119" t="str">
        <f t="shared" si="7"/>
        <v>GBPFUT3MU9_LCHQuote</v>
      </c>
      <c r="I21" s="125" t="str">
        <f t="shared" si="8"/>
        <v>GBPFUT3MU9ConvAdj_LCHQuote</v>
      </c>
      <c r="J21" s="64" t="str">
        <f>_xll.qlFuturesRateHelper(,$H21,,$E21,$G21,$I21,FALSE,"customdate",$F21,Permanent,Trigger,ObjectOverwrite)</f>
        <v>obj_0044d#0007</v>
      </c>
      <c r="K21" s="64" t="str">
        <f t="shared" si="13"/>
        <v>obj_0044d#0007</v>
      </c>
      <c r="L21" s="48"/>
      <c r="M21" s="10" t="str">
        <f t="shared" si="14"/>
        <v>FUT</v>
      </c>
      <c r="N21" s="94" t="str">
        <f t="shared" si="15"/>
        <v>obj_0043c#0007</v>
      </c>
      <c r="O21" s="94" t="str">
        <f t="shared" si="16"/>
        <v>obj_0043c#0007</v>
      </c>
      <c r="P21" s="146" t="str">
        <f>IFERROR(_xll.qlRateHelperQuoteName(N21,Trigger),"--")</f>
        <v>GBPFUT3MH0_LCHQuote</v>
      </c>
      <c r="Q21" s="150">
        <f>IFERROR(_xll.qlRateHelperQuoteValue($N21,Trigger),"--")</f>
        <v>97.905000000000001</v>
      </c>
      <c r="R21" s="97" t="b">
        <v>1</v>
      </c>
      <c r="S21" s="94"/>
      <c r="T21" s="94">
        <v>1</v>
      </c>
      <c r="U21" s="99">
        <f>IFERROR(_xll.qlRateHelperEarliestDate(N21,Trigger),"--")</f>
        <v>43908</v>
      </c>
      <c r="V21" s="99">
        <f>IFERROR(_xll.qlRateHelperPillarDate(N21,Trigger),"--")</f>
        <v>43999</v>
      </c>
      <c r="X21" s="4" t="str">
        <f t="shared" si="0"/>
        <v>BasSw</v>
      </c>
      <c r="Y21" s="4" t="str">
        <v>obj_0038a</v>
      </c>
      <c r="Z21" s="4" t="str">
        <v>obj_0037d</v>
      </c>
      <c r="AA21" s="4" t="str">
        <f>IFERROR(_xll.qlRateHelperQuoteName(Y21,Trigger),"")</f>
        <v>GBPSB6L15Y_LCHQuote</v>
      </c>
      <c r="AB21" s="70">
        <f>IFERROR(_xll.qlRateHelperRate(Y21,Trigger),"")</f>
        <v>2.129E-2</v>
      </c>
      <c r="AC21" s="104">
        <f>IF(ISERROR(_xll.qlSwapRateHelperSpread($Y21)),IF(ISERROR(_xll.qlFuturesRateHelperConvexityAdjustment($Y21)),"",_xll.qlFuturesRateHelperConvexityAdjustment($Y21)),_xll.qlSwapRateHelperSpread($Y21))</f>
        <v>8.7500000000000002E-4</v>
      </c>
      <c r="AD21" s="5">
        <f>IFERROR(_xll.qlRateHelperEarliestDate(Y21,Trigger),"")</f>
        <v>42321</v>
      </c>
      <c r="AE21" s="5">
        <f>IFERROR(_xll.qlRateHelperPillarDate(Y21,Trigger),"")</f>
        <v>47800</v>
      </c>
      <c r="AF21" s="70">
        <v>2.0717667875180316E-2</v>
      </c>
      <c r="AG21" s="77">
        <v>0.73276259134913191</v>
      </c>
      <c r="AH21" s="169">
        <v>47799</v>
      </c>
      <c r="AI21" s="170">
        <v>2.09056700344038E-2</v>
      </c>
      <c r="AJ21" s="172">
        <f t="shared" si="1"/>
        <v>-1.880021592234847E-4</v>
      </c>
      <c r="AK21" s="80">
        <v>0.73069657674225197</v>
      </c>
      <c r="AL21" s="161">
        <f t="shared" si="2"/>
        <v>-2.0660146068799401E-3</v>
      </c>
    </row>
    <row r="22" spans="1:38" ht="11.25" customHeight="1" x14ac:dyDescent="0.2">
      <c r="A22" s="59" t="s">
        <v>92</v>
      </c>
      <c r="B22" s="116" t="b">
        <v>1</v>
      </c>
      <c r="C22" s="62" t="str">
        <f>_xll.qlIMMNextCode(C21,B22,Trigger)</f>
        <v>Z9</v>
      </c>
      <c r="D22" s="123"/>
      <c r="E22" s="156">
        <f>_xll.qlIMMdate(C22,,Trigger)</f>
        <v>43817</v>
      </c>
      <c r="F22" s="156">
        <f>_xll.qlIMMNextDate(E22,,Trigger)</f>
        <v>43908</v>
      </c>
      <c r="G22" s="61" t="str">
        <f t="shared" si="6"/>
        <v>GbpLibor3M</v>
      </c>
      <c r="H22" s="119" t="str">
        <f t="shared" si="7"/>
        <v>GBPFUT3MZ9_LCHQuote</v>
      </c>
      <c r="I22" s="125" t="str">
        <f t="shared" si="8"/>
        <v>GBPFUT3MZ9ConvAdj_LCHQuote</v>
      </c>
      <c r="J22" s="64" t="str">
        <f>_xll.qlFuturesRateHelper(,$H22,,$E22,$G22,$I22,FALSE,"customdate",$F22,Permanent,Trigger,ObjectOverwrite)</f>
        <v>obj_0044c#0007</v>
      </c>
      <c r="K22" s="64" t="str">
        <f t="shared" si="13"/>
        <v>obj_0044c#0007</v>
      </c>
      <c r="L22" s="48"/>
      <c r="M22" s="10" t="str">
        <f t="shared" si="14"/>
        <v>FUT</v>
      </c>
      <c r="N22" s="94" t="str">
        <f t="shared" si="15"/>
        <v>obj_00445#0007</v>
      </c>
      <c r="O22" s="94" t="str">
        <f t="shared" si="16"/>
        <v>obj_00445#0007</v>
      </c>
      <c r="P22" s="146" t="str">
        <f>IFERROR(_xll.qlRateHelperQuoteName(N22,Trigger),"--")</f>
        <v>GBPFUT3MM0_LCHQuote</v>
      </c>
      <c r="Q22" s="150">
        <f>IFERROR(_xll.qlRateHelperQuoteValue($N22,Trigger),"--")</f>
        <v>97.84</v>
      </c>
      <c r="R22" s="97" t="b">
        <v>1</v>
      </c>
      <c r="S22" s="94"/>
      <c r="T22" s="94">
        <v>1</v>
      </c>
      <c r="U22" s="99">
        <f>IFERROR(_xll.qlRateHelperEarliestDate(N22,Trigger),"--")</f>
        <v>43999</v>
      </c>
      <c r="V22" s="99">
        <f>IFERROR(_xll.qlRateHelperPillarDate(N22,Trigger),"--")</f>
        <v>44090</v>
      </c>
      <c r="X22" s="4" t="str">
        <f t="shared" si="0"/>
        <v>BasSw</v>
      </c>
      <c r="Y22" s="4" t="str">
        <v>obj_00394</v>
      </c>
      <c r="Z22" s="4" t="str">
        <v>obj_0037e</v>
      </c>
      <c r="AA22" s="4" t="str">
        <f>IFERROR(_xll.qlRateHelperQuoteName(Y22,Trigger),"")</f>
        <v>GBPSB6L20Y_LCHQuote</v>
      </c>
      <c r="AB22" s="70">
        <f>IFERROR(_xll.qlRateHelperRate(Y22,Trigger),"")</f>
        <v>2.1770000000000001E-2</v>
      </c>
      <c r="AC22" s="104">
        <f>IF(ISERROR(_xll.qlSwapRateHelperSpread($Y22)),IF(ISERROR(_xll.qlFuturesRateHelperConvexityAdjustment($Y22)),"",_xll.qlFuturesRateHelperConvexityAdjustment($Y22)),_xll.qlSwapRateHelperSpread($Y22))</f>
        <v>7.1299999999999998E-4</v>
      </c>
      <c r="AD22" s="5">
        <f>IFERROR(_xll.qlRateHelperEarliestDate(Y22,Trigger),"")</f>
        <v>42321</v>
      </c>
      <c r="AE22" s="5">
        <f>IFERROR(_xll.qlRateHelperPillarDate(Y22,Trigger),"")</f>
        <v>49626</v>
      </c>
      <c r="AF22" s="70">
        <v>2.1374733076708757E-2</v>
      </c>
      <c r="AG22" s="77">
        <v>0.65209317763884445</v>
      </c>
      <c r="AH22" s="169">
        <v>49625</v>
      </c>
      <c r="AI22" s="170">
        <v>2.1512107128916099E-2</v>
      </c>
      <c r="AJ22" s="172">
        <f t="shared" si="1"/>
        <v>-1.3737405220734175E-4</v>
      </c>
      <c r="AK22" s="80">
        <v>0.65031291044887096</v>
      </c>
      <c r="AL22" s="161">
        <f t="shared" si="2"/>
        <v>-1.7802671899734834E-3</v>
      </c>
    </row>
    <row r="23" spans="1:38" ht="11.25" customHeight="1" x14ac:dyDescent="0.2">
      <c r="A23" s="59" t="s">
        <v>92</v>
      </c>
      <c r="B23" s="116" t="b">
        <v>1</v>
      </c>
      <c r="C23" s="62" t="str">
        <f>_xll.qlIMMNextCode(C22,B23,Trigger)</f>
        <v>H0</v>
      </c>
      <c r="D23" s="123"/>
      <c r="E23" s="156">
        <f>_xll.qlIMMdate(C23,,Trigger)</f>
        <v>43908</v>
      </c>
      <c r="F23" s="156">
        <f>_xll.qlIMMNextDate(E23,,Trigger)</f>
        <v>43999</v>
      </c>
      <c r="G23" s="61" t="str">
        <f t="shared" si="6"/>
        <v>GbpLibor3M</v>
      </c>
      <c r="H23" s="119" t="str">
        <f t="shared" si="7"/>
        <v>GBPFUT3MH0_LCHQuote</v>
      </c>
      <c r="I23" s="125" t="str">
        <f t="shared" si="8"/>
        <v>GBPFUT3MH0ConvAdj_LCHQuote</v>
      </c>
      <c r="J23" s="64" t="str">
        <f>_xll.qlFuturesRateHelper(,$H23,,$E23,$G23,$I23,FALSE,"customdate",$F23,Permanent,Trigger,ObjectOverwrite)</f>
        <v>obj_0043c#0007</v>
      </c>
      <c r="K23" s="64" t="str">
        <f t="shared" si="13"/>
        <v>obj_0043c#0007</v>
      </c>
      <c r="L23" s="48"/>
      <c r="M23" s="10" t="str">
        <f t="shared" si="14"/>
        <v>FUT</v>
      </c>
      <c r="N23" s="94" t="str">
        <f t="shared" si="15"/>
        <v>obj_00453#0007</v>
      </c>
      <c r="O23" s="94" t="str">
        <f t="shared" si="16"/>
        <v>obj_00453#0007</v>
      </c>
      <c r="P23" s="146" t="str">
        <f>IFERROR(_xll.qlRateHelperQuoteName(N23,Trigger),"--")</f>
        <v>GBPFUT3MU0_LCHQuote</v>
      </c>
      <c r="Q23" s="150">
        <f>IFERROR(_xll.qlRateHelperQuoteValue($N23,Trigger),"--")</f>
        <v>97.8</v>
      </c>
      <c r="R23" s="97" t="b">
        <v>1</v>
      </c>
      <c r="S23" s="94"/>
      <c r="T23" s="94">
        <v>1</v>
      </c>
      <c r="U23" s="99">
        <f>IFERROR(_xll.qlRateHelperEarliestDate(N23,Trigger),"--")</f>
        <v>44090</v>
      </c>
      <c r="V23" s="99">
        <f>IFERROR(_xll.qlRateHelperPillarDate(N23,Trigger),"--")</f>
        <v>44181</v>
      </c>
      <c r="X23" s="4" t="str">
        <f t="shared" si="0"/>
        <v>BasSw</v>
      </c>
      <c r="Y23" s="4" t="str">
        <v>obj_00385</v>
      </c>
      <c r="Z23" s="4" t="str">
        <v>obj_00380</v>
      </c>
      <c r="AA23" s="4" t="str">
        <f>IFERROR(_xll.qlRateHelperQuoteName(Y23,Trigger),"")</f>
        <v>GBPSB6L25Y_LCHQuote</v>
      </c>
      <c r="AB23" s="70">
        <f>IFERROR(_xll.qlRateHelperRate(Y23,Trigger),"")</f>
        <v>2.1649999999999999E-2</v>
      </c>
      <c r="AC23" s="104">
        <f>IF(ISERROR(_xll.qlSwapRateHelperSpread($Y23)),IF(ISERROR(_xll.qlFuturesRateHelperConvexityAdjustment($Y23)),"",_xll.qlFuturesRateHelperConvexityAdjustment($Y23)),_xll.qlSwapRateHelperSpread($Y23))</f>
        <v>5.9999999999999995E-4</v>
      </c>
      <c r="AD23" s="5">
        <f>IFERROR(_xll.qlRateHelperEarliestDate(Y23,Trigger),"")</f>
        <v>42321</v>
      </c>
      <c r="AE23" s="5">
        <f>IFERROR(_xll.qlRateHelperPillarDate(Y23,Trigger),"")</f>
        <v>51453</v>
      </c>
      <c r="AF23" s="70">
        <v>2.128051491971876E-2</v>
      </c>
      <c r="AG23" s="77">
        <v>0.5873436442951111</v>
      </c>
      <c r="AH23" s="169">
        <v>51452</v>
      </c>
      <c r="AI23" s="170">
        <v>2.1355193362885799E-2</v>
      </c>
      <c r="AJ23" s="172">
        <f t="shared" si="1"/>
        <v>-7.4678443167039421E-5</v>
      </c>
      <c r="AK23" s="80">
        <v>0.586256042367719</v>
      </c>
      <c r="AL23" s="161">
        <f t="shared" si="2"/>
        <v>-1.0876019273921012E-3</v>
      </c>
    </row>
    <row r="24" spans="1:38" ht="11.25" customHeight="1" x14ac:dyDescent="0.2">
      <c r="A24" s="59" t="s">
        <v>92</v>
      </c>
      <c r="B24" s="116" t="b">
        <v>1</v>
      </c>
      <c r="C24" s="62" t="str">
        <f>_xll.qlIMMNextCode(C23,B24,Trigger)</f>
        <v>M0</v>
      </c>
      <c r="D24" s="123"/>
      <c r="E24" s="156">
        <f>_xll.qlIMMdate(C24,,Trigger)</f>
        <v>43999</v>
      </c>
      <c r="F24" s="156">
        <f>_xll.qlIMMNextDate(E24,,Trigger)</f>
        <v>44090</v>
      </c>
      <c r="G24" s="61" t="str">
        <f t="shared" si="6"/>
        <v>GbpLibor3M</v>
      </c>
      <c r="H24" s="119" t="str">
        <f t="shared" si="7"/>
        <v>GBPFUT3MM0_LCHQuote</v>
      </c>
      <c r="I24" s="125" t="str">
        <f t="shared" si="8"/>
        <v>GBPFUT3MM0ConvAdj_LCHQuote</v>
      </c>
      <c r="J24" s="64" t="str">
        <f>_xll.qlFuturesRateHelper(,$H24,,$E24,$G24,$I24,FALSE,"customdate",$F24,Permanent,Trigger,ObjectOverwrite)</f>
        <v>obj_00445#0007</v>
      </c>
      <c r="K24" s="64" t="str">
        <f t="shared" si="13"/>
        <v>obj_00445#0007</v>
      </c>
      <c r="L24" s="48"/>
      <c r="M24" s="10" t="str">
        <f t="shared" si="14"/>
        <v>FUT</v>
      </c>
      <c r="N24" s="94" t="str">
        <f t="shared" si="15"/>
        <v>obj_0044f#0007</v>
      </c>
      <c r="O24" s="94" t="str">
        <f t="shared" si="16"/>
        <v>obj_0044f#0007</v>
      </c>
      <c r="P24" s="146" t="str">
        <f>IFERROR(_xll.qlRateHelperQuoteName(N24,Trigger),"--")</f>
        <v>GBPFUT3MZ0_LCHQuote</v>
      </c>
      <c r="Q24" s="150">
        <f>IFERROR(_xll.qlRateHelperQuoteValue($N24,Trigger),"--")</f>
        <v>97.75</v>
      </c>
      <c r="R24" s="97" t="b">
        <v>1</v>
      </c>
      <c r="S24" s="94"/>
      <c r="T24" s="94">
        <v>1</v>
      </c>
      <c r="U24" s="99">
        <f>IFERROR(_xll.qlRateHelperEarliestDate(N24,Trigger),"--")</f>
        <v>44181</v>
      </c>
      <c r="V24" s="99">
        <f>IFERROR(_xll.qlRateHelperPillarDate(N24,Trigger),"--")</f>
        <v>44272</v>
      </c>
      <c r="X24" s="4" t="str">
        <f t="shared" si="0"/>
        <v>BasSw</v>
      </c>
      <c r="Y24" s="4" t="str">
        <v>obj_00395</v>
      </c>
      <c r="Z24" s="4" t="str">
        <v>obj_0038c</v>
      </c>
      <c r="AA24" s="4" t="str">
        <f>IFERROR(_xll.qlRateHelperQuoteName(Y24,Trigger),"")</f>
        <v>GBPSB6L30Y_LCHQuote</v>
      </c>
      <c r="AB24" s="70">
        <f>IFERROR(_xll.qlRateHelperRate(Y24,Trigger),"")</f>
        <v>2.1470000000000003E-2</v>
      </c>
      <c r="AC24" s="104">
        <f>IF(ISERROR(_xll.qlSwapRateHelperSpread($Y24)),IF(ISERROR(_xll.qlFuturesRateHelperConvexityAdjustment($Y24)),"",_xll.qlFuturesRateHelperConvexityAdjustment($Y24)),_xll.qlSwapRateHelperSpread($Y24))</f>
        <v>5.3799999999999996E-4</v>
      </c>
      <c r="AD24" s="5">
        <f>IFERROR(_xll.qlRateHelperEarliestDate(Y24,Trigger),"")</f>
        <v>42321</v>
      </c>
      <c r="AE24" s="5">
        <f>IFERROR(_xll.qlRateHelperPillarDate(Y24,Trigger),"")</f>
        <v>53279</v>
      </c>
      <c r="AF24" s="70">
        <v>2.106897086317697E-2</v>
      </c>
      <c r="AG24" s="77">
        <v>0.53140612767639062</v>
      </c>
      <c r="AH24" s="169">
        <v>53279</v>
      </c>
      <c r="AI24" s="170">
        <v>2.1097427787484399E-2</v>
      </c>
      <c r="AJ24" s="172">
        <f t="shared" si="1"/>
        <v>-2.8456924307428827E-5</v>
      </c>
      <c r="AK24" s="80">
        <v>0.53092635494401197</v>
      </c>
      <c r="AL24" s="161">
        <f t="shared" si="2"/>
        <v>-4.7977273237864715E-4</v>
      </c>
    </row>
    <row r="25" spans="1:38" ht="11.25" customHeight="1" x14ac:dyDescent="0.2">
      <c r="A25" s="59" t="s">
        <v>92</v>
      </c>
      <c r="B25" s="116" t="b">
        <v>1</v>
      </c>
      <c r="C25" s="62" t="str">
        <f>_xll.qlIMMNextCode(C24,B25,Trigger)</f>
        <v>U0</v>
      </c>
      <c r="D25" s="123"/>
      <c r="E25" s="156">
        <f>_xll.qlIMMdate(C25,,Trigger)</f>
        <v>44090</v>
      </c>
      <c r="F25" s="156">
        <f>_xll.qlIMMNextDate(E25,,Trigger)</f>
        <v>44181</v>
      </c>
      <c r="G25" s="61" t="str">
        <f t="shared" si="6"/>
        <v>GbpLibor3M</v>
      </c>
      <c r="H25" s="119" t="str">
        <f t="shared" si="7"/>
        <v>GBPFUT3MU0_LCHQuote</v>
      </c>
      <c r="I25" s="125" t="str">
        <f t="shared" si="8"/>
        <v>GBPFUT3MU0ConvAdj_LCHQuote</v>
      </c>
      <c r="J25" s="64" t="str">
        <f>_xll.qlFuturesRateHelper(,$H25,,$E25,$G25,$I25,FALSE,"customdate",$F25,Permanent,Trigger,ObjectOverwrite)</f>
        <v>obj_00453#0007</v>
      </c>
      <c r="K25" s="64" t="str">
        <f t="shared" si="13"/>
        <v>obj_00453#0007</v>
      </c>
      <c r="L25" s="48"/>
      <c r="M25" s="10" t="str">
        <f t="shared" si="14"/>
        <v>FUT</v>
      </c>
      <c r="N25" s="94" t="str">
        <f t="shared" si="15"/>
        <v>obj_00440#0007</v>
      </c>
      <c r="O25" s="94" t="str">
        <f t="shared" si="16"/>
        <v>obj_00440#0007</v>
      </c>
      <c r="P25" s="146" t="str">
        <f>IFERROR(_xll.qlRateHelperQuoteName(N25,Trigger),"--")</f>
        <v>GBPFUT3MH1_LCHQuote</v>
      </c>
      <c r="Q25" s="150">
        <f>IFERROR(_xll.qlRateHelperQuoteValue($N25,Trigger),"--")</f>
        <v>97.694999999999993</v>
      </c>
      <c r="R25" s="97" t="b">
        <v>1</v>
      </c>
      <c r="S25" s="94"/>
      <c r="T25" s="94">
        <v>1</v>
      </c>
      <c r="U25" s="99">
        <f>IFERROR(_xll.qlRateHelperEarliestDate(N25,Trigger),"--")</f>
        <v>44272</v>
      </c>
      <c r="V25" s="99">
        <f>IFERROR(_xll.qlRateHelperPillarDate(N25,Trigger),"--")</f>
        <v>44363</v>
      </c>
      <c r="X25" s="4" t="str">
        <f t="shared" si="0"/>
        <v>BasSw</v>
      </c>
      <c r="Y25" s="4" t="str">
        <v>obj_0038f</v>
      </c>
      <c r="Z25" s="4" t="str">
        <v>obj_003a1</v>
      </c>
      <c r="AA25" s="4" t="str">
        <f>IFERROR(_xll.qlRateHelperQuoteName(Y25,Trigger),"")</f>
        <v>GBPSB6L40Y_LCHQuote</v>
      </c>
      <c r="AB25" s="70">
        <f>IFERROR(_xll.qlRateHelperRate(Y25,Trigger),"")</f>
        <v>2.085E-2</v>
      </c>
      <c r="AC25" s="104">
        <f>IF(ISERROR(_xll.qlSwapRateHelperSpread($Y25)),IF(ISERROR(_xll.qlFuturesRateHelperConvexityAdjustment($Y25)),"",_xll.qlFuturesRateHelperConvexityAdjustment($Y25)),_xll.qlSwapRateHelperSpread($Y25))</f>
        <v>4.6299999999999998E-4</v>
      </c>
      <c r="AD25" s="5">
        <f>IFERROR(_xll.qlRateHelperEarliestDate(Y25,Trigger),"")</f>
        <v>42321</v>
      </c>
      <c r="AE25" s="5">
        <f>IFERROR(_xll.qlRateHelperPillarDate(Y25,Trigger),"")</f>
        <v>56933</v>
      </c>
      <c r="AF25" s="70">
        <v>2.0254842721956445E-2</v>
      </c>
      <c r="AG25" s="77">
        <v>0.44465637985540907</v>
      </c>
      <c r="AH25" s="169">
        <v>56930</v>
      </c>
      <c r="AI25" s="170">
        <v>2.0252173502215198E-2</v>
      </c>
      <c r="AJ25" s="172">
        <f t="shared" si="1"/>
        <v>2.6692197412463148E-6</v>
      </c>
      <c r="AK25" s="80">
        <v>0.44473745824401201</v>
      </c>
      <c r="AL25" s="161">
        <f t="shared" si="2"/>
        <v>8.107838860293981E-5</v>
      </c>
    </row>
    <row r="26" spans="1:38" ht="11.25" customHeight="1" x14ac:dyDescent="0.2">
      <c r="A26" s="59" t="s">
        <v>92</v>
      </c>
      <c r="B26" s="116" t="b">
        <v>1</v>
      </c>
      <c r="C26" s="62" t="str">
        <f>_xll.qlIMMNextCode(C25,B26,Trigger)</f>
        <v>Z0</v>
      </c>
      <c r="D26" s="123"/>
      <c r="E26" s="156">
        <f>_xll.qlIMMdate(C26,,Trigger)</f>
        <v>44181</v>
      </c>
      <c r="F26" s="156">
        <f>_xll.qlIMMNextDate(E26,,Trigger)</f>
        <v>44272</v>
      </c>
      <c r="G26" s="61" t="str">
        <f t="shared" si="6"/>
        <v>GbpLibor3M</v>
      </c>
      <c r="H26" s="119" t="str">
        <f t="shared" si="7"/>
        <v>GBPFUT3MZ0_LCHQuote</v>
      </c>
      <c r="I26" s="125" t="str">
        <f t="shared" si="8"/>
        <v>GBPFUT3MZ0ConvAdj_LCHQuote</v>
      </c>
      <c r="J26" s="64" t="str">
        <f>_xll.qlFuturesRateHelper(,$H26,,$E26,$G26,$I26,FALSE,"customdate",$F26,Permanent,Trigger,ObjectOverwrite)</f>
        <v>obj_0044f#0007</v>
      </c>
      <c r="K26" s="64" t="str">
        <f t="shared" ref="K26:K29" si="17">J26</f>
        <v>obj_0044f#0007</v>
      </c>
      <c r="L26" s="48"/>
      <c r="M26" s="10" t="str">
        <f t="shared" si="14"/>
        <v>FUT</v>
      </c>
      <c r="N26" s="94" t="str">
        <f t="shared" si="15"/>
        <v>obj_00450#0007</v>
      </c>
      <c r="O26" s="94" t="str">
        <f t="shared" si="16"/>
        <v>obj_00450#0007</v>
      </c>
      <c r="P26" s="146" t="str">
        <f>IFERROR(_xll.qlRateHelperQuoteName(N26,Trigger),"--")</f>
        <v>GBPFUT3MM1_LCHQuote</v>
      </c>
      <c r="Q26" s="150">
        <f>IFERROR(_xll.qlRateHelperQuoteValue($N26,Trigger),"--")</f>
        <v>97.644999999999996</v>
      </c>
      <c r="R26" s="97" t="b">
        <v>1</v>
      </c>
      <c r="S26" s="94"/>
      <c r="T26" s="94">
        <v>1</v>
      </c>
      <c r="U26" s="99">
        <f>IFERROR(_xll.qlRateHelperEarliestDate(N26,Trigger),"--")</f>
        <v>44363</v>
      </c>
      <c r="V26" s="99">
        <f>IFERROR(_xll.qlRateHelperPillarDate(N26,Trigger),"--")</f>
        <v>44454</v>
      </c>
      <c r="X26" s="4" t="str">
        <f t="shared" si="0"/>
        <v>BasSw</v>
      </c>
      <c r="Y26" s="4" t="str">
        <v>obj_00389</v>
      </c>
      <c r="Z26" s="4" t="str">
        <v>obj_003a0</v>
      </c>
      <c r="AA26" s="4" t="str">
        <f>IFERROR(_xll.qlRateHelperQuoteName(Y26,Trigger),"")</f>
        <v>GBPSB6L50Y_LCHQuote</v>
      </c>
      <c r="AB26" s="70">
        <f>IFERROR(_xll.qlRateHelperRate(Y26,Trigger),"")</f>
        <v>2.0419999999999997E-2</v>
      </c>
      <c r="AC26" s="104">
        <f>IF(ISERROR(_xll.qlSwapRateHelperSpread($Y26)),IF(ISERROR(_xll.qlFuturesRateHelperConvexityAdjustment($Y26)),"",_xll.qlFuturesRateHelperConvexityAdjustment($Y26)),_xll.qlSwapRateHelperSpread($Y26))</f>
        <v>4.1300000000000001E-4</v>
      </c>
      <c r="AD26" s="5">
        <f>IFERROR(_xll.qlRateHelperEarliestDate(Y26,Trigger),"")</f>
        <v>42321</v>
      </c>
      <c r="AE26" s="5">
        <f>IFERROR(_xll.qlRateHelperPillarDate(Y26,Trigger),"")</f>
        <v>60584</v>
      </c>
      <c r="AF26" s="70">
        <v>1.9688770985880368E-2</v>
      </c>
      <c r="AG26" s="77">
        <v>0.37336255548082375</v>
      </c>
      <c r="AH26" s="169">
        <v>60583</v>
      </c>
      <c r="AI26" s="170">
        <v>1.9694870674707099E-2</v>
      </c>
      <c r="AJ26" s="172">
        <f t="shared" si="1"/>
        <v>-6.0996888267307592E-6</v>
      </c>
      <c r="AK26" s="80">
        <v>0.37323679375763702</v>
      </c>
      <c r="AL26" s="161">
        <f t="shared" si="2"/>
        <v>-1.2576172318673473E-4</v>
      </c>
    </row>
    <row r="27" spans="1:38" ht="11.25" customHeight="1" x14ac:dyDescent="0.2">
      <c r="A27" s="59" t="s">
        <v>92</v>
      </c>
      <c r="B27" s="116" t="b">
        <v>1</v>
      </c>
      <c r="C27" s="62" t="str">
        <f>_xll.qlIMMNextCode(C26,B27,Trigger)</f>
        <v>H1</v>
      </c>
      <c r="D27" s="123"/>
      <c r="E27" s="156">
        <f>_xll.qlIMMdate(C27,,Trigger)</f>
        <v>44272</v>
      </c>
      <c r="F27" s="156">
        <f>_xll.qlIMMNextDate(E27,,Trigger)</f>
        <v>44363</v>
      </c>
      <c r="G27" s="61" t="str">
        <f t="shared" si="6"/>
        <v>GbpLibor3M</v>
      </c>
      <c r="H27" s="119" t="str">
        <f t="shared" si="7"/>
        <v>GBPFUT3MH1_LCHQuote</v>
      </c>
      <c r="I27" s="125" t="str">
        <f t="shared" si="8"/>
        <v>GBPFUT3MH1ConvAdj_LCHQuote</v>
      </c>
      <c r="J27" s="64" t="str">
        <f>_xll.qlFuturesRateHelper(,$H27,,$E27,$G27,$I27,FALSE,"customdate",$F27,Permanent,Trigger,ObjectOverwrite)</f>
        <v>obj_00440#0007</v>
      </c>
      <c r="K27" s="64" t="str">
        <f t="shared" si="17"/>
        <v>obj_00440#0007</v>
      </c>
      <c r="L27" s="48"/>
      <c r="M27" s="10" t="str">
        <f t="shared" si="14"/>
        <v>FUT</v>
      </c>
      <c r="N27" s="94" t="str">
        <f t="shared" si="15"/>
        <v>obj_0043b#0007</v>
      </c>
      <c r="O27" s="94" t="str">
        <f t="shared" si="16"/>
        <v>obj_0043b#0007</v>
      </c>
      <c r="P27" s="146" t="str">
        <f>IFERROR(_xll.qlRateHelperQuoteName(N27,Trigger),"--")</f>
        <v>GBPFUT3MU1_LCHQuote</v>
      </c>
      <c r="Q27" s="150">
        <f>IFERROR(_xll.qlRateHelperQuoteValue($N27,Trigger),"--")</f>
        <v>97.59</v>
      </c>
      <c r="R27" s="97" t="b">
        <v>1</v>
      </c>
      <c r="S27" s="94"/>
      <c r="T27" s="94">
        <v>1</v>
      </c>
      <c r="U27" s="99">
        <f>IFERROR(_xll.qlRateHelperEarliestDate(N27,Trigger),"--")</f>
        <v>44454</v>
      </c>
      <c r="V27" s="99">
        <f>IFERROR(_xll.qlRateHelperPillarDate(N27,Trigger),"--")</f>
        <v>44545</v>
      </c>
      <c r="X27" s="4" t="str">
        <f t="shared" si="0"/>
        <v>BasSw</v>
      </c>
      <c r="Y27" s="4" t="str">
        <v>obj_00379</v>
      </c>
      <c r="Z27" s="4" t="str">
        <v>obj_00399</v>
      </c>
      <c r="AA27" s="4" t="str">
        <f>IFERROR(_xll.qlRateHelperQuoteName(Y27,Trigger),"")</f>
        <v>GBPSB6L60Y_LCHQuote</v>
      </c>
      <c r="AB27" s="70">
        <f>IFERROR(_xll.qlRateHelperRate(Y27,Trigger),"")</f>
        <v>2.0390000000000002E-2</v>
      </c>
      <c r="AC27" s="104">
        <f>IF(ISERROR(_xll.qlSwapRateHelperSpread($Y27)),IF(ISERROR(_xll.qlFuturesRateHelperConvexityAdjustment($Y27)),"",_xll.qlFuturesRateHelperConvexityAdjustment($Y27)),_xll.qlSwapRateHelperSpread($Y27))</f>
        <v>3.7500000000000001E-4</v>
      </c>
      <c r="AD27" s="5">
        <f>IFERROR(_xll.qlRateHelperEarliestDate(Y27,Trigger),"")</f>
        <v>42321</v>
      </c>
      <c r="AE27" s="5">
        <f>IFERROR(_xll.qlRateHelperPillarDate(Y27,Trigger),"")</f>
        <v>64236</v>
      </c>
      <c r="AF27" s="70">
        <v>1.9738999331133853E-2</v>
      </c>
      <c r="AG27" s="77">
        <v>0.30558881899516682</v>
      </c>
      <c r="AH27" s="169">
        <v>64235</v>
      </c>
      <c r="AI27" s="170">
        <v>1.9732893951101699E-2</v>
      </c>
      <c r="AJ27" s="172">
        <f t="shared" si="1"/>
        <v>6.1053800321543561E-6</v>
      </c>
      <c r="AK27" s="80">
        <v>0.30569496501805199</v>
      </c>
      <c r="AL27" s="161">
        <f t="shared" si="2"/>
        <v>1.0614602288516739E-4</v>
      </c>
    </row>
    <row r="28" spans="1:38" ht="11.25" customHeight="1" x14ac:dyDescent="0.2">
      <c r="A28" s="59" t="s">
        <v>92</v>
      </c>
      <c r="B28" s="116" t="b">
        <v>1</v>
      </c>
      <c r="C28" s="62" t="str">
        <f>_xll.qlIMMNextCode(C27,B28,Trigger)</f>
        <v>M1</v>
      </c>
      <c r="D28" s="123"/>
      <c r="E28" s="156">
        <f>_xll.qlIMMdate(C28,,Trigger)</f>
        <v>44363</v>
      </c>
      <c r="F28" s="156">
        <f>_xll.qlIMMNextDate(E28,,Trigger)</f>
        <v>44454</v>
      </c>
      <c r="G28" s="61" t="str">
        <f t="shared" si="6"/>
        <v>GbpLibor3M</v>
      </c>
      <c r="H28" s="119" t="str">
        <f t="shared" si="7"/>
        <v>GBPFUT3MM1_LCHQuote</v>
      </c>
      <c r="I28" s="125" t="str">
        <f t="shared" si="8"/>
        <v>GBPFUT3MM1ConvAdj_LCHQuote</v>
      </c>
      <c r="J28" s="64" t="str">
        <f>_xll.qlFuturesRateHelper(,$H28,,$E28,$G28,$I28,FALSE,"customdate",$F28,Permanent,Trigger,ObjectOverwrite)</f>
        <v>obj_00450#0007</v>
      </c>
      <c r="K28" s="64" t="str">
        <f t="shared" si="17"/>
        <v>obj_00450#0007</v>
      </c>
      <c r="L28" s="48"/>
      <c r="M28" s="135" t="str">
        <f t="shared" ref="M28:M65" si="18">A32</f>
        <v>BasSw</v>
      </c>
      <c r="N28" s="136" t="str">
        <f t="shared" ref="N28:N65" si="19">IF(ISBLANK(J32),"--",J32)</f>
        <v>--</v>
      </c>
      <c r="O28" s="136" t="str">
        <f t="shared" ref="O28:O65" si="20">IF(ISBLANK(K32),"--",K32)</f>
        <v>--</v>
      </c>
      <c r="P28" s="148" t="str">
        <f>IFERROR(_xll.qlRateHelperQuoteName(N28,Trigger),"--")</f>
        <v>--</v>
      </c>
      <c r="Q28" s="138" t="str">
        <f>IFERROR(_xll.qlRateHelperQuoteValue($N28,Trigger),"--")</f>
        <v>--</v>
      </c>
      <c r="R28" s="137" t="b">
        <v>0</v>
      </c>
      <c r="S28" s="136">
        <v>10</v>
      </c>
      <c r="T28" s="136">
        <v>1</v>
      </c>
      <c r="U28" s="139" t="str">
        <f>IFERROR(_xll.qlRateHelperEarliestDate(N28,Trigger),"--")</f>
        <v>--</v>
      </c>
      <c r="V28" s="139" t="str">
        <f>IFERROR(_xll.qlRateHelperPillarDate(N28,Trigger),"--")</f>
        <v>--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1" t="s">
        <v>92</v>
      </c>
      <c r="B29" s="117" t="b">
        <v>1</v>
      </c>
      <c r="C29" s="9" t="str">
        <f>_xll.qlIMMNextCode(C28,B29,Trigger)</f>
        <v>U1</v>
      </c>
      <c r="D29" s="124"/>
      <c r="E29" s="157">
        <f>_xll.qlIMMdate(C29,,Trigger)</f>
        <v>44454</v>
      </c>
      <c r="F29" s="157">
        <f>_xll.qlIMMNextDate(E29,,Trigger)</f>
        <v>44545</v>
      </c>
      <c r="G29" s="7" t="str">
        <f t="shared" si="6"/>
        <v>GbpLibor3M</v>
      </c>
      <c r="H29" s="120" t="str">
        <f t="shared" si="7"/>
        <v>GBPFUT3MU1_LCHQuote</v>
      </c>
      <c r="I29" s="128" t="str">
        <f t="shared" si="8"/>
        <v>GBPFUT3MU1ConvAdj_LCHQuote</v>
      </c>
      <c r="J29" s="3" t="str">
        <f>_xll.qlFuturesRateHelper(,$H29,,$E29,$G29,$I29,FALSE,"customdate",$F29,Permanent,Trigger,ObjectOverwrite)</f>
        <v>obj_0043b#0007</v>
      </c>
      <c r="K29" s="3" t="str">
        <f t="shared" si="17"/>
        <v>obj_0043b#0007</v>
      </c>
      <c r="L29" s="48"/>
      <c r="M29" s="71" t="str">
        <f t="shared" si="18"/>
        <v>BasSw</v>
      </c>
      <c r="N29" s="140" t="str">
        <f t="shared" si="19"/>
        <v>--</v>
      </c>
      <c r="O29" s="140" t="str">
        <f t="shared" si="20"/>
        <v>--</v>
      </c>
      <c r="P29" s="149" t="str">
        <f>IFERROR(_xll.qlRateHelperQuoteName(N29,Trigger),"--")</f>
        <v>--</v>
      </c>
      <c r="Q29" s="142" t="str">
        <f>IFERROR(_xll.qlRateHelperQuoteValue($N29,Trigger),"--")</f>
        <v>--</v>
      </c>
      <c r="R29" s="141" t="b">
        <v>0</v>
      </c>
      <c r="S29" s="140">
        <v>10</v>
      </c>
      <c r="T29" s="140">
        <v>1</v>
      </c>
      <c r="U29" s="143" t="str">
        <f>IFERROR(_xll.qlRateHelperEarliestDate(N29,Trigger),"--")</f>
        <v>--</v>
      </c>
      <c r="V29" s="143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F30" s="50" t="s">
        <v>156</v>
      </c>
      <c r="G30" s="50" t="s">
        <v>147</v>
      </c>
      <c r="H30" s="50" t="s">
        <v>148</v>
      </c>
      <c r="L30" s="48"/>
      <c r="M30" s="71" t="str">
        <f t="shared" si="18"/>
        <v>BasSw</v>
      </c>
      <c r="N30" s="140" t="str">
        <f t="shared" si="19"/>
        <v>--</v>
      </c>
      <c r="O30" s="140" t="str">
        <f t="shared" si="20"/>
        <v>--</v>
      </c>
      <c r="P30" s="149" t="str">
        <f>IFERROR(_xll.qlRateHelperQuoteName(N30,Trigger),"--")</f>
        <v>--</v>
      </c>
      <c r="Q30" s="142" t="str">
        <f>IFERROR(_xll.qlRateHelperQuoteValue($N30,Trigger),"--")</f>
        <v>--</v>
      </c>
      <c r="R30" s="141" t="b">
        <v>0</v>
      </c>
      <c r="S30" s="140">
        <v>10</v>
      </c>
      <c r="T30" s="140">
        <v>1</v>
      </c>
      <c r="U30" s="143" t="str">
        <f>IFERROR(_xll.qlRateHelperEarliestDate(N30,Trigger),"--")</f>
        <v>--</v>
      </c>
      <c r="V30" s="143" t="str">
        <f>IFERROR(_xll.qlRateHelperPillarDate(N30,Trigger),"--")</f>
        <v>--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65" t="s">
        <v>9</v>
      </c>
      <c r="B31" s="65" t="s">
        <v>28</v>
      </c>
      <c r="C31" s="65" t="s">
        <v>111</v>
      </c>
      <c r="D31" s="65" t="s">
        <v>5</v>
      </c>
      <c r="E31" s="65" t="s">
        <v>33</v>
      </c>
      <c r="F31" s="65" t="s">
        <v>112</v>
      </c>
      <c r="G31" s="65" t="s">
        <v>4</v>
      </c>
      <c r="H31" s="65" t="s">
        <v>1</v>
      </c>
      <c r="I31" s="65" t="s">
        <v>110</v>
      </c>
      <c r="J31" s="65" t="s">
        <v>132</v>
      </c>
      <c r="K31" s="65" t="s">
        <v>133</v>
      </c>
      <c r="L31" s="48"/>
      <c r="M31" s="71" t="str">
        <f t="shared" si="18"/>
        <v>BasSw</v>
      </c>
      <c r="N31" s="140" t="str">
        <f t="shared" si="19"/>
        <v>--</v>
      </c>
      <c r="O31" s="140" t="str">
        <f t="shared" si="20"/>
        <v>--</v>
      </c>
      <c r="P31" s="149" t="str">
        <f>IFERROR(_xll.qlRateHelperQuoteName(N31,Trigger),"--")</f>
        <v>--</v>
      </c>
      <c r="Q31" s="142" t="str">
        <f>IFERROR(_xll.qlRateHelperQuoteValue($N31,Trigger),"--")</f>
        <v>--</v>
      </c>
      <c r="R31" s="141" t="b">
        <v>0</v>
      </c>
      <c r="S31" s="140">
        <v>10</v>
      </c>
      <c r="T31" s="140">
        <v>1</v>
      </c>
      <c r="U31" s="143" t="str">
        <f>IFERROR(_xll.qlRateHelperEarliestDate(N31,Trigger),"--")</f>
        <v>--</v>
      </c>
      <c r="V31" s="143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3" t="s">
        <v>115</v>
      </c>
      <c r="B32" s="54" t="s">
        <v>3</v>
      </c>
      <c r="C32" s="55" t="s">
        <v>6</v>
      </c>
      <c r="D32" s="61" t="s">
        <v>154</v>
      </c>
      <c r="E32" s="61" t="s">
        <v>7</v>
      </c>
      <c r="F32" s="61" t="s">
        <v>155</v>
      </c>
      <c r="G32" s="61" t="str">
        <f t="shared" ref="G32:G69" si="21">PROPER(Currency)&amp;FamilyName&amp;Tenor</f>
        <v>GbpLibor3M</v>
      </c>
      <c r="H32" s="59" t="str">
        <f t="shared" ref="H32:H69" si="22">IF(ReportQuoteOverwrite,Currency&amp;$G$30&amp;$H$30&amp;$B32&amp;ReportQuoteSuffix,Currency&amp;$F$30&amp;$H$30&amp;$B32&amp;QuoteSuffix)</f>
        <v>GBPSB6L6M_LCHQuote</v>
      </c>
      <c r="I32" s="126" t="str">
        <f t="shared" ref="I32:I69" si="23">IF(ReportQuoteOverwrite,0,Currency&amp;$G$30&amp;$H$30&amp;B32&amp;QuoteSuffix)</f>
        <v>GBP3L6L6M_LCHQuote</v>
      </c>
      <c r="J32" s="58"/>
      <c r="K32" s="58"/>
      <c r="L32" s="48"/>
      <c r="M32" s="71" t="str">
        <f t="shared" si="18"/>
        <v>BasSw</v>
      </c>
      <c r="N32" s="140" t="str">
        <f t="shared" si="19"/>
        <v>--</v>
      </c>
      <c r="O32" s="140" t="str">
        <f t="shared" si="20"/>
        <v>--</v>
      </c>
      <c r="P32" s="149" t="str">
        <f>IFERROR(_xll.qlRateHelperQuoteName(N32,Trigger),"--")</f>
        <v>--</v>
      </c>
      <c r="Q32" s="142" t="str">
        <f>IFERROR(_xll.qlRateHelperQuoteValue($N32,Trigger),"--")</f>
        <v>--</v>
      </c>
      <c r="R32" s="141" t="b">
        <v>0</v>
      </c>
      <c r="S32" s="140">
        <v>10</v>
      </c>
      <c r="T32" s="140">
        <v>1</v>
      </c>
      <c r="U32" s="143" t="str">
        <f>IFERROR(_xll.qlRateHelperEarliestDate(N32,Trigger),"--")</f>
        <v>--</v>
      </c>
      <c r="V32" s="143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27</v>
      </c>
      <c r="C33" s="61" t="s">
        <v>6</v>
      </c>
      <c r="D33" s="61" t="s">
        <v>154</v>
      </c>
      <c r="E33" s="61" t="s">
        <v>7</v>
      </c>
      <c r="F33" s="61" t="s">
        <v>155</v>
      </c>
      <c r="G33" s="61" t="str">
        <f t="shared" si="21"/>
        <v>GbpLibor3M</v>
      </c>
      <c r="H33" s="59" t="str">
        <f t="shared" si="22"/>
        <v>GBPSB6L1Y_LCHQuote</v>
      </c>
      <c r="I33" s="127" t="str">
        <f t="shared" si="23"/>
        <v>GBP3L6L1Y_LCHQuote</v>
      </c>
      <c r="J33" s="64"/>
      <c r="K33" s="64"/>
      <c r="L33" s="48"/>
      <c r="M33" s="71" t="str">
        <f t="shared" si="18"/>
        <v>BasSw</v>
      </c>
      <c r="N33" s="140" t="str">
        <f t="shared" si="19"/>
        <v>--</v>
      </c>
      <c r="O33" s="140" t="str">
        <f t="shared" si="20"/>
        <v>--</v>
      </c>
      <c r="P33" s="149" t="str">
        <f>IFERROR(_xll.qlRateHelperQuoteName(N33,Trigger),"--")</f>
        <v>--</v>
      </c>
      <c r="Q33" s="142" t="str">
        <f>IFERROR(_xll.qlRateHelperQuoteValue($N33,Trigger),"--")</f>
        <v>--</v>
      </c>
      <c r="R33" s="141" t="b">
        <v>0</v>
      </c>
      <c r="S33" s="140">
        <v>10</v>
      </c>
      <c r="T33" s="140">
        <v>1</v>
      </c>
      <c r="U33" s="143" t="str">
        <f>IFERROR(_xll.qlRateHelperEarliestDate(N33,Trigger),"--")</f>
        <v>--</v>
      </c>
      <c r="V33" s="143" t="str">
        <f>IFERROR(_xll.qlRateHelperPillarDate(N33,Trigger),"--")</f>
        <v>--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48</v>
      </c>
      <c r="C34" s="61" t="s">
        <v>6</v>
      </c>
      <c r="D34" s="61" t="s">
        <v>154</v>
      </c>
      <c r="E34" s="61" t="s">
        <v>7</v>
      </c>
      <c r="F34" s="61" t="s">
        <v>155</v>
      </c>
      <c r="G34" s="61" t="str">
        <f t="shared" si="21"/>
        <v>GbpLibor3M</v>
      </c>
      <c r="H34" s="59" t="str">
        <f t="shared" si="22"/>
        <v>GBPSB6L15M_LCHQuote</v>
      </c>
      <c r="I34" s="127" t="str">
        <f t="shared" si="23"/>
        <v>GBP3L6L15M_LCHQuote</v>
      </c>
      <c r="J34" s="64"/>
      <c r="K34" s="64"/>
      <c r="L34" s="48"/>
      <c r="M34" s="71" t="str">
        <f t="shared" si="18"/>
        <v>BasSw</v>
      </c>
      <c r="N34" s="140" t="str">
        <f t="shared" si="19"/>
        <v>obj_00392#0007</v>
      </c>
      <c r="O34" s="140" t="str">
        <f t="shared" si="20"/>
        <v>obj_00391#0007</v>
      </c>
      <c r="P34" s="149" t="str">
        <f>IFERROR(_xll.qlRateHelperQuoteName(N34,Trigger),"--")</f>
        <v>GBPSB6L3Y_LCHQuote</v>
      </c>
      <c r="Q34" s="142">
        <f>IFERROR(_xll.qlRateHelperQuoteValue($N34,Trigger),"--")</f>
        <v>1.1979999999999999E-2</v>
      </c>
      <c r="R34" s="141" t="b">
        <v>1</v>
      </c>
      <c r="S34" s="140">
        <v>10</v>
      </c>
      <c r="T34" s="140">
        <v>1</v>
      </c>
      <c r="U34" s="143">
        <f>IFERROR(_xll.qlRateHelperEarliestDate(N34,Trigger),"--")</f>
        <v>42321</v>
      </c>
      <c r="V34" s="143">
        <f>IFERROR(_xll.qlRateHelperPillarDate(N34,Trigger),"--")</f>
        <v>43417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49</v>
      </c>
      <c r="C35" s="61" t="s">
        <v>6</v>
      </c>
      <c r="D35" s="61" t="s">
        <v>154</v>
      </c>
      <c r="E35" s="61" t="s">
        <v>7</v>
      </c>
      <c r="F35" s="61" t="s">
        <v>155</v>
      </c>
      <c r="G35" s="61" t="str">
        <f t="shared" si="21"/>
        <v>GbpLibor3M</v>
      </c>
      <c r="H35" s="59" t="str">
        <f t="shared" si="22"/>
        <v>GBPSB6L18M_LCHQuote</v>
      </c>
      <c r="I35" s="127" t="str">
        <f t="shared" si="23"/>
        <v>GBP3L6L18M_LCHQuote</v>
      </c>
      <c r="J35" s="64"/>
      <c r="K35" s="64"/>
      <c r="L35" s="48"/>
      <c r="M35" s="71" t="str">
        <f t="shared" si="18"/>
        <v>BasSw</v>
      </c>
      <c r="N35" s="140" t="str">
        <f t="shared" si="19"/>
        <v>obj_0038e#0007</v>
      </c>
      <c r="O35" s="140" t="str">
        <f t="shared" si="20"/>
        <v>obj_003a4#0007</v>
      </c>
      <c r="P35" s="149" t="str">
        <f>IFERROR(_xll.qlRateHelperQuoteName(N35,Trigger),"--")</f>
        <v>GBPSB6L4Y_LCHQuote</v>
      </c>
      <c r="Q35" s="142">
        <f>IFERROR(_xll.qlRateHelperQuoteValue($N35,Trigger),"--")</f>
        <v>1.3729999999999999E-2</v>
      </c>
      <c r="R35" s="141" t="b">
        <v>1</v>
      </c>
      <c r="S35" s="140">
        <v>10</v>
      </c>
      <c r="T35" s="140">
        <v>1</v>
      </c>
      <c r="U35" s="143">
        <f>IFERROR(_xll.qlRateHelperEarliestDate(N35,Trigger),"--")</f>
        <v>42321</v>
      </c>
      <c r="V35" s="143">
        <f>IFERROR(_xll.qlRateHelperPillarDate(N35,Trigger),"--")</f>
        <v>43782</v>
      </c>
      <c r="X35" s="4" t="str">
        <f t="shared" ref="X35:X65" si="24">IFERROR(INDEX($M$3:$M$65,MATCH(AA35,$P$3:$P$65,0),1),"")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50</v>
      </c>
      <c r="C36" s="61" t="s">
        <v>6</v>
      </c>
      <c r="D36" s="61" t="s">
        <v>154</v>
      </c>
      <c r="E36" s="61" t="s">
        <v>7</v>
      </c>
      <c r="F36" s="61" t="s">
        <v>155</v>
      </c>
      <c r="G36" s="61" t="str">
        <f t="shared" si="21"/>
        <v>GbpLibor3M</v>
      </c>
      <c r="H36" s="59" t="str">
        <f t="shared" si="22"/>
        <v>GBPSB6L21M_LCHQuote</v>
      </c>
      <c r="I36" s="127" t="str">
        <f t="shared" si="23"/>
        <v>GBP3L6L21M_LCHQuote</v>
      </c>
      <c r="J36" s="64"/>
      <c r="K36" s="64"/>
      <c r="L36" s="48"/>
      <c r="M36" s="71" t="str">
        <f t="shared" si="18"/>
        <v>BasSw</v>
      </c>
      <c r="N36" s="140" t="str">
        <f t="shared" si="19"/>
        <v>obj_0039a#0007</v>
      </c>
      <c r="O36" s="140" t="str">
        <f t="shared" si="20"/>
        <v>obj_003a2#0007</v>
      </c>
      <c r="P36" s="149" t="str">
        <f>IFERROR(_xll.qlRateHelperQuoteName(N36,Trigger),"--")</f>
        <v>GBPSB6L5Y_LCHQuote</v>
      </c>
      <c r="Q36" s="142">
        <f>IFERROR(_xll.qlRateHelperQuoteValue($N36,Trigger),"--")</f>
        <v>1.5190000000000002E-2</v>
      </c>
      <c r="R36" s="141" t="b">
        <v>1</v>
      </c>
      <c r="S36" s="140">
        <v>10</v>
      </c>
      <c r="T36" s="140">
        <v>1</v>
      </c>
      <c r="U36" s="143">
        <f>IFERROR(_xll.qlRateHelperEarliestDate(N36,Trigger),"--")</f>
        <v>42321</v>
      </c>
      <c r="V36" s="143">
        <f>IFERROR(_xll.qlRateHelperPillarDate(N36,Trigger),"--")</f>
        <v>44148</v>
      </c>
      <c r="X36" s="4" t="str">
        <f t="shared" si="24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51</v>
      </c>
      <c r="C37" s="61" t="s">
        <v>6</v>
      </c>
      <c r="D37" s="61" t="s">
        <v>154</v>
      </c>
      <c r="E37" s="61" t="s">
        <v>7</v>
      </c>
      <c r="F37" s="61" t="s">
        <v>155</v>
      </c>
      <c r="G37" s="61" t="str">
        <f t="shared" si="21"/>
        <v>GbpLibor3M</v>
      </c>
      <c r="H37" s="59" t="str">
        <f t="shared" si="22"/>
        <v>GBPSB6L2Y_LCHQuote</v>
      </c>
      <c r="I37" s="127" t="str">
        <f t="shared" si="23"/>
        <v>GBP3L6L2Y_LCHQuote</v>
      </c>
      <c r="J37" s="64"/>
      <c r="K37" s="64"/>
      <c r="L37" s="48"/>
      <c r="M37" s="71" t="str">
        <f t="shared" si="18"/>
        <v>BasSw</v>
      </c>
      <c r="N37" s="140" t="str">
        <f t="shared" si="19"/>
        <v>obj_0037b#0007</v>
      </c>
      <c r="O37" s="140" t="str">
        <f t="shared" si="20"/>
        <v>obj_0038b#0007</v>
      </c>
      <c r="P37" s="149" t="str">
        <f>IFERROR(_xll.qlRateHelperQuoteName(N37,Trigger),"--")</f>
        <v>GBPSB6L6Y_LCHQuote</v>
      </c>
      <c r="Q37" s="142">
        <f>IFERROR(_xll.qlRateHelperQuoteValue($N37,Trigger),"--")</f>
        <v>1.6410000000000001E-2</v>
      </c>
      <c r="R37" s="141" t="b">
        <v>1</v>
      </c>
      <c r="S37" s="140">
        <v>10</v>
      </c>
      <c r="T37" s="140">
        <v>1</v>
      </c>
      <c r="U37" s="143">
        <f>IFERROR(_xll.qlRateHelperEarliestDate(N37,Trigger),"--")</f>
        <v>42321</v>
      </c>
      <c r="V37" s="143">
        <f>IFERROR(_xll.qlRateHelperPillarDate(N37,Trigger),"--")</f>
        <v>44515</v>
      </c>
      <c r="X37" s="4" t="str">
        <f t="shared" si="24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52</v>
      </c>
      <c r="C38" s="61" t="s">
        <v>6</v>
      </c>
      <c r="D38" s="61" t="s">
        <v>154</v>
      </c>
      <c r="E38" s="61" t="s">
        <v>7</v>
      </c>
      <c r="F38" s="61" t="s">
        <v>155</v>
      </c>
      <c r="G38" s="61" t="str">
        <f t="shared" si="21"/>
        <v>GbpLibor3M</v>
      </c>
      <c r="H38" s="59" t="str">
        <f t="shared" si="22"/>
        <v>GBPSB6L3Y_LCHQuote</v>
      </c>
      <c r="I38" s="127" t="str">
        <f t="shared" si="23"/>
        <v>GBP3L6L3Y_LCHQuote</v>
      </c>
      <c r="J38" s="64" t="str">
        <f>_xll.qlSwapRateHelper2(,$H38,0,$B38,Calendar,$D38,$E38,$F38,$G38,$I38,$C38,Discounting1,PillarDate,,Permanent,Trigger,ObjectOverwrite)</f>
        <v>obj_00392#0007</v>
      </c>
      <c r="K38" s="64" t="str">
        <f>_xll.qlSwapRateHelper2(,$H38,0,$B38,Calendar,$D38,$E38,$F38,$G38,$I38,$C38,Discounting2,PillarDate,,Permanent,Trigger,ObjectOverwrite)</f>
        <v>obj_00391#0007</v>
      </c>
      <c r="L38" s="48"/>
      <c r="M38" s="71" t="str">
        <f t="shared" si="18"/>
        <v>BasSw</v>
      </c>
      <c r="N38" s="140" t="str">
        <f t="shared" si="19"/>
        <v>obj_00378#0007</v>
      </c>
      <c r="O38" s="140" t="str">
        <f t="shared" si="20"/>
        <v>obj_00387#0007</v>
      </c>
      <c r="P38" s="149" t="str">
        <f>IFERROR(_xll.qlRateHelperQuoteName(N38,Trigger),"--")</f>
        <v>GBPSB6L7Y_LCHQuote</v>
      </c>
      <c r="Q38" s="142">
        <f>IFERROR(_xll.qlRateHelperQuoteValue($N38,Trigger),"--")</f>
        <v>1.7420000000000001E-2</v>
      </c>
      <c r="R38" s="141" t="b">
        <v>1</v>
      </c>
      <c r="S38" s="140">
        <v>10</v>
      </c>
      <c r="T38" s="140">
        <v>1</v>
      </c>
      <c r="U38" s="143">
        <f>IFERROR(_xll.qlRateHelperEarliestDate(N38,Trigger),"--")</f>
        <v>42321</v>
      </c>
      <c r="V38" s="143">
        <f>IFERROR(_xll.qlRateHelperPillarDate(N38,Trigger),"--")</f>
        <v>44879</v>
      </c>
      <c r="X38" s="4" t="str">
        <f t="shared" si="24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53</v>
      </c>
      <c r="C39" s="61" t="s">
        <v>6</v>
      </c>
      <c r="D39" s="61" t="s">
        <v>154</v>
      </c>
      <c r="E39" s="61" t="s">
        <v>7</v>
      </c>
      <c r="F39" s="61" t="s">
        <v>155</v>
      </c>
      <c r="G39" s="61" t="str">
        <f t="shared" si="21"/>
        <v>GbpLibor3M</v>
      </c>
      <c r="H39" s="59" t="str">
        <f t="shared" si="22"/>
        <v>GBPSB6L4Y_LCHQuote</v>
      </c>
      <c r="I39" s="127" t="str">
        <f t="shared" si="23"/>
        <v>GBP3L6L4Y_LCHQuote</v>
      </c>
      <c r="J39" s="64" t="str">
        <f>_xll.qlSwapRateHelper2(,$H39,0,$B39,Calendar,$D39,$E39,$F39,$G39,$I39,$C39,Discounting1,PillarDate,,Permanent,Trigger,ObjectOverwrite)</f>
        <v>obj_0038e#0007</v>
      </c>
      <c r="K39" s="64" t="str">
        <f>_xll.qlSwapRateHelper2(,$H39,0,$B39,Calendar,$D39,$E39,$F39,$G39,$I39,$C39,Discounting2,PillarDate,,Permanent,Trigger,ObjectOverwrite)</f>
        <v>obj_003a4#0007</v>
      </c>
      <c r="L39" s="48"/>
      <c r="M39" s="71" t="str">
        <f t="shared" si="18"/>
        <v>BasSw</v>
      </c>
      <c r="N39" s="140" t="str">
        <f t="shared" si="19"/>
        <v>obj_003a6#0007</v>
      </c>
      <c r="O39" s="140" t="str">
        <f t="shared" si="20"/>
        <v>obj_003a3#0007</v>
      </c>
      <c r="P39" s="149" t="str">
        <f>IFERROR(_xll.qlRateHelperQuoteName(N39,Trigger),"--")</f>
        <v>GBPSB6L8Y_LCHQuote</v>
      </c>
      <c r="Q39" s="142">
        <f>IFERROR(_xll.qlRateHelperQuoteValue($N39,Trigger),"--")</f>
        <v>1.8250000000000002E-2</v>
      </c>
      <c r="R39" s="141" t="b">
        <v>1</v>
      </c>
      <c r="S39" s="140">
        <v>10</v>
      </c>
      <c r="T39" s="140">
        <v>1</v>
      </c>
      <c r="U39" s="143">
        <f>IFERROR(_xll.qlRateHelperEarliestDate(N39,Trigger),"--")</f>
        <v>42321</v>
      </c>
      <c r="V39" s="143">
        <f>IFERROR(_xll.qlRateHelperPillarDate(N39,Trigger),"--")</f>
        <v>45243</v>
      </c>
      <c r="X39" s="4" t="str">
        <f t="shared" si="24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54</v>
      </c>
      <c r="C40" s="61" t="s">
        <v>6</v>
      </c>
      <c r="D40" s="61" t="s">
        <v>154</v>
      </c>
      <c r="E40" s="61" t="s">
        <v>7</v>
      </c>
      <c r="F40" s="61" t="s">
        <v>155</v>
      </c>
      <c r="G40" s="61" t="str">
        <f t="shared" si="21"/>
        <v>GbpLibor3M</v>
      </c>
      <c r="H40" s="59" t="str">
        <f t="shared" si="22"/>
        <v>GBPSB6L5Y_LCHQuote</v>
      </c>
      <c r="I40" s="127" t="str">
        <f t="shared" si="23"/>
        <v>GBP3L6L5Y_LCHQuote</v>
      </c>
      <c r="J40" s="64" t="str">
        <f>_xll.qlSwapRateHelper2(,$H40,0,$B40,Calendar,$D40,$E40,$F40,$G40,$I40,$C40,Discounting1,PillarDate,,Permanent,Trigger,ObjectOverwrite)</f>
        <v>obj_0039a#0007</v>
      </c>
      <c r="K40" s="64" t="str">
        <f>_xll.qlSwapRateHelper2(,$H40,0,$B40,Calendar,$D40,$E40,$F40,$G40,$I40,$C40,Discounting2,PillarDate,,Permanent,Trigger,ObjectOverwrite)</f>
        <v>obj_003a2#0007</v>
      </c>
      <c r="L40" s="48"/>
      <c r="M40" s="71" t="str">
        <f t="shared" si="18"/>
        <v>BasSw</v>
      </c>
      <c r="N40" s="140" t="str">
        <f t="shared" si="19"/>
        <v>obj_00382#0007</v>
      </c>
      <c r="O40" s="140" t="str">
        <f t="shared" si="20"/>
        <v>obj_00398#0007</v>
      </c>
      <c r="P40" s="149" t="str">
        <f>IFERROR(_xll.qlRateHelperQuoteName(N40,Trigger),"--")</f>
        <v>GBPSB6L9Y_LCHQuote</v>
      </c>
      <c r="Q40" s="142">
        <f>IFERROR(_xll.qlRateHelperQuoteValue($N40,Trigger),"--")</f>
        <v>1.8940000000000002E-2</v>
      </c>
      <c r="R40" s="141" t="b">
        <v>1</v>
      </c>
      <c r="S40" s="140">
        <v>10</v>
      </c>
      <c r="T40" s="140">
        <v>1</v>
      </c>
      <c r="U40" s="143">
        <f>IFERROR(_xll.qlRateHelperEarliestDate(N40,Trigger),"--")</f>
        <v>42321</v>
      </c>
      <c r="V40" s="143">
        <f>IFERROR(_xll.qlRateHelperPillarDate(N40,Trigger),"--")</f>
        <v>45609</v>
      </c>
      <c r="X40" s="4" t="str">
        <f t="shared" si="24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55</v>
      </c>
      <c r="C41" s="61" t="s">
        <v>6</v>
      </c>
      <c r="D41" s="61" t="s">
        <v>154</v>
      </c>
      <c r="E41" s="61" t="s">
        <v>7</v>
      </c>
      <c r="F41" s="61" t="s">
        <v>155</v>
      </c>
      <c r="G41" s="61" t="str">
        <f t="shared" si="21"/>
        <v>GbpLibor3M</v>
      </c>
      <c r="H41" s="59" t="str">
        <f t="shared" si="22"/>
        <v>GBPSB6L6Y_LCHQuote</v>
      </c>
      <c r="I41" s="127" t="str">
        <f t="shared" si="23"/>
        <v>GBP3L6L6Y_LCHQuote</v>
      </c>
      <c r="J41" s="64" t="str">
        <f>_xll.qlSwapRateHelper2(,$H41,0,$B41,Calendar,$D41,$E41,$F41,$G41,$I41,$C41,Discounting1,PillarDate,,Permanent,Trigger,ObjectOverwrite)</f>
        <v>obj_0037b#0007</v>
      </c>
      <c r="K41" s="64" t="str">
        <f>_xll.qlSwapRateHelper2(,$H41,0,$B41,Calendar,$D41,$E41,$F41,$G41,$I41,$C41,Discounting2,PillarDate,,Permanent,Trigger,ObjectOverwrite)</f>
        <v>obj_0038b#0007</v>
      </c>
      <c r="M41" s="71" t="str">
        <f t="shared" si="18"/>
        <v>BasSw</v>
      </c>
      <c r="N41" s="141" t="str">
        <f t="shared" si="19"/>
        <v>obj_0039d#0007</v>
      </c>
      <c r="O41" s="141" t="str">
        <f t="shared" si="20"/>
        <v>obj_0039c#0007</v>
      </c>
      <c r="P41" s="149" t="str">
        <f>IFERROR(_xll.qlRateHelperQuoteName(N41,Trigger),"--")</f>
        <v>GBPSB6L10Y_LCHQuote</v>
      </c>
      <c r="Q41" s="142">
        <f>IFERROR(_xll.qlRateHelperQuoteValue($N41,Trigger),"--")</f>
        <v>1.9519999999999999E-2</v>
      </c>
      <c r="R41" s="141" t="b">
        <v>1</v>
      </c>
      <c r="S41" s="141">
        <v>10</v>
      </c>
      <c r="T41" s="141">
        <v>1</v>
      </c>
      <c r="U41" s="143">
        <f>IFERROR(_xll.qlRateHelperEarliestDate(N41,Trigger),"--")</f>
        <v>42321</v>
      </c>
      <c r="V41" s="143">
        <f>IFERROR(_xll.qlRateHelperPillarDate(N41,Trigger),"--")</f>
        <v>45974</v>
      </c>
      <c r="X41" s="4" t="str">
        <f t="shared" si="24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56</v>
      </c>
      <c r="C42" s="61" t="s">
        <v>6</v>
      </c>
      <c r="D42" s="61" t="s">
        <v>154</v>
      </c>
      <c r="E42" s="61" t="s">
        <v>7</v>
      </c>
      <c r="F42" s="61" t="s">
        <v>155</v>
      </c>
      <c r="G42" s="61" t="str">
        <f t="shared" si="21"/>
        <v>GbpLibor3M</v>
      </c>
      <c r="H42" s="59" t="str">
        <f t="shared" si="22"/>
        <v>GBPSB6L7Y_LCHQuote</v>
      </c>
      <c r="I42" s="127" t="str">
        <f t="shared" si="23"/>
        <v>GBP3L6L7Y_LCHQuote</v>
      </c>
      <c r="J42" s="64" t="str">
        <f>_xll.qlSwapRateHelper2(,$H42,0,$B42,Calendar,$D42,$E42,$F42,$G42,$I42,$C42,Discounting1,PillarDate,,Permanent,Trigger,ObjectOverwrite)</f>
        <v>obj_00378#0007</v>
      </c>
      <c r="K42" s="64" t="str">
        <f>_xll.qlSwapRateHelper2(,$H42,0,$B42,Calendar,$D42,$E42,$F42,$G42,$I42,$C42,Discounting2,PillarDate,,Permanent,Trigger,ObjectOverwrite)</f>
        <v>obj_00387#0007</v>
      </c>
      <c r="M42" s="71" t="str">
        <f t="shared" si="18"/>
        <v>BasSw</v>
      </c>
      <c r="N42" s="141" t="str">
        <f t="shared" si="19"/>
        <v>--</v>
      </c>
      <c r="O42" s="141" t="str">
        <f t="shared" si="20"/>
        <v>--</v>
      </c>
      <c r="P42" s="149" t="str">
        <f>IFERROR(_xll.qlRateHelperQuoteName(N42,Trigger),"--")</f>
        <v>--</v>
      </c>
      <c r="Q42" s="142" t="str">
        <f>IFERROR(_xll.qlRateHelperQuoteValue($N42,Trigger),"--")</f>
        <v>--</v>
      </c>
      <c r="R42" s="141" t="b">
        <v>0</v>
      </c>
      <c r="S42" s="141">
        <v>10</v>
      </c>
      <c r="T42" s="141">
        <v>1</v>
      </c>
      <c r="U42" s="143" t="str">
        <f>IFERROR(_xll.qlRateHelperEarliestDate(N42,Trigger),"--")</f>
        <v>--</v>
      </c>
      <c r="V42" s="143" t="str">
        <f>IFERROR(_xll.qlRateHelperPillarDate(N42,Trigger),"--")</f>
        <v>--</v>
      </c>
      <c r="X42" s="4" t="str">
        <f t="shared" si="24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57</v>
      </c>
      <c r="C43" s="61" t="s">
        <v>6</v>
      </c>
      <c r="D43" s="61" t="s">
        <v>154</v>
      </c>
      <c r="E43" s="61" t="s">
        <v>7</v>
      </c>
      <c r="F43" s="61" t="s">
        <v>155</v>
      </c>
      <c r="G43" s="61" t="str">
        <f t="shared" si="21"/>
        <v>GbpLibor3M</v>
      </c>
      <c r="H43" s="59" t="str">
        <f t="shared" si="22"/>
        <v>GBPSB6L8Y_LCHQuote</v>
      </c>
      <c r="I43" s="127" t="str">
        <f t="shared" si="23"/>
        <v>GBP3L6L8Y_LCHQuote</v>
      </c>
      <c r="J43" s="64" t="str">
        <f>_xll.qlSwapRateHelper2(,$H43,0,$B43,Calendar,$D43,$E43,$F43,$G43,$I43,$C43,Discounting1,PillarDate,,Permanent,Trigger,ObjectOverwrite)</f>
        <v>obj_003a6#0007</v>
      </c>
      <c r="K43" s="64" t="str">
        <f>_xll.qlSwapRateHelper2(,$H43,0,$B43,Calendar,$D43,$E43,$F43,$G43,$I43,$C43,Discounting2,PillarDate,,Permanent,Trigger,ObjectOverwrite)</f>
        <v>obj_003a3#0007</v>
      </c>
      <c r="M43" s="71" t="str">
        <f t="shared" si="18"/>
        <v>BasSw</v>
      </c>
      <c r="N43" s="141" t="str">
        <f t="shared" si="19"/>
        <v>obj_0039b#0007</v>
      </c>
      <c r="O43" s="141" t="str">
        <f t="shared" si="20"/>
        <v>obj_00393#0007</v>
      </c>
      <c r="P43" s="149" t="str">
        <f>IFERROR(_xll.qlRateHelperQuoteName(N43,Trigger),"--")</f>
        <v>GBPSB6L12Y_LCHQuote</v>
      </c>
      <c r="Q43" s="142">
        <f>IFERROR(_xll.qlRateHelperQuoteValue($N43,Trigger),"--")</f>
        <v>2.043E-2</v>
      </c>
      <c r="R43" s="141" t="b">
        <v>1</v>
      </c>
      <c r="S43" s="141">
        <v>10</v>
      </c>
      <c r="T43" s="141">
        <v>1</v>
      </c>
      <c r="U43" s="143">
        <f>IFERROR(_xll.qlRateHelperEarliestDate(N43,Trigger),"--")</f>
        <v>42321</v>
      </c>
      <c r="V43" s="143">
        <f>IFERROR(_xll.qlRateHelperPillarDate(N43,Trigger),"--")</f>
        <v>46706</v>
      </c>
      <c r="X43" s="4" t="str">
        <f t="shared" si="24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58</v>
      </c>
      <c r="C44" s="61" t="s">
        <v>6</v>
      </c>
      <c r="D44" s="61" t="s">
        <v>154</v>
      </c>
      <c r="E44" s="61" t="s">
        <v>7</v>
      </c>
      <c r="F44" s="61" t="s">
        <v>155</v>
      </c>
      <c r="G44" s="61" t="str">
        <f t="shared" si="21"/>
        <v>GbpLibor3M</v>
      </c>
      <c r="H44" s="59" t="str">
        <f t="shared" si="22"/>
        <v>GBPSB6L9Y_LCHQuote</v>
      </c>
      <c r="I44" s="127" t="str">
        <f t="shared" si="23"/>
        <v>GBP3L6L9Y_LCHQuote</v>
      </c>
      <c r="J44" s="64" t="str">
        <f>_xll.qlSwapRateHelper2(,$H44,0,$B44,Calendar,$D44,$E44,$F44,$G44,$I44,$C44,Discounting1,PillarDate,,Permanent,Trigger,ObjectOverwrite)</f>
        <v>obj_00382#0007</v>
      </c>
      <c r="K44" s="64" t="str">
        <f>_xll.qlSwapRateHelper2(,$H44,0,$B44,Calendar,$D44,$E44,$F44,$G44,$I44,$C44,Discounting2,PillarDate,,Permanent,Trigger,ObjectOverwrite)</f>
        <v>obj_00398#0007</v>
      </c>
      <c r="M44" s="71" t="str">
        <f t="shared" si="18"/>
        <v>BasSw</v>
      </c>
      <c r="N44" s="141" t="str">
        <f t="shared" si="19"/>
        <v>--</v>
      </c>
      <c r="O44" s="141" t="str">
        <f t="shared" si="20"/>
        <v>--</v>
      </c>
      <c r="P44" s="149" t="str">
        <f>IFERROR(_xll.qlRateHelperQuoteName(N44,Trigger),"--")</f>
        <v>--</v>
      </c>
      <c r="Q44" s="142" t="str">
        <f>IFERROR(_xll.qlRateHelperQuoteValue($N44,Trigger),"--")</f>
        <v>--</v>
      </c>
      <c r="R44" s="141" t="b">
        <v>0</v>
      </c>
      <c r="S44" s="141">
        <v>10</v>
      </c>
      <c r="T44" s="141">
        <v>1</v>
      </c>
      <c r="U44" s="143" t="str">
        <f>IFERROR(_xll.qlRateHelperEarliestDate(N44,Trigger),"--")</f>
        <v>--</v>
      </c>
      <c r="V44" s="143" t="str">
        <f>IFERROR(_xll.qlRateHelperPillarDate(N44,Trigger),"--")</f>
        <v>--</v>
      </c>
      <c r="X44" s="4" t="str">
        <f t="shared" si="24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59</v>
      </c>
      <c r="C45" s="61" t="s">
        <v>6</v>
      </c>
      <c r="D45" s="61" t="s">
        <v>154</v>
      </c>
      <c r="E45" s="61" t="s">
        <v>7</v>
      </c>
      <c r="F45" s="61" t="s">
        <v>155</v>
      </c>
      <c r="G45" s="61" t="str">
        <f t="shared" si="21"/>
        <v>GbpLibor3M</v>
      </c>
      <c r="H45" s="59" t="str">
        <f t="shared" si="22"/>
        <v>GBPSB6L10Y_LCHQuote</v>
      </c>
      <c r="I45" s="127" t="str">
        <f t="shared" si="23"/>
        <v>GBP3L6L10Y_LCHQuote</v>
      </c>
      <c r="J45" s="64" t="str">
        <f>_xll.qlSwapRateHelper2(,$H45,0,$B45,Calendar,$D45,$E45,$F45,$G45,$I45,$C45,Discounting1,PillarDate,,Permanent,Trigger,ObjectOverwrite)</f>
        <v>obj_0039d#0007</v>
      </c>
      <c r="K45" s="64" t="str">
        <f>_xll.qlSwapRateHelper2(,$H45,0,$B45,Calendar,$D45,$E45,$F45,$G45,$I45,$C45,Discounting2,PillarDate,,Permanent,Trigger,ObjectOverwrite)</f>
        <v>obj_0039c#0007</v>
      </c>
      <c r="M45" s="71" t="str">
        <f t="shared" si="18"/>
        <v>BasSw</v>
      </c>
      <c r="N45" s="141" t="str">
        <f t="shared" si="19"/>
        <v>--</v>
      </c>
      <c r="O45" s="141" t="str">
        <f t="shared" si="20"/>
        <v>--</v>
      </c>
      <c r="P45" s="149" t="str">
        <f>IFERROR(_xll.qlRateHelperQuoteName(N45,Trigger),"--")</f>
        <v>--</v>
      </c>
      <c r="Q45" s="142" t="str">
        <f>IFERROR(_xll.qlRateHelperQuoteValue($N45,Trigger),"--")</f>
        <v>--</v>
      </c>
      <c r="R45" s="141" t="b">
        <v>0</v>
      </c>
      <c r="S45" s="141">
        <v>10</v>
      </c>
      <c r="T45" s="141">
        <v>1</v>
      </c>
      <c r="U45" s="143" t="str">
        <f>IFERROR(_xll.qlRateHelperEarliestDate(N45,Trigger),"--")</f>
        <v>--</v>
      </c>
      <c r="V45" s="143" t="str">
        <f>IFERROR(_xll.qlRateHelperPillarDate(N45,Trigger),"--")</f>
        <v>--</v>
      </c>
      <c r="X45" s="4" t="str">
        <f t="shared" si="24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95</v>
      </c>
      <c r="C46" s="61" t="s">
        <v>6</v>
      </c>
      <c r="D46" s="61" t="s">
        <v>154</v>
      </c>
      <c r="E46" s="61" t="s">
        <v>7</v>
      </c>
      <c r="F46" s="61" t="s">
        <v>155</v>
      </c>
      <c r="G46" s="61" t="str">
        <f t="shared" si="21"/>
        <v>GbpLibor3M</v>
      </c>
      <c r="H46" s="59" t="str">
        <f t="shared" si="22"/>
        <v>GBPSB6L11Y_LCHQuote</v>
      </c>
      <c r="I46" s="127" t="str">
        <f t="shared" si="23"/>
        <v>GBP3L6L11Y_LCHQuote</v>
      </c>
      <c r="J46" s="64"/>
      <c r="K46" s="64"/>
      <c r="M46" s="71" t="str">
        <f t="shared" si="18"/>
        <v>BasSw</v>
      </c>
      <c r="N46" s="141" t="str">
        <f t="shared" si="19"/>
        <v>obj_0038a#0007</v>
      </c>
      <c r="O46" s="141" t="str">
        <f t="shared" si="20"/>
        <v>obj_0037d#0007</v>
      </c>
      <c r="P46" s="149" t="str">
        <f>IFERROR(_xll.qlRateHelperQuoteName(N46,Trigger),"--")</f>
        <v>GBPSB6L15Y_LCHQuote</v>
      </c>
      <c r="Q46" s="142">
        <f>IFERROR(_xll.qlRateHelperQuoteValue($N46,Trigger),"--")</f>
        <v>2.129E-2</v>
      </c>
      <c r="R46" s="141" t="b">
        <v>1</v>
      </c>
      <c r="S46" s="141">
        <v>10</v>
      </c>
      <c r="T46" s="141">
        <v>1</v>
      </c>
      <c r="U46" s="143">
        <f>IFERROR(_xll.qlRateHelperEarliestDate(N46,Trigger),"--")</f>
        <v>42321</v>
      </c>
      <c r="V46" s="143">
        <f>IFERROR(_xll.qlRateHelperPillarDate(N46,Trigger),"--")</f>
        <v>47800</v>
      </c>
      <c r="X46" s="4" t="str">
        <f t="shared" si="24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60</v>
      </c>
      <c r="C47" s="61" t="s">
        <v>6</v>
      </c>
      <c r="D47" s="61" t="s">
        <v>154</v>
      </c>
      <c r="E47" s="61" t="s">
        <v>7</v>
      </c>
      <c r="F47" s="61" t="s">
        <v>155</v>
      </c>
      <c r="G47" s="61" t="str">
        <f t="shared" si="21"/>
        <v>GbpLibor3M</v>
      </c>
      <c r="H47" s="59" t="str">
        <f t="shared" si="22"/>
        <v>GBPSB6L12Y_LCHQuote</v>
      </c>
      <c r="I47" s="127" t="str">
        <f t="shared" si="23"/>
        <v>GBP3L6L12Y_LCHQuote</v>
      </c>
      <c r="J47" s="64" t="str">
        <f>_xll.qlSwapRateHelper2(,$H47,0,$B47,Calendar,$D47,$E47,$F47,$G47,$I47,$C47,Discounting1,PillarDate,,Permanent,Trigger,ObjectOverwrite)</f>
        <v>obj_0039b#0007</v>
      </c>
      <c r="K47" s="64" t="str">
        <f>_xll.qlSwapRateHelper2(,$H47,0,$B47,Calendar,$D47,$E47,$F47,$G47,$I47,$C47,Discounting2,PillarDate,,Permanent,Trigger,ObjectOverwrite)</f>
        <v>obj_00393#0007</v>
      </c>
      <c r="M47" s="71" t="str">
        <f t="shared" si="18"/>
        <v>BasSw</v>
      </c>
      <c r="N47" s="141" t="str">
        <f t="shared" si="19"/>
        <v>--</v>
      </c>
      <c r="O47" s="141" t="str">
        <f t="shared" si="20"/>
        <v>--</v>
      </c>
      <c r="P47" s="149" t="str">
        <f>IFERROR(_xll.qlRateHelperQuoteName(N47,Trigger),"--")</f>
        <v>--</v>
      </c>
      <c r="Q47" s="142" t="str">
        <f>IFERROR(_xll.qlRateHelperQuoteValue($N47,Trigger),"--")</f>
        <v>--</v>
      </c>
      <c r="R47" s="141" t="b">
        <v>0</v>
      </c>
      <c r="S47" s="141">
        <v>10</v>
      </c>
      <c r="T47" s="141">
        <v>1</v>
      </c>
      <c r="U47" s="143" t="str">
        <f>IFERROR(_xll.qlRateHelperEarliestDate(N47,Trigger),"--")</f>
        <v>--</v>
      </c>
      <c r="V47" s="143" t="str">
        <f>IFERROR(_xll.qlRateHelperPillarDate(N47,Trigger),"--")</f>
        <v>--</v>
      </c>
      <c r="X47" s="4" t="str">
        <f t="shared" si="24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96</v>
      </c>
      <c r="C48" s="61" t="s">
        <v>6</v>
      </c>
      <c r="D48" s="61" t="s">
        <v>154</v>
      </c>
      <c r="E48" s="61" t="s">
        <v>7</v>
      </c>
      <c r="F48" s="61" t="s">
        <v>155</v>
      </c>
      <c r="G48" s="61" t="str">
        <f t="shared" si="21"/>
        <v>GbpLibor3M</v>
      </c>
      <c r="H48" s="59" t="str">
        <f t="shared" si="22"/>
        <v>GBPSB6L13Y_LCHQuote</v>
      </c>
      <c r="I48" s="127" t="str">
        <f t="shared" si="23"/>
        <v>GBP3L6L13Y_LCHQuote</v>
      </c>
      <c r="J48" s="64"/>
      <c r="K48" s="64"/>
      <c r="M48" s="71" t="str">
        <f t="shared" si="18"/>
        <v>BasSw</v>
      </c>
      <c r="N48" s="141" t="str">
        <f t="shared" si="19"/>
        <v>--</v>
      </c>
      <c r="O48" s="141" t="str">
        <f t="shared" si="20"/>
        <v>--</v>
      </c>
      <c r="P48" s="149" t="str">
        <f>IFERROR(_xll.qlRateHelperQuoteName(N48,Trigger),"--")</f>
        <v>--</v>
      </c>
      <c r="Q48" s="142" t="str">
        <f>IFERROR(_xll.qlRateHelperQuoteValue($N48,Trigger),"--")</f>
        <v>--</v>
      </c>
      <c r="R48" s="141" t="b">
        <v>0</v>
      </c>
      <c r="S48" s="141">
        <v>10</v>
      </c>
      <c r="T48" s="141">
        <v>1</v>
      </c>
      <c r="U48" s="143" t="str">
        <f>IFERROR(_xll.qlRateHelperEarliestDate(N48,Trigger),"--")</f>
        <v>--</v>
      </c>
      <c r="V48" s="143" t="str">
        <f>IFERROR(_xll.qlRateHelperPillarDate(N48,Trigger),"--")</f>
        <v>--</v>
      </c>
      <c r="X48" s="4" t="str">
        <f t="shared" si="24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97</v>
      </c>
      <c r="C49" s="61" t="s">
        <v>6</v>
      </c>
      <c r="D49" s="61" t="s">
        <v>154</v>
      </c>
      <c r="E49" s="61" t="s">
        <v>7</v>
      </c>
      <c r="F49" s="61" t="s">
        <v>155</v>
      </c>
      <c r="G49" s="61" t="str">
        <f t="shared" si="21"/>
        <v>GbpLibor3M</v>
      </c>
      <c r="H49" s="59" t="str">
        <f t="shared" si="22"/>
        <v>GBPSB6L14Y_LCHQuote</v>
      </c>
      <c r="I49" s="127" t="str">
        <f t="shared" si="23"/>
        <v>GBP3L6L14Y_LCHQuote</v>
      </c>
      <c r="J49" s="64"/>
      <c r="K49" s="64"/>
      <c r="M49" s="71" t="str">
        <f t="shared" si="18"/>
        <v>BasSw</v>
      </c>
      <c r="N49" s="141" t="str">
        <f t="shared" si="19"/>
        <v>--</v>
      </c>
      <c r="O49" s="141" t="str">
        <f t="shared" si="20"/>
        <v>--</v>
      </c>
      <c r="P49" s="149" t="str">
        <f>IFERROR(_xll.qlRateHelperQuoteName(N49,Trigger),"--")</f>
        <v>--</v>
      </c>
      <c r="Q49" s="142" t="str">
        <f>IFERROR(_xll.qlRateHelperQuoteValue($N49,Trigger),"--")</f>
        <v>--</v>
      </c>
      <c r="R49" s="141" t="b">
        <v>0</v>
      </c>
      <c r="S49" s="141">
        <v>10</v>
      </c>
      <c r="T49" s="141">
        <v>1</v>
      </c>
      <c r="U49" s="143" t="str">
        <f>IFERROR(_xll.qlRateHelperEarliestDate(N49,Trigger),"--")</f>
        <v>--</v>
      </c>
      <c r="V49" s="143" t="str">
        <f>IFERROR(_xll.qlRateHelperPillarDate(N49,Trigger),"--")</f>
        <v>--</v>
      </c>
      <c r="X49" s="4" t="str">
        <f t="shared" si="24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61</v>
      </c>
      <c r="C50" s="61" t="s">
        <v>6</v>
      </c>
      <c r="D50" s="61" t="s">
        <v>154</v>
      </c>
      <c r="E50" s="61" t="s">
        <v>7</v>
      </c>
      <c r="F50" s="61" t="s">
        <v>155</v>
      </c>
      <c r="G50" s="61" t="str">
        <f t="shared" si="21"/>
        <v>GbpLibor3M</v>
      </c>
      <c r="H50" s="59" t="str">
        <f t="shared" si="22"/>
        <v>GBPSB6L15Y_LCHQuote</v>
      </c>
      <c r="I50" s="127" t="str">
        <f t="shared" si="23"/>
        <v>GBP3L6L15Y_LCHQuote</v>
      </c>
      <c r="J50" s="64" t="str">
        <f>_xll.qlSwapRateHelper2(,$H50,0,$B50,Calendar,$D50,$E50,$F50,$G50,$I50,$C50,Discounting1,PillarDate,,Permanent,Trigger,ObjectOverwrite)</f>
        <v>obj_0038a#0007</v>
      </c>
      <c r="K50" s="64" t="str">
        <f>_xll.qlSwapRateHelper2(,$H50,0,$B50,Calendar,$D50,$E50,$F50,$G50,$I50,$C50,Discounting2,PillarDate,,Permanent,Trigger,ObjectOverwrite)</f>
        <v>obj_0037d#0007</v>
      </c>
      <c r="M50" s="71" t="str">
        <f t="shared" si="18"/>
        <v>BasSw</v>
      </c>
      <c r="N50" s="141" t="str">
        <f t="shared" si="19"/>
        <v>--</v>
      </c>
      <c r="O50" s="141" t="str">
        <f t="shared" si="20"/>
        <v>--</v>
      </c>
      <c r="P50" s="149" t="str">
        <f>IFERROR(_xll.qlRateHelperQuoteName(N50,Trigger),"--")</f>
        <v>--</v>
      </c>
      <c r="Q50" s="142" t="str">
        <f>IFERROR(_xll.qlRateHelperQuoteValue($N50,Trigger),"--")</f>
        <v>--</v>
      </c>
      <c r="R50" s="141" t="b">
        <v>0</v>
      </c>
      <c r="S50" s="141">
        <v>10</v>
      </c>
      <c r="T50" s="141">
        <v>1</v>
      </c>
      <c r="U50" s="143" t="str">
        <f>IFERROR(_xll.qlRateHelperEarliestDate(N50,Trigger),"--")</f>
        <v>--</v>
      </c>
      <c r="V50" s="143" t="str">
        <f>IFERROR(_xll.qlRateHelperPillarDate(N50,Trigger),"--")</f>
        <v>--</v>
      </c>
      <c r="X50" s="4" t="str">
        <f t="shared" si="24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98</v>
      </c>
      <c r="C51" s="61" t="s">
        <v>6</v>
      </c>
      <c r="D51" s="61" t="s">
        <v>154</v>
      </c>
      <c r="E51" s="61" t="s">
        <v>7</v>
      </c>
      <c r="F51" s="61" t="s">
        <v>155</v>
      </c>
      <c r="G51" s="61" t="str">
        <f t="shared" si="21"/>
        <v>GbpLibor3M</v>
      </c>
      <c r="H51" s="59" t="str">
        <f t="shared" si="22"/>
        <v>GBPSB6L16Y_LCHQuote</v>
      </c>
      <c r="I51" s="127" t="str">
        <f t="shared" si="23"/>
        <v>GBP3L6L16Y_LCHQuote</v>
      </c>
      <c r="J51" s="64"/>
      <c r="K51" s="64"/>
      <c r="M51" s="71" t="str">
        <f t="shared" si="18"/>
        <v>BasSw</v>
      </c>
      <c r="N51" s="141" t="str">
        <f t="shared" si="19"/>
        <v>obj_00394#0007</v>
      </c>
      <c r="O51" s="141" t="str">
        <f t="shared" si="20"/>
        <v>obj_0037e#0007</v>
      </c>
      <c r="P51" s="149" t="str">
        <f>IFERROR(_xll.qlRateHelperQuoteName(N51,Trigger),"--")</f>
        <v>GBPSB6L20Y_LCHQuote</v>
      </c>
      <c r="Q51" s="142">
        <f>IFERROR(_xll.qlRateHelperQuoteValue($N51,Trigger),"--")</f>
        <v>2.1770000000000001E-2</v>
      </c>
      <c r="R51" s="141" t="b">
        <v>1</v>
      </c>
      <c r="S51" s="141">
        <v>10</v>
      </c>
      <c r="T51" s="141">
        <v>1</v>
      </c>
      <c r="U51" s="143">
        <f>IFERROR(_xll.qlRateHelperEarliestDate(N51,Trigger),"--")</f>
        <v>42321</v>
      </c>
      <c r="V51" s="143">
        <f>IFERROR(_xll.qlRateHelperPillarDate(N51,Trigger),"--")</f>
        <v>49626</v>
      </c>
      <c r="X51" s="4" t="str">
        <f t="shared" si="24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99</v>
      </c>
      <c r="C52" s="61" t="s">
        <v>6</v>
      </c>
      <c r="D52" s="61" t="s">
        <v>154</v>
      </c>
      <c r="E52" s="61" t="s">
        <v>7</v>
      </c>
      <c r="F52" s="61" t="s">
        <v>155</v>
      </c>
      <c r="G52" s="61" t="str">
        <f t="shared" si="21"/>
        <v>GbpLibor3M</v>
      </c>
      <c r="H52" s="59" t="str">
        <f t="shared" si="22"/>
        <v>GBPSB6L17Y_LCHQuote</v>
      </c>
      <c r="I52" s="127" t="str">
        <f t="shared" si="23"/>
        <v>GBP3L6L17Y_LCHQuote</v>
      </c>
      <c r="J52" s="64"/>
      <c r="K52" s="64"/>
      <c r="M52" s="71" t="str">
        <f t="shared" si="18"/>
        <v>BasSw</v>
      </c>
      <c r="N52" s="141" t="str">
        <f t="shared" si="19"/>
        <v>--</v>
      </c>
      <c r="O52" s="141" t="str">
        <f t="shared" si="20"/>
        <v>--</v>
      </c>
      <c r="P52" s="149" t="str">
        <f>IFERROR(_xll.qlRateHelperQuoteName(N52,Trigger),"--")</f>
        <v>--</v>
      </c>
      <c r="Q52" s="142" t="str">
        <f>IFERROR(_xll.qlRateHelperQuoteValue($N52,Trigger),"--")</f>
        <v>--</v>
      </c>
      <c r="R52" s="141" t="b">
        <v>0</v>
      </c>
      <c r="S52" s="141">
        <v>10</v>
      </c>
      <c r="T52" s="141">
        <v>1</v>
      </c>
      <c r="U52" s="143" t="str">
        <f>IFERROR(_xll.qlRateHelperEarliestDate(N52,Trigger),"--")</f>
        <v>--</v>
      </c>
      <c r="V52" s="143" t="str">
        <f>IFERROR(_xll.qlRateHelperPillarDate(N52,Trigger),"--")</f>
        <v>--</v>
      </c>
      <c r="X52" s="4" t="str">
        <f t="shared" si="24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100</v>
      </c>
      <c r="C53" s="61" t="s">
        <v>6</v>
      </c>
      <c r="D53" s="61" t="s">
        <v>154</v>
      </c>
      <c r="E53" s="61" t="s">
        <v>7</v>
      </c>
      <c r="F53" s="61" t="s">
        <v>155</v>
      </c>
      <c r="G53" s="61" t="str">
        <f t="shared" si="21"/>
        <v>GbpLibor3M</v>
      </c>
      <c r="H53" s="59" t="str">
        <f t="shared" si="22"/>
        <v>GBPSB6L18Y_LCHQuote</v>
      </c>
      <c r="I53" s="127" t="str">
        <f t="shared" si="23"/>
        <v>GBP3L6L18Y_LCHQuote</v>
      </c>
      <c r="J53" s="64"/>
      <c r="K53" s="64"/>
      <c r="M53" s="71" t="str">
        <f t="shared" si="18"/>
        <v>BasSw</v>
      </c>
      <c r="N53" s="141" t="str">
        <f t="shared" si="19"/>
        <v>--</v>
      </c>
      <c r="O53" s="141" t="str">
        <f t="shared" si="20"/>
        <v>--</v>
      </c>
      <c r="P53" s="149" t="str">
        <f>IFERROR(_xll.qlRateHelperQuoteName(N53,Trigger),"--")</f>
        <v>--</v>
      </c>
      <c r="Q53" s="142" t="str">
        <f>IFERROR(_xll.qlRateHelperQuoteValue($N53,Trigger),"--")</f>
        <v>--</v>
      </c>
      <c r="R53" s="141" t="b">
        <v>0</v>
      </c>
      <c r="S53" s="141">
        <v>10</v>
      </c>
      <c r="T53" s="141">
        <v>1</v>
      </c>
      <c r="U53" s="143" t="str">
        <f>IFERROR(_xll.qlRateHelperEarliestDate(N53,Trigger),"--")</f>
        <v>--</v>
      </c>
      <c r="V53" s="143" t="str">
        <f>IFERROR(_xll.qlRateHelperPillarDate(N53,Trigger),"--")</f>
        <v>--</v>
      </c>
      <c r="X53" s="4" t="str">
        <f t="shared" si="24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169" t="e">
        <v>#N/A</v>
      </c>
      <c r="AI53" s="170" t="e">
        <v>#N/A</v>
      </c>
      <c r="AJ53" s="172" t="e">
        <f t="shared" si="1"/>
        <v>#N/A</v>
      </c>
      <c r="AK53" s="80" t="e">
        <v>#N/A</v>
      </c>
      <c r="AL53" s="161" t="e">
        <f t="shared" si="2"/>
        <v>#N/A</v>
      </c>
    </row>
    <row r="54" spans="1:38" ht="11.25" customHeight="1" x14ac:dyDescent="0.2">
      <c r="A54" s="59" t="s">
        <v>115</v>
      </c>
      <c r="B54" s="60" t="s">
        <v>101</v>
      </c>
      <c r="C54" s="61" t="s">
        <v>6</v>
      </c>
      <c r="D54" s="61" t="s">
        <v>154</v>
      </c>
      <c r="E54" s="61" t="s">
        <v>7</v>
      </c>
      <c r="F54" s="61" t="s">
        <v>155</v>
      </c>
      <c r="G54" s="61" t="str">
        <f t="shared" si="21"/>
        <v>GbpLibor3M</v>
      </c>
      <c r="H54" s="59" t="str">
        <f t="shared" si="22"/>
        <v>GBPSB6L19Y_LCHQuote</v>
      </c>
      <c r="I54" s="127" t="str">
        <f t="shared" si="23"/>
        <v>GBP3L6L19Y_LCHQuote</v>
      </c>
      <c r="J54" s="64"/>
      <c r="K54" s="64"/>
      <c r="M54" s="71" t="str">
        <f t="shared" si="18"/>
        <v>BasSw</v>
      </c>
      <c r="N54" s="141" t="str">
        <f t="shared" si="19"/>
        <v>--</v>
      </c>
      <c r="O54" s="141" t="str">
        <f t="shared" si="20"/>
        <v>--</v>
      </c>
      <c r="P54" s="149" t="str">
        <f>IFERROR(_xll.qlRateHelperQuoteName(N54,Trigger),"--")</f>
        <v>--</v>
      </c>
      <c r="Q54" s="142" t="str">
        <f>IFERROR(_xll.qlRateHelperQuoteValue($N54,Trigger),"--")</f>
        <v>--</v>
      </c>
      <c r="R54" s="141" t="b">
        <v>0</v>
      </c>
      <c r="S54" s="141">
        <v>10</v>
      </c>
      <c r="T54" s="141">
        <v>1</v>
      </c>
      <c r="U54" s="143" t="str">
        <f>IFERROR(_xll.qlRateHelperEarliestDate(N54,Trigger),"--")</f>
        <v>--</v>
      </c>
      <c r="V54" s="143" t="str">
        <f>IFERROR(_xll.qlRateHelperPillarDate(N54,Trigger),"--")</f>
        <v>--</v>
      </c>
      <c r="X54" s="4" t="str">
        <f t="shared" si="24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169" t="e">
        <v>#N/A</v>
      </c>
      <c r="AI54" s="170" t="e">
        <v>#N/A</v>
      </c>
      <c r="AJ54" s="172" t="e">
        <f t="shared" si="1"/>
        <v>#N/A</v>
      </c>
      <c r="AK54" s="80" t="e">
        <v>#N/A</v>
      </c>
      <c r="AL54" s="161" t="e">
        <f t="shared" si="2"/>
        <v>#N/A</v>
      </c>
    </row>
    <row r="55" spans="1:38" ht="11.25" customHeight="1" x14ac:dyDescent="0.2">
      <c r="A55" s="59" t="s">
        <v>115</v>
      </c>
      <c r="B55" s="60" t="s">
        <v>62</v>
      </c>
      <c r="C55" s="61" t="s">
        <v>6</v>
      </c>
      <c r="D55" s="61" t="s">
        <v>154</v>
      </c>
      <c r="E55" s="61" t="s">
        <v>7</v>
      </c>
      <c r="F55" s="61" t="s">
        <v>155</v>
      </c>
      <c r="G55" s="61" t="str">
        <f t="shared" si="21"/>
        <v>GbpLibor3M</v>
      </c>
      <c r="H55" s="59" t="str">
        <f t="shared" si="22"/>
        <v>GBPSB6L20Y_LCHQuote</v>
      </c>
      <c r="I55" s="127" t="str">
        <f t="shared" si="23"/>
        <v>GBP3L6L20Y_LCHQuote</v>
      </c>
      <c r="J55" s="64" t="str">
        <f>_xll.qlSwapRateHelper2(,$H55,0,$B55,Calendar,$D55,$E55,$F55,$G55,$I55,$C55,Discounting1,PillarDate,,Permanent,Trigger,ObjectOverwrite)</f>
        <v>obj_00394#0007</v>
      </c>
      <c r="K55" s="64" t="str">
        <f>_xll.qlSwapRateHelper2(,$H55,0,$B55,Calendar,$D55,$E55,$F55,$G55,$I55,$C55,Discounting2,PillarDate,,Permanent,Trigger,ObjectOverwrite)</f>
        <v>obj_0037e#0007</v>
      </c>
      <c r="M55" s="71" t="str">
        <f t="shared" si="18"/>
        <v>BasSw</v>
      </c>
      <c r="N55" s="141" t="str">
        <f t="shared" si="19"/>
        <v>--</v>
      </c>
      <c r="O55" s="141" t="str">
        <f t="shared" si="20"/>
        <v>--</v>
      </c>
      <c r="P55" s="149" t="str">
        <f>IFERROR(_xll.qlRateHelperQuoteName(N55,Trigger),"--")</f>
        <v>--</v>
      </c>
      <c r="Q55" s="142" t="str">
        <f>IFERROR(_xll.qlRateHelperQuoteValue($N55,Trigger),"--")</f>
        <v>--</v>
      </c>
      <c r="R55" s="141" t="b">
        <v>0</v>
      </c>
      <c r="S55" s="141">
        <v>10</v>
      </c>
      <c r="T55" s="141">
        <v>1</v>
      </c>
      <c r="U55" s="143" t="str">
        <f>IFERROR(_xll.qlRateHelperEarliestDate(N55,Trigger),"--")</f>
        <v>--</v>
      </c>
      <c r="V55" s="143" t="str">
        <f>IFERROR(_xll.qlRateHelperPillarDate(N55,Trigger),"--")</f>
        <v>--</v>
      </c>
      <c r="X55" s="4" t="str">
        <f t="shared" si="24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169" t="e">
        <v>#N/A</v>
      </c>
      <c r="AI55" s="170" t="e">
        <v>#N/A</v>
      </c>
      <c r="AJ55" s="172" t="e">
        <f t="shared" si="1"/>
        <v>#N/A</v>
      </c>
      <c r="AK55" s="80" t="e">
        <v>#N/A</v>
      </c>
      <c r="AL55" s="161" t="e">
        <f t="shared" si="2"/>
        <v>#N/A</v>
      </c>
    </row>
    <row r="56" spans="1:38" ht="11.25" customHeight="1" x14ac:dyDescent="0.2">
      <c r="A56" s="59" t="s">
        <v>115</v>
      </c>
      <c r="B56" s="60" t="s">
        <v>102</v>
      </c>
      <c r="C56" s="61" t="s">
        <v>6</v>
      </c>
      <c r="D56" s="61" t="s">
        <v>154</v>
      </c>
      <c r="E56" s="61" t="s">
        <v>7</v>
      </c>
      <c r="F56" s="61" t="s">
        <v>155</v>
      </c>
      <c r="G56" s="61" t="str">
        <f t="shared" si="21"/>
        <v>GbpLibor3M</v>
      </c>
      <c r="H56" s="59" t="str">
        <f t="shared" si="22"/>
        <v>GBPSB6L21Y_LCHQuote</v>
      </c>
      <c r="I56" s="127" t="str">
        <f t="shared" si="23"/>
        <v>GBP3L6L21Y_LCHQuote</v>
      </c>
      <c r="J56" s="64"/>
      <c r="K56" s="64"/>
      <c r="M56" s="71" t="str">
        <f t="shared" si="18"/>
        <v>BasSw</v>
      </c>
      <c r="N56" s="141" t="str">
        <f t="shared" si="19"/>
        <v>obj_00385#0007</v>
      </c>
      <c r="O56" s="141" t="str">
        <f t="shared" si="20"/>
        <v>obj_00380#0007</v>
      </c>
      <c r="P56" s="149" t="str">
        <f>IFERROR(_xll.qlRateHelperQuoteName(N56,Trigger),"--")</f>
        <v>GBPSB6L25Y_LCHQuote</v>
      </c>
      <c r="Q56" s="142">
        <f>IFERROR(_xll.qlRateHelperQuoteValue($N56,Trigger),"--")</f>
        <v>2.1649999999999999E-2</v>
      </c>
      <c r="R56" s="141" t="b">
        <v>1</v>
      </c>
      <c r="S56" s="141">
        <v>10</v>
      </c>
      <c r="T56" s="141">
        <v>1</v>
      </c>
      <c r="U56" s="143">
        <f>IFERROR(_xll.qlRateHelperEarliestDate(N56,Trigger),"--")</f>
        <v>42321</v>
      </c>
      <c r="V56" s="143">
        <f>IFERROR(_xll.qlRateHelperPillarDate(N56,Trigger),"--")</f>
        <v>51453</v>
      </c>
      <c r="X56" s="4" t="str">
        <f t="shared" si="24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169" t="e">
        <v>#N/A</v>
      </c>
      <c r="AI56" s="170" t="e">
        <v>#N/A</v>
      </c>
      <c r="AJ56" s="172" t="e">
        <f t="shared" si="1"/>
        <v>#N/A</v>
      </c>
      <c r="AK56" s="80" t="e">
        <v>#N/A</v>
      </c>
      <c r="AL56" s="161" t="e">
        <f t="shared" si="2"/>
        <v>#N/A</v>
      </c>
    </row>
    <row r="57" spans="1:38" ht="11.25" customHeight="1" x14ac:dyDescent="0.2">
      <c r="A57" s="59" t="s">
        <v>115</v>
      </c>
      <c r="B57" s="60" t="s">
        <v>103</v>
      </c>
      <c r="C57" s="61" t="s">
        <v>6</v>
      </c>
      <c r="D57" s="61" t="s">
        <v>154</v>
      </c>
      <c r="E57" s="61" t="s">
        <v>7</v>
      </c>
      <c r="F57" s="61" t="s">
        <v>155</v>
      </c>
      <c r="G57" s="61" t="str">
        <f t="shared" si="21"/>
        <v>GbpLibor3M</v>
      </c>
      <c r="H57" s="59" t="str">
        <f t="shared" si="22"/>
        <v>GBPSB6L22Y_LCHQuote</v>
      </c>
      <c r="I57" s="127" t="str">
        <f t="shared" si="23"/>
        <v>GBP3L6L22Y_LCHQuote</v>
      </c>
      <c r="J57" s="64"/>
      <c r="K57" s="64"/>
      <c r="M57" s="71" t="str">
        <f t="shared" si="18"/>
        <v>BasSw</v>
      </c>
      <c r="N57" s="141" t="str">
        <f t="shared" si="19"/>
        <v>--</v>
      </c>
      <c r="O57" s="141" t="str">
        <f t="shared" si="20"/>
        <v>--</v>
      </c>
      <c r="P57" s="149" t="str">
        <f>IFERROR(_xll.qlRateHelperQuoteName(N57,Trigger),"--")</f>
        <v>--</v>
      </c>
      <c r="Q57" s="142" t="str">
        <f>IFERROR(_xll.qlRateHelperQuoteValue($N57,Trigger),"--")</f>
        <v>--</v>
      </c>
      <c r="R57" s="141" t="b">
        <v>0</v>
      </c>
      <c r="S57" s="141">
        <v>10</v>
      </c>
      <c r="T57" s="141">
        <v>1</v>
      </c>
      <c r="U57" s="143" t="str">
        <f>IFERROR(_xll.qlRateHelperEarliestDate(N57,Trigger),"--")</f>
        <v>--</v>
      </c>
      <c r="V57" s="143" t="str">
        <f>IFERROR(_xll.qlRateHelperPillarDate(N57,Trigger),"--")</f>
        <v>--</v>
      </c>
      <c r="X57" s="4" t="str">
        <f t="shared" si="24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169" t="e">
        <v>#N/A</v>
      </c>
      <c r="AI57" s="170" t="e">
        <v>#N/A</v>
      </c>
      <c r="AJ57" s="172" t="e">
        <f t="shared" si="1"/>
        <v>#N/A</v>
      </c>
      <c r="AK57" s="80" t="e">
        <v>#N/A</v>
      </c>
      <c r="AL57" s="161" t="e">
        <f t="shared" si="2"/>
        <v>#N/A</v>
      </c>
    </row>
    <row r="58" spans="1:38" ht="11.25" customHeight="1" x14ac:dyDescent="0.2">
      <c r="A58" s="59" t="s">
        <v>115</v>
      </c>
      <c r="B58" s="60" t="s">
        <v>104</v>
      </c>
      <c r="C58" s="61" t="s">
        <v>6</v>
      </c>
      <c r="D58" s="61" t="s">
        <v>154</v>
      </c>
      <c r="E58" s="61" t="s">
        <v>7</v>
      </c>
      <c r="F58" s="61" t="s">
        <v>155</v>
      </c>
      <c r="G58" s="61" t="str">
        <f t="shared" si="21"/>
        <v>GbpLibor3M</v>
      </c>
      <c r="H58" s="59" t="str">
        <f t="shared" si="22"/>
        <v>GBPSB6L23Y_LCHQuote</v>
      </c>
      <c r="I58" s="127" t="str">
        <f t="shared" si="23"/>
        <v>GBP3L6L23Y_LCHQuote</v>
      </c>
      <c r="J58" s="64"/>
      <c r="K58" s="64"/>
      <c r="M58" s="71" t="str">
        <f t="shared" si="18"/>
        <v>BasSw</v>
      </c>
      <c r="N58" s="141" t="str">
        <f t="shared" si="19"/>
        <v>--</v>
      </c>
      <c r="O58" s="141" t="str">
        <f t="shared" si="20"/>
        <v>--</v>
      </c>
      <c r="P58" s="149" t="str">
        <f>IFERROR(_xll.qlRateHelperQuoteName(N58,Trigger),"--")</f>
        <v>--</v>
      </c>
      <c r="Q58" s="142" t="str">
        <f>IFERROR(_xll.qlRateHelperQuoteValue($N58,Trigger),"--")</f>
        <v>--</v>
      </c>
      <c r="R58" s="141" t="b">
        <v>0</v>
      </c>
      <c r="S58" s="141">
        <v>10</v>
      </c>
      <c r="T58" s="141">
        <v>1</v>
      </c>
      <c r="U58" s="143" t="str">
        <f>IFERROR(_xll.qlRateHelperEarliestDate(N58,Trigger),"--")</f>
        <v>--</v>
      </c>
      <c r="V58" s="143" t="str">
        <f>IFERROR(_xll.qlRateHelperPillarDate(N58,Trigger),"--")</f>
        <v>--</v>
      </c>
      <c r="X58" s="4" t="str">
        <f t="shared" si="24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169" t="e">
        <v>#N/A</v>
      </c>
      <c r="AI58" s="170" t="e">
        <v>#N/A</v>
      </c>
      <c r="AJ58" s="172" t="e">
        <f t="shared" si="1"/>
        <v>#N/A</v>
      </c>
      <c r="AK58" s="80" t="e">
        <v>#N/A</v>
      </c>
      <c r="AL58" s="161" t="e">
        <f t="shared" si="2"/>
        <v>#N/A</v>
      </c>
    </row>
    <row r="59" spans="1:38" ht="11.25" customHeight="1" x14ac:dyDescent="0.2">
      <c r="A59" s="59" t="s">
        <v>115</v>
      </c>
      <c r="B59" s="60" t="s">
        <v>105</v>
      </c>
      <c r="C59" s="61" t="s">
        <v>6</v>
      </c>
      <c r="D59" s="61" t="s">
        <v>154</v>
      </c>
      <c r="E59" s="61" t="s">
        <v>7</v>
      </c>
      <c r="F59" s="61" t="s">
        <v>155</v>
      </c>
      <c r="G59" s="61" t="str">
        <f t="shared" si="21"/>
        <v>GbpLibor3M</v>
      </c>
      <c r="H59" s="59" t="str">
        <f t="shared" si="22"/>
        <v>GBPSB6L24Y_LCHQuote</v>
      </c>
      <c r="I59" s="127" t="str">
        <f t="shared" si="23"/>
        <v>GBP3L6L24Y_LCHQuote</v>
      </c>
      <c r="J59" s="64"/>
      <c r="K59" s="64"/>
      <c r="M59" s="71" t="str">
        <f t="shared" si="18"/>
        <v>BasSw</v>
      </c>
      <c r="N59" s="141" t="str">
        <f t="shared" si="19"/>
        <v>--</v>
      </c>
      <c r="O59" s="141" t="str">
        <f t="shared" si="20"/>
        <v>--</v>
      </c>
      <c r="P59" s="149" t="str">
        <f>IFERROR(_xll.qlRateHelperQuoteName(N59,Trigger),"--")</f>
        <v>--</v>
      </c>
      <c r="Q59" s="142" t="str">
        <f>IFERROR(_xll.qlRateHelperQuoteValue($N59,Trigger),"--")</f>
        <v>--</v>
      </c>
      <c r="R59" s="141" t="b">
        <v>0</v>
      </c>
      <c r="S59" s="141">
        <v>10</v>
      </c>
      <c r="T59" s="141">
        <v>1</v>
      </c>
      <c r="U59" s="143" t="str">
        <f>IFERROR(_xll.qlRateHelperEarliestDate(N59,Trigger),"--")</f>
        <v>--</v>
      </c>
      <c r="V59" s="143" t="str">
        <f>IFERROR(_xll.qlRateHelperPillarDate(N59,Trigger),"--")</f>
        <v>--</v>
      </c>
      <c r="X59" s="4" t="str">
        <f t="shared" si="24"/>
        <v/>
      </c>
      <c r="Y59" s="4" t="e">
        <v>#N/A</v>
      </c>
      <c r="Z59" s="4" t="e">
        <v>#N/A</v>
      </c>
      <c r="AA59" s="4" t="str">
        <f>IFERROR(_xll.qlRateHelperQuoteName(Y59,Trigger),"")</f>
        <v/>
      </c>
      <c r="AB59" s="70" t="str">
        <f>IFERROR(_xll.qlRateHelperRate(Y59,Trigger),"")</f>
        <v/>
      </c>
      <c r="AC59" s="104" t="str">
        <f>IF(ISERROR(_xll.qlSwapRateHelperSpread($Y59)),IF(ISERROR(_xll.qlFuturesRateHelperConvexityAdjustment($Y59)),"",_xll.qlFuturesRateHelperConvexityAdjustment($Y59)),_xll.qlSwapRateHelperSpread($Y59))</f>
        <v/>
      </c>
      <c r="AD59" s="5" t="str">
        <f>IFERROR(_xll.qlRateHelperEarliestDate(Y59,Trigger),"")</f>
        <v/>
      </c>
      <c r="AE59" s="5" t="str">
        <f>IFERROR(_xll.qlRateHelperPillarDate(Y59,Trigger),"")</f>
        <v/>
      </c>
      <c r="AF59" s="70" t="e">
        <v>#N/A</v>
      </c>
      <c r="AG59" s="77" t="e">
        <v>#N/A</v>
      </c>
      <c r="AH59" s="169" t="e">
        <v>#N/A</v>
      </c>
      <c r="AI59" s="170" t="e">
        <v>#N/A</v>
      </c>
      <c r="AJ59" s="172" t="e">
        <f t="shared" si="1"/>
        <v>#N/A</v>
      </c>
      <c r="AK59" s="80" t="e">
        <v>#N/A</v>
      </c>
      <c r="AL59" s="161" t="e">
        <f t="shared" si="2"/>
        <v>#N/A</v>
      </c>
    </row>
    <row r="60" spans="1:38" ht="11.25" customHeight="1" x14ac:dyDescent="0.2">
      <c r="A60" s="59" t="s">
        <v>115</v>
      </c>
      <c r="B60" s="60" t="s">
        <v>63</v>
      </c>
      <c r="C60" s="61" t="s">
        <v>6</v>
      </c>
      <c r="D60" s="61" t="s">
        <v>154</v>
      </c>
      <c r="E60" s="61" t="s">
        <v>7</v>
      </c>
      <c r="F60" s="61" t="s">
        <v>155</v>
      </c>
      <c r="G60" s="61" t="str">
        <f t="shared" si="21"/>
        <v>GbpLibor3M</v>
      </c>
      <c r="H60" s="59" t="str">
        <f t="shared" si="22"/>
        <v>GBPSB6L25Y_LCHQuote</v>
      </c>
      <c r="I60" s="127" t="str">
        <f t="shared" si="23"/>
        <v>GBP3L6L25Y_LCHQuote</v>
      </c>
      <c r="J60" s="64" t="str">
        <f>_xll.qlSwapRateHelper2(,$H60,0,$B60,Calendar,$D60,$E60,$F60,$G60,$I60,$C60,Discounting1,PillarDate,,Permanent,Trigger,ObjectOverwrite)</f>
        <v>obj_00385#0007</v>
      </c>
      <c r="K60" s="64" t="str">
        <f>_xll.qlSwapRateHelper2(,$H60,0,$B60,Calendar,$D60,$E60,$F60,$G60,$I60,$C60,Discounting2,PillarDate,,Permanent,Trigger,ObjectOverwrite)</f>
        <v>obj_00380#0007</v>
      </c>
      <c r="M60" s="71" t="str">
        <f t="shared" si="18"/>
        <v>BasSw</v>
      </c>
      <c r="N60" s="141" t="str">
        <f t="shared" si="19"/>
        <v>--</v>
      </c>
      <c r="O60" s="141" t="str">
        <f t="shared" si="20"/>
        <v>--</v>
      </c>
      <c r="P60" s="149" t="str">
        <f>IFERROR(_xll.qlRateHelperQuoteName(N60,Trigger),"--")</f>
        <v>--</v>
      </c>
      <c r="Q60" s="142" t="str">
        <f>IFERROR(_xll.qlRateHelperQuoteValue($N60,Trigger),"--")</f>
        <v>--</v>
      </c>
      <c r="R60" s="141" t="b">
        <v>0</v>
      </c>
      <c r="S60" s="141">
        <v>10</v>
      </c>
      <c r="T60" s="141">
        <v>1</v>
      </c>
      <c r="U60" s="143" t="str">
        <f>IFERROR(_xll.qlRateHelperEarliestDate(N60,Trigger),"--")</f>
        <v>--</v>
      </c>
      <c r="V60" s="143" t="str">
        <f>IFERROR(_xll.qlRateHelperPillarDate(N60,Trigger),"--")</f>
        <v>--</v>
      </c>
      <c r="X60" s="4" t="str">
        <f t="shared" si="24"/>
        <v/>
      </c>
      <c r="Y60" s="4" t="e">
        <v>#N/A</v>
      </c>
      <c r="Z60" s="4" t="e">
        <v>#N/A</v>
      </c>
      <c r="AA60" s="4" t="str">
        <f>IFERROR(_xll.qlRateHelperQuoteName(Y60,Trigger),"")</f>
        <v/>
      </c>
      <c r="AB60" s="70" t="str">
        <f>IFERROR(_xll.qlRateHelperRate(Y60,Trigger),"")</f>
        <v/>
      </c>
      <c r="AC60" s="104" t="str">
        <f>IF(ISERROR(_xll.qlSwapRateHelperSpread($Y60)),IF(ISERROR(_xll.qlFuturesRateHelperConvexityAdjustment($Y60)),"",_xll.qlFuturesRateHelperConvexityAdjustment($Y60)),_xll.qlSwapRateHelperSpread($Y60))</f>
        <v/>
      </c>
      <c r="AD60" s="5" t="str">
        <f>IFERROR(_xll.qlRateHelperEarliestDate(Y60,Trigger),"")</f>
        <v/>
      </c>
      <c r="AE60" s="5" t="str">
        <f>IFERROR(_xll.qlRateHelperPillarDate(Y60,Trigger),"")</f>
        <v/>
      </c>
      <c r="AF60" s="70" t="e">
        <v>#N/A</v>
      </c>
      <c r="AG60" s="77" t="e">
        <v>#N/A</v>
      </c>
      <c r="AH60" s="169" t="e">
        <v>#N/A</v>
      </c>
      <c r="AI60" s="170" t="e">
        <v>#N/A</v>
      </c>
      <c r="AJ60" s="172" t="e">
        <f t="shared" si="1"/>
        <v>#N/A</v>
      </c>
      <c r="AK60" s="80" t="e">
        <v>#N/A</v>
      </c>
      <c r="AL60" s="161" t="e">
        <f t="shared" si="2"/>
        <v>#N/A</v>
      </c>
    </row>
    <row r="61" spans="1:38" ht="11.25" customHeight="1" x14ac:dyDescent="0.2">
      <c r="A61" s="59" t="s">
        <v>115</v>
      </c>
      <c r="B61" s="60" t="s">
        <v>106</v>
      </c>
      <c r="C61" s="61" t="s">
        <v>6</v>
      </c>
      <c r="D61" s="61" t="s">
        <v>154</v>
      </c>
      <c r="E61" s="61" t="s">
        <v>7</v>
      </c>
      <c r="F61" s="61" t="s">
        <v>155</v>
      </c>
      <c r="G61" s="61" t="str">
        <f t="shared" si="21"/>
        <v>GbpLibor3M</v>
      </c>
      <c r="H61" s="59" t="str">
        <f t="shared" si="22"/>
        <v>GBPSB6L26Y_LCHQuote</v>
      </c>
      <c r="I61" s="127" t="str">
        <f t="shared" si="23"/>
        <v>GBP3L6L26Y_LCHQuote</v>
      </c>
      <c r="J61" s="64"/>
      <c r="K61" s="64"/>
      <c r="M61" s="71" t="str">
        <f t="shared" si="18"/>
        <v>BasSw</v>
      </c>
      <c r="N61" s="141" t="str">
        <f t="shared" si="19"/>
        <v>obj_00395#0007</v>
      </c>
      <c r="O61" s="141" t="str">
        <f t="shared" si="20"/>
        <v>obj_0038c#0007</v>
      </c>
      <c r="P61" s="149" t="str">
        <f>IFERROR(_xll.qlRateHelperQuoteName(N61,Trigger),"--")</f>
        <v>GBPSB6L30Y_LCHQuote</v>
      </c>
      <c r="Q61" s="142">
        <f>IFERROR(_xll.qlRateHelperQuoteValue($N61,Trigger),"--")</f>
        <v>2.1470000000000003E-2</v>
      </c>
      <c r="R61" s="141" t="b">
        <v>1</v>
      </c>
      <c r="S61" s="141">
        <v>10</v>
      </c>
      <c r="T61" s="141">
        <v>1</v>
      </c>
      <c r="U61" s="143">
        <f>IFERROR(_xll.qlRateHelperEarliestDate(N61,Trigger),"--")</f>
        <v>42321</v>
      </c>
      <c r="V61" s="143">
        <f>IFERROR(_xll.qlRateHelperPillarDate(N61,Trigger),"--")</f>
        <v>53279</v>
      </c>
      <c r="X61" s="4" t="str">
        <f t="shared" si="24"/>
        <v/>
      </c>
      <c r="Y61" s="4" t="e">
        <v>#N/A</v>
      </c>
      <c r="Z61" s="4" t="e">
        <v>#N/A</v>
      </c>
      <c r="AA61" s="4" t="str">
        <f>IFERROR(_xll.qlRateHelperQuoteName(Y61,Trigger),"")</f>
        <v/>
      </c>
      <c r="AB61" s="70" t="str">
        <f>IFERROR(_xll.qlRateHelperRate(Y61,Trigger),"")</f>
        <v/>
      </c>
      <c r="AC61" s="104" t="str">
        <f>IF(ISERROR(_xll.qlSwapRateHelperSpread($Y61)),IF(ISERROR(_xll.qlFuturesRateHelperConvexityAdjustment($Y61)),"",_xll.qlFuturesRateHelperConvexityAdjustment($Y61)),_xll.qlSwapRateHelperSpread($Y61))</f>
        <v/>
      </c>
      <c r="AD61" s="5" t="str">
        <f>IFERROR(_xll.qlRateHelperEarliestDate(Y61,Trigger),"")</f>
        <v/>
      </c>
      <c r="AE61" s="5" t="str">
        <f>IFERROR(_xll.qlRateHelperPillarDate(Y61,Trigger),"")</f>
        <v/>
      </c>
      <c r="AF61" s="70" t="e">
        <v>#N/A</v>
      </c>
      <c r="AG61" s="77" t="e">
        <v>#N/A</v>
      </c>
      <c r="AH61" s="169" t="e">
        <v>#N/A</v>
      </c>
      <c r="AI61" s="170" t="e">
        <v>#N/A</v>
      </c>
      <c r="AJ61" s="172" t="e">
        <f t="shared" si="1"/>
        <v>#N/A</v>
      </c>
      <c r="AK61" s="80" t="e">
        <v>#N/A</v>
      </c>
      <c r="AL61" s="161" t="e">
        <f t="shared" si="2"/>
        <v>#N/A</v>
      </c>
    </row>
    <row r="62" spans="1:38" ht="11.25" customHeight="1" x14ac:dyDescent="0.2">
      <c r="A62" s="59" t="s">
        <v>115</v>
      </c>
      <c r="B62" s="60" t="s">
        <v>64</v>
      </c>
      <c r="C62" s="61" t="s">
        <v>6</v>
      </c>
      <c r="D62" s="61" t="s">
        <v>154</v>
      </c>
      <c r="E62" s="61" t="s">
        <v>7</v>
      </c>
      <c r="F62" s="61" t="s">
        <v>155</v>
      </c>
      <c r="G62" s="61" t="str">
        <f t="shared" si="21"/>
        <v>GbpLibor3M</v>
      </c>
      <c r="H62" s="59" t="str">
        <f t="shared" si="22"/>
        <v>GBPSB6L27Y_LCHQuote</v>
      </c>
      <c r="I62" s="127" t="str">
        <f t="shared" si="23"/>
        <v>GBP3L6L27Y_LCHQuote</v>
      </c>
      <c r="J62" s="64"/>
      <c r="K62" s="64"/>
      <c r="M62" s="71" t="str">
        <f t="shared" si="18"/>
        <v>BasSw</v>
      </c>
      <c r="N62" s="141" t="str">
        <f t="shared" si="19"/>
        <v>--</v>
      </c>
      <c r="O62" s="141" t="str">
        <f t="shared" si="20"/>
        <v>--</v>
      </c>
      <c r="P62" s="149" t="str">
        <f>IFERROR(_xll.qlRateHelperQuoteName(N62,Trigger),"--")</f>
        <v>--</v>
      </c>
      <c r="Q62" s="142" t="str">
        <f>IFERROR(_xll.qlRateHelperQuoteValue($N62,Trigger),"--")</f>
        <v>--</v>
      </c>
      <c r="R62" s="141" t="b">
        <v>0</v>
      </c>
      <c r="S62" s="141">
        <v>10</v>
      </c>
      <c r="T62" s="141">
        <v>1</v>
      </c>
      <c r="U62" s="143" t="str">
        <f>IFERROR(_xll.qlRateHelperEarliestDate(N62,Trigger),"--")</f>
        <v>--</v>
      </c>
      <c r="V62" s="143" t="str">
        <f>IFERROR(_xll.qlRateHelperPillarDate(N62,Trigger),"--")</f>
        <v>--</v>
      </c>
      <c r="X62" s="4" t="str">
        <f t="shared" si="24"/>
        <v/>
      </c>
      <c r="Y62" s="4" t="e">
        <v>#N/A</v>
      </c>
      <c r="Z62" s="4" t="e">
        <v>#N/A</v>
      </c>
      <c r="AA62" s="4" t="str">
        <f>IFERROR(_xll.qlRateHelperQuoteName(Y62,Trigger),"")</f>
        <v/>
      </c>
      <c r="AB62" s="70" t="str">
        <f>IFERROR(_xll.qlRateHelperRate(Y62,Trigger),"")</f>
        <v/>
      </c>
      <c r="AC62" s="104" t="str">
        <f>IF(ISERROR(_xll.qlSwapRateHelperSpread($Y62)),IF(ISERROR(_xll.qlFuturesRateHelperConvexityAdjustment($Y62)),"",_xll.qlFuturesRateHelperConvexityAdjustment($Y62)),_xll.qlSwapRateHelperSpread($Y62))</f>
        <v/>
      </c>
      <c r="AD62" s="5" t="str">
        <f>IFERROR(_xll.qlRateHelperEarliestDate(Y62,Trigger),"")</f>
        <v/>
      </c>
      <c r="AE62" s="5" t="str">
        <f>IFERROR(_xll.qlRateHelperPillarDate(Y62,Trigger),"")</f>
        <v/>
      </c>
      <c r="AF62" s="70" t="e">
        <v>#N/A</v>
      </c>
      <c r="AG62" s="77" t="e">
        <v>#N/A</v>
      </c>
      <c r="AH62" s="169" t="e">
        <v>#N/A</v>
      </c>
      <c r="AI62" s="170" t="e">
        <v>#N/A</v>
      </c>
      <c r="AJ62" s="172" t="e">
        <f t="shared" si="1"/>
        <v>#N/A</v>
      </c>
      <c r="AK62" s="80" t="e">
        <v>#N/A</v>
      </c>
      <c r="AL62" s="161" t="e">
        <f t="shared" si="2"/>
        <v>#N/A</v>
      </c>
    </row>
    <row r="63" spans="1:38" ht="11.25" customHeight="1" x14ac:dyDescent="0.2">
      <c r="A63" s="59" t="s">
        <v>115</v>
      </c>
      <c r="B63" s="60" t="s">
        <v>107</v>
      </c>
      <c r="C63" s="61" t="s">
        <v>6</v>
      </c>
      <c r="D63" s="61" t="s">
        <v>154</v>
      </c>
      <c r="E63" s="61" t="s">
        <v>7</v>
      </c>
      <c r="F63" s="61" t="s">
        <v>155</v>
      </c>
      <c r="G63" s="61" t="str">
        <f t="shared" si="21"/>
        <v>GbpLibor3M</v>
      </c>
      <c r="H63" s="59" t="str">
        <f t="shared" si="22"/>
        <v>GBPSB6L28Y_LCHQuote</v>
      </c>
      <c r="I63" s="127" t="str">
        <f t="shared" si="23"/>
        <v>GBP3L6L28Y_LCHQuote</v>
      </c>
      <c r="J63" s="64"/>
      <c r="K63" s="64"/>
      <c r="M63" s="71" t="str">
        <f t="shared" si="18"/>
        <v>BasSw</v>
      </c>
      <c r="N63" s="141" t="str">
        <f t="shared" si="19"/>
        <v>obj_0038f#0007</v>
      </c>
      <c r="O63" s="141" t="str">
        <f t="shared" si="20"/>
        <v>obj_003a1#0007</v>
      </c>
      <c r="P63" s="149" t="str">
        <f>IFERROR(_xll.qlRateHelperQuoteName(N63,Trigger),"--")</f>
        <v>GBPSB6L40Y_LCHQuote</v>
      </c>
      <c r="Q63" s="142">
        <f>IFERROR(_xll.qlRateHelperQuoteValue($N63,Trigger),"--")</f>
        <v>2.085E-2</v>
      </c>
      <c r="R63" s="141" t="b">
        <v>1</v>
      </c>
      <c r="S63" s="141">
        <v>10</v>
      </c>
      <c r="T63" s="141">
        <v>1</v>
      </c>
      <c r="U63" s="143">
        <f>IFERROR(_xll.qlRateHelperEarliestDate(N63,Trigger),"--")</f>
        <v>42321</v>
      </c>
      <c r="V63" s="143">
        <f>IFERROR(_xll.qlRateHelperPillarDate(N63,Trigger),"--")</f>
        <v>56933</v>
      </c>
      <c r="X63" s="4" t="str">
        <f t="shared" si="24"/>
        <v/>
      </c>
      <c r="Y63" s="4" t="e">
        <v>#N/A</v>
      </c>
      <c r="Z63" s="4" t="e">
        <v>#N/A</v>
      </c>
      <c r="AA63" s="4" t="str">
        <f>IFERROR(_xll.qlRateHelperQuoteName(Y63,Trigger),"")</f>
        <v/>
      </c>
      <c r="AB63" s="70" t="str">
        <f>IFERROR(_xll.qlRateHelperRate(Y63,Trigger),"")</f>
        <v/>
      </c>
      <c r="AC63" s="104" t="str">
        <f>IF(ISERROR(_xll.qlSwapRateHelperSpread($Y63)),IF(ISERROR(_xll.qlFuturesRateHelperConvexityAdjustment($Y63)),"",_xll.qlFuturesRateHelperConvexityAdjustment($Y63)),_xll.qlSwapRateHelperSpread($Y63))</f>
        <v/>
      </c>
      <c r="AD63" s="5" t="str">
        <f>IFERROR(_xll.qlRateHelperEarliestDate(Y63,Trigger),"")</f>
        <v/>
      </c>
      <c r="AE63" s="5" t="str">
        <f>IFERROR(_xll.qlRateHelperPillarDate(Y63,Trigger),"")</f>
        <v/>
      </c>
      <c r="AF63" s="70" t="e">
        <v>#N/A</v>
      </c>
      <c r="AG63" s="77" t="e">
        <v>#N/A</v>
      </c>
      <c r="AH63" s="169" t="e">
        <v>#N/A</v>
      </c>
      <c r="AI63" s="170" t="e">
        <v>#N/A</v>
      </c>
      <c r="AJ63" s="172" t="e">
        <f t="shared" si="1"/>
        <v>#N/A</v>
      </c>
      <c r="AK63" s="80" t="e">
        <v>#N/A</v>
      </c>
      <c r="AL63" s="161" t="e">
        <f t="shared" si="2"/>
        <v>#N/A</v>
      </c>
    </row>
    <row r="64" spans="1:38" ht="11.25" customHeight="1" x14ac:dyDescent="0.2">
      <c r="A64" s="59" t="s">
        <v>115</v>
      </c>
      <c r="B64" s="60" t="s">
        <v>108</v>
      </c>
      <c r="C64" s="61" t="s">
        <v>6</v>
      </c>
      <c r="D64" s="61" t="s">
        <v>154</v>
      </c>
      <c r="E64" s="61" t="s">
        <v>7</v>
      </c>
      <c r="F64" s="61" t="s">
        <v>155</v>
      </c>
      <c r="G64" s="61" t="str">
        <f t="shared" si="21"/>
        <v>GbpLibor3M</v>
      </c>
      <c r="H64" s="59" t="str">
        <f t="shared" si="22"/>
        <v>GBPSB6L29Y_LCHQuote</v>
      </c>
      <c r="I64" s="127" t="str">
        <f t="shared" si="23"/>
        <v>GBP3L6L29Y_LCHQuote</v>
      </c>
      <c r="J64" s="64"/>
      <c r="K64" s="64"/>
      <c r="M64" s="71" t="str">
        <f t="shared" si="18"/>
        <v>BasSw</v>
      </c>
      <c r="N64" s="141" t="str">
        <f t="shared" si="19"/>
        <v>obj_00389#0007</v>
      </c>
      <c r="O64" s="141" t="str">
        <f t="shared" si="20"/>
        <v>obj_003a0#0007</v>
      </c>
      <c r="P64" s="149" t="str">
        <f>IFERROR(_xll.qlRateHelperQuoteName(N64,Trigger),"--")</f>
        <v>GBPSB6L50Y_LCHQuote</v>
      </c>
      <c r="Q64" s="142">
        <f>IFERROR(_xll.qlRateHelperQuoteValue($N64,Trigger),"--")</f>
        <v>2.0419999999999997E-2</v>
      </c>
      <c r="R64" s="141" t="b">
        <v>1</v>
      </c>
      <c r="S64" s="141">
        <v>10</v>
      </c>
      <c r="T64" s="141">
        <v>1</v>
      </c>
      <c r="U64" s="143">
        <f>IFERROR(_xll.qlRateHelperEarliestDate(N64,Trigger),"--")</f>
        <v>42321</v>
      </c>
      <c r="V64" s="143">
        <f>IFERROR(_xll.qlRateHelperPillarDate(N64,Trigger),"--")</f>
        <v>60584</v>
      </c>
      <c r="X64" s="4" t="str">
        <f t="shared" si="24"/>
        <v/>
      </c>
      <c r="Y64" s="4" t="e">
        <v>#N/A</v>
      </c>
      <c r="Z64" s="4" t="e">
        <v>#N/A</v>
      </c>
      <c r="AA64" s="4" t="str">
        <f>IFERROR(_xll.qlRateHelperQuoteName(Y64,Trigger),"")</f>
        <v/>
      </c>
      <c r="AB64" s="70" t="str">
        <f>IFERROR(_xll.qlRateHelperRate(Y64,Trigger),"")</f>
        <v/>
      </c>
      <c r="AC64" s="104" t="str">
        <f>IF(ISERROR(_xll.qlSwapRateHelperSpread($Y64)),IF(ISERROR(_xll.qlFuturesRateHelperConvexityAdjustment($Y64)),"",_xll.qlFuturesRateHelperConvexityAdjustment($Y64)),_xll.qlSwapRateHelperSpread($Y64))</f>
        <v/>
      </c>
      <c r="AD64" s="5" t="str">
        <f>IFERROR(_xll.qlRateHelperEarliestDate(Y64,Trigger),"")</f>
        <v/>
      </c>
      <c r="AE64" s="5" t="str">
        <f>IFERROR(_xll.qlRateHelperPillarDate(Y64,Trigger),"")</f>
        <v/>
      </c>
      <c r="AF64" s="70" t="e">
        <v>#N/A</v>
      </c>
      <c r="AG64" s="77" t="e">
        <v>#N/A</v>
      </c>
      <c r="AH64" s="169" t="e">
        <v>#N/A</v>
      </c>
      <c r="AI64" s="170" t="e">
        <v>#N/A</v>
      </c>
      <c r="AJ64" s="172" t="e">
        <f t="shared" si="1"/>
        <v>#N/A</v>
      </c>
      <c r="AK64" s="80" t="e">
        <v>#N/A</v>
      </c>
      <c r="AL64" s="161" t="e">
        <f t="shared" si="2"/>
        <v>#N/A</v>
      </c>
    </row>
    <row r="65" spans="1:38" ht="11.25" customHeight="1" x14ac:dyDescent="0.2">
      <c r="A65" s="59" t="s">
        <v>115</v>
      </c>
      <c r="B65" s="60" t="s">
        <v>65</v>
      </c>
      <c r="C65" s="61" t="s">
        <v>6</v>
      </c>
      <c r="D65" s="61" t="s">
        <v>154</v>
      </c>
      <c r="E65" s="61" t="s">
        <v>7</v>
      </c>
      <c r="F65" s="61" t="s">
        <v>155</v>
      </c>
      <c r="G65" s="61" t="str">
        <f t="shared" si="21"/>
        <v>GbpLibor3M</v>
      </c>
      <c r="H65" s="59" t="str">
        <f t="shared" si="22"/>
        <v>GBPSB6L30Y_LCHQuote</v>
      </c>
      <c r="I65" s="127" t="str">
        <f t="shared" si="23"/>
        <v>GBP3L6L30Y_LCHQuote</v>
      </c>
      <c r="J65" s="64" t="str">
        <f>_xll.qlSwapRateHelper2(,$H65,0,$B65,Calendar,$D65,$E65,$F65,$G65,$I65,$C65,Discounting1,PillarDate,,Permanent,Trigger,ObjectOverwrite)</f>
        <v>obj_00395#0007</v>
      </c>
      <c r="K65" s="64" t="str">
        <f>_xll.qlSwapRateHelper2(,$H65,0,$B65,Calendar,$D65,$E65,$F65,$G65,$I65,$C65,Discounting2,PillarDate,,Permanent,Trigger,ObjectOverwrite)</f>
        <v>obj_0038c#0007</v>
      </c>
      <c r="M65" s="72" t="str">
        <f t="shared" si="18"/>
        <v>BasSw</v>
      </c>
      <c r="N65" s="144" t="str">
        <f t="shared" si="19"/>
        <v>obj_00379#0007</v>
      </c>
      <c r="O65" s="144" t="str">
        <f t="shared" si="20"/>
        <v>obj_00399#0007</v>
      </c>
      <c r="P65" s="152" t="str">
        <f>IFERROR(_xll.qlRateHelperQuoteName(N65,Trigger),"--")</f>
        <v>GBPSB6L60Y_LCHQuote</v>
      </c>
      <c r="Q65" s="153">
        <f>IFERROR(_xll.qlRateHelperQuoteValue($N65,Trigger),"--")</f>
        <v>2.0390000000000002E-2</v>
      </c>
      <c r="R65" s="144" t="b">
        <v>1</v>
      </c>
      <c r="S65" s="144">
        <v>10</v>
      </c>
      <c r="T65" s="144">
        <v>1</v>
      </c>
      <c r="U65" s="151">
        <f>IFERROR(_xll.qlRateHelperEarliestDate(N65,Trigger),"--")</f>
        <v>42321</v>
      </c>
      <c r="V65" s="151">
        <f>IFERROR(_xll.qlRateHelperPillarDate(N65,Trigger),"--")</f>
        <v>64236</v>
      </c>
      <c r="X65" s="6" t="str">
        <f t="shared" si="24"/>
        <v/>
      </c>
      <c r="Y65" s="6" t="e">
        <v>#N/A</v>
      </c>
      <c r="Z65" s="6" t="e">
        <v>#N/A</v>
      </c>
      <c r="AA65" s="6" t="str">
        <f>IFERROR(_xll.qlRateHelperQuoteName(Y65,Trigger),"")</f>
        <v/>
      </c>
      <c r="AB65" s="79" t="str">
        <f>IFERROR(_xll.qlRateHelperRate(Y65,Trigger),"")</f>
        <v/>
      </c>
      <c r="AC65" s="105" t="str">
        <f>IF(ISERROR(_xll.qlSwapRateHelperSpread($Y65)),IF(ISERROR(_xll.qlFuturesRateHelperConvexityAdjustment($Y65)),"",_xll.qlFuturesRateHelperConvexityAdjustment($Y65)),_xll.qlSwapRateHelperSpread($Y65))</f>
        <v/>
      </c>
      <c r="AD65" s="12" t="str">
        <f>IFERROR(_xll.qlRateHelperEarliestDate(Y65,Trigger),"")</f>
        <v/>
      </c>
      <c r="AE65" s="12" t="str">
        <f>IFERROR(_xll.qlRateHelperPillarDate(Y65,Trigger),"")</f>
        <v/>
      </c>
      <c r="AF65" s="79" t="e">
        <v>#N/A</v>
      </c>
      <c r="AG65" s="78" t="e">
        <v>#N/A</v>
      </c>
      <c r="AH65" s="169" t="e">
        <v>#N/A</v>
      </c>
      <c r="AI65" s="170" t="e">
        <v>#N/A</v>
      </c>
      <c r="AJ65" s="172" t="e">
        <f t="shared" si="1"/>
        <v>#N/A</v>
      </c>
      <c r="AK65" s="80" t="e">
        <v>#N/A</v>
      </c>
      <c r="AL65" s="161" t="e">
        <f t="shared" si="2"/>
        <v>#N/A</v>
      </c>
    </row>
    <row r="66" spans="1:38" ht="11.25" customHeight="1" x14ac:dyDescent="0.2">
      <c r="A66" s="59" t="s">
        <v>115</v>
      </c>
      <c r="B66" s="60" t="s">
        <v>66</v>
      </c>
      <c r="C66" s="61" t="s">
        <v>6</v>
      </c>
      <c r="D66" s="61" t="s">
        <v>154</v>
      </c>
      <c r="E66" s="61" t="s">
        <v>7</v>
      </c>
      <c r="F66" s="61" t="s">
        <v>155</v>
      </c>
      <c r="G66" s="61" t="str">
        <f t="shared" si="21"/>
        <v>GbpLibor3M</v>
      </c>
      <c r="H66" s="59" t="str">
        <f t="shared" si="22"/>
        <v>GBPSB6L35Y_LCHQuote</v>
      </c>
      <c r="I66" s="125" t="str">
        <f t="shared" si="23"/>
        <v>GBP3L6L35Y_LCHQuote</v>
      </c>
      <c r="J66" s="64"/>
      <c r="K66" s="64"/>
      <c r="M66" s="160"/>
      <c r="AH66" s="169" t="e">
        <v>#N/A</v>
      </c>
      <c r="AI66" s="170" t="e">
        <v>#N/A</v>
      </c>
      <c r="AJ66" s="172" t="e">
        <f t="shared" si="1"/>
        <v>#N/A</v>
      </c>
      <c r="AK66" s="80" t="e">
        <v>#N/A</v>
      </c>
      <c r="AL66" s="161" t="e">
        <f t="shared" si="2"/>
        <v>#N/A</v>
      </c>
    </row>
    <row r="67" spans="1:38" ht="11.25" customHeight="1" x14ac:dyDescent="0.2">
      <c r="A67" s="59" t="s">
        <v>115</v>
      </c>
      <c r="B67" s="60" t="s">
        <v>67</v>
      </c>
      <c r="C67" s="61" t="s">
        <v>6</v>
      </c>
      <c r="D67" s="61" t="s">
        <v>154</v>
      </c>
      <c r="E67" s="61" t="s">
        <v>7</v>
      </c>
      <c r="F67" s="61" t="s">
        <v>155</v>
      </c>
      <c r="G67" s="61" t="str">
        <f t="shared" si="21"/>
        <v>GbpLibor3M</v>
      </c>
      <c r="H67" s="59" t="str">
        <f t="shared" si="22"/>
        <v>GBPSB6L40Y_LCHQuote</v>
      </c>
      <c r="I67" s="125" t="str">
        <f t="shared" si="23"/>
        <v>GBP3L6L40Y_LCHQuote</v>
      </c>
      <c r="J67" s="64" t="str">
        <f>_xll.qlSwapRateHelper2(,$H67,0,$B67,Calendar,$D67,$E67,$F67,$G67,$I67,$C67,Discounting1,PillarDate,,Permanent,Trigger,ObjectOverwrite)</f>
        <v>obj_0038f#0007</v>
      </c>
      <c r="K67" s="64" t="str">
        <f>_xll.qlSwapRateHelper2(,$H67,0,$B67,Calendar,$D67,$E67,$F67,$G67,$I67,$C67,Discounting2,PillarDate,,Permanent,Trigger,ObjectOverwrite)</f>
        <v>obj_003a1#0007</v>
      </c>
      <c r="M67" s="160"/>
      <c r="AH67" s="169" t="e">
        <v>#N/A</v>
      </c>
      <c r="AI67" s="170" t="e">
        <v>#N/A</v>
      </c>
      <c r="AJ67" s="172" t="e">
        <f t="shared" ref="AJ67:AJ103" si="25">AF67-AI67</f>
        <v>#N/A</v>
      </c>
      <c r="AK67" s="80" t="e">
        <v>#N/A</v>
      </c>
      <c r="AL67" s="161" t="e">
        <f t="shared" ref="AL67:AL103" si="26">AK67-AG67</f>
        <v>#N/A</v>
      </c>
    </row>
    <row r="68" spans="1:38" ht="11.25" customHeight="1" x14ac:dyDescent="0.2">
      <c r="A68" s="59" t="s">
        <v>115</v>
      </c>
      <c r="B68" s="60" t="s">
        <v>68</v>
      </c>
      <c r="C68" s="61" t="s">
        <v>6</v>
      </c>
      <c r="D68" s="61" t="s">
        <v>154</v>
      </c>
      <c r="E68" s="61" t="s">
        <v>7</v>
      </c>
      <c r="F68" s="61" t="s">
        <v>155</v>
      </c>
      <c r="G68" s="61" t="str">
        <f t="shared" si="21"/>
        <v>GbpLibor3M</v>
      </c>
      <c r="H68" s="59" t="str">
        <f t="shared" si="22"/>
        <v>GBPSB6L50Y_LCHQuote</v>
      </c>
      <c r="I68" s="125" t="str">
        <f t="shared" si="23"/>
        <v>GBP3L6L50Y_LCHQuote</v>
      </c>
      <c r="J68" s="64" t="str">
        <f>_xll.qlSwapRateHelper2(,$H68,0,$B68,Calendar,$D68,$E68,$F68,$G68,$I68,$C68,Discounting1,PillarDate,,Permanent,Trigger,ObjectOverwrite)</f>
        <v>obj_00389#0007</v>
      </c>
      <c r="K68" s="64" t="str">
        <f>_xll.qlSwapRateHelper2(,$H68,0,$B68,Calendar,$D68,$E68,$F68,$G68,$I68,$C68,Discounting2,PillarDate,,Permanent,Trigger,ObjectOverwrite)</f>
        <v>obj_003a0#0007</v>
      </c>
      <c r="M68" s="160"/>
      <c r="AH68" s="169" t="e">
        <v>#N/A</v>
      </c>
      <c r="AI68" s="170" t="e">
        <v>#N/A</v>
      </c>
      <c r="AJ68" s="172" t="e">
        <f t="shared" si="25"/>
        <v>#N/A</v>
      </c>
      <c r="AK68" s="80" t="e">
        <v>#N/A</v>
      </c>
      <c r="AL68" s="161" t="e">
        <f t="shared" si="26"/>
        <v>#N/A</v>
      </c>
    </row>
    <row r="69" spans="1:38" ht="11.25" customHeight="1" x14ac:dyDescent="0.2">
      <c r="A69" s="1" t="s">
        <v>115</v>
      </c>
      <c r="B69" s="8" t="s">
        <v>109</v>
      </c>
      <c r="C69" s="7" t="s">
        <v>6</v>
      </c>
      <c r="D69" s="7" t="s">
        <v>154</v>
      </c>
      <c r="E69" s="7" t="s">
        <v>7</v>
      </c>
      <c r="F69" s="7" t="s">
        <v>155</v>
      </c>
      <c r="G69" s="7" t="str">
        <f t="shared" si="21"/>
        <v>GbpLibor3M</v>
      </c>
      <c r="H69" s="1" t="str">
        <f t="shared" si="22"/>
        <v>GBPSB6L60Y_LCHQuote</v>
      </c>
      <c r="I69" s="128" t="str">
        <f t="shared" si="23"/>
        <v>GBP3L6L60Y_LCHQuote</v>
      </c>
      <c r="J69" s="3" t="str">
        <f>_xll.qlSwapRateHelper2(,$H69,0,$B69,Calendar,$D69,$E69,$F69,$G69,$I69,$C69,Discounting1,PillarDate,,Permanent,Trigger,ObjectOverwrite)</f>
        <v>obj_00379#0007</v>
      </c>
      <c r="K69" s="3" t="str">
        <f>_xll.qlSwapRateHelper2(,$H69,0,$B69,Calendar,$D69,$E69,$F69,$G69,$I69,$C69,Discounting2,PillarDate,,Permanent,Trigger,ObjectOverwrite)</f>
        <v>obj_00399#0007</v>
      </c>
      <c r="M69" s="160"/>
      <c r="AH69" s="169" t="e">
        <v>#N/A</v>
      </c>
      <c r="AI69" s="170" t="e">
        <v>#N/A</v>
      </c>
      <c r="AJ69" s="172" t="e">
        <f t="shared" si="25"/>
        <v>#N/A</v>
      </c>
      <c r="AK69" s="80" t="e">
        <v>#N/A</v>
      </c>
      <c r="AL69" s="161" t="e">
        <f t="shared" si="26"/>
        <v>#N/A</v>
      </c>
    </row>
    <row r="70" spans="1:38" ht="11.25" customHeight="1" x14ac:dyDescent="0.2">
      <c r="AH70" s="169" t="e">
        <v>#N/A</v>
      </c>
      <c r="AI70" s="170" t="e">
        <v>#N/A</v>
      </c>
      <c r="AJ70" s="172" t="e">
        <f t="shared" si="25"/>
        <v>#N/A</v>
      </c>
      <c r="AK70" s="80" t="e">
        <v>#N/A</v>
      </c>
      <c r="AL70" s="161" t="e">
        <f t="shared" si="26"/>
        <v>#N/A</v>
      </c>
    </row>
    <row r="71" spans="1:38" ht="11.25" customHeight="1" x14ac:dyDescent="0.2">
      <c r="AH71" s="169" t="e">
        <v>#N/A</v>
      </c>
      <c r="AI71" s="170" t="e">
        <v>#N/A</v>
      </c>
      <c r="AJ71" s="172" t="e">
        <f t="shared" si="25"/>
        <v>#N/A</v>
      </c>
      <c r="AK71" s="80" t="e">
        <v>#N/A</v>
      </c>
      <c r="AL71" s="161" t="e">
        <f t="shared" si="26"/>
        <v>#N/A</v>
      </c>
    </row>
    <row r="72" spans="1:38" ht="11.25" customHeight="1" x14ac:dyDescent="0.2">
      <c r="AH72" s="169" t="e">
        <v>#N/A</v>
      </c>
      <c r="AI72" s="170" t="e">
        <v>#N/A</v>
      </c>
      <c r="AJ72" s="172" t="e">
        <f t="shared" si="25"/>
        <v>#N/A</v>
      </c>
      <c r="AK72" s="80" t="e">
        <v>#N/A</v>
      </c>
      <c r="AL72" s="161" t="e">
        <f t="shared" si="26"/>
        <v>#N/A</v>
      </c>
    </row>
    <row r="73" spans="1:38" ht="11.25" customHeight="1" x14ac:dyDescent="0.2">
      <c r="AH73" s="169" t="e">
        <v>#N/A</v>
      </c>
      <c r="AI73" s="170" t="e">
        <v>#N/A</v>
      </c>
      <c r="AJ73" s="172" t="e">
        <f t="shared" si="25"/>
        <v>#N/A</v>
      </c>
      <c r="AK73" s="80" t="e">
        <v>#N/A</v>
      </c>
      <c r="AL73" s="161" t="e">
        <f t="shared" si="26"/>
        <v>#N/A</v>
      </c>
    </row>
    <row r="74" spans="1:38" ht="11.25" customHeight="1" x14ac:dyDescent="0.2">
      <c r="AH74" s="169" t="e">
        <v>#N/A</v>
      </c>
      <c r="AI74" s="170" t="e">
        <v>#N/A</v>
      </c>
      <c r="AJ74" s="172" t="e">
        <f t="shared" si="25"/>
        <v>#N/A</v>
      </c>
      <c r="AK74" s="80" t="e">
        <v>#N/A</v>
      </c>
      <c r="AL74" s="161" t="e">
        <f t="shared" si="26"/>
        <v>#N/A</v>
      </c>
    </row>
    <row r="75" spans="1:38" ht="11.25" customHeight="1" x14ac:dyDescent="0.2">
      <c r="AH75" s="169" t="e">
        <v>#N/A</v>
      </c>
      <c r="AI75" s="170" t="e">
        <v>#N/A</v>
      </c>
      <c r="AJ75" s="172" t="e">
        <f t="shared" si="25"/>
        <v>#N/A</v>
      </c>
      <c r="AK75" s="80" t="e">
        <v>#N/A</v>
      </c>
      <c r="AL75" s="161" t="e">
        <f t="shared" si="26"/>
        <v>#N/A</v>
      </c>
    </row>
    <row r="76" spans="1:38" ht="11.25" customHeight="1" x14ac:dyDescent="0.2">
      <c r="AH76" s="169" t="e">
        <v>#N/A</v>
      </c>
      <c r="AI76" s="170" t="e">
        <v>#N/A</v>
      </c>
      <c r="AJ76" s="172" t="e">
        <f t="shared" si="25"/>
        <v>#N/A</v>
      </c>
      <c r="AK76" s="80" t="e">
        <v>#N/A</v>
      </c>
      <c r="AL76" s="161" t="e">
        <f t="shared" si="26"/>
        <v>#N/A</v>
      </c>
    </row>
    <row r="77" spans="1:38" ht="11.25" customHeight="1" x14ac:dyDescent="0.2">
      <c r="AH77" s="169" t="e">
        <v>#N/A</v>
      </c>
      <c r="AI77" s="170" t="e">
        <v>#N/A</v>
      </c>
      <c r="AJ77" s="172" t="e">
        <f t="shared" si="25"/>
        <v>#N/A</v>
      </c>
      <c r="AK77" s="80" t="e">
        <v>#N/A</v>
      </c>
      <c r="AL77" s="161" t="e">
        <f t="shared" si="26"/>
        <v>#N/A</v>
      </c>
    </row>
    <row r="78" spans="1:38" ht="11.25" customHeight="1" x14ac:dyDescent="0.2">
      <c r="AH78" s="169" t="e">
        <v>#N/A</v>
      </c>
      <c r="AI78" s="170" t="e">
        <v>#N/A</v>
      </c>
      <c r="AJ78" s="172" t="e">
        <f t="shared" si="25"/>
        <v>#N/A</v>
      </c>
      <c r="AK78" s="80" t="e">
        <v>#N/A</v>
      </c>
      <c r="AL78" s="161" t="e">
        <f t="shared" si="26"/>
        <v>#N/A</v>
      </c>
    </row>
    <row r="79" spans="1:38" ht="11.25" customHeight="1" x14ac:dyDescent="0.2">
      <c r="AH79" s="169" t="e">
        <v>#N/A</v>
      </c>
      <c r="AI79" s="170" t="e">
        <v>#N/A</v>
      </c>
      <c r="AJ79" s="172" t="e">
        <f t="shared" si="25"/>
        <v>#N/A</v>
      </c>
      <c r="AK79" s="80" t="e">
        <v>#N/A</v>
      </c>
      <c r="AL79" s="161" t="e">
        <f t="shared" si="26"/>
        <v>#N/A</v>
      </c>
    </row>
    <row r="80" spans="1:38" ht="11.25" customHeight="1" x14ac:dyDescent="0.2">
      <c r="AH80" s="169" t="e">
        <v>#N/A</v>
      </c>
      <c r="AI80" s="170" t="e">
        <v>#N/A</v>
      </c>
      <c r="AJ80" s="172" t="e">
        <f t="shared" si="25"/>
        <v>#N/A</v>
      </c>
      <c r="AK80" s="80" t="e">
        <v>#N/A</v>
      </c>
      <c r="AL80" s="161" t="e">
        <f t="shared" si="26"/>
        <v>#N/A</v>
      </c>
    </row>
    <row r="81" spans="12:38" x14ac:dyDescent="0.2">
      <c r="AH81" s="169" t="e">
        <v>#N/A</v>
      </c>
      <c r="AI81" s="170" t="e">
        <v>#N/A</v>
      </c>
      <c r="AJ81" s="172" t="e">
        <f t="shared" si="25"/>
        <v>#N/A</v>
      </c>
      <c r="AK81" s="80" t="e">
        <v>#N/A</v>
      </c>
      <c r="AL81" s="161" t="e">
        <f t="shared" si="26"/>
        <v>#N/A</v>
      </c>
    </row>
    <row r="82" spans="12:38" x14ac:dyDescent="0.2">
      <c r="AH82" s="169" t="e">
        <v>#N/A</v>
      </c>
      <c r="AI82" s="170" t="e">
        <v>#N/A</v>
      </c>
      <c r="AJ82" s="172" t="e">
        <f t="shared" si="25"/>
        <v>#N/A</v>
      </c>
      <c r="AK82" s="80" t="e">
        <v>#N/A</v>
      </c>
      <c r="AL82" s="161" t="e">
        <f t="shared" si="26"/>
        <v>#N/A</v>
      </c>
    </row>
    <row r="83" spans="12:38" x14ac:dyDescent="0.2">
      <c r="AH83" s="169" t="e">
        <v>#N/A</v>
      </c>
      <c r="AI83" s="170" t="e">
        <v>#N/A</v>
      </c>
      <c r="AJ83" s="172" t="e">
        <f t="shared" si="25"/>
        <v>#N/A</v>
      </c>
      <c r="AK83" s="80" t="e">
        <v>#N/A</v>
      </c>
      <c r="AL83" s="161" t="e">
        <f t="shared" si="26"/>
        <v>#N/A</v>
      </c>
    </row>
    <row r="84" spans="12:38" x14ac:dyDescent="0.2">
      <c r="AH84" s="169" t="e">
        <v>#N/A</v>
      </c>
      <c r="AI84" s="170" t="e">
        <v>#N/A</v>
      </c>
      <c r="AJ84" s="172" t="e">
        <f t="shared" si="25"/>
        <v>#N/A</v>
      </c>
      <c r="AK84" s="80" t="e">
        <v>#N/A</v>
      </c>
      <c r="AL84" s="161" t="e">
        <f t="shared" si="26"/>
        <v>#N/A</v>
      </c>
    </row>
    <row r="85" spans="12:38" x14ac:dyDescent="0.2">
      <c r="AH85" s="169" t="e">
        <v>#N/A</v>
      </c>
      <c r="AI85" s="170" t="e">
        <v>#N/A</v>
      </c>
      <c r="AJ85" s="172" t="e">
        <f t="shared" si="25"/>
        <v>#N/A</v>
      </c>
      <c r="AK85" s="80" t="e">
        <v>#N/A</v>
      </c>
      <c r="AL85" s="161" t="e">
        <f t="shared" si="26"/>
        <v>#N/A</v>
      </c>
    </row>
    <row r="86" spans="12:38" x14ac:dyDescent="0.2">
      <c r="AH86" s="169" t="e">
        <v>#N/A</v>
      </c>
      <c r="AI86" s="170" t="e">
        <v>#N/A</v>
      </c>
      <c r="AJ86" s="172" t="e">
        <f t="shared" si="25"/>
        <v>#N/A</v>
      </c>
      <c r="AK86" s="80" t="e">
        <v>#N/A</v>
      </c>
      <c r="AL86" s="161" t="e">
        <f t="shared" si="26"/>
        <v>#N/A</v>
      </c>
    </row>
    <row r="87" spans="12:38" x14ac:dyDescent="0.2">
      <c r="AH87" s="169" t="e">
        <v>#N/A</v>
      </c>
      <c r="AI87" s="170" t="e">
        <v>#N/A</v>
      </c>
      <c r="AJ87" s="172" t="e">
        <f t="shared" si="25"/>
        <v>#N/A</v>
      </c>
      <c r="AK87" s="80" t="e">
        <v>#N/A</v>
      </c>
      <c r="AL87" s="161" t="e">
        <f t="shared" si="26"/>
        <v>#N/A</v>
      </c>
    </row>
    <row r="88" spans="12:38" x14ac:dyDescent="0.2">
      <c r="AH88" s="169" t="e">
        <v>#N/A</v>
      </c>
      <c r="AI88" s="170" t="e">
        <v>#N/A</v>
      </c>
      <c r="AJ88" s="172" t="e">
        <f t="shared" si="25"/>
        <v>#N/A</v>
      </c>
      <c r="AK88" s="80" t="e">
        <v>#N/A</v>
      </c>
      <c r="AL88" s="161" t="e">
        <f t="shared" si="26"/>
        <v>#N/A</v>
      </c>
    </row>
    <row r="89" spans="12:38" x14ac:dyDescent="0.2">
      <c r="AH89" s="169" t="e">
        <v>#N/A</v>
      </c>
      <c r="AI89" s="170" t="e">
        <v>#N/A</v>
      </c>
      <c r="AJ89" s="172" t="e">
        <f t="shared" si="25"/>
        <v>#N/A</v>
      </c>
      <c r="AK89" s="80" t="e">
        <v>#N/A</v>
      </c>
      <c r="AL89" s="161" t="e">
        <f t="shared" si="26"/>
        <v>#N/A</v>
      </c>
    </row>
    <row r="90" spans="12:38" x14ac:dyDescent="0.2">
      <c r="L90" s="46" t="s">
        <v>35</v>
      </c>
      <c r="AH90" s="169" t="e">
        <v>#N/A</v>
      </c>
      <c r="AI90" s="170" t="e">
        <v>#N/A</v>
      </c>
      <c r="AJ90" s="172" t="e">
        <f t="shared" si="25"/>
        <v>#N/A</v>
      </c>
      <c r="AK90" s="80" t="e">
        <v>#N/A</v>
      </c>
      <c r="AL90" s="161" t="e">
        <f t="shared" si="26"/>
        <v>#N/A</v>
      </c>
    </row>
    <row r="91" spans="12:38" x14ac:dyDescent="0.2">
      <c r="AH91" s="46" t="e">
        <v>#N/A</v>
      </c>
      <c r="AI91" s="46" t="e">
        <v>#N/A</v>
      </c>
      <c r="AJ91" s="172" t="e">
        <f t="shared" si="25"/>
        <v>#N/A</v>
      </c>
      <c r="AK91" s="46" t="e">
        <v>#N/A</v>
      </c>
      <c r="AL91" s="161" t="e">
        <f t="shared" si="26"/>
        <v>#N/A</v>
      </c>
    </row>
    <row r="92" spans="12:38" x14ac:dyDescent="0.2">
      <c r="AH92" s="46" t="e">
        <v>#N/A</v>
      </c>
      <c r="AI92" s="46" t="e">
        <v>#N/A</v>
      </c>
      <c r="AJ92" s="172" t="e">
        <f t="shared" si="25"/>
        <v>#N/A</v>
      </c>
      <c r="AK92" s="46" t="e">
        <v>#N/A</v>
      </c>
      <c r="AL92" s="161" t="e">
        <f t="shared" si="26"/>
        <v>#N/A</v>
      </c>
    </row>
    <row r="93" spans="12:38" x14ac:dyDescent="0.2">
      <c r="AH93" s="46" t="e">
        <v>#N/A</v>
      </c>
      <c r="AI93" s="46" t="e">
        <v>#N/A</v>
      </c>
      <c r="AJ93" s="172" t="e">
        <f t="shared" si="25"/>
        <v>#N/A</v>
      </c>
      <c r="AK93" s="46" t="e">
        <v>#N/A</v>
      </c>
      <c r="AL93" s="161" t="e">
        <f t="shared" si="26"/>
        <v>#N/A</v>
      </c>
    </row>
    <row r="94" spans="12:38" x14ac:dyDescent="0.2">
      <c r="AH94" s="46" t="e">
        <v>#N/A</v>
      </c>
      <c r="AI94" s="46" t="e">
        <v>#N/A</v>
      </c>
      <c r="AJ94" s="172" t="e">
        <f t="shared" si="25"/>
        <v>#N/A</v>
      </c>
      <c r="AK94" s="46" t="e">
        <v>#N/A</v>
      </c>
      <c r="AL94" s="161" t="e">
        <f t="shared" si="26"/>
        <v>#N/A</v>
      </c>
    </row>
    <row r="95" spans="12:38" x14ac:dyDescent="0.2">
      <c r="AH95" s="46" t="e">
        <v>#N/A</v>
      </c>
      <c r="AI95" s="46" t="e">
        <v>#N/A</v>
      </c>
      <c r="AJ95" s="172" t="e">
        <f t="shared" si="25"/>
        <v>#N/A</v>
      </c>
      <c r="AK95" s="46" t="e">
        <v>#N/A</v>
      </c>
      <c r="AL95" s="161" t="e">
        <f t="shared" si="26"/>
        <v>#N/A</v>
      </c>
    </row>
    <row r="96" spans="12:38" x14ac:dyDescent="0.2">
      <c r="AH96" s="46" t="e">
        <v>#N/A</v>
      </c>
      <c r="AI96" s="46" t="e">
        <v>#N/A</v>
      </c>
      <c r="AJ96" s="172" t="e">
        <f t="shared" si="25"/>
        <v>#N/A</v>
      </c>
      <c r="AK96" s="46" t="e">
        <v>#N/A</v>
      </c>
      <c r="AL96" s="161" t="e">
        <f t="shared" si="26"/>
        <v>#N/A</v>
      </c>
    </row>
    <row r="97" spans="34:38" x14ac:dyDescent="0.2">
      <c r="AH97" s="46" t="e">
        <v>#N/A</v>
      </c>
      <c r="AI97" s="46" t="e">
        <v>#N/A</v>
      </c>
      <c r="AJ97" s="172" t="e">
        <f t="shared" si="25"/>
        <v>#N/A</v>
      </c>
      <c r="AK97" s="46" t="e">
        <v>#N/A</v>
      </c>
      <c r="AL97" s="161" t="e">
        <f t="shared" si="26"/>
        <v>#N/A</v>
      </c>
    </row>
    <row r="98" spans="34:38" x14ac:dyDescent="0.2">
      <c r="AH98" s="46" t="e">
        <v>#N/A</v>
      </c>
      <c r="AI98" s="46" t="e">
        <v>#N/A</v>
      </c>
      <c r="AJ98" s="172" t="e">
        <f t="shared" si="25"/>
        <v>#N/A</v>
      </c>
      <c r="AK98" s="46" t="e">
        <v>#N/A</v>
      </c>
      <c r="AL98" s="161" t="e">
        <f t="shared" si="26"/>
        <v>#N/A</v>
      </c>
    </row>
    <row r="99" spans="34:38" x14ac:dyDescent="0.2">
      <c r="AH99" s="46" t="e">
        <v>#N/A</v>
      </c>
      <c r="AI99" s="46" t="e">
        <v>#N/A</v>
      </c>
      <c r="AJ99" s="172" t="e">
        <f t="shared" si="25"/>
        <v>#N/A</v>
      </c>
      <c r="AK99" s="46" t="e">
        <v>#N/A</v>
      </c>
      <c r="AL99" s="161" t="e">
        <f t="shared" si="26"/>
        <v>#N/A</v>
      </c>
    </row>
    <row r="100" spans="34:38" x14ac:dyDescent="0.2">
      <c r="AH100" s="46" t="e">
        <v>#N/A</v>
      </c>
      <c r="AI100" s="46" t="e">
        <v>#N/A</v>
      </c>
      <c r="AJ100" s="172" t="e">
        <f t="shared" si="25"/>
        <v>#N/A</v>
      </c>
      <c r="AK100" s="46" t="e">
        <v>#N/A</v>
      </c>
      <c r="AL100" s="161" t="e">
        <f t="shared" si="26"/>
        <v>#N/A</v>
      </c>
    </row>
    <row r="101" spans="34:38" x14ac:dyDescent="0.2">
      <c r="AH101" s="46" t="e">
        <v>#N/A</v>
      </c>
      <c r="AI101" s="46" t="e">
        <v>#N/A</v>
      </c>
      <c r="AJ101" s="172" t="e">
        <f t="shared" si="25"/>
        <v>#N/A</v>
      </c>
      <c r="AK101" s="46" t="e">
        <v>#N/A</v>
      </c>
      <c r="AL101" s="161" t="e">
        <f t="shared" si="26"/>
        <v>#N/A</v>
      </c>
    </row>
    <row r="102" spans="34:38" x14ac:dyDescent="0.2">
      <c r="AH102" s="46" t="e">
        <v>#N/A</v>
      </c>
      <c r="AI102" s="46" t="e">
        <v>#N/A</v>
      </c>
      <c r="AJ102" s="172" t="e">
        <f t="shared" si="25"/>
        <v>#N/A</v>
      </c>
      <c r="AK102" s="46" t="e">
        <v>#N/A</v>
      </c>
      <c r="AL102" s="161" t="e">
        <f t="shared" si="26"/>
        <v>#N/A</v>
      </c>
    </row>
    <row r="103" spans="34:38" x14ac:dyDescent="0.2">
      <c r="AH103" s="46" t="e">
        <v>#N/A</v>
      </c>
      <c r="AI103" s="46" t="e">
        <v>#N/A</v>
      </c>
      <c r="AJ103" s="172" t="e">
        <f t="shared" si="25"/>
        <v>#N/A</v>
      </c>
      <c r="AK103" s="46" t="e">
        <v>#N/A</v>
      </c>
      <c r="AL103" s="161" t="e">
        <f t="shared" si="26"/>
        <v>#N/A</v>
      </c>
    </row>
  </sheetData>
  <mergeCells count="1">
    <mergeCell ref="AN2:AO2"/>
  </mergeCells>
  <dataValidations count="4">
    <dataValidation type="list" allowBlank="1" showInputMessage="1" showErrorMessage="1" sqref="D32:D69">
      <formula1>"Annual,Semiannual,EveryFourthMonth,Quarterly,Bimonthly,Monthly,Biweekly,Weekly,Daily,Once,NoFrequency"</formula1>
    </dataValidation>
    <dataValidation type="list" allowBlank="1" showInputMessage="1" showErrorMessage="1" sqref="E32:E69">
      <formula1>"Following,Modified Following,Preceding,Modified Preceding,Unadjusted,Half-Month Modified Following"</formula1>
    </dataValidation>
    <dataValidation type="list" allowBlank="1" showInputMessage="1" showErrorMessage="1" sqref="F32:F69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AO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5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3.42578125" style="52" hidden="1" customWidth="1" outlineLevel="1"/>
    <col min="9" max="9" width="9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5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2" style="46" bestFit="1" customWidth="1"/>
    <col min="33" max="33" width="12" style="46" customWidth="1"/>
    <col min="34" max="38" width="11.7109375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2" width="11" style="46" bestFit="1" customWidth="1"/>
    <col min="43" max="43" width="9.140625" style="46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3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GBP6M</v>
      </c>
      <c r="Y1" s="66"/>
      <c r="Z1" s="66"/>
      <c r="AA1" s="66"/>
      <c r="AB1" s="69"/>
      <c r="AC1" s="69"/>
      <c r="AD1" s="66"/>
      <c r="AE1" s="66"/>
      <c r="AF1" s="178" t="s">
        <v>128</v>
      </c>
      <c r="AG1" s="178" t="s">
        <v>135</v>
      </c>
      <c r="AN1" s="46" t="s">
        <v>117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134</v>
      </c>
      <c r="M2" s="73" t="s">
        <v>9</v>
      </c>
      <c r="N2" s="73" t="s">
        <v>132</v>
      </c>
      <c r="O2" s="73" t="s">
        <v>133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132</v>
      </c>
      <c r="Z2" s="73" t="s">
        <v>133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71">
        <f t="array" ref="AF2:AF59">_xll.qlPiecewiseYieldCurveData(YieldCurve1_6M,Trigger)</f>
        <v>7.3552954574992715E-3</v>
      </c>
      <c r="AG2" s="77">
        <f t="array" ref="AG2:AG59">_xll.qlPiecewiseYieldCurveData(YieldCurve2_6M,Trigger)</f>
        <v>1</v>
      </c>
      <c r="AJ2" s="46" t="s">
        <v>136</v>
      </c>
      <c r="AL2" s="46" t="s">
        <v>137</v>
      </c>
      <c r="AN2" s="213" t="s">
        <v>83</v>
      </c>
      <c r="AO2" s="214"/>
    </row>
    <row r="3" spans="1:41" ht="11.25" customHeight="1" x14ac:dyDescent="0.2">
      <c r="A3" s="1" t="s">
        <v>26</v>
      </c>
      <c r="B3" s="8" t="s">
        <v>3</v>
      </c>
      <c r="C3" s="124"/>
      <c r="D3" s="124"/>
      <c r="E3" s="124"/>
      <c r="F3" s="124"/>
      <c r="G3" s="7" t="str">
        <f>PROPER(Currency)&amp;FamilyName&amp;B3</f>
        <v>GbpLibor6M</v>
      </c>
      <c r="H3" s="121" t="str">
        <f>IF(ReportQuoteOverwrite,Currency&amp;$B3&amp;"D"&amp;ReportQuoteSuffix,Currency&amp;$B3&amp;"D"&amp;QuoteSuffix)</f>
        <v>GBP6MD_LCHQuote</v>
      </c>
      <c r="I3" s="124"/>
      <c r="J3" s="3" t="str">
        <f>_xll.qlDepositRateHelper(,H3,G3,Permanent,Trigger,ObjectOverwrite)</f>
        <v>obj_0041f#0007</v>
      </c>
      <c r="K3" s="3" t="str">
        <f>J3</f>
        <v>obj_0041f#0007</v>
      </c>
      <c r="L3" s="49"/>
      <c r="M3" s="11" t="str">
        <f>A3</f>
        <v>Dp</v>
      </c>
      <c r="N3" s="95" t="str">
        <f>IF(ISBLANK(J3),"--",J3)</f>
        <v>obj_0041f#0007</v>
      </c>
      <c r="O3" s="95" t="str">
        <f>IF(ISBLANK(K3),"--",K3)</f>
        <v>obj_0041f#0007</v>
      </c>
      <c r="P3" s="147" t="str">
        <f>IFERROR(_xll.qlRateHelperQuoteName(N3,Trigger),"--")</f>
        <v>GBP6MD_LCHQuote</v>
      </c>
      <c r="Q3" s="101">
        <f>IFERROR(_xll.qlRateHelperQuoteValue($N3,Trigger),"--")</f>
        <v>7.3688E-3</v>
      </c>
      <c r="R3" s="144" t="b">
        <v>1</v>
      </c>
      <c r="S3" s="95">
        <v>30</v>
      </c>
      <c r="T3" s="95">
        <v>1</v>
      </c>
      <c r="U3" s="102">
        <f>IFERROR(_xll.qlRateHelperEarliestDate(N3,Trigger),"--")</f>
        <v>42321</v>
      </c>
      <c r="V3" s="102">
        <f>IFERROR(_xll.qlRateHelperPillarDate(N3,Trigger),"--")</f>
        <v>42503</v>
      </c>
      <c r="X3" s="4" t="str">
        <f>IFERROR(INDEX($M$3:$M$59,MATCH(AA3,$P$3:$P$59,0),1),"")</f>
        <v>Dp</v>
      </c>
      <c r="Y3" s="4" t="str">
        <f t="array" ref="Y3:Y59">_xll.qlRateHelperSelection(_xll.ohFilter(RateHelpers1,IncludeFlag),_xll.ohFilter(Priority,IncludeFlag),$AO$3,$AO$4,$AO$5,$AO$6,_xll.ohFilter(MinDistance,IncludeFlag),Trigger)</f>
        <v>obj_0041f</v>
      </c>
      <c r="Z3" s="4" t="str">
        <f t="array" ref="Z3:Z59">_xll.qlRateHelperSelection(_xll.ohFilter(RateHelpers1,IncludeFlag),_xll.ohFilter(Priority,IncludeFlag),$AO$3,$AO$4,$AO$5,$AO$6,_xll.ohFilter(MinDistance,IncludeFlag),Trigger)</f>
        <v>obj_0041f</v>
      </c>
      <c r="AA3" s="4" t="str">
        <f>IFERROR(_xll.qlRateHelperQuoteName(Y3,Trigger),"")</f>
        <v>GBP6MD_LCHQuote</v>
      </c>
      <c r="AB3" s="70">
        <f>IFERROR(_xll.qlRateHelperRate(Y3,Trigger),"")</f>
        <v>7.3688E-3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42503</v>
      </c>
      <c r="AF3" s="70">
        <v>7.3552954574992715E-3</v>
      </c>
      <c r="AG3" s="77">
        <v>0.99633914534589341</v>
      </c>
      <c r="AH3" s="169">
        <f t="array" ref="AH3:AH59">_xll.ohFilter([1]REP00100!$C$2:$C$2000,([1]REP00100!$A$2:$A$2000="GBP_LIBOR_6M_EOD"))</f>
        <v>42502</v>
      </c>
      <c r="AI3" s="170">
        <f t="array" ref="AI3:AI59">_xll.ohFilter([1]REP00100!$E$2:$E$2000,([1]REP00100!$A$2:$A$2000="GBP_LIBOR_6M_EOD"))</f>
        <v>7.3926578275692696E-3</v>
      </c>
      <c r="AJ3" s="172">
        <f>AF3-AI3</f>
        <v>-3.7362370069998069E-5</v>
      </c>
      <c r="AK3" s="80">
        <f t="array" ref="AK3:AK59">_xll.ohFilter([1]REP00101!$F$2:$F$2000,([1]REP00101!$A$2:$A$2000="GBP_LIBOR_6M_EOD"))</f>
        <v>0.99632058371690102</v>
      </c>
      <c r="AL3" s="161">
        <f>AG3-AK3</f>
        <v>1.8561628992386225E-5</v>
      </c>
      <c r="AN3" s="107" t="s">
        <v>84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/>
      <c r="H4" s="46"/>
      <c r="L4" s="48"/>
      <c r="M4" s="68" t="str">
        <f t="shared" ref="M4" si="0">A6</f>
        <v>FRA</v>
      </c>
      <c r="N4" s="131" t="str">
        <f t="shared" ref="N4:O4" si="1">IF(ISBLANK(J6),"--",J6)</f>
        <v>obj_0041b#0007</v>
      </c>
      <c r="O4" s="131" t="str">
        <f t="shared" si="1"/>
        <v>obj_0041b#0007</v>
      </c>
      <c r="P4" s="145" t="str">
        <f>IFERROR(_xll.qlRateHelperQuoteName(N4,Trigger),"--")</f>
        <v>GBP1x7F_LCHQuote</v>
      </c>
      <c r="Q4" s="133">
        <f>IFERROR(_xll.qlRateHelperQuoteValue($N4,Trigger),"--")</f>
        <v>7.4000000000000003E-3</v>
      </c>
      <c r="R4" s="137" t="b">
        <v>0</v>
      </c>
      <c r="S4" s="131">
        <v>20</v>
      </c>
      <c r="T4" s="131">
        <v>1</v>
      </c>
      <c r="U4" s="134">
        <f>IFERROR(_xll.qlRateHelperEarliestDate(N4,Trigger),"--")</f>
        <v>42352</v>
      </c>
      <c r="V4" s="134">
        <f>IFERROR(_xll.qlRateHelperPillarDate(N4,Trigger),"--")</f>
        <v>42534</v>
      </c>
      <c r="X4" s="4" t="str">
        <f t="shared" ref="X4:X59" si="2">IFERROR(INDEX($M$3:$M$59,MATCH(AA4,$P$3:$P$59,0),1),"")</f>
        <v>FRA</v>
      </c>
      <c r="Y4" s="4" t="str">
        <v>obj_003a8</v>
      </c>
      <c r="Z4" s="4" t="str">
        <v>obj_003a8</v>
      </c>
      <c r="AA4" s="4" t="str">
        <f>IFERROR(_xll.qlRateHelperQuoteName(Y4,Trigger),"")</f>
        <v>GBP6x12F_LCHQuote</v>
      </c>
      <c r="AB4" s="70">
        <f>IFERROR(_xll.qlRateHelperRate(Y4,Trigger),"")</f>
        <v>8.4499999999999992E-3</v>
      </c>
      <c r="AC4" s="104" t="str">
        <f>IF(ISERROR(_xll.qlSwapRateHelperSpread($Y4)),IF(ISERROR(_xll.qlFuturesRateHelperConvexityAdjustment($Y4)),"",_xll.qlFuturesRateHelperConvexityAdjustment($Y4)),_xll.qlSwapRateHelperSpread($Y4))</f>
        <v/>
      </c>
      <c r="AD4" s="5">
        <f>IFERROR(_xll.qlRateHelperEarliestDate(Y4,Trigger),"")</f>
        <v>42503</v>
      </c>
      <c r="AE4" s="5">
        <f>IFERROR(_xll.qlRateHelperPillarDate(Y4,Trigger),"")</f>
        <v>42688</v>
      </c>
      <c r="AF4" s="70">
        <v>7.8980264234484628E-3</v>
      </c>
      <c r="AG4" s="77">
        <v>0.99209014556492259</v>
      </c>
      <c r="AH4" s="169">
        <v>42688</v>
      </c>
      <c r="AI4" s="170">
        <v>8.0512632674335505E-3</v>
      </c>
      <c r="AJ4" s="172">
        <f t="shared" ref="AJ4:AJ59" si="3">AF4-AI4</f>
        <v>-1.5323684398508772E-4</v>
      </c>
      <c r="AK4" s="80">
        <v>0.99191541939995698</v>
      </c>
      <c r="AL4" s="161">
        <f t="shared" ref="AL4:AL59" si="4">AG4-AK4</f>
        <v>1.7472616496561066E-4</v>
      </c>
      <c r="AN4" s="107" t="s">
        <v>85</v>
      </c>
      <c r="AO4" s="108">
        <v>0</v>
      </c>
    </row>
    <row r="5" spans="1:41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 t="s">
        <v>132</v>
      </c>
      <c r="K5" s="65" t="s">
        <v>134</v>
      </c>
      <c r="L5" s="48"/>
      <c r="M5" s="10" t="str">
        <f t="shared" ref="M5:M21" si="5">A7</f>
        <v>FRA</v>
      </c>
      <c r="N5" s="94" t="str">
        <f t="shared" ref="N5:N21" si="6">IF(ISBLANK(J7),"--",J7)</f>
        <v>obj_003ac#0007</v>
      </c>
      <c r="O5" s="94" t="str">
        <f t="shared" ref="O5:O21" si="7">IF(ISBLANK(K7),"--",K7)</f>
        <v>obj_003ac#0007</v>
      </c>
      <c r="P5" s="146" t="str">
        <f>IFERROR(_xll.qlRateHelperQuoteName(N5,Trigger),"--")</f>
        <v>GBP2x8F_LCHQuote</v>
      </c>
      <c r="Q5" s="98">
        <f>IFERROR(_xll.qlRateHelperQuoteValue($N5,Trigger),"--")</f>
        <v>7.5500000000000003E-3</v>
      </c>
      <c r="R5" s="141" t="b">
        <v>0</v>
      </c>
      <c r="S5" s="94">
        <v>20</v>
      </c>
      <c r="T5" s="94">
        <v>1</v>
      </c>
      <c r="U5" s="99">
        <f>IFERROR(_xll.qlRateHelperEarliestDate(N5,Trigger),"--")</f>
        <v>42382</v>
      </c>
      <c r="V5" s="99">
        <f>IFERROR(_xll.qlRateHelperPillarDate(N5,Trigger),"--")</f>
        <v>42564</v>
      </c>
      <c r="X5" s="4" t="str">
        <f t="shared" si="2"/>
        <v>FRA</v>
      </c>
      <c r="Y5" s="4" t="str">
        <v>obj_003ab</v>
      </c>
      <c r="Z5" s="4" t="str">
        <v>obj_003ab</v>
      </c>
      <c r="AA5" s="4" t="str">
        <f>IFERROR(_xll.qlRateHelperQuoteName(Y5,Trigger),"")</f>
        <v>GBP12x18F_LCHQuote</v>
      </c>
      <c r="AB5" s="70">
        <f>IFERROR(_xll.qlRateHelperRate(Y5,Trigger),"")</f>
        <v>1.0750000000000003E-2</v>
      </c>
      <c r="AC5" s="104" t="str">
        <f>IF(ISERROR(_xll.qlSwapRateHelperSpread($Y5)),IF(ISERROR(_xll.qlFuturesRateHelperConvexityAdjustment($Y5)),"",_xll.qlFuturesRateHelperConvexityAdjustment($Y5)),_xll.qlSwapRateHelperSpread($Y5))</f>
        <v/>
      </c>
      <c r="AD5" s="5">
        <f>IFERROR(_xll.qlRateHelperEarliestDate(Y5,Trigger),"")</f>
        <v>42688</v>
      </c>
      <c r="AE5" s="5">
        <f>IFERROR(_xll.qlRateHelperPillarDate(Y5,Trigger),"")</f>
        <v>42870</v>
      </c>
      <c r="AF5" s="70">
        <v>8.83397208157417E-3</v>
      </c>
      <c r="AG5" s="77">
        <v>0.9868006238646726</v>
      </c>
      <c r="AH5" s="169">
        <v>42867</v>
      </c>
      <c r="AI5" s="170">
        <v>9.0398347286986102E-3</v>
      </c>
      <c r="AJ5" s="172">
        <f t="shared" si="3"/>
        <v>-2.058626471244402E-4</v>
      </c>
      <c r="AK5" s="80">
        <v>0.98654369751172299</v>
      </c>
      <c r="AL5" s="161">
        <f t="shared" si="4"/>
        <v>2.5692635294960464E-4</v>
      </c>
      <c r="AM5" s="80"/>
      <c r="AN5" s="107" t="s">
        <v>86</v>
      </c>
      <c r="AO5" s="108">
        <v>0</v>
      </c>
    </row>
    <row r="6" spans="1:41" ht="11.25" customHeight="1" x14ac:dyDescent="0.2">
      <c r="A6" s="53" t="s">
        <v>91</v>
      </c>
      <c r="B6" s="115">
        <v>1</v>
      </c>
      <c r="C6" s="56" t="str">
        <f t="shared" ref="C6" si="8">"x"&amp;B6+SUBSTITUTE($G$1,"M","")&amp;"F"</f>
        <v>x7F</v>
      </c>
      <c r="D6" s="129"/>
      <c r="E6" s="129"/>
      <c r="F6" s="129"/>
      <c r="G6" s="55" t="str">
        <f t="shared" ref="G6:G23" si="9">PROPER(Currency)&amp;FamilyName&amp;$G$1</f>
        <v>GbpLibor6M</v>
      </c>
      <c r="H6" s="118" t="str">
        <f t="shared" ref="H6" si="10">IF(ReportQuoteOverwrite,Currency&amp;B6&amp;C6&amp;ReportQuoteSuffix,Currency&amp;B6&amp;C6&amp;QuoteSuffix)</f>
        <v>GBP1x7F_LCHQuote</v>
      </c>
      <c r="I6" s="129"/>
      <c r="J6" s="58" t="str">
        <f>_xll.qlFraRateHelper(,H6,B6&amp;"M",G6,PillarDate,,Permanent,Trigger,ObjectOverwrite)</f>
        <v>obj_0041b#0007</v>
      </c>
      <c r="K6" s="58" t="str">
        <f>J6</f>
        <v>obj_0041b#0007</v>
      </c>
      <c r="L6" s="48"/>
      <c r="M6" s="10" t="str">
        <f t="shared" si="5"/>
        <v>FRA</v>
      </c>
      <c r="N6" s="94" t="str">
        <f t="shared" si="6"/>
        <v>obj_003ad#0007</v>
      </c>
      <c r="O6" s="94" t="str">
        <f t="shared" si="7"/>
        <v>obj_003ad#0007</v>
      </c>
      <c r="P6" s="146" t="str">
        <f>IFERROR(_xll.qlRateHelperQuoteName(N6,Trigger),"--")</f>
        <v>GBP3x9F_LCHQuote</v>
      </c>
      <c r="Q6" s="98">
        <f>IFERROR(_xll.qlRateHelperQuoteValue($N6,Trigger),"--")</f>
        <v>7.7499999999999999E-3</v>
      </c>
      <c r="R6" s="141" t="b">
        <v>0</v>
      </c>
      <c r="S6" s="94">
        <v>20</v>
      </c>
      <c r="T6" s="94">
        <v>1</v>
      </c>
      <c r="U6" s="99">
        <f>IFERROR(_xll.qlRateHelperEarliestDate(N6,Trigger),"--")</f>
        <v>42415</v>
      </c>
      <c r="V6" s="99">
        <f>IFERROR(_xll.qlRateHelperPillarDate(N6,Trigger),"--")</f>
        <v>42597</v>
      </c>
      <c r="X6" s="4" t="str">
        <f t="shared" si="2"/>
        <v>Sw</v>
      </c>
      <c r="Y6" s="4" t="str">
        <v>obj_003e4</v>
      </c>
      <c r="Z6" s="4" t="str">
        <v>obj_003e4</v>
      </c>
      <c r="AA6" s="4" t="str">
        <f>IFERROR(_xll.qlRateHelperQuoteName(Y6,Trigger),"")</f>
        <v>GBPSB6L2Y_LCHQuote</v>
      </c>
      <c r="AB6" s="70">
        <f>IFERROR(_xll.qlRateHelperRate(Y6,Trigger),"")</f>
        <v>9.92E-3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42321</v>
      </c>
      <c r="AE6" s="5">
        <f>IFERROR(_xll.qlRateHelperPillarDate(Y6,Trigger),"")</f>
        <v>43052</v>
      </c>
      <c r="AF6" s="70">
        <v>9.9016140957230523E-3</v>
      </c>
      <c r="AG6" s="77">
        <v>0.98036593566663832</v>
      </c>
      <c r="AH6" s="169">
        <v>43052</v>
      </c>
      <c r="AI6" s="170">
        <v>1.01734425884861E-2</v>
      </c>
      <c r="AJ6" s="172">
        <f t="shared" si="3"/>
        <v>-2.7182849276304738E-4</v>
      </c>
      <c r="AK6" s="80">
        <v>0.97980381084024304</v>
      </c>
      <c r="AL6" s="161">
        <f t="shared" si="4"/>
        <v>5.6212482639528272E-4</v>
      </c>
      <c r="AN6" s="107" t="s">
        <v>87</v>
      </c>
      <c r="AO6" s="109" t="s">
        <v>88</v>
      </c>
    </row>
    <row r="7" spans="1:41" ht="11.25" customHeight="1" x14ac:dyDescent="0.2">
      <c r="A7" s="59" t="s">
        <v>91</v>
      </c>
      <c r="B7" s="116">
        <v>2</v>
      </c>
      <c r="C7" s="62" t="str">
        <f t="shared" ref="C7:C23" si="11">"x"&amp;B7+SUBSTITUTE($G$1,"M","")&amp;"F"</f>
        <v>x8F</v>
      </c>
      <c r="D7" s="123"/>
      <c r="E7" s="123"/>
      <c r="F7" s="123"/>
      <c r="G7" s="61" t="str">
        <f t="shared" si="9"/>
        <v>GbpLibor6M</v>
      </c>
      <c r="H7" s="119" t="str">
        <f t="shared" ref="H7:H23" si="12">IF(ReportQuoteOverwrite,Currency&amp;B7&amp;C7&amp;ReportQuoteSuffix,Currency&amp;B7&amp;C7&amp;QuoteSuffix)</f>
        <v>GBP2x8F_LCHQuote</v>
      </c>
      <c r="I7" s="123"/>
      <c r="J7" s="64" t="str">
        <f>_xll.qlFraRateHelper(,H7,B7&amp;"M",G7,PillarDate,,Permanent,Trigger,ObjectOverwrite)</f>
        <v>obj_003ac#0007</v>
      </c>
      <c r="K7" s="64" t="str">
        <f t="shared" ref="K7:K17" si="13">J7</f>
        <v>obj_003ac#0007</v>
      </c>
      <c r="L7" s="48"/>
      <c r="M7" s="10" t="str">
        <f t="shared" si="5"/>
        <v>FRA</v>
      </c>
      <c r="N7" s="94" t="str">
        <f t="shared" si="6"/>
        <v>obj_003a9#0007</v>
      </c>
      <c r="O7" s="94" t="str">
        <f t="shared" si="7"/>
        <v>obj_003a9#0007</v>
      </c>
      <c r="P7" s="146" t="str">
        <f>IFERROR(_xll.qlRateHelperQuoteName(N7,Trigger),"--")</f>
        <v>GBP4x10F_LCHQuote</v>
      </c>
      <c r="Q7" s="98">
        <f>IFERROR(_xll.qlRateHelperQuoteValue($N7,Trigger),"--")</f>
        <v>7.9499999999999987E-3</v>
      </c>
      <c r="R7" s="141" t="b">
        <v>0</v>
      </c>
      <c r="S7" s="94">
        <v>20</v>
      </c>
      <c r="T7" s="94">
        <v>1</v>
      </c>
      <c r="U7" s="99">
        <f>IFERROR(_xll.qlRateHelperEarliestDate(N7,Trigger),"--")</f>
        <v>42443</v>
      </c>
      <c r="V7" s="99">
        <f>IFERROR(_xll.qlRateHelperPillarDate(N7,Trigger),"--")</f>
        <v>42626</v>
      </c>
      <c r="X7" s="4" t="str">
        <f t="shared" si="2"/>
        <v>Sw</v>
      </c>
      <c r="Y7" s="4" t="str">
        <v>obj_003d1</v>
      </c>
      <c r="Z7" s="4" t="str">
        <v>obj_003d1</v>
      </c>
      <c r="AA7" s="4" t="str">
        <f>IFERROR(_xll.qlRateHelperQuoteName(Y7,Trigger),"")</f>
        <v>GBPSB6L3Y_LCHQuote</v>
      </c>
      <c r="AB7" s="70">
        <f>IFERROR(_xll.qlRateHelperRate(Y7,Trigger),"")</f>
        <v>1.1979999999999999E-2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42321</v>
      </c>
      <c r="AE7" s="5">
        <f>IFERROR(_xll.qlRateHelperPillarDate(Y7,Trigger),"")</f>
        <v>43417</v>
      </c>
      <c r="AF7" s="70">
        <v>1.1969020893188697E-2</v>
      </c>
      <c r="AG7" s="77">
        <v>0.96470135137760382</v>
      </c>
      <c r="AH7" s="169">
        <v>43416</v>
      </c>
      <c r="AI7" s="170">
        <v>1.2261643636814101E-2</v>
      </c>
      <c r="AJ7" s="172">
        <f t="shared" si="3"/>
        <v>-2.9262274362540364E-4</v>
      </c>
      <c r="AK7" s="80">
        <v>0.96385479118958095</v>
      </c>
      <c r="AL7" s="161">
        <f t="shared" si="4"/>
        <v>8.4656018802287125E-4</v>
      </c>
    </row>
    <row r="8" spans="1:41" ht="11.25" customHeight="1" x14ac:dyDescent="0.2">
      <c r="A8" s="59" t="s">
        <v>91</v>
      </c>
      <c r="B8" s="116">
        <v>3</v>
      </c>
      <c r="C8" s="62" t="str">
        <f t="shared" si="11"/>
        <v>x9F</v>
      </c>
      <c r="D8" s="123"/>
      <c r="E8" s="123"/>
      <c r="F8" s="123"/>
      <c r="G8" s="61" t="str">
        <f t="shared" si="9"/>
        <v>GbpLibor6M</v>
      </c>
      <c r="H8" s="119" t="str">
        <f t="shared" si="12"/>
        <v>GBP3x9F_LCHQuote</v>
      </c>
      <c r="I8" s="123"/>
      <c r="J8" s="64" t="str">
        <f>_xll.qlFraRateHelper(,H8,B8&amp;"M",G8,PillarDate,,Permanent,Trigger,ObjectOverwrite)</f>
        <v>obj_003ad#0007</v>
      </c>
      <c r="K8" s="64" t="str">
        <f t="shared" si="13"/>
        <v>obj_003ad#0007</v>
      </c>
      <c r="L8" s="48"/>
      <c r="M8" s="10" t="str">
        <f t="shared" si="5"/>
        <v>FRA</v>
      </c>
      <c r="N8" s="94" t="str">
        <f t="shared" si="6"/>
        <v>obj_003aa#0007</v>
      </c>
      <c r="O8" s="94" t="str">
        <f t="shared" si="7"/>
        <v>obj_003aa#0007</v>
      </c>
      <c r="P8" s="146" t="str">
        <f>IFERROR(_xll.qlRateHelperQuoteName(N8,Trigger),"--")</f>
        <v>GBP5x11F_LCHQuote</v>
      </c>
      <c r="Q8" s="98">
        <f>IFERROR(_xll.qlRateHelperQuoteValue($N8,Trigger),"--")</f>
        <v>8.2000000000000007E-3</v>
      </c>
      <c r="R8" s="141" t="b">
        <v>0</v>
      </c>
      <c r="S8" s="94">
        <v>20</v>
      </c>
      <c r="T8" s="94">
        <v>1</v>
      </c>
      <c r="U8" s="99">
        <f>IFERROR(_xll.qlRateHelperEarliestDate(N8,Trigger),"--")</f>
        <v>42473</v>
      </c>
      <c r="V8" s="99">
        <f>IFERROR(_xll.qlRateHelperPillarDate(N8,Trigger),"--")</f>
        <v>42656</v>
      </c>
      <c r="X8" s="4" t="str">
        <f t="shared" si="2"/>
        <v>Sw</v>
      </c>
      <c r="Y8" s="4" t="str">
        <v>obj_003e0</v>
      </c>
      <c r="Z8" s="4" t="str">
        <v>obj_003e0</v>
      </c>
      <c r="AA8" s="4" t="str">
        <f>IFERROR(_xll.qlRateHelperQuoteName(Y8,Trigger),"")</f>
        <v>GBPSB6L4Y_LCHQuote</v>
      </c>
      <c r="AB8" s="70">
        <f>IFERROR(_xll.qlRateHelperRate(Y8,Trigger),"")</f>
        <v>1.3729999999999999E-2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42321</v>
      </c>
      <c r="AE8" s="5">
        <f>IFERROR(_xll.qlRateHelperPillarDate(Y8,Trigger),"")</f>
        <v>43782</v>
      </c>
      <c r="AF8" s="70">
        <v>1.3733748430010691E-2</v>
      </c>
      <c r="AG8" s="77">
        <v>0.94651498660483635</v>
      </c>
      <c r="AH8" s="169">
        <v>43781</v>
      </c>
      <c r="AI8" s="170">
        <v>1.40207793997191E-2</v>
      </c>
      <c r="AJ8" s="172">
        <f t="shared" si="3"/>
        <v>-2.8703096970840968E-4</v>
      </c>
      <c r="AK8" s="80">
        <v>0.94543091866029005</v>
      </c>
      <c r="AL8" s="161">
        <f t="shared" si="4"/>
        <v>1.0840679445462964E-3</v>
      </c>
    </row>
    <row r="9" spans="1:41" ht="11.25" customHeight="1" x14ac:dyDescent="0.2">
      <c r="A9" s="59" t="s">
        <v>91</v>
      </c>
      <c r="B9" s="116">
        <v>4</v>
      </c>
      <c r="C9" s="62" t="str">
        <f t="shared" si="11"/>
        <v>x10F</v>
      </c>
      <c r="D9" s="123"/>
      <c r="E9" s="123"/>
      <c r="F9" s="123"/>
      <c r="G9" s="61" t="str">
        <f t="shared" si="9"/>
        <v>GbpLibor6M</v>
      </c>
      <c r="H9" s="119" t="str">
        <f t="shared" si="12"/>
        <v>GBP4x10F_LCHQuote</v>
      </c>
      <c r="I9" s="123"/>
      <c r="J9" s="64" t="str">
        <f>_xll.qlFraRateHelper(,H9,B9&amp;"M",G9,PillarDate,,Permanent,Trigger,ObjectOverwrite)</f>
        <v>obj_003a9#0007</v>
      </c>
      <c r="K9" s="64" t="str">
        <f t="shared" si="13"/>
        <v>obj_003a9#0007</v>
      </c>
      <c r="L9" s="48"/>
      <c r="M9" s="10" t="str">
        <f t="shared" si="5"/>
        <v>FRA</v>
      </c>
      <c r="N9" s="94" t="str">
        <f t="shared" si="6"/>
        <v>obj_003a8#0007</v>
      </c>
      <c r="O9" s="94" t="str">
        <f t="shared" si="7"/>
        <v>obj_003a8#0007</v>
      </c>
      <c r="P9" s="146" t="str">
        <f>IFERROR(_xll.qlRateHelperQuoteName(N9,Trigger),"--")</f>
        <v>GBP6x12F_LCHQuote</v>
      </c>
      <c r="Q9" s="98">
        <f>IFERROR(_xll.qlRateHelperQuoteValue($N9,Trigger),"--")</f>
        <v>8.4499999999999992E-3</v>
      </c>
      <c r="R9" s="141" t="b">
        <v>1</v>
      </c>
      <c r="S9" s="94">
        <v>20</v>
      </c>
      <c r="T9" s="94">
        <v>1</v>
      </c>
      <c r="U9" s="99">
        <f>IFERROR(_xll.qlRateHelperEarliestDate(N9,Trigger),"--")</f>
        <v>42503</v>
      </c>
      <c r="V9" s="99">
        <f>IFERROR(_xll.qlRateHelperPillarDate(N9,Trigger),"--")</f>
        <v>42688</v>
      </c>
      <c r="X9" s="4" t="str">
        <f t="shared" si="2"/>
        <v>Sw</v>
      </c>
      <c r="Y9" s="4" t="str">
        <v>obj_003de</v>
      </c>
      <c r="Z9" s="4" t="str">
        <v>obj_003de</v>
      </c>
      <c r="AA9" s="4" t="str">
        <f>IFERROR(_xll.qlRateHelperQuoteName(Y9,Trigger),"")</f>
        <v>GBPSB6L5Y_LCHQuote</v>
      </c>
      <c r="AB9" s="70">
        <f>IFERROR(_xll.qlRateHelperRate(Y9,Trigger),"")</f>
        <v>1.5190000000000002E-2</v>
      </c>
      <c r="AC9" s="104">
        <f>IF(ISERROR(_xll.qlSwapRateHelperSpread($Y9)),IF(ISERROR(_xll.qlFuturesRateHelperConvexityAdjustment($Y9)),"",_xll.qlFuturesRateHelperConvexityAdjustment($Y9)),_xll.qlSwapRateHelperSpread($Y9))</f>
        <v>0</v>
      </c>
      <c r="AD9" s="5">
        <f>IFERROR(_xll.qlRateHelperEarliestDate(Y9,Trigger),"")</f>
        <v>42321</v>
      </c>
      <c r="AE9" s="5">
        <f>IFERROR(_xll.qlRateHelperPillarDate(Y9,Trigger),"")</f>
        <v>44148</v>
      </c>
      <c r="AF9" s="70">
        <v>1.5214301444042679E-2</v>
      </c>
      <c r="AG9" s="77">
        <v>0.92667768721191779</v>
      </c>
      <c r="AH9" s="169">
        <v>44147</v>
      </c>
      <c r="AI9" s="170">
        <v>1.54829573575448E-2</v>
      </c>
      <c r="AJ9" s="172">
        <f t="shared" si="3"/>
        <v>-2.6865591350212076E-4</v>
      </c>
      <c r="AK9" s="80">
        <v>0.92543493385622999</v>
      </c>
      <c r="AL9" s="161">
        <f t="shared" si="4"/>
        <v>1.2427533556877979E-3</v>
      </c>
    </row>
    <row r="10" spans="1:41" ht="11.25" customHeight="1" x14ac:dyDescent="0.2">
      <c r="A10" s="59" t="s">
        <v>91</v>
      </c>
      <c r="B10" s="116">
        <v>5</v>
      </c>
      <c r="C10" s="62" t="str">
        <f t="shared" si="11"/>
        <v>x11F</v>
      </c>
      <c r="D10" s="123"/>
      <c r="E10" s="123"/>
      <c r="F10" s="123"/>
      <c r="G10" s="61" t="str">
        <f t="shared" si="9"/>
        <v>GbpLibor6M</v>
      </c>
      <c r="H10" s="119" t="str">
        <f t="shared" si="12"/>
        <v>GBP5x11F_LCHQuote</v>
      </c>
      <c r="I10" s="123"/>
      <c r="J10" s="64" t="str">
        <f>_xll.qlFraRateHelper(,H10,B10&amp;"M",G10,PillarDate,,Permanent,Trigger,ObjectOverwrite)</f>
        <v>obj_003aa#0007</v>
      </c>
      <c r="K10" s="64" t="str">
        <f t="shared" si="13"/>
        <v>obj_003aa#0007</v>
      </c>
      <c r="L10" s="48"/>
      <c r="M10" s="10" t="str">
        <f t="shared" si="5"/>
        <v>FRA</v>
      </c>
      <c r="N10" s="94" t="str">
        <f t="shared" si="6"/>
        <v>--</v>
      </c>
      <c r="O10" s="94" t="str">
        <f t="shared" si="7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20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2"/>
        <v>Sw</v>
      </c>
      <c r="Y10" s="4" t="str">
        <v>obj_003d2</v>
      </c>
      <c r="Z10" s="4" t="str">
        <v>obj_003d2</v>
      </c>
      <c r="AA10" s="4" t="str">
        <f>IFERROR(_xll.qlRateHelperQuoteName(Y10,Trigger),"")</f>
        <v>GBPSB6L6Y_LCHQuote</v>
      </c>
      <c r="AB10" s="70">
        <f>IFERROR(_xll.qlRateHelperRate(Y10,Trigger),"")</f>
        <v>1.6410000000000001E-2</v>
      </c>
      <c r="AC10" s="104">
        <f>IF(ISERROR(_xll.qlSwapRateHelperSpread($Y10)),IF(ISERROR(_xll.qlFuturesRateHelperConvexityAdjustment($Y10)),"",_xll.qlFuturesRateHelperConvexityAdjustment($Y10)),_xll.qlSwapRateHelperSpread($Y10))</f>
        <v>0</v>
      </c>
      <c r="AD10" s="5">
        <f>IFERROR(_xll.qlRateHelperEarliestDate(Y10,Trigger),"")</f>
        <v>42321</v>
      </c>
      <c r="AE10" s="5">
        <f>IFERROR(_xll.qlRateHelperPillarDate(Y10,Trigger),"")</f>
        <v>44515</v>
      </c>
      <c r="AF10" s="70">
        <v>1.6459177862477081E-2</v>
      </c>
      <c r="AG10" s="77">
        <v>0.90580733488574261</v>
      </c>
      <c r="AH10" s="169">
        <v>44512</v>
      </c>
      <c r="AI10" s="170">
        <v>1.67178750850762E-2</v>
      </c>
      <c r="AJ10" s="172">
        <f t="shared" si="3"/>
        <v>-2.586972225991184E-4</v>
      </c>
      <c r="AK10" s="80">
        <v>0.90448521088948597</v>
      </c>
      <c r="AL10" s="161">
        <f t="shared" si="4"/>
        <v>1.3221239962566411E-3</v>
      </c>
    </row>
    <row r="11" spans="1:41" ht="11.25" customHeight="1" x14ac:dyDescent="0.2">
      <c r="A11" s="59" t="s">
        <v>91</v>
      </c>
      <c r="B11" s="116">
        <v>6</v>
      </c>
      <c r="C11" s="62" t="str">
        <f t="shared" si="11"/>
        <v>x12F</v>
      </c>
      <c r="D11" s="123"/>
      <c r="E11" s="123"/>
      <c r="F11" s="123"/>
      <c r="G11" s="61" t="str">
        <f t="shared" si="9"/>
        <v>GbpLibor6M</v>
      </c>
      <c r="H11" s="119" t="str">
        <f t="shared" si="12"/>
        <v>GBP6x12F_LCHQuote</v>
      </c>
      <c r="I11" s="123"/>
      <c r="J11" s="64" t="str">
        <f>_xll.qlFraRateHelper(,H11,B11&amp;"M",G11,PillarDate,,Permanent,Trigger,ObjectOverwrite)</f>
        <v>obj_003a8#0007</v>
      </c>
      <c r="K11" s="64" t="str">
        <f t="shared" si="13"/>
        <v>obj_003a8#0007</v>
      </c>
      <c r="L11" s="48"/>
      <c r="M11" s="10" t="str">
        <f t="shared" si="5"/>
        <v>FRA</v>
      </c>
      <c r="N11" s="94" t="str">
        <f t="shared" si="6"/>
        <v>--</v>
      </c>
      <c r="O11" s="94" t="str">
        <f t="shared" si="7"/>
        <v>--</v>
      </c>
      <c r="P11" s="146" t="str">
        <f>IFERROR(_xll.qlRateHelperQuoteName(N11,Trigger),"--")</f>
        <v>--</v>
      </c>
      <c r="Q11" s="98" t="str">
        <f>IFERROR(_xll.qlRateHelperQuoteValue($N11,Trigger),"--")</f>
        <v>--</v>
      </c>
      <c r="R11" s="141" t="b">
        <v>0</v>
      </c>
      <c r="S11" s="94">
        <v>20</v>
      </c>
      <c r="T11" s="94">
        <v>1</v>
      </c>
      <c r="U11" s="99" t="str">
        <f>IFERROR(_xll.qlRateHelperEarliestDate(N11,Trigger),"--")</f>
        <v>--</v>
      </c>
      <c r="V11" s="99" t="str">
        <f>IFERROR(_xll.qlRateHelperPillarDate(N11,Trigger),"--")</f>
        <v>--</v>
      </c>
      <c r="X11" s="4" t="str">
        <f t="shared" si="2"/>
        <v>Sw</v>
      </c>
      <c r="Y11" s="4" t="str">
        <v>obj_003cd</v>
      </c>
      <c r="Z11" s="4" t="str">
        <v>obj_003cd</v>
      </c>
      <c r="AA11" s="4" t="str">
        <f>IFERROR(_xll.qlRateHelperQuoteName(Y11,Trigger),"")</f>
        <v>GBPSB6L7Y_LCHQuote</v>
      </c>
      <c r="AB11" s="70">
        <f>IFERROR(_xll.qlRateHelperRate(Y11,Trigger),"")</f>
        <v>1.7420000000000001E-2</v>
      </c>
      <c r="AC11" s="104">
        <f>IF(ISERROR(_xll.qlSwapRateHelperSpread($Y11)),IF(ISERROR(_xll.qlFuturesRateHelperConvexityAdjustment($Y11)),"",_xll.qlFuturesRateHelperConvexityAdjustment($Y11)),_xll.qlSwapRateHelperSpread($Y11))</f>
        <v>0</v>
      </c>
      <c r="AD11" s="5">
        <f>IFERROR(_xll.qlRateHelperEarliestDate(Y11,Trigger),"")</f>
        <v>42321</v>
      </c>
      <c r="AE11" s="5">
        <f>IFERROR(_xll.qlRateHelperPillarDate(Y11,Trigger),"")</f>
        <v>44879</v>
      </c>
      <c r="AF11" s="70">
        <v>1.749584525690849E-2</v>
      </c>
      <c r="AG11" s="77">
        <v>0.88460976058083696</v>
      </c>
      <c r="AH11" s="169">
        <v>44879</v>
      </c>
      <c r="AI11" s="170">
        <v>1.77444684087434E-2</v>
      </c>
      <c r="AJ11" s="172">
        <f t="shared" si="3"/>
        <v>-2.4862315183490913E-4</v>
      </c>
      <c r="AK11" s="80">
        <v>0.88303118469862696</v>
      </c>
      <c r="AL11" s="161">
        <f t="shared" si="4"/>
        <v>1.5785758822099982E-3</v>
      </c>
    </row>
    <row r="12" spans="1:41" ht="11.25" customHeight="1" x14ac:dyDescent="0.2">
      <c r="A12" s="59" t="s">
        <v>91</v>
      </c>
      <c r="B12" s="116">
        <v>7</v>
      </c>
      <c r="C12" s="62" t="str">
        <f t="shared" si="11"/>
        <v>x13F</v>
      </c>
      <c r="D12" s="123"/>
      <c r="E12" s="123"/>
      <c r="F12" s="123"/>
      <c r="G12" s="61" t="str">
        <f t="shared" si="9"/>
        <v>GbpLibor6M</v>
      </c>
      <c r="H12" s="119" t="str">
        <f t="shared" si="12"/>
        <v>GBP7x13F_LCHQuote</v>
      </c>
      <c r="I12" s="123"/>
      <c r="J12" s="64"/>
      <c r="K12" s="64"/>
      <c r="L12" s="48" t="s">
        <v>35</v>
      </c>
      <c r="M12" s="10" t="str">
        <f t="shared" si="5"/>
        <v>FRA</v>
      </c>
      <c r="N12" s="94" t="str">
        <f t="shared" si="6"/>
        <v>--</v>
      </c>
      <c r="O12" s="94" t="str">
        <f t="shared" si="7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20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2"/>
        <v>Sw</v>
      </c>
      <c r="Y12" s="4" t="str">
        <v>obj_003d8</v>
      </c>
      <c r="Z12" s="4" t="str">
        <v>obj_003d8</v>
      </c>
      <c r="AA12" s="4" t="str">
        <f>IFERROR(_xll.qlRateHelperQuoteName(Y12,Trigger),"")</f>
        <v>GBPSB6L8Y_LCHQuote</v>
      </c>
      <c r="AB12" s="70">
        <f>IFERROR(_xll.qlRateHelperRate(Y12,Trigger),"")</f>
        <v>1.8250000000000002E-2</v>
      </c>
      <c r="AC12" s="104">
        <f>IF(ISERROR(_xll.qlSwapRateHelperSpread($Y12)),IF(ISERROR(_xll.qlFuturesRateHelperConvexityAdjustment($Y12)),"",_xll.qlFuturesRateHelperConvexityAdjustment($Y12)),_xll.qlSwapRateHelperSpread($Y12))</f>
        <v>0</v>
      </c>
      <c r="AD12" s="5">
        <f>IFERROR(_xll.qlRateHelperEarliestDate(Y12,Trigger),"")</f>
        <v>42321</v>
      </c>
      <c r="AE12" s="5">
        <f>IFERROR(_xll.qlRateHelperPillarDate(Y12,Trigger),"")</f>
        <v>45243</v>
      </c>
      <c r="AF12" s="70">
        <v>1.8353940875336341E-2</v>
      </c>
      <c r="AG12" s="77">
        <v>0.86336311217965844</v>
      </c>
      <c r="AH12" s="169">
        <v>45243</v>
      </c>
      <c r="AI12" s="170">
        <v>1.8585568798107601E-2</v>
      </c>
      <c r="AJ12" s="172">
        <f t="shared" si="3"/>
        <v>-2.3162792277126032E-4</v>
      </c>
      <c r="AK12" s="80">
        <v>0.86171805233503296</v>
      </c>
      <c r="AL12" s="161">
        <f t="shared" si="4"/>
        <v>1.6450598446254849E-3</v>
      </c>
    </row>
    <row r="13" spans="1:41" ht="11.25" customHeight="1" x14ac:dyDescent="0.2">
      <c r="A13" s="59" t="s">
        <v>91</v>
      </c>
      <c r="B13" s="116">
        <v>8</v>
      </c>
      <c r="C13" s="62" t="str">
        <f t="shared" si="11"/>
        <v>x14F</v>
      </c>
      <c r="D13" s="123"/>
      <c r="E13" s="123"/>
      <c r="F13" s="123"/>
      <c r="G13" s="61" t="str">
        <f t="shared" si="9"/>
        <v>GbpLibor6M</v>
      </c>
      <c r="H13" s="119" t="str">
        <f t="shared" si="12"/>
        <v>GBP8x14F_LCHQuote</v>
      </c>
      <c r="I13" s="123"/>
      <c r="J13" s="64"/>
      <c r="K13" s="64"/>
      <c r="L13" s="48"/>
      <c r="M13" s="10" t="str">
        <f t="shared" si="5"/>
        <v>FRA</v>
      </c>
      <c r="N13" s="94" t="str">
        <f t="shared" si="6"/>
        <v>--</v>
      </c>
      <c r="O13" s="94" t="str">
        <f t="shared" si="7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20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2"/>
        <v>Sw</v>
      </c>
      <c r="Y13" s="4" t="str">
        <v>obj_003df</v>
      </c>
      <c r="Z13" s="4" t="str">
        <v>obj_003df</v>
      </c>
      <c r="AA13" s="4" t="str">
        <f>IFERROR(_xll.qlRateHelperQuoteName(Y13,Trigger),"")</f>
        <v>GBPSB6L9Y_LCHQuote</v>
      </c>
      <c r="AB13" s="70">
        <f>IFERROR(_xll.qlRateHelperRate(Y13,Trigger),"")</f>
        <v>1.8940000000000002E-2</v>
      </c>
      <c r="AC13" s="104">
        <f>IF(ISERROR(_xll.qlSwapRateHelperSpread($Y13)),IF(ISERROR(_xll.qlFuturesRateHelperConvexityAdjustment($Y13)),"",_xll.qlFuturesRateHelperConvexityAdjustment($Y13)),_xll.qlSwapRateHelperSpread($Y13))</f>
        <v>0</v>
      </c>
      <c r="AD13" s="5">
        <f>IFERROR(_xll.qlRateHelperEarliestDate(Y13,Trigger),"")</f>
        <v>42321</v>
      </c>
      <c r="AE13" s="5">
        <f>IFERROR(_xll.qlRateHelperPillarDate(Y13,Trigger),"")</f>
        <v>45609</v>
      </c>
      <c r="AF13" s="70">
        <v>1.9070898371751587E-2</v>
      </c>
      <c r="AG13" s="77">
        <v>0.84216342507412467</v>
      </c>
      <c r="AH13" s="169">
        <v>45608</v>
      </c>
      <c r="AI13" s="170">
        <v>1.92850498251242E-2</v>
      </c>
      <c r="AJ13" s="172">
        <f t="shared" si="3"/>
        <v>-2.1415145337261299E-4</v>
      </c>
      <c r="AK13" s="80">
        <v>0.84054000067535894</v>
      </c>
      <c r="AL13" s="161">
        <f t="shared" si="4"/>
        <v>1.6234243987657271E-3</v>
      </c>
    </row>
    <row r="14" spans="1:41" ht="11.25" customHeight="1" x14ac:dyDescent="0.2">
      <c r="A14" s="59" t="s">
        <v>91</v>
      </c>
      <c r="B14" s="116">
        <v>9</v>
      </c>
      <c r="C14" s="62" t="str">
        <f t="shared" si="11"/>
        <v>x15F</v>
      </c>
      <c r="D14" s="123"/>
      <c r="E14" s="123"/>
      <c r="F14" s="123"/>
      <c r="G14" s="61" t="str">
        <f t="shared" si="9"/>
        <v>GbpLibor6M</v>
      </c>
      <c r="H14" s="119" t="str">
        <f t="shared" si="12"/>
        <v>GBP9x15F_LCHQuote</v>
      </c>
      <c r="I14" s="123"/>
      <c r="J14" s="64"/>
      <c r="K14" s="64"/>
      <c r="L14" s="48"/>
      <c r="M14" s="10" t="str">
        <f t="shared" si="5"/>
        <v>FRA</v>
      </c>
      <c r="N14" s="94" t="str">
        <f t="shared" si="6"/>
        <v>--</v>
      </c>
      <c r="O14" s="94" t="str">
        <f t="shared" si="7"/>
        <v>--</v>
      </c>
      <c r="P14" s="146" t="str">
        <f>IFERROR(_xll.qlRateHelperQuoteName(N14,Trigger),"--")</f>
        <v>--</v>
      </c>
      <c r="Q14" s="98" t="str">
        <f>IFERROR(_xll.qlRateHelperQuoteValue($N14,Trigger),"--")</f>
        <v>--</v>
      </c>
      <c r="R14" s="141" t="b">
        <v>0</v>
      </c>
      <c r="S14" s="94">
        <v>20</v>
      </c>
      <c r="T14" s="94">
        <v>1</v>
      </c>
      <c r="U14" s="99" t="str">
        <f>IFERROR(_xll.qlRateHelperEarliestDate(N14,Trigger),"--")</f>
        <v>--</v>
      </c>
      <c r="V14" s="99" t="str">
        <f>IFERROR(_xll.qlRateHelperPillarDate(N14,Trigger),"--")</f>
        <v>--</v>
      </c>
      <c r="X14" s="4" t="str">
        <f t="shared" si="2"/>
        <v>Sw</v>
      </c>
      <c r="Y14" s="4" t="str">
        <v>obj_003c4</v>
      </c>
      <c r="Z14" s="4" t="str">
        <v>obj_003c4</v>
      </c>
      <c r="AA14" s="4" t="str">
        <f>IFERROR(_xll.qlRateHelperQuoteName(Y14,Trigger),"")</f>
        <v>GBPSB6L10Y_LCHQuote</v>
      </c>
      <c r="AB14" s="70">
        <f>IFERROR(_xll.qlRateHelperRate(Y14,Trigger),"")</f>
        <v>1.9519999999999999E-2</v>
      </c>
      <c r="AC14" s="104">
        <f>IF(ISERROR(_xll.qlSwapRateHelperSpread($Y14)),IF(ISERROR(_xll.qlFuturesRateHelperConvexityAdjustment($Y14)),"",_xll.qlFuturesRateHelperConvexityAdjustment($Y14)),_xll.qlSwapRateHelperSpread($Y14))</f>
        <v>0</v>
      </c>
      <c r="AD14" s="5">
        <f>IFERROR(_xll.qlRateHelperEarliestDate(Y14,Trigger),"")</f>
        <v>42321</v>
      </c>
      <c r="AE14" s="5">
        <f>IFERROR(_xll.qlRateHelperPillarDate(Y14,Trigger),"")</f>
        <v>45974</v>
      </c>
      <c r="AF14" s="70">
        <v>1.9676990951188231E-2</v>
      </c>
      <c r="AG14" s="77">
        <v>0.82125902348560575</v>
      </c>
      <c r="AH14" s="169">
        <v>45973</v>
      </c>
      <c r="AI14" s="170">
        <v>1.9886258713572601E-2</v>
      </c>
      <c r="AJ14" s="172">
        <f t="shared" si="3"/>
        <v>-2.0926776238437E-4</v>
      </c>
      <c r="AK14" s="80">
        <v>0.81954039297057502</v>
      </c>
      <c r="AL14" s="161">
        <f t="shared" si="4"/>
        <v>1.718630515030739E-3</v>
      </c>
    </row>
    <row r="15" spans="1:41" ht="11.25" customHeight="1" x14ac:dyDescent="0.2">
      <c r="A15" s="59" t="s">
        <v>91</v>
      </c>
      <c r="B15" s="116">
        <v>10</v>
      </c>
      <c r="C15" s="62" t="str">
        <f t="shared" si="11"/>
        <v>x16F</v>
      </c>
      <c r="D15" s="123"/>
      <c r="E15" s="123"/>
      <c r="F15" s="123"/>
      <c r="G15" s="61" t="str">
        <f t="shared" si="9"/>
        <v>GbpLibor6M</v>
      </c>
      <c r="H15" s="119" t="str">
        <f t="shared" si="12"/>
        <v>GBP10x16F_LCHQuote</v>
      </c>
      <c r="I15" s="123"/>
      <c r="J15" s="64"/>
      <c r="K15" s="64"/>
      <c r="L15" s="48"/>
      <c r="M15" s="10" t="str">
        <f t="shared" si="5"/>
        <v>FRA</v>
      </c>
      <c r="N15" s="94" t="str">
        <f t="shared" si="6"/>
        <v>obj_003ab#0007</v>
      </c>
      <c r="O15" s="94" t="str">
        <f t="shared" si="7"/>
        <v>obj_003ab#0007</v>
      </c>
      <c r="P15" s="146" t="str">
        <f>IFERROR(_xll.qlRateHelperQuoteName(N15,Trigger),"--")</f>
        <v>GBP12x18F_LCHQuote</v>
      </c>
      <c r="Q15" s="98">
        <f>IFERROR(_xll.qlRateHelperQuoteValue($N15,Trigger),"--")</f>
        <v>1.0750000000000003E-2</v>
      </c>
      <c r="R15" s="141" t="b">
        <v>1</v>
      </c>
      <c r="S15" s="94">
        <v>20</v>
      </c>
      <c r="T15" s="94">
        <v>1</v>
      </c>
      <c r="U15" s="99">
        <f>IFERROR(_xll.qlRateHelperEarliestDate(N15,Trigger),"--")</f>
        <v>42688</v>
      </c>
      <c r="V15" s="99">
        <f>IFERROR(_xll.qlRateHelperPillarDate(N15,Trigger),"--")</f>
        <v>42870</v>
      </c>
      <c r="X15" s="4" t="str">
        <f t="shared" si="2"/>
        <v>Sw</v>
      </c>
      <c r="Y15" s="4" t="str">
        <v>obj_003cc</v>
      </c>
      <c r="Z15" s="4" t="str">
        <v>obj_003cc</v>
      </c>
      <c r="AA15" s="4" t="str">
        <f>IFERROR(_xll.qlRateHelperQuoteName(Y15,Trigger),"")</f>
        <v>GBPSB6L12Y_LCHQuote</v>
      </c>
      <c r="AB15" s="70">
        <f>IFERROR(_xll.qlRateHelperRate(Y15,Trigger),"")</f>
        <v>2.043E-2</v>
      </c>
      <c r="AC15" s="104">
        <f>IF(ISERROR(_xll.qlSwapRateHelperSpread($Y15)),IF(ISERROR(_xll.qlFuturesRateHelperConvexityAdjustment($Y15)),"",_xll.qlFuturesRateHelperConvexityAdjustment($Y15)),_xll.qlSwapRateHelperSpread($Y15))</f>
        <v>0</v>
      </c>
      <c r="AD15" s="5">
        <f>IFERROR(_xll.qlRateHelperEarliestDate(Y15,Trigger),"")</f>
        <v>42321</v>
      </c>
      <c r="AE15" s="5">
        <f>IFERROR(_xll.qlRateHelperPillarDate(Y15,Trigger),"")</f>
        <v>46706</v>
      </c>
      <c r="AF15" s="70">
        <v>2.0635978649358056E-2</v>
      </c>
      <c r="AG15" s="77">
        <v>0.78044834649827044</v>
      </c>
      <c r="AH15" s="169">
        <v>46703</v>
      </c>
      <c r="AI15" s="170">
        <v>2.0837083055894001E-2</v>
      </c>
      <c r="AJ15" s="172">
        <f t="shared" si="3"/>
        <v>-2.0110440653594436E-4</v>
      </c>
      <c r="AK15" s="80">
        <v>0.77865245447202402</v>
      </c>
      <c r="AL15" s="161">
        <f t="shared" si="4"/>
        <v>1.7958920262464151E-3</v>
      </c>
    </row>
    <row r="16" spans="1:41" ht="11.25" customHeight="1" x14ac:dyDescent="0.2">
      <c r="A16" s="59" t="s">
        <v>91</v>
      </c>
      <c r="B16" s="116">
        <v>11</v>
      </c>
      <c r="C16" s="62" t="str">
        <f t="shared" si="11"/>
        <v>x17F</v>
      </c>
      <c r="D16" s="123"/>
      <c r="E16" s="123"/>
      <c r="F16" s="123"/>
      <c r="G16" s="61" t="str">
        <f t="shared" si="9"/>
        <v>GbpLibor6M</v>
      </c>
      <c r="H16" s="119" t="str">
        <f t="shared" si="12"/>
        <v>GBP11x17F_LCHQuote</v>
      </c>
      <c r="I16" s="123"/>
      <c r="J16" s="64"/>
      <c r="K16" s="64"/>
      <c r="L16" s="48"/>
      <c r="M16" s="10" t="str">
        <f t="shared" si="5"/>
        <v>FRA</v>
      </c>
      <c r="N16" s="94" t="str">
        <f t="shared" si="6"/>
        <v>--</v>
      </c>
      <c r="O16" s="94" t="str">
        <f t="shared" si="7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20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2"/>
        <v>Sw</v>
      </c>
      <c r="Y16" s="4" t="str">
        <v>obj_003c7</v>
      </c>
      <c r="Z16" s="4" t="str">
        <v>obj_003c7</v>
      </c>
      <c r="AA16" s="4" t="str">
        <f>IFERROR(_xll.qlRateHelperQuoteName(Y16,Trigger),"")</f>
        <v>GBPSB6L15Y_LCHQuote</v>
      </c>
      <c r="AB16" s="70">
        <f>IFERROR(_xll.qlRateHelperRate(Y16,Trigger),"")</f>
        <v>2.129E-2</v>
      </c>
      <c r="AC16" s="104">
        <f>IF(ISERROR(_xll.qlSwapRateHelperSpread($Y16)),IF(ISERROR(_xll.qlFuturesRateHelperConvexityAdjustment($Y16)),"",_xll.qlFuturesRateHelperConvexityAdjustment($Y16)),_xll.qlSwapRateHelperSpread($Y16))</f>
        <v>0</v>
      </c>
      <c r="AD16" s="5">
        <f>IFERROR(_xll.qlRateHelperEarliestDate(Y16,Trigger),"")</f>
        <v>42321</v>
      </c>
      <c r="AE16" s="5">
        <f>IFERROR(_xll.qlRateHelperPillarDate(Y16,Trigger),"")</f>
        <v>47800</v>
      </c>
      <c r="AF16" s="70">
        <v>2.1548124865207186E-2</v>
      </c>
      <c r="AG16" s="77">
        <v>0.72369371482509359</v>
      </c>
      <c r="AH16" s="169">
        <v>47799</v>
      </c>
      <c r="AI16" s="170">
        <v>2.1738415566447199E-2</v>
      </c>
      <c r="AJ16" s="172">
        <f t="shared" si="3"/>
        <v>-1.9029070124001318E-4</v>
      </c>
      <c r="AK16" s="80">
        <v>0.72162961015455296</v>
      </c>
      <c r="AL16" s="161">
        <f t="shared" si="4"/>
        <v>2.0641046705406341E-3</v>
      </c>
    </row>
    <row r="17" spans="1:38" ht="11.25" customHeight="1" x14ac:dyDescent="0.2">
      <c r="A17" s="59" t="s">
        <v>91</v>
      </c>
      <c r="B17" s="116">
        <v>12</v>
      </c>
      <c r="C17" s="62" t="str">
        <f t="shared" si="11"/>
        <v>x18F</v>
      </c>
      <c r="D17" s="123"/>
      <c r="E17" s="123"/>
      <c r="F17" s="123"/>
      <c r="G17" s="61" t="str">
        <f t="shared" si="9"/>
        <v>GbpLibor6M</v>
      </c>
      <c r="H17" s="119" t="str">
        <f t="shared" si="12"/>
        <v>GBP12x18F_LCHQuote</v>
      </c>
      <c r="I17" s="123"/>
      <c r="J17" s="64" t="str">
        <f>_xll.qlFraRateHelper(,H17,B17&amp;"M",G17,PillarDate,,Permanent,Trigger,ObjectOverwrite)</f>
        <v>obj_003ab#0007</v>
      </c>
      <c r="K17" s="64" t="str">
        <f t="shared" si="13"/>
        <v>obj_003ab#0007</v>
      </c>
      <c r="L17" s="48"/>
      <c r="M17" s="10" t="str">
        <f t="shared" si="5"/>
        <v>FRA</v>
      </c>
      <c r="N17" s="94" t="str">
        <f t="shared" si="6"/>
        <v>--</v>
      </c>
      <c r="O17" s="94" t="str">
        <f t="shared" si="7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20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2"/>
        <v>Sw</v>
      </c>
      <c r="Y17" s="4" t="str">
        <v>obj_003d3</v>
      </c>
      <c r="Z17" s="4" t="str">
        <v>obj_003d3</v>
      </c>
      <c r="AA17" s="4" t="str">
        <f>IFERROR(_xll.qlRateHelperQuoteName(Y17,Trigger),"")</f>
        <v>GBPSB6L20Y_LCHQuote</v>
      </c>
      <c r="AB17" s="70">
        <f>IFERROR(_xll.qlRateHelperRate(Y17,Trigger),"")</f>
        <v>2.1770000000000001E-2</v>
      </c>
      <c r="AC17" s="104">
        <f>IF(ISERROR(_xll.qlSwapRateHelperSpread($Y17)),IF(ISERROR(_xll.qlFuturesRateHelperConvexityAdjustment($Y17)),"",_xll.qlFuturesRateHelperConvexityAdjustment($Y17)),_xll.qlSwapRateHelperSpread($Y17))</f>
        <v>0</v>
      </c>
      <c r="AD17" s="5">
        <f>IFERROR(_xll.qlRateHelperEarliestDate(Y17,Trigger),"")</f>
        <v>42321</v>
      </c>
      <c r="AE17" s="5">
        <f>IFERROR(_xll.qlRateHelperPillarDate(Y17,Trigger),"")</f>
        <v>49626</v>
      </c>
      <c r="AF17" s="70">
        <v>2.2022355263693338E-2</v>
      </c>
      <c r="AG17" s="77">
        <v>0.64371424623128948</v>
      </c>
      <c r="AH17" s="169">
        <v>49625</v>
      </c>
      <c r="AI17" s="170">
        <v>2.2155888214836099E-2</v>
      </c>
      <c r="AJ17" s="172">
        <f t="shared" si="3"/>
        <v>-1.3353295114276048E-4</v>
      </c>
      <c r="AK17" s="80">
        <v>0.64199425507832197</v>
      </c>
      <c r="AL17" s="161">
        <f t="shared" si="4"/>
        <v>1.7199911529675038E-3</v>
      </c>
    </row>
    <row r="18" spans="1:38" ht="11.25" customHeight="1" x14ac:dyDescent="0.2">
      <c r="A18" s="59" t="s">
        <v>91</v>
      </c>
      <c r="B18" s="116">
        <v>13</v>
      </c>
      <c r="C18" s="62" t="str">
        <f t="shared" si="11"/>
        <v>x19F</v>
      </c>
      <c r="D18" s="123"/>
      <c r="E18" s="123"/>
      <c r="F18" s="123"/>
      <c r="G18" s="61" t="str">
        <f t="shared" si="9"/>
        <v>GbpLibor6M</v>
      </c>
      <c r="H18" s="119" t="str">
        <f t="shared" si="12"/>
        <v>GBP13x19F_LCHQuote</v>
      </c>
      <c r="I18" s="123"/>
      <c r="J18" s="64"/>
      <c r="K18" s="64"/>
      <c r="L18" s="48"/>
      <c r="M18" s="10" t="str">
        <f t="shared" si="5"/>
        <v>FRA</v>
      </c>
      <c r="N18" s="94" t="str">
        <f t="shared" si="6"/>
        <v>--</v>
      </c>
      <c r="O18" s="94" t="str">
        <f t="shared" si="7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20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2"/>
        <v>Sw</v>
      </c>
      <c r="Y18" s="4" t="str">
        <v>obj_003d0</v>
      </c>
      <c r="Z18" s="4" t="str">
        <v>obj_003d0</v>
      </c>
      <c r="AA18" s="4" t="str">
        <f>IFERROR(_xll.qlRateHelperQuoteName(Y18,Trigger),"")</f>
        <v>GBPSB6L25Y_LCHQuote</v>
      </c>
      <c r="AB18" s="70">
        <f>IFERROR(_xll.qlRateHelperRate(Y18,Trigger),"")</f>
        <v>2.1649999999999999E-2</v>
      </c>
      <c r="AC18" s="104">
        <f>IF(ISERROR(_xll.qlSwapRateHelperSpread($Y18)),IF(ISERROR(_xll.qlFuturesRateHelperConvexityAdjustment($Y18)),"",_xll.qlFuturesRateHelperConvexityAdjustment($Y18)),_xll.qlSwapRateHelperSpread($Y18))</f>
        <v>0</v>
      </c>
      <c r="AD18" s="5">
        <f>IFERROR(_xll.qlRateHelperEarliestDate(Y18,Trigger),"")</f>
        <v>42321</v>
      </c>
      <c r="AE18" s="5">
        <f>IFERROR(_xll.qlRateHelperPillarDate(Y18,Trigger),"")</f>
        <v>51453</v>
      </c>
      <c r="AF18" s="70">
        <v>2.1798190745091404E-2</v>
      </c>
      <c r="AG18" s="77">
        <v>0.579796310182492</v>
      </c>
      <c r="AH18" s="169">
        <v>51452</v>
      </c>
      <c r="AI18" s="170">
        <v>2.1882769991087399E-2</v>
      </c>
      <c r="AJ18" s="172">
        <f t="shared" si="3"/>
        <v>-8.45792459959957E-5</v>
      </c>
      <c r="AK18" s="80">
        <v>0.57856996818202</v>
      </c>
      <c r="AL18" s="161">
        <f t="shared" si="4"/>
        <v>1.2263420004720027E-3</v>
      </c>
    </row>
    <row r="19" spans="1:38" ht="11.25" customHeight="1" x14ac:dyDescent="0.2">
      <c r="A19" s="59" t="s">
        <v>91</v>
      </c>
      <c r="B19" s="116">
        <v>14</v>
      </c>
      <c r="C19" s="62" t="str">
        <f t="shared" si="11"/>
        <v>x20F</v>
      </c>
      <c r="D19" s="123"/>
      <c r="E19" s="123"/>
      <c r="F19" s="123"/>
      <c r="G19" s="61" t="str">
        <f t="shared" si="9"/>
        <v>GbpLibor6M</v>
      </c>
      <c r="H19" s="119" t="str">
        <f t="shared" si="12"/>
        <v>GBP14x20F_LCHQuote</v>
      </c>
      <c r="I19" s="123"/>
      <c r="J19" s="64"/>
      <c r="K19" s="64"/>
      <c r="L19" s="48"/>
      <c r="M19" s="10" t="str">
        <f t="shared" si="5"/>
        <v>FRA</v>
      </c>
      <c r="N19" s="94" t="str">
        <f t="shared" si="6"/>
        <v>--</v>
      </c>
      <c r="O19" s="94" t="str">
        <f t="shared" si="7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20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2"/>
        <v>Sw</v>
      </c>
      <c r="Y19" s="4" t="str">
        <v>obj_003c5</v>
      </c>
      <c r="Z19" s="4" t="str">
        <v>obj_003c5</v>
      </c>
      <c r="AA19" s="4" t="str">
        <f>IFERROR(_xll.qlRateHelperQuoteName(Y19,Trigger),"")</f>
        <v>GBPSB6L30Y_LCHQuote</v>
      </c>
      <c r="AB19" s="70">
        <f>IFERROR(_xll.qlRateHelperRate(Y19,Trigger),"")</f>
        <v>2.1470000000000003E-2</v>
      </c>
      <c r="AC19" s="104">
        <f>IF(ISERROR(_xll.qlSwapRateHelperSpread($Y19)),IF(ISERROR(_xll.qlFuturesRateHelperConvexityAdjustment($Y19)),"",_xll.qlFuturesRateHelperConvexityAdjustment($Y19)),_xll.qlSwapRateHelperSpread($Y19))</f>
        <v>0</v>
      </c>
      <c r="AD19" s="5">
        <f>IFERROR(_xll.qlRateHelperEarliestDate(Y19,Trigger),"")</f>
        <v>42321</v>
      </c>
      <c r="AE19" s="5">
        <f>IFERROR(_xll.qlRateHelperPillarDate(Y19,Trigger),"")</f>
        <v>53279</v>
      </c>
      <c r="AF19" s="70">
        <v>2.1517794215791232E-2</v>
      </c>
      <c r="AG19" s="77">
        <v>0.52430089217737952</v>
      </c>
      <c r="AH19" s="169">
        <v>53279</v>
      </c>
      <c r="AI19" s="170">
        <v>2.1542135153142801E-2</v>
      </c>
      <c r="AJ19" s="172">
        <f t="shared" si="3"/>
        <v>-2.4340937351569059E-5</v>
      </c>
      <c r="AK19" s="80">
        <v>0.52388002544430601</v>
      </c>
      <c r="AL19" s="161">
        <f t="shared" si="4"/>
        <v>4.2086673307351052E-4</v>
      </c>
    </row>
    <row r="20" spans="1:38" ht="11.25" customHeight="1" x14ac:dyDescent="0.2">
      <c r="A20" s="59" t="s">
        <v>91</v>
      </c>
      <c r="B20" s="116">
        <v>15</v>
      </c>
      <c r="C20" s="62" t="str">
        <f t="shared" si="11"/>
        <v>x21F</v>
      </c>
      <c r="D20" s="123"/>
      <c r="E20" s="123"/>
      <c r="F20" s="123"/>
      <c r="G20" s="61" t="str">
        <f t="shared" si="9"/>
        <v>GbpLibor6M</v>
      </c>
      <c r="H20" s="119" t="str">
        <f t="shared" si="12"/>
        <v>GBP15x21F_LCHQuote</v>
      </c>
      <c r="I20" s="123"/>
      <c r="J20" s="64"/>
      <c r="K20" s="64"/>
      <c r="L20" s="48"/>
      <c r="M20" s="10" t="str">
        <f t="shared" si="5"/>
        <v>FRA</v>
      </c>
      <c r="N20" s="94" t="str">
        <f t="shared" si="6"/>
        <v>--</v>
      </c>
      <c r="O20" s="94" t="str">
        <f t="shared" si="7"/>
        <v>--</v>
      </c>
      <c r="P20" s="146" t="str">
        <f>IFERROR(_xll.qlRateHelperQuoteName(N20,Trigger),"--")</f>
        <v>--</v>
      </c>
      <c r="Q20" s="98" t="str">
        <f>IFERROR(_xll.qlRateHelperQuoteValue($N20,Trigger),"--")</f>
        <v>--</v>
      </c>
      <c r="R20" s="141" t="b">
        <v>0</v>
      </c>
      <c r="S20" s="94">
        <v>20</v>
      </c>
      <c r="T20" s="94">
        <v>1</v>
      </c>
      <c r="U20" s="99" t="str">
        <f>IFERROR(_xll.qlRateHelperEarliestDate(N20,Trigger),"--")</f>
        <v>--</v>
      </c>
      <c r="V20" s="99" t="str">
        <f>IFERROR(_xll.qlRateHelperPillarDate(N20,Trigger),"--")</f>
        <v>--</v>
      </c>
      <c r="X20" s="4" t="str">
        <f t="shared" si="2"/>
        <v>Sw</v>
      </c>
      <c r="Y20" s="4" t="str">
        <v>obj_003da</v>
      </c>
      <c r="Z20" s="4" t="str">
        <v>obj_003da</v>
      </c>
      <c r="AA20" s="4" t="str">
        <f>IFERROR(_xll.qlRateHelperQuoteName(Y20,Trigger),"")</f>
        <v>GBPSB6L40Y_LCHQuote</v>
      </c>
      <c r="AB20" s="70">
        <f>IFERROR(_xll.qlRateHelperRate(Y20,Trigger),"")</f>
        <v>2.085E-2</v>
      </c>
      <c r="AC20" s="104">
        <f>IF(ISERROR(_xll.qlSwapRateHelperSpread($Y20)),IF(ISERROR(_xll.qlFuturesRateHelperConvexityAdjustment($Y20)),"",_xll.qlFuturesRateHelperConvexityAdjustment($Y20)),_xll.qlSwapRateHelperSpread($Y20))</f>
        <v>0</v>
      </c>
      <c r="AD20" s="5">
        <f>IFERROR(_xll.qlRateHelperEarliestDate(Y20,Trigger),"")</f>
        <v>42321</v>
      </c>
      <c r="AE20" s="5">
        <f>IFERROR(_xll.qlRateHelperPillarDate(Y20,Trigger),"")</f>
        <v>56933</v>
      </c>
      <c r="AF20" s="70">
        <v>2.062093117095774E-2</v>
      </c>
      <c r="AG20" s="77">
        <v>0.43818482603593745</v>
      </c>
      <c r="AH20" s="169">
        <v>56930</v>
      </c>
      <c r="AI20" s="170">
        <v>2.0615132785961401E-2</v>
      </c>
      <c r="AJ20" s="172">
        <f t="shared" si="3"/>
        <v>5.7983849963381962E-6</v>
      </c>
      <c r="AK20" s="80">
        <v>0.43830450561060103</v>
      </c>
      <c r="AL20" s="161">
        <f t="shared" si="4"/>
        <v>-1.1967957466357815E-4</v>
      </c>
    </row>
    <row r="21" spans="1:38" ht="11.25" customHeight="1" x14ac:dyDescent="0.2">
      <c r="A21" s="59" t="s">
        <v>91</v>
      </c>
      <c r="B21" s="116">
        <v>16</v>
      </c>
      <c r="C21" s="62" t="str">
        <f t="shared" si="11"/>
        <v>x22F</v>
      </c>
      <c r="D21" s="123"/>
      <c r="E21" s="123"/>
      <c r="F21" s="123"/>
      <c r="G21" s="61" t="str">
        <f t="shared" si="9"/>
        <v>GbpLibor6M</v>
      </c>
      <c r="H21" s="119" t="str">
        <f t="shared" si="12"/>
        <v>GBP16x22F_LCHQuote</v>
      </c>
      <c r="I21" s="123"/>
      <c r="J21" s="64"/>
      <c r="K21" s="64"/>
      <c r="L21" s="48"/>
      <c r="M21" s="10" t="str">
        <f t="shared" si="5"/>
        <v>FRA</v>
      </c>
      <c r="N21" s="94" t="str">
        <f t="shared" si="6"/>
        <v>--</v>
      </c>
      <c r="O21" s="94" t="str">
        <f t="shared" si="7"/>
        <v>--</v>
      </c>
      <c r="P21" s="146" t="str">
        <f>IFERROR(_xll.qlRateHelperQuoteName(N21,Trigger),"--")</f>
        <v>--</v>
      </c>
      <c r="Q21" s="98" t="str">
        <f>IFERROR(_xll.qlRateHelperQuoteValue($N21,Trigger),"--")</f>
        <v>--</v>
      </c>
      <c r="R21" s="141" t="b">
        <v>0</v>
      </c>
      <c r="S21" s="94">
        <v>20</v>
      </c>
      <c r="T21" s="94">
        <v>1</v>
      </c>
      <c r="U21" s="99" t="str">
        <f>IFERROR(_xll.qlRateHelperEarliestDate(N21,Trigger),"--")</f>
        <v>--</v>
      </c>
      <c r="V21" s="99" t="str">
        <f>IFERROR(_xll.qlRateHelperPillarDate(N21,Trigger),"--")</f>
        <v>--</v>
      </c>
      <c r="X21" s="4" t="str">
        <f t="shared" si="2"/>
        <v>Sw</v>
      </c>
      <c r="Y21" s="4" t="str">
        <v>obj_003d6</v>
      </c>
      <c r="Z21" s="4" t="str">
        <v>obj_003d6</v>
      </c>
      <c r="AA21" s="4" t="str">
        <f>IFERROR(_xll.qlRateHelperQuoteName(Y21,Trigger),"")</f>
        <v>GBPSB6L50Y_LCHQuote</v>
      </c>
      <c r="AB21" s="70">
        <f>IFERROR(_xll.qlRateHelperRate(Y21,Trigger),"")</f>
        <v>2.0419999999999997E-2</v>
      </c>
      <c r="AC21" s="104">
        <f>IF(ISERROR(_xll.qlSwapRateHelperSpread($Y21)),IF(ISERROR(_xll.qlFuturesRateHelperConvexityAdjustment($Y21)),"",_xll.qlFuturesRateHelperConvexityAdjustment($Y21)),_xll.qlSwapRateHelperSpread($Y21))</f>
        <v>0</v>
      </c>
      <c r="AD21" s="5">
        <f>IFERROR(_xll.qlRateHelperEarliestDate(Y21,Trigger),"")</f>
        <v>42321</v>
      </c>
      <c r="AE21" s="5">
        <f>IFERROR(_xll.qlRateHelperPillarDate(Y21,Trigger),"")</f>
        <v>60584</v>
      </c>
      <c r="AF21" s="70">
        <v>1.9997911257224759E-2</v>
      </c>
      <c r="AG21" s="77">
        <v>0.36765394412948416</v>
      </c>
      <c r="AH21" s="169">
        <v>60583</v>
      </c>
      <c r="AI21" s="170">
        <v>2.0001585543271898E-2</v>
      </c>
      <c r="AJ21" s="172">
        <f t="shared" si="3"/>
        <v>-3.6742860471394856E-6</v>
      </c>
      <c r="AK21" s="80">
        <v>0.36753185593732002</v>
      </c>
      <c r="AL21" s="161">
        <f t="shared" si="4"/>
        <v>1.2208819216413813E-4</v>
      </c>
    </row>
    <row r="22" spans="1:38" ht="11.25" customHeight="1" x14ac:dyDescent="0.2">
      <c r="A22" s="59" t="s">
        <v>91</v>
      </c>
      <c r="B22" s="116">
        <v>17</v>
      </c>
      <c r="C22" s="62" t="str">
        <f t="shared" si="11"/>
        <v>x23F</v>
      </c>
      <c r="D22" s="123"/>
      <c r="E22" s="123"/>
      <c r="F22" s="123"/>
      <c r="G22" s="61" t="str">
        <f t="shared" si="9"/>
        <v>GbpLibor6M</v>
      </c>
      <c r="H22" s="119" t="str">
        <f t="shared" si="12"/>
        <v>GBP17x23F_LCHQuote</v>
      </c>
      <c r="I22" s="123"/>
      <c r="J22" s="64"/>
      <c r="K22" s="64"/>
      <c r="L22" s="48"/>
      <c r="M22" s="68" t="str">
        <f>A26</f>
        <v>Sw</v>
      </c>
      <c r="N22" s="131" t="str">
        <f>IF(ISBLANK(J26),"--",J26)</f>
        <v>--</v>
      </c>
      <c r="O22" s="131" t="str">
        <f>IF(ISBLANK(K26),"--",K26)</f>
        <v>--</v>
      </c>
      <c r="P22" s="145" t="str">
        <f>IFERROR(_xll.qlRateHelperQuoteName(N22,Trigger),"--")</f>
        <v>--</v>
      </c>
      <c r="Q22" s="133" t="str">
        <f>IFERROR(_xll.qlRateHelperQuoteValue($N22,Trigger),"--")</f>
        <v>--</v>
      </c>
      <c r="R22" s="137" t="b">
        <v>0</v>
      </c>
      <c r="S22" s="131">
        <v>10</v>
      </c>
      <c r="T22" s="131">
        <v>1</v>
      </c>
      <c r="U22" s="134" t="str">
        <f>IFERROR(_xll.qlRateHelperEarliestDate(N22,Trigger),"--")</f>
        <v>--</v>
      </c>
      <c r="V22" s="134" t="str">
        <f>IFERROR(_xll.qlRateHelperPillarDate(N22,Trigger),"--")</f>
        <v>--</v>
      </c>
      <c r="X22" s="4" t="str">
        <f t="shared" si="2"/>
        <v>Sw</v>
      </c>
      <c r="Y22" s="4" t="str">
        <v>obj_003e3</v>
      </c>
      <c r="Z22" s="4" t="str">
        <v>obj_003e3</v>
      </c>
      <c r="AA22" s="4" t="str">
        <f>IFERROR(_xll.qlRateHelperQuoteName(Y22,Trigger),"")</f>
        <v>GBPSB6L60Y_LCHQuote</v>
      </c>
      <c r="AB22" s="70">
        <f>IFERROR(_xll.qlRateHelperRate(Y22,Trigger),"")</f>
        <v>2.0390000000000002E-2</v>
      </c>
      <c r="AC22" s="104">
        <f>IF(ISERROR(_xll.qlSwapRateHelperSpread($Y22)),IF(ISERROR(_xll.qlFuturesRateHelperConvexityAdjustment($Y22)),"",_xll.qlFuturesRateHelperConvexityAdjustment($Y22)),_xll.qlSwapRateHelperSpread($Y22))</f>
        <v>0</v>
      </c>
      <c r="AD22" s="5">
        <f>IFERROR(_xll.qlRateHelperEarliestDate(Y22,Trigger),"")</f>
        <v>42321</v>
      </c>
      <c r="AE22" s="5">
        <f>IFERROR(_xll.qlRateHelperPillarDate(Y22,Trigger),"")</f>
        <v>64236</v>
      </c>
      <c r="AF22" s="70">
        <v>2.0001264511499674E-2</v>
      </c>
      <c r="AG22" s="77">
        <v>0.30082936600532956</v>
      </c>
      <c r="AH22" s="169">
        <v>64235</v>
      </c>
      <c r="AI22" s="170">
        <v>1.9994010104097501E-2</v>
      </c>
      <c r="AJ22" s="172">
        <f t="shared" si="3"/>
        <v>7.2544074021727023E-6</v>
      </c>
      <c r="AK22" s="80">
        <v>0.30091780283976899</v>
      </c>
      <c r="AL22" s="161">
        <f t="shared" si="4"/>
        <v>-8.8436834439431511E-5</v>
      </c>
    </row>
    <row r="23" spans="1:38" ht="11.25" customHeight="1" x14ac:dyDescent="0.2">
      <c r="A23" s="1" t="s">
        <v>91</v>
      </c>
      <c r="B23" s="117">
        <v>18</v>
      </c>
      <c r="C23" s="9" t="str">
        <f t="shared" si="11"/>
        <v>x24F</v>
      </c>
      <c r="D23" s="124"/>
      <c r="E23" s="124"/>
      <c r="F23" s="124"/>
      <c r="G23" s="7" t="str">
        <f t="shared" si="9"/>
        <v>GbpLibor6M</v>
      </c>
      <c r="H23" s="120" t="str">
        <f t="shared" si="12"/>
        <v>GBP18x24F_LCHQuote</v>
      </c>
      <c r="I23" s="124"/>
      <c r="J23" s="3"/>
      <c r="K23" s="3"/>
      <c r="L23" s="48"/>
      <c r="M23" s="10" t="str">
        <f t="shared" ref="M23:M59" si="14">A27</f>
        <v>Sw</v>
      </c>
      <c r="N23" s="94" t="str">
        <f t="shared" ref="N23:O23" si="15">IF(ISBLANK(J27),"--",J27)</f>
        <v>--</v>
      </c>
      <c r="O23" s="94" t="str">
        <f t="shared" si="15"/>
        <v>--</v>
      </c>
      <c r="P23" s="146" t="str">
        <f>IFERROR(_xll.qlRateHelperQuoteName(N23,Trigger),"--")</f>
        <v>--</v>
      </c>
      <c r="Q23" s="98" t="str">
        <f>IFERROR(_xll.qlRateHelperQuoteValue($N23,Trigger),"--")</f>
        <v>--</v>
      </c>
      <c r="R23" s="141" t="b">
        <v>0</v>
      </c>
      <c r="S23" s="94">
        <v>10</v>
      </c>
      <c r="T23" s="94">
        <v>1</v>
      </c>
      <c r="U23" s="99" t="str">
        <f>IFERROR(_xll.qlRateHelperEarliestDate(N23,Trigger),"--")</f>
        <v>--</v>
      </c>
      <c r="V23" s="99" t="str">
        <f>IFERROR(_xll.qlRateHelperPillarDate(N23,Trigger),"--")</f>
        <v>--</v>
      </c>
      <c r="X23" s="4" t="str">
        <f t="shared" si="2"/>
        <v/>
      </c>
      <c r="Y23" s="4" t="e">
        <v>#N/A</v>
      </c>
      <c r="Z23" s="4" t="e">
        <v>#N/A</v>
      </c>
      <c r="AA23" s="4" t="str">
        <f>IFERROR(_xll.qlRateHelperQuoteName(Y23,Trigger),"")</f>
        <v/>
      </c>
      <c r="AB23" s="70" t="str">
        <f>IFERROR(_xll.qlRateHelperRate(Y23,Trigger),"")</f>
        <v/>
      </c>
      <c r="AC23" s="104" t="str">
        <f>IF(ISERROR(_xll.qlSwapRateHelperSpread($Y23)),IF(ISERROR(_xll.qlFuturesRateHelperConvexityAdjustment($Y23)),"",_xll.qlFuturesRateHelperConvexityAdjustment($Y23)),_xll.qlSwapRateHelperSpread($Y23))</f>
        <v/>
      </c>
      <c r="AD23" s="5" t="str">
        <f>IFERROR(_xll.qlRateHelperEarliestDate(Y23,Trigger),"")</f>
        <v/>
      </c>
      <c r="AE23" s="5" t="str">
        <f>IFERROR(_xll.qlRateHelperPillarDate(Y23,Trigger),"")</f>
        <v/>
      </c>
      <c r="AF23" s="70" t="e">
        <v>#N/A</v>
      </c>
      <c r="AG23" s="77" t="e">
        <v>#N/A</v>
      </c>
      <c r="AH23" s="169" t="e">
        <v>#N/A</v>
      </c>
      <c r="AI23" s="170" t="e">
        <v>#N/A</v>
      </c>
      <c r="AJ23" s="172" t="e">
        <f t="shared" si="3"/>
        <v>#N/A</v>
      </c>
      <c r="AK23" s="80" t="e">
        <v>#N/A</v>
      </c>
      <c r="AL23" s="161" t="e">
        <f t="shared" si="4"/>
        <v>#N/A</v>
      </c>
    </row>
    <row r="24" spans="1:38" ht="11.25" customHeight="1" x14ac:dyDescent="0.2">
      <c r="B24" s="46"/>
      <c r="C24" s="46"/>
      <c r="D24" s="46"/>
      <c r="E24" s="46"/>
      <c r="F24" s="46"/>
      <c r="G24" s="46" t="s">
        <v>156</v>
      </c>
      <c r="H24" s="46" t="s">
        <v>148</v>
      </c>
      <c r="L24" s="48"/>
      <c r="M24" s="10" t="str">
        <f t="shared" si="14"/>
        <v>Sw</v>
      </c>
      <c r="N24" s="94" t="str">
        <f t="shared" ref="N24:O24" si="16">IF(ISBLANK(J28),"--",J28)</f>
        <v>--</v>
      </c>
      <c r="O24" s="94" t="str">
        <f t="shared" si="16"/>
        <v>--</v>
      </c>
      <c r="P24" s="146" t="str">
        <f>IFERROR(_xll.qlRateHelperQuoteName(N24,Trigger),"--")</f>
        <v>--</v>
      </c>
      <c r="Q24" s="98" t="str">
        <f>IFERROR(_xll.qlRateHelperQuoteValue($N24,Trigger),"--")</f>
        <v>--</v>
      </c>
      <c r="R24" s="141" t="b">
        <v>0</v>
      </c>
      <c r="S24" s="94">
        <v>10</v>
      </c>
      <c r="T24" s="94">
        <v>1</v>
      </c>
      <c r="U24" s="99" t="str">
        <f>IFERROR(_xll.qlRateHelperEarliestDate(N24,Trigger),"--")</f>
        <v>--</v>
      </c>
      <c r="V24" s="99" t="str">
        <f>IFERROR(_xll.qlRateHelperPillarDate(N24,Trigger),"--")</f>
        <v>--</v>
      </c>
      <c r="X24" s="4" t="str">
        <f t="shared" si="2"/>
        <v/>
      </c>
      <c r="Y24" s="4" t="e">
        <v>#N/A</v>
      </c>
      <c r="Z24" s="4" t="e">
        <v>#N/A</v>
      </c>
      <c r="AA24" s="4" t="str">
        <f>IFERROR(_xll.qlRateHelperQuoteName(Y24,Trigger),"")</f>
        <v/>
      </c>
      <c r="AB24" s="70" t="str">
        <f>IFERROR(_xll.qlRateHelperRate(Y24,Trigger),"")</f>
        <v/>
      </c>
      <c r="AC24" s="104" t="str">
        <f>IF(ISERROR(_xll.qlSwapRateHelperSpread($Y24)),IF(ISERROR(_xll.qlFuturesRateHelperConvexityAdjustment($Y24)),"",_xll.qlFuturesRateHelperConvexityAdjustment($Y24)),_xll.qlSwapRateHelperSpread($Y24))</f>
        <v/>
      </c>
      <c r="AD24" s="5" t="str">
        <f>IFERROR(_xll.qlRateHelperEarliestDate(Y24,Trigger),"")</f>
        <v/>
      </c>
      <c r="AE24" s="5" t="str">
        <f>IFERROR(_xll.qlRateHelperPillarDate(Y24,Trigger),"")</f>
        <v/>
      </c>
      <c r="AF24" s="70" t="e">
        <v>#N/A</v>
      </c>
      <c r="AG24" s="77" t="e">
        <v>#N/A</v>
      </c>
      <c r="AH24" s="169" t="e">
        <v>#N/A</v>
      </c>
      <c r="AI24" s="170" t="e">
        <v>#N/A</v>
      </c>
      <c r="AJ24" s="172" t="e">
        <f t="shared" si="3"/>
        <v>#N/A</v>
      </c>
      <c r="AK24" s="80" t="e">
        <v>#N/A</v>
      </c>
      <c r="AL24" s="161" t="e">
        <f t="shared" si="4"/>
        <v>#N/A</v>
      </c>
    </row>
    <row r="25" spans="1:38" ht="11.25" customHeight="1" x14ac:dyDescent="0.2">
      <c r="A25" s="65" t="s">
        <v>9</v>
      </c>
      <c r="B25" s="65" t="s">
        <v>28</v>
      </c>
      <c r="C25" s="65" t="s">
        <v>111</v>
      </c>
      <c r="D25" s="65" t="s">
        <v>5</v>
      </c>
      <c r="E25" s="65" t="s">
        <v>33</v>
      </c>
      <c r="F25" s="65" t="s">
        <v>112</v>
      </c>
      <c r="G25" s="65" t="s">
        <v>4</v>
      </c>
      <c r="H25" s="65" t="s">
        <v>1</v>
      </c>
      <c r="I25" s="65" t="s">
        <v>110</v>
      </c>
      <c r="J25" s="65" t="s">
        <v>132</v>
      </c>
      <c r="K25" s="65" t="s">
        <v>134</v>
      </c>
      <c r="L25" s="48"/>
      <c r="M25" s="10" t="str">
        <f t="shared" si="14"/>
        <v>Sw</v>
      </c>
      <c r="N25" s="94" t="str">
        <f t="shared" ref="N25:O25" si="17">IF(ISBLANK(J29),"--",J29)</f>
        <v>--</v>
      </c>
      <c r="O25" s="94" t="str">
        <f t="shared" si="17"/>
        <v>--</v>
      </c>
      <c r="P25" s="146" t="str">
        <f>IFERROR(_xll.qlRateHelperQuoteName(N25,Trigger),"--")</f>
        <v>--</v>
      </c>
      <c r="Q25" s="98" t="str">
        <f>IFERROR(_xll.qlRateHelperQuoteValue($N25,Trigger),"--")</f>
        <v>--</v>
      </c>
      <c r="R25" s="141" t="b">
        <v>0</v>
      </c>
      <c r="S25" s="94">
        <v>10</v>
      </c>
      <c r="T25" s="94">
        <v>1</v>
      </c>
      <c r="U25" s="99" t="str">
        <f>IFERROR(_xll.qlRateHelperEarliestDate(N25,Trigger),"--")</f>
        <v>--</v>
      </c>
      <c r="V25" s="99" t="str">
        <f>IFERROR(_xll.qlRateHelperPillarDate(N25,Trigger),"--")</f>
        <v>--</v>
      </c>
      <c r="X25" s="4" t="str">
        <f t="shared" si="2"/>
        <v/>
      </c>
      <c r="Y25" s="4" t="e">
        <v>#N/A</v>
      </c>
      <c r="Z25" s="4" t="e">
        <v>#N/A</v>
      </c>
      <c r="AA25" s="4" t="str">
        <f>IFERROR(_xll.qlRateHelperQuoteName(Y25,Trigger),"")</f>
        <v/>
      </c>
      <c r="AB25" s="70" t="str">
        <f>IFERROR(_xll.qlRateHelperRate(Y25,Trigger),"")</f>
        <v/>
      </c>
      <c r="AC25" s="104" t="str">
        <f>IF(ISERROR(_xll.qlSwapRateHelperSpread($Y25)),IF(ISERROR(_xll.qlFuturesRateHelperConvexityAdjustment($Y25)),"",_xll.qlFuturesRateHelperConvexityAdjustment($Y25)),_xll.qlSwapRateHelperSpread($Y25))</f>
        <v/>
      </c>
      <c r="AD25" s="5" t="str">
        <f>IFERROR(_xll.qlRateHelperEarliestDate(Y25,Trigger),"")</f>
        <v/>
      </c>
      <c r="AE25" s="5" t="str">
        <f>IFERROR(_xll.qlRateHelperPillarDate(Y25,Trigger),"")</f>
        <v/>
      </c>
      <c r="AF25" s="70" t="e">
        <v>#N/A</v>
      </c>
      <c r="AG25" s="77" t="e">
        <v>#N/A</v>
      </c>
      <c r="AH25" s="169" t="e">
        <v>#N/A</v>
      </c>
      <c r="AI25" s="170" t="e">
        <v>#N/A</v>
      </c>
      <c r="AJ25" s="172" t="e">
        <f t="shared" si="3"/>
        <v>#N/A</v>
      </c>
      <c r="AK25" s="80" t="e">
        <v>#N/A</v>
      </c>
      <c r="AL25" s="161" t="e">
        <f t="shared" si="4"/>
        <v>#N/A</v>
      </c>
    </row>
    <row r="26" spans="1:38" ht="11.25" customHeight="1" x14ac:dyDescent="0.2">
      <c r="A26" s="53" t="s">
        <v>25</v>
      </c>
      <c r="B26" s="54" t="s">
        <v>3</v>
      </c>
      <c r="C26" s="55" t="s">
        <v>6</v>
      </c>
      <c r="D26" s="55" t="s">
        <v>154</v>
      </c>
      <c r="E26" s="55" t="s">
        <v>7</v>
      </c>
      <c r="F26" s="55" t="s">
        <v>155</v>
      </c>
      <c r="G26" s="55" t="str">
        <f t="shared" ref="G26:G63" si="18">PROPER(Currency)&amp;FamilyName&amp;$G$1</f>
        <v>GbpLibor6M</v>
      </c>
      <c r="H26" s="53" t="str">
        <f t="shared" ref="H26:H63" si="19">IF(ReportQuoteOverwrite,Currency&amp;$G$24&amp;$H$24&amp;$B26&amp;ReportQuoteSuffix,Currency&amp;$G$24&amp;$H$24&amp;$B26&amp;QuoteSuffix)</f>
        <v>GBPSB6L6M_LCHQuote</v>
      </c>
      <c r="I26" s="126">
        <v>0</v>
      </c>
      <c r="J26" s="64"/>
      <c r="K26" s="64"/>
      <c r="L26" s="48"/>
      <c r="M26" s="10" t="str">
        <f t="shared" si="14"/>
        <v>Sw</v>
      </c>
      <c r="N26" s="94" t="str">
        <f t="shared" ref="N26:O26" si="20">IF(ISBLANK(J30),"--",J30)</f>
        <v>--</v>
      </c>
      <c r="O26" s="94" t="str">
        <f t="shared" si="20"/>
        <v>--</v>
      </c>
      <c r="P26" s="146" t="str">
        <f>IFERROR(_xll.qlRateHelperQuoteName(N26,Trigger),"--")</f>
        <v>--</v>
      </c>
      <c r="Q26" s="98" t="str">
        <f>IFERROR(_xll.qlRateHelperQuoteValue($N26,Trigger),"--")</f>
        <v>--</v>
      </c>
      <c r="R26" s="141" t="b">
        <v>0</v>
      </c>
      <c r="S26" s="94">
        <v>10</v>
      </c>
      <c r="T26" s="94">
        <v>1</v>
      </c>
      <c r="U26" s="99" t="str">
        <f>IFERROR(_xll.qlRateHelperEarliestDate(N26,Trigger),"--")</f>
        <v>--</v>
      </c>
      <c r="V26" s="99" t="str">
        <f>IFERROR(_xll.qlRateHelperPillarDate(N26,Trigger),"--")</f>
        <v>--</v>
      </c>
      <c r="X26" s="4" t="str">
        <f t="shared" si="2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3"/>
        <v>#N/A</v>
      </c>
      <c r="AK26" s="80" t="e">
        <v>#N/A</v>
      </c>
      <c r="AL26" s="161" t="e">
        <f t="shared" si="4"/>
        <v>#N/A</v>
      </c>
    </row>
    <row r="27" spans="1:38" ht="11.25" customHeight="1" x14ac:dyDescent="0.2">
      <c r="A27" s="59" t="s">
        <v>25</v>
      </c>
      <c r="B27" s="60" t="s">
        <v>27</v>
      </c>
      <c r="C27" s="61" t="s">
        <v>6</v>
      </c>
      <c r="D27" s="61" t="s">
        <v>154</v>
      </c>
      <c r="E27" s="61" t="s">
        <v>7</v>
      </c>
      <c r="F27" s="61" t="s">
        <v>155</v>
      </c>
      <c r="G27" s="61" t="str">
        <f t="shared" si="18"/>
        <v>GbpLibor6M</v>
      </c>
      <c r="H27" s="59" t="str">
        <f t="shared" si="19"/>
        <v>GBPSB6L1Y_LCHQuote</v>
      </c>
      <c r="I27" s="127">
        <v>0</v>
      </c>
      <c r="J27" s="64"/>
      <c r="K27" s="64"/>
      <c r="L27" s="48"/>
      <c r="M27" s="10" t="str">
        <f t="shared" si="14"/>
        <v>Sw</v>
      </c>
      <c r="N27" s="94" t="str">
        <f t="shared" ref="N27:O27" si="21">IF(ISBLANK(J31),"--",J31)</f>
        <v>obj_003e4#0007</v>
      </c>
      <c r="O27" s="94" t="str">
        <f t="shared" si="21"/>
        <v>obj_003c6#0007</v>
      </c>
      <c r="P27" s="146" t="str">
        <f>IFERROR(_xll.qlRateHelperQuoteName(N27,Trigger),"--")</f>
        <v>GBPSB6L2Y_LCHQuote</v>
      </c>
      <c r="Q27" s="98">
        <f>IFERROR(_xll.qlRateHelperQuoteValue($N27,Trigger),"--")</f>
        <v>9.92E-3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42321</v>
      </c>
      <c r="V27" s="99">
        <f>IFERROR(_xll.qlRateHelperPillarDate(N27,Trigger),"--")</f>
        <v>43052</v>
      </c>
      <c r="X27" s="4" t="str">
        <f t="shared" si="2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3"/>
        <v>#N/A</v>
      </c>
      <c r="AK27" s="80" t="e">
        <v>#N/A</v>
      </c>
      <c r="AL27" s="161" t="e">
        <f t="shared" si="4"/>
        <v>#N/A</v>
      </c>
    </row>
    <row r="28" spans="1:38" ht="11.25" customHeight="1" x14ac:dyDescent="0.2">
      <c r="A28" s="59" t="s">
        <v>25</v>
      </c>
      <c r="B28" s="60" t="s">
        <v>48</v>
      </c>
      <c r="C28" s="61" t="s">
        <v>6</v>
      </c>
      <c r="D28" s="61" t="s">
        <v>154</v>
      </c>
      <c r="E28" s="61" t="s">
        <v>7</v>
      </c>
      <c r="F28" s="61" t="s">
        <v>155</v>
      </c>
      <c r="G28" s="61" t="str">
        <f t="shared" si="18"/>
        <v>GbpLibor6M</v>
      </c>
      <c r="H28" s="59" t="str">
        <f t="shared" si="19"/>
        <v>GBPSB6L15M_LCHQuote</v>
      </c>
      <c r="I28" s="127">
        <v>0</v>
      </c>
      <c r="J28" s="64"/>
      <c r="K28" s="64"/>
      <c r="L28" s="48"/>
      <c r="M28" s="10" t="str">
        <f t="shared" si="14"/>
        <v>Sw</v>
      </c>
      <c r="N28" s="94" t="str">
        <f t="shared" ref="N28:O28" si="22">IF(ISBLANK(J32),"--",J32)</f>
        <v>obj_003d1#0007</v>
      </c>
      <c r="O28" s="94" t="str">
        <f t="shared" si="22"/>
        <v>obj_003e1#0007</v>
      </c>
      <c r="P28" s="146" t="str">
        <f>IFERROR(_xll.qlRateHelperQuoteName(N28,Trigger),"--")</f>
        <v>GBPSB6L3Y_LCHQuote</v>
      </c>
      <c r="Q28" s="98">
        <f>IFERROR(_xll.qlRateHelperQuoteValue($N28,Trigger),"--")</f>
        <v>1.1979999999999999E-2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42321</v>
      </c>
      <c r="V28" s="99">
        <f>IFERROR(_xll.qlRateHelperPillarDate(N28,Trigger),"--")</f>
        <v>43417</v>
      </c>
      <c r="X28" s="4" t="str">
        <f t="shared" si="2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3"/>
        <v>#N/A</v>
      </c>
      <c r="AK28" s="80" t="e">
        <v>#N/A</v>
      </c>
      <c r="AL28" s="161" t="e">
        <f t="shared" si="4"/>
        <v>#N/A</v>
      </c>
    </row>
    <row r="29" spans="1:38" ht="11.25" customHeight="1" x14ac:dyDescent="0.2">
      <c r="A29" s="59" t="s">
        <v>25</v>
      </c>
      <c r="B29" s="60" t="s">
        <v>49</v>
      </c>
      <c r="C29" s="61" t="s">
        <v>6</v>
      </c>
      <c r="D29" s="61" t="s">
        <v>154</v>
      </c>
      <c r="E29" s="61" t="s">
        <v>7</v>
      </c>
      <c r="F29" s="61" t="s">
        <v>155</v>
      </c>
      <c r="G29" s="61" t="str">
        <f t="shared" si="18"/>
        <v>GbpLibor6M</v>
      </c>
      <c r="H29" s="59" t="str">
        <f t="shared" si="19"/>
        <v>GBPSB6L18M_LCHQuote</v>
      </c>
      <c r="I29" s="127">
        <v>0</v>
      </c>
      <c r="J29" s="64"/>
      <c r="K29" s="64"/>
      <c r="L29" s="48"/>
      <c r="M29" s="10" t="str">
        <f t="shared" si="14"/>
        <v>Sw</v>
      </c>
      <c r="N29" s="94" t="str">
        <f t="shared" ref="N29:O29" si="23">IF(ISBLANK(J33),"--",J33)</f>
        <v>obj_003e0#0007</v>
      </c>
      <c r="O29" s="94" t="str">
        <f t="shared" si="23"/>
        <v>obj_003d5#0007</v>
      </c>
      <c r="P29" s="146" t="str">
        <f>IFERROR(_xll.qlRateHelperQuoteName(N29,Trigger),"--")</f>
        <v>GBPSB6L4Y_LCHQuote</v>
      </c>
      <c r="Q29" s="98">
        <f>IFERROR(_xll.qlRateHelperQuoteValue($N29,Trigger),"--")</f>
        <v>1.3729999999999999E-2</v>
      </c>
      <c r="R29" s="141" t="b">
        <v>1</v>
      </c>
      <c r="S29" s="94">
        <v>10</v>
      </c>
      <c r="T29" s="94">
        <v>1</v>
      </c>
      <c r="U29" s="99">
        <f>IFERROR(_xll.qlRateHelperEarliestDate(N29,Trigger),"--")</f>
        <v>42321</v>
      </c>
      <c r="V29" s="99">
        <f>IFERROR(_xll.qlRateHelperPillarDate(N29,Trigger),"--")</f>
        <v>43782</v>
      </c>
      <c r="X29" s="4" t="str">
        <f t="shared" si="2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3"/>
        <v>#N/A</v>
      </c>
      <c r="AK29" s="80" t="e">
        <v>#N/A</v>
      </c>
      <c r="AL29" s="161" t="e">
        <f t="shared" si="4"/>
        <v>#N/A</v>
      </c>
    </row>
    <row r="30" spans="1:38" ht="11.25" customHeight="1" x14ac:dyDescent="0.2">
      <c r="A30" s="59" t="s">
        <v>25</v>
      </c>
      <c r="B30" s="60" t="s">
        <v>50</v>
      </c>
      <c r="C30" s="61" t="s">
        <v>6</v>
      </c>
      <c r="D30" s="61" t="s">
        <v>154</v>
      </c>
      <c r="E30" s="61" t="s">
        <v>7</v>
      </c>
      <c r="F30" s="61" t="s">
        <v>155</v>
      </c>
      <c r="G30" s="61" t="str">
        <f t="shared" si="18"/>
        <v>GbpLibor6M</v>
      </c>
      <c r="H30" s="59" t="str">
        <f t="shared" si="19"/>
        <v>GBPSB6L21M_LCHQuote</v>
      </c>
      <c r="I30" s="127">
        <v>0</v>
      </c>
      <c r="J30" s="64"/>
      <c r="K30" s="64"/>
      <c r="L30" s="48"/>
      <c r="M30" s="10" t="str">
        <f t="shared" si="14"/>
        <v>Sw</v>
      </c>
      <c r="N30" s="94" t="str">
        <f t="shared" ref="N30:O30" si="24">IF(ISBLANK(J34),"--",J34)</f>
        <v>obj_003de#0007</v>
      </c>
      <c r="O30" s="94" t="str">
        <f t="shared" si="24"/>
        <v>obj_003db#0007</v>
      </c>
      <c r="P30" s="146" t="str">
        <f>IFERROR(_xll.qlRateHelperQuoteName(N30,Trigger),"--")</f>
        <v>GBPSB6L5Y_LCHQuote</v>
      </c>
      <c r="Q30" s="98">
        <f>IFERROR(_xll.qlRateHelperQuoteValue($N30,Trigger),"--")</f>
        <v>1.5190000000000002E-2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42321</v>
      </c>
      <c r="V30" s="99">
        <f>IFERROR(_xll.qlRateHelperPillarDate(N30,Trigger),"--")</f>
        <v>44148</v>
      </c>
      <c r="X30" s="4" t="str">
        <f t="shared" si="2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3"/>
        <v>#N/A</v>
      </c>
      <c r="AK30" s="80" t="e">
        <v>#N/A</v>
      </c>
      <c r="AL30" s="161" t="e">
        <f t="shared" si="4"/>
        <v>#N/A</v>
      </c>
    </row>
    <row r="31" spans="1:38" ht="11.25" customHeight="1" x14ac:dyDescent="0.2">
      <c r="A31" s="59" t="s">
        <v>25</v>
      </c>
      <c r="B31" s="60" t="s">
        <v>51</v>
      </c>
      <c r="C31" s="61" t="s">
        <v>6</v>
      </c>
      <c r="D31" s="61" t="s">
        <v>154</v>
      </c>
      <c r="E31" s="61" t="s">
        <v>7</v>
      </c>
      <c r="F31" s="61" t="s">
        <v>155</v>
      </c>
      <c r="G31" s="61" t="str">
        <f t="shared" si="18"/>
        <v>GbpLibor6M</v>
      </c>
      <c r="H31" s="59" t="str">
        <f t="shared" si="19"/>
        <v>GBPSB6L2Y_LCHQuote</v>
      </c>
      <c r="I31" s="127">
        <v>0</v>
      </c>
      <c r="J31" s="64" t="str">
        <f>_xll.qlSwapRateHelper2(,$H31,0,$B31,Calendar,$D31,$E31,$F31,$G31,$I31,$C31,Discounting1,PillarDate,,Permanent,Trigger,ObjectOverwrite)</f>
        <v>obj_003e4#0007</v>
      </c>
      <c r="K31" s="64" t="str">
        <f>_xll.qlSwapRateHelper2(,$H31,0,$B31,Calendar,$D31,$E31,$F31,$G31,$I31,$C31,Discounting2,PillarDate,,Permanent,Trigger,ObjectOverwrite)</f>
        <v>obj_003c6#0007</v>
      </c>
      <c r="L31" s="48"/>
      <c r="M31" s="10" t="str">
        <f t="shared" si="14"/>
        <v>Sw</v>
      </c>
      <c r="N31" s="94" t="str">
        <f t="shared" ref="N31:O31" si="25">IF(ISBLANK(J35),"--",J35)</f>
        <v>obj_003d2#0007</v>
      </c>
      <c r="O31" s="94" t="str">
        <f t="shared" si="25"/>
        <v>obj_003e5#0007</v>
      </c>
      <c r="P31" s="146" t="str">
        <f>IFERROR(_xll.qlRateHelperQuoteName(N31,Trigger),"--")</f>
        <v>GBPSB6L6Y_LCHQuote</v>
      </c>
      <c r="Q31" s="98">
        <f>IFERROR(_xll.qlRateHelperQuoteValue($N31,Trigger),"--")</f>
        <v>1.6410000000000001E-2</v>
      </c>
      <c r="R31" s="141" t="b">
        <v>1</v>
      </c>
      <c r="S31" s="94">
        <v>10</v>
      </c>
      <c r="T31" s="94">
        <v>1</v>
      </c>
      <c r="U31" s="99">
        <f>IFERROR(_xll.qlRateHelperEarliestDate(N31,Trigger),"--")</f>
        <v>42321</v>
      </c>
      <c r="V31" s="99">
        <f>IFERROR(_xll.qlRateHelperPillarDate(N31,Trigger),"--")</f>
        <v>44515</v>
      </c>
      <c r="X31" s="4" t="str">
        <f t="shared" si="2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3"/>
        <v>#N/A</v>
      </c>
      <c r="AK31" s="80" t="e">
        <v>#N/A</v>
      </c>
      <c r="AL31" s="161" t="e">
        <f t="shared" si="4"/>
        <v>#N/A</v>
      </c>
    </row>
    <row r="32" spans="1:38" ht="11.25" customHeight="1" x14ac:dyDescent="0.2">
      <c r="A32" s="59" t="s">
        <v>25</v>
      </c>
      <c r="B32" s="60" t="s">
        <v>52</v>
      </c>
      <c r="C32" s="61" t="s">
        <v>6</v>
      </c>
      <c r="D32" s="61" t="s">
        <v>154</v>
      </c>
      <c r="E32" s="61" t="s">
        <v>7</v>
      </c>
      <c r="F32" s="61" t="s">
        <v>155</v>
      </c>
      <c r="G32" s="61" t="str">
        <f t="shared" si="18"/>
        <v>GbpLibor6M</v>
      </c>
      <c r="H32" s="59" t="str">
        <f t="shared" si="19"/>
        <v>GBPSB6L3Y_LCHQuote</v>
      </c>
      <c r="I32" s="127">
        <v>0</v>
      </c>
      <c r="J32" s="64" t="str">
        <f>_xll.qlSwapRateHelper2(,$H32,0,$B32,Calendar,$D32,$E32,$F32,$G32,$I32,$C32,Discounting1,PillarDate,,Permanent,Trigger,ObjectOverwrite)</f>
        <v>obj_003d1#0007</v>
      </c>
      <c r="K32" s="64" t="str">
        <f>_xll.qlSwapRateHelper2(,$H32,0,$B32,Calendar,$D32,$E32,$F32,$G32,$I32,$C32,Discounting2,PillarDate,,Permanent,Trigger,ObjectOverwrite)</f>
        <v>obj_003e1#0007</v>
      </c>
      <c r="L32" s="48"/>
      <c r="M32" s="10" t="str">
        <f t="shared" si="14"/>
        <v>Sw</v>
      </c>
      <c r="N32" s="94" t="str">
        <f t="shared" ref="N32:O32" si="26">IF(ISBLANK(J36),"--",J36)</f>
        <v>obj_003cd#0007</v>
      </c>
      <c r="O32" s="94" t="str">
        <f t="shared" si="26"/>
        <v>obj_003dc#0007</v>
      </c>
      <c r="P32" s="146" t="str">
        <f>IFERROR(_xll.qlRateHelperQuoteName(N32,Trigger),"--")</f>
        <v>GBPSB6L7Y_LCHQuote</v>
      </c>
      <c r="Q32" s="98">
        <f>IFERROR(_xll.qlRateHelperQuoteValue($N32,Trigger),"--")</f>
        <v>1.7420000000000001E-2</v>
      </c>
      <c r="R32" s="141" t="b">
        <v>1</v>
      </c>
      <c r="S32" s="94">
        <v>10</v>
      </c>
      <c r="T32" s="94">
        <v>1</v>
      </c>
      <c r="U32" s="99">
        <f>IFERROR(_xll.qlRateHelperEarliestDate(N32,Trigger),"--")</f>
        <v>42321</v>
      </c>
      <c r="V32" s="99">
        <f>IFERROR(_xll.qlRateHelperPillarDate(N32,Trigger),"--")</f>
        <v>44879</v>
      </c>
      <c r="X32" s="4" t="str">
        <f t="shared" si="2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3"/>
        <v>#N/A</v>
      </c>
      <c r="AK32" s="80" t="e">
        <v>#N/A</v>
      </c>
      <c r="AL32" s="161" t="e">
        <f t="shared" si="4"/>
        <v>#N/A</v>
      </c>
    </row>
    <row r="33" spans="1:38" ht="11.25" customHeight="1" x14ac:dyDescent="0.2">
      <c r="A33" s="59" t="s">
        <v>25</v>
      </c>
      <c r="B33" s="60" t="s">
        <v>53</v>
      </c>
      <c r="C33" s="61" t="s">
        <v>6</v>
      </c>
      <c r="D33" s="61" t="s">
        <v>154</v>
      </c>
      <c r="E33" s="61" t="s">
        <v>7</v>
      </c>
      <c r="F33" s="61" t="s">
        <v>155</v>
      </c>
      <c r="G33" s="61" t="str">
        <f t="shared" si="18"/>
        <v>GbpLibor6M</v>
      </c>
      <c r="H33" s="59" t="str">
        <f t="shared" si="19"/>
        <v>GBPSB6L4Y_LCHQuote</v>
      </c>
      <c r="I33" s="127">
        <v>0</v>
      </c>
      <c r="J33" s="64" t="str">
        <f>_xll.qlSwapRateHelper2(,$H33,0,$B33,Calendar,$D33,$E33,$F33,$G33,$I33,$C33,Discounting1,PillarDate,,Permanent,Trigger,ObjectOverwrite)</f>
        <v>obj_003e0#0007</v>
      </c>
      <c r="K33" s="64" t="str">
        <f>_xll.qlSwapRateHelper2(,$H33,0,$B33,Calendar,$D33,$E33,$F33,$G33,$I33,$C33,Discounting2,PillarDate,,Permanent,Trigger,ObjectOverwrite)</f>
        <v>obj_003d5#0007</v>
      </c>
      <c r="L33" s="48"/>
      <c r="M33" s="10" t="str">
        <f t="shared" si="14"/>
        <v>Sw</v>
      </c>
      <c r="N33" s="94" t="str">
        <f t="shared" ref="N33:O33" si="27">IF(ISBLANK(J37),"--",J37)</f>
        <v>obj_003d8#0007</v>
      </c>
      <c r="O33" s="94" t="str">
        <f t="shared" si="27"/>
        <v>obj_003d4#0007</v>
      </c>
      <c r="P33" s="146" t="str">
        <f>IFERROR(_xll.qlRateHelperQuoteName(N33,Trigger),"--")</f>
        <v>GBPSB6L8Y_LCHQuote</v>
      </c>
      <c r="Q33" s="98">
        <f>IFERROR(_xll.qlRateHelperQuoteValue($N33,Trigger),"--")</f>
        <v>1.8250000000000002E-2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42321</v>
      </c>
      <c r="V33" s="99">
        <f>IFERROR(_xll.qlRateHelperPillarDate(N33,Trigger),"--")</f>
        <v>45243</v>
      </c>
      <c r="X33" s="4" t="str">
        <f t="shared" si="2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3"/>
        <v>#N/A</v>
      </c>
      <c r="AK33" s="80" t="e">
        <v>#N/A</v>
      </c>
      <c r="AL33" s="161" t="e">
        <f t="shared" si="4"/>
        <v>#N/A</v>
      </c>
    </row>
    <row r="34" spans="1:38" ht="11.25" customHeight="1" x14ac:dyDescent="0.2">
      <c r="A34" s="59" t="s">
        <v>25</v>
      </c>
      <c r="B34" s="60" t="s">
        <v>54</v>
      </c>
      <c r="C34" s="61" t="s">
        <v>6</v>
      </c>
      <c r="D34" s="61" t="s">
        <v>154</v>
      </c>
      <c r="E34" s="61" t="s">
        <v>7</v>
      </c>
      <c r="F34" s="61" t="s">
        <v>155</v>
      </c>
      <c r="G34" s="61" t="str">
        <f t="shared" si="18"/>
        <v>GbpLibor6M</v>
      </c>
      <c r="H34" s="59" t="str">
        <f t="shared" si="19"/>
        <v>GBPSB6L5Y_LCHQuote</v>
      </c>
      <c r="I34" s="127">
        <v>0</v>
      </c>
      <c r="J34" s="64" t="str">
        <f>_xll.qlSwapRateHelper2(,$H34,0,$B34,Calendar,$D34,$E34,$F34,$G34,$I34,$C34,Discounting1,PillarDate,,Permanent,Trigger,ObjectOverwrite)</f>
        <v>obj_003de#0007</v>
      </c>
      <c r="K34" s="64" t="str">
        <f>_xll.qlSwapRateHelper2(,$H34,0,$B34,Calendar,$D34,$E34,$F34,$G34,$I34,$C34,Discounting2,PillarDate,,Permanent,Trigger,ObjectOverwrite)</f>
        <v>obj_003db#0007</v>
      </c>
      <c r="L34" s="48"/>
      <c r="M34" s="10" t="str">
        <f t="shared" si="14"/>
        <v>Sw</v>
      </c>
      <c r="N34" s="94" t="str">
        <f t="shared" ref="N34:O34" si="28">IF(ISBLANK(J38),"--",J38)</f>
        <v>obj_003df#0007</v>
      </c>
      <c r="O34" s="94" t="str">
        <f t="shared" si="28"/>
        <v>obj_003d7#0007</v>
      </c>
      <c r="P34" s="146" t="str">
        <f>IFERROR(_xll.qlRateHelperQuoteName(N34,Trigger),"--")</f>
        <v>GBPSB6L9Y_LCHQuote</v>
      </c>
      <c r="Q34" s="98">
        <f>IFERROR(_xll.qlRateHelperQuoteValue($N34,Trigger),"--")</f>
        <v>1.8940000000000002E-2</v>
      </c>
      <c r="R34" s="141" t="b">
        <v>1</v>
      </c>
      <c r="S34" s="94">
        <v>10</v>
      </c>
      <c r="T34" s="94">
        <v>1</v>
      </c>
      <c r="U34" s="99">
        <f>IFERROR(_xll.qlRateHelperEarliestDate(N34,Trigger),"--")</f>
        <v>42321</v>
      </c>
      <c r="V34" s="99">
        <f>IFERROR(_xll.qlRateHelperPillarDate(N34,Trigger),"--")</f>
        <v>45609</v>
      </c>
      <c r="X34" s="4" t="str">
        <f t="shared" si="2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3"/>
        <v>#N/A</v>
      </c>
      <c r="AK34" s="80" t="e">
        <v>#N/A</v>
      </c>
      <c r="AL34" s="161" t="e">
        <f t="shared" si="4"/>
        <v>#N/A</v>
      </c>
    </row>
    <row r="35" spans="1:38" ht="11.25" customHeight="1" x14ac:dyDescent="0.2">
      <c r="A35" s="59" t="s">
        <v>25</v>
      </c>
      <c r="B35" s="60" t="s">
        <v>55</v>
      </c>
      <c r="C35" s="61" t="s">
        <v>6</v>
      </c>
      <c r="D35" s="61" t="s">
        <v>154</v>
      </c>
      <c r="E35" s="61" t="s">
        <v>7</v>
      </c>
      <c r="F35" s="61" t="s">
        <v>155</v>
      </c>
      <c r="G35" s="61" t="str">
        <f t="shared" si="18"/>
        <v>GbpLibor6M</v>
      </c>
      <c r="H35" s="59" t="str">
        <f t="shared" si="19"/>
        <v>GBPSB6L6Y_LCHQuote</v>
      </c>
      <c r="I35" s="127">
        <v>0</v>
      </c>
      <c r="J35" s="64" t="str">
        <f>_xll.qlSwapRateHelper2(,$H35,0,$B35,Calendar,$D35,$E35,$F35,$G35,$I35,$C35,Discounting1,PillarDate,,Permanent,Trigger,ObjectOverwrite)</f>
        <v>obj_003d2#0007</v>
      </c>
      <c r="K35" s="64" t="str">
        <f>_xll.qlSwapRateHelper2(,$H35,0,$B35,Calendar,$D35,$E35,$F35,$G35,$I35,$C35,Discounting2,PillarDate,,Permanent,Trigger,ObjectOverwrite)</f>
        <v>obj_003e5#0007</v>
      </c>
      <c r="L35" s="48"/>
      <c r="M35" s="10" t="str">
        <f t="shared" si="14"/>
        <v>Sw</v>
      </c>
      <c r="N35" s="94" t="str">
        <f t="shared" ref="N35:O35" si="29">IF(ISBLANK(J39),"--",J39)</f>
        <v>obj_003c4#0007</v>
      </c>
      <c r="O35" s="94" t="str">
        <f t="shared" si="29"/>
        <v>obj_003c8#0007</v>
      </c>
      <c r="P35" s="146" t="str">
        <f>IFERROR(_xll.qlRateHelperQuoteName(N35,Trigger),"--")</f>
        <v>GBPSB6L10Y_LCHQuote</v>
      </c>
      <c r="Q35" s="98">
        <f>IFERROR(_xll.qlRateHelperQuoteValue($N35,Trigger),"--")</f>
        <v>1.9519999999999999E-2</v>
      </c>
      <c r="R35" s="141" t="b">
        <v>1</v>
      </c>
      <c r="S35" s="94">
        <v>10</v>
      </c>
      <c r="T35" s="94">
        <v>1</v>
      </c>
      <c r="U35" s="99">
        <f>IFERROR(_xll.qlRateHelperEarliestDate(N35,Trigger),"--")</f>
        <v>42321</v>
      </c>
      <c r="V35" s="99">
        <f>IFERROR(_xll.qlRateHelperPillarDate(N35,Trigger),"--")</f>
        <v>45974</v>
      </c>
      <c r="X35" s="4" t="str">
        <f t="shared" si="2"/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3"/>
        <v>#N/A</v>
      </c>
      <c r="AK35" s="80" t="e">
        <v>#N/A</v>
      </c>
      <c r="AL35" s="161" t="e">
        <f t="shared" si="4"/>
        <v>#N/A</v>
      </c>
    </row>
    <row r="36" spans="1:38" ht="11.25" customHeight="1" x14ac:dyDescent="0.2">
      <c r="A36" s="59" t="s">
        <v>25</v>
      </c>
      <c r="B36" s="60" t="s">
        <v>56</v>
      </c>
      <c r="C36" s="61" t="s">
        <v>6</v>
      </c>
      <c r="D36" s="61" t="s">
        <v>154</v>
      </c>
      <c r="E36" s="61" t="s">
        <v>7</v>
      </c>
      <c r="F36" s="61" t="s">
        <v>155</v>
      </c>
      <c r="G36" s="61" t="str">
        <f t="shared" si="18"/>
        <v>GbpLibor6M</v>
      </c>
      <c r="H36" s="59" t="str">
        <f t="shared" si="19"/>
        <v>GBPSB6L7Y_LCHQuote</v>
      </c>
      <c r="I36" s="127">
        <v>0</v>
      </c>
      <c r="J36" s="64" t="str">
        <f>_xll.qlSwapRateHelper2(,$H36,0,$B36,Calendar,$D36,$E36,$F36,$G36,$I36,$C36,Discounting1,PillarDate,,Permanent,Trigger,ObjectOverwrite)</f>
        <v>obj_003cd#0007</v>
      </c>
      <c r="K36" s="64" t="str">
        <f>_xll.qlSwapRateHelper2(,$H36,0,$B36,Calendar,$D36,$E36,$F36,$G36,$I36,$C36,Discounting2,PillarDate,,Permanent,Trigger,ObjectOverwrite)</f>
        <v>obj_003dc#0007</v>
      </c>
      <c r="L36" s="48"/>
      <c r="M36" s="10" t="str">
        <f t="shared" si="14"/>
        <v>Sw</v>
      </c>
      <c r="N36" s="94" t="str">
        <f t="shared" ref="N36:O36" si="30">IF(ISBLANK(J40),"--",J40)</f>
        <v>--</v>
      </c>
      <c r="O36" s="94" t="str">
        <f t="shared" si="30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2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3"/>
        <v>#N/A</v>
      </c>
      <c r="AK36" s="80" t="e">
        <v>#N/A</v>
      </c>
      <c r="AL36" s="161" t="e">
        <f t="shared" si="4"/>
        <v>#N/A</v>
      </c>
    </row>
    <row r="37" spans="1:38" ht="11.25" customHeight="1" x14ac:dyDescent="0.2">
      <c r="A37" s="59" t="s">
        <v>25</v>
      </c>
      <c r="B37" s="60" t="s">
        <v>57</v>
      </c>
      <c r="C37" s="61" t="s">
        <v>6</v>
      </c>
      <c r="D37" s="61" t="s">
        <v>154</v>
      </c>
      <c r="E37" s="61" t="s">
        <v>7</v>
      </c>
      <c r="F37" s="61" t="s">
        <v>155</v>
      </c>
      <c r="G37" s="61" t="str">
        <f t="shared" si="18"/>
        <v>GbpLibor6M</v>
      </c>
      <c r="H37" s="59" t="str">
        <f t="shared" si="19"/>
        <v>GBPSB6L8Y_LCHQuote</v>
      </c>
      <c r="I37" s="127">
        <v>0</v>
      </c>
      <c r="J37" s="64" t="str">
        <f>_xll.qlSwapRateHelper2(,$H37,0,$B37,Calendar,$D37,$E37,$F37,$G37,$I37,$C37,Discounting1,PillarDate,,Permanent,Trigger,ObjectOverwrite)</f>
        <v>obj_003d8#0007</v>
      </c>
      <c r="K37" s="64" t="str">
        <f>_xll.qlSwapRateHelper2(,$H37,0,$B37,Calendar,$D37,$E37,$F37,$G37,$I37,$C37,Discounting2,PillarDate,,Permanent,Trigger,ObjectOverwrite)</f>
        <v>obj_003d4#0007</v>
      </c>
      <c r="L37" s="48"/>
      <c r="M37" s="10" t="str">
        <f t="shared" si="14"/>
        <v>Sw</v>
      </c>
      <c r="N37" s="94" t="str">
        <f t="shared" ref="N37:O37" si="31">IF(ISBLANK(J41),"--",J41)</f>
        <v>obj_003cc#0007</v>
      </c>
      <c r="O37" s="94" t="str">
        <f t="shared" si="31"/>
        <v>obj_003ce#0007</v>
      </c>
      <c r="P37" s="146" t="str">
        <f>IFERROR(_xll.qlRateHelperQuoteName(N37,Trigger),"--")</f>
        <v>GBPSB6L12Y_LCHQuote</v>
      </c>
      <c r="Q37" s="98">
        <f>IFERROR(_xll.qlRateHelperQuoteValue($N37,Trigger),"--")</f>
        <v>2.043E-2</v>
      </c>
      <c r="R37" s="141" t="b">
        <v>1</v>
      </c>
      <c r="S37" s="94">
        <v>10</v>
      </c>
      <c r="T37" s="94">
        <v>1</v>
      </c>
      <c r="U37" s="99">
        <f>IFERROR(_xll.qlRateHelperEarliestDate(N37,Trigger),"--")</f>
        <v>42321</v>
      </c>
      <c r="V37" s="99">
        <f>IFERROR(_xll.qlRateHelperPillarDate(N37,Trigger),"--")</f>
        <v>46706</v>
      </c>
      <c r="X37" s="4" t="str">
        <f t="shared" si="2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3"/>
        <v>#N/A</v>
      </c>
      <c r="AK37" s="80" t="e">
        <v>#N/A</v>
      </c>
      <c r="AL37" s="161" t="e">
        <f t="shared" si="4"/>
        <v>#N/A</v>
      </c>
    </row>
    <row r="38" spans="1:38" ht="11.25" customHeight="1" x14ac:dyDescent="0.2">
      <c r="A38" s="59" t="s">
        <v>25</v>
      </c>
      <c r="B38" s="60" t="s">
        <v>58</v>
      </c>
      <c r="C38" s="61" t="s">
        <v>6</v>
      </c>
      <c r="D38" s="61" t="s">
        <v>154</v>
      </c>
      <c r="E38" s="61" t="s">
        <v>7</v>
      </c>
      <c r="F38" s="61" t="s">
        <v>155</v>
      </c>
      <c r="G38" s="61" t="str">
        <f t="shared" si="18"/>
        <v>GbpLibor6M</v>
      </c>
      <c r="H38" s="59" t="str">
        <f t="shared" si="19"/>
        <v>GBPSB6L9Y_LCHQuote</v>
      </c>
      <c r="I38" s="127">
        <v>0</v>
      </c>
      <c r="J38" s="64" t="str">
        <f>_xll.qlSwapRateHelper2(,$H38,0,$B38,Calendar,$D38,$E38,$F38,$G38,$I38,$C38,Discounting1,PillarDate,,Permanent,Trigger,ObjectOverwrite)</f>
        <v>obj_003df#0007</v>
      </c>
      <c r="K38" s="64" t="str">
        <f>_xll.qlSwapRateHelper2(,$H38,0,$B38,Calendar,$D38,$E38,$F38,$G38,$I38,$C38,Discounting2,PillarDate,,Permanent,Trigger,ObjectOverwrite)</f>
        <v>obj_003d7#0007</v>
      </c>
      <c r="L38" s="48"/>
      <c r="M38" s="10" t="str">
        <f t="shared" si="14"/>
        <v>Sw</v>
      </c>
      <c r="N38" s="94" t="str">
        <f t="shared" ref="N38:O38" si="32">IF(ISBLANK(J42),"--",J42)</f>
        <v>--</v>
      </c>
      <c r="O38" s="94" t="str">
        <f t="shared" si="32"/>
        <v>--</v>
      </c>
      <c r="P38" s="146" t="str">
        <f>IFERROR(_xll.qlRateHelperQuoteName(N38,Trigger),"--")</f>
        <v>--</v>
      </c>
      <c r="Q38" s="98" t="str">
        <f>IFERROR(_xll.qlRateHelperQuoteValue($N38,Trigger),"--")</f>
        <v>--</v>
      </c>
      <c r="R38" s="141" t="b">
        <v>0</v>
      </c>
      <c r="S38" s="94">
        <v>10</v>
      </c>
      <c r="T38" s="94">
        <v>1</v>
      </c>
      <c r="U38" s="99" t="str">
        <f>IFERROR(_xll.qlRateHelperEarliestDate(N38,Trigger),"--")</f>
        <v>--</v>
      </c>
      <c r="V38" s="99" t="str">
        <f>IFERROR(_xll.qlRateHelperPillarDate(N38,Trigger),"--")</f>
        <v>--</v>
      </c>
      <c r="X38" s="4" t="str">
        <f t="shared" si="2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3"/>
        <v>#N/A</v>
      </c>
      <c r="AK38" s="80" t="e">
        <v>#N/A</v>
      </c>
      <c r="AL38" s="161" t="e">
        <f t="shared" si="4"/>
        <v>#N/A</v>
      </c>
    </row>
    <row r="39" spans="1:38" ht="11.25" customHeight="1" x14ac:dyDescent="0.2">
      <c r="A39" s="59" t="s">
        <v>25</v>
      </c>
      <c r="B39" s="60" t="s">
        <v>59</v>
      </c>
      <c r="C39" s="61" t="s">
        <v>6</v>
      </c>
      <c r="D39" s="61" t="s">
        <v>154</v>
      </c>
      <c r="E39" s="61" t="s">
        <v>7</v>
      </c>
      <c r="F39" s="61" t="s">
        <v>155</v>
      </c>
      <c r="G39" s="61" t="str">
        <f t="shared" si="18"/>
        <v>GbpLibor6M</v>
      </c>
      <c r="H39" s="59" t="str">
        <f t="shared" si="19"/>
        <v>GBPSB6L10Y_LCHQuote</v>
      </c>
      <c r="I39" s="127">
        <v>0</v>
      </c>
      <c r="J39" s="64" t="str">
        <f>_xll.qlSwapRateHelper2(,$H39,0,$B39,Calendar,$D39,$E39,$F39,$G39,$I39,$C39,Discounting1,PillarDate,,Permanent,Trigger,ObjectOverwrite)</f>
        <v>obj_003c4#0007</v>
      </c>
      <c r="K39" s="64" t="str">
        <f>_xll.qlSwapRateHelper2(,$H39,0,$B39,Calendar,$D39,$E39,$F39,$G39,$I39,$C39,Discounting2,PillarDate,,Permanent,Trigger,ObjectOverwrite)</f>
        <v>obj_003c8#0007</v>
      </c>
      <c r="L39" s="48"/>
      <c r="M39" s="10" t="str">
        <f t="shared" si="14"/>
        <v>Sw</v>
      </c>
      <c r="N39" s="94" t="str">
        <f t="shared" ref="N39:O39" si="33">IF(ISBLANK(J43),"--",J43)</f>
        <v>--</v>
      </c>
      <c r="O39" s="94" t="str">
        <f t="shared" si="33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2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3"/>
        <v>#N/A</v>
      </c>
      <c r="AK39" s="80" t="e">
        <v>#N/A</v>
      </c>
      <c r="AL39" s="161" t="e">
        <f t="shared" si="4"/>
        <v>#N/A</v>
      </c>
    </row>
    <row r="40" spans="1:38" ht="11.25" customHeight="1" x14ac:dyDescent="0.2">
      <c r="A40" s="59" t="s">
        <v>25</v>
      </c>
      <c r="B40" s="60" t="s">
        <v>95</v>
      </c>
      <c r="C40" s="61" t="s">
        <v>6</v>
      </c>
      <c r="D40" s="61" t="s">
        <v>154</v>
      </c>
      <c r="E40" s="61" t="s">
        <v>7</v>
      </c>
      <c r="F40" s="61" t="s">
        <v>155</v>
      </c>
      <c r="G40" s="61" t="str">
        <f t="shared" si="18"/>
        <v>GbpLibor6M</v>
      </c>
      <c r="H40" s="59" t="str">
        <f t="shared" si="19"/>
        <v>GBPSB6L11Y_LCHQuote</v>
      </c>
      <c r="I40" s="127">
        <v>0</v>
      </c>
      <c r="J40" s="64"/>
      <c r="K40" s="64"/>
      <c r="L40" s="48"/>
      <c r="M40" s="10" t="str">
        <f t="shared" si="14"/>
        <v>Sw</v>
      </c>
      <c r="N40" s="94" t="str">
        <f t="shared" ref="N40:O40" si="34">IF(ISBLANK(J44),"--",J44)</f>
        <v>obj_003c7#0007</v>
      </c>
      <c r="O40" s="94" t="str">
        <f t="shared" si="34"/>
        <v>obj_003cf#0007</v>
      </c>
      <c r="P40" s="146" t="str">
        <f>IFERROR(_xll.qlRateHelperQuoteName(N40,Trigger),"--")</f>
        <v>GBPSB6L15Y_LCHQuote</v>
      </c>
      <c r="Q40" s="98">
        <f>IFERROR(_xll.qlRateHelperQuoteValue($N40,Trigger),"--")</f>
        <v>2.129E-2</v>
      </c>
      <c r="R40" s="141" t="b">
        <v>1</v>
      </c>
      <c r="S40" s="94">
        <v>10</v>
      </c>
      <c r="T40" s="94">
        <v>1</v>
      </c>
      <c r="U40" s="99">
        <f>IFERROR(_xll.qlRateHelperEarliestDate(N40,Trigger),"--")</f>
        <v>42321</v>
      </c>
      <c r="V40" s="99">
        <f>IFERROR(_xll.qlRateHelperPillarDate(N40,Trigger),"--")</f>
        <v>47800</v>
      </c>
      <c r="X40" s="4" t="str">
        <f t="shared" si="2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3"/>
        <v>#N/A</v>
      </c>
      <c r="AK40" s="80" t="e">
        <v>#N/A</v>
      </c>
      <c r="AL40" s="161" t="e">
        <f t="shared" si="4"/>
        <v>#N/A</v>
      </c>
    </row>
    <row r="41" spans="1:38" ht="11.25" customHeight="1" x14ac:dyDescent="0.2">
      <c r="A41" s="59" t="s">
        <v>25</v>
      </c>
      <c r="B41" s="60" t="s">
        <v>60</v>
      </c>
      <c r="C41" s="61" t="s">
        <v>6</v>
      </c>
      <c r="D41" s="61" t="s">
        <v>154</v>
      </c>
      <c r="E41" s="61" t="s">
        <v>7</v>
      </c>
      <c r="F41" s="61" t="s">
        <v>155</v>
      </c>
      <c r="G41" s="61" t="str">
        <f t="shared" si="18"/>
        <v>GbpLibor6M</v>
      </c>
      <c r="H41" s="59" t="str">
        <f t="shared" si="19"/>
        <v>GBPSB6L12Y_LCHQuote</v>
      </c>
      <c r="I41" s="127">
        <v>0</v>
      </c>
      <c r="J41" s="64" t="str">
        <f>_xll.qlSwapRateHelper2(,$H41,0,$B41,Calendar,$D41,$E41,$F41,$G41,$I41,$C41,Discounting1,PillarDate,,Permanent,Trigger,ObjectOverwrite)</f>
        <v>obj_003cc#0007</v>
      </c>
      <c r="K41" s="64" t="str">
        <f>_xll.qlSwapRateHelper2(,$H41,0,$B41,Calendar,$D41,$E41,$F41,$G41,$I41,$C41,Discounting2,PillarDate,,Permanent,Trigger,ObjectOverwrite)</f>
        <v>obj_003ce#0007</v>
      </c>
      <c r="M41" s="10" t="str">
        <f t="shared" si="14"/>
        <v>Sw</v>
      </c>
      <c r="N41" s="94" t="str">
        <f t="shared" ref="N41:O41" si="35">IF(ISBLANK(J45),"--",J45)</f>
        <v>--</v>
      </c>
      <c r="O41" s="94" t="str">
        <f t="shared" si="35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2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3"/>
        <v>#N/A</v>
      </c>
      <c r="AK41" s="80" t="e">
        <v>#N/A</v>
      </c>
      <c r="AL41" s="161" t="e">
        <f t="shared" si="4"/>
        <v>#N/A</v>
      </c>
    </row>
    <row r="42" spans="1:38" ht="11.25" customHeight="1" x14ac:dyDescent="0.2">
      <c r="A42" s="59" t="s">
        <v>25</v>
      </c>
      <c r="B42" s="60" t="s">
        <v>96</v>
      </c>
      <c r="C42" s="61" t="s">
        <v>6</v>
      </c>
      <c r="D42" s="61" t="s">
        <v>154</v>
      </c>
      <c r="E42" s="61" t="s">
        <v>7</v>
      </c>
      <c r="F42" s="61" t="s">
        <v>155</v>
      </c>
      <c r="G42" s="61" t="str">
        <f t="shared" si="18"/>
        <v>GbpLibor6M</v>
      </c>
      <c r="H42" s="59" t="str">
        <f t="shared" si="19"/>
        <v>GBPSB6L13Y_LCHQuote</v>
      </c>
      <c r="I42" s="127">
        <v>0</v>
      </c>
      <c r="J42" s="64"/>
      <c r="K42" s="64"/>
      <c r="M42" s="10" t="str">
        <f t="shared" si="14"/>
        <v>Sw</v>
      </c>
      <c r="N42" s="94" t="str">
        <f t="shared" ref="N42:O42" si="36">IF(ISBLANK(J46),"--",J46)</f>
        <v>--</v>
      </c>
      <c r="O42" s="94" t="str">
        <f t="shared" si="36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2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3"/>
        <v>#N/A</v>
      </c>
      <c r="AK42" s="80" t="e">
        <v>#N/A</v>
      </c>
      <c r="AL42" s="161" t="e">
        <f t="shared" si="4"/>
        <v>#N/A</v>
      </c>
    </row>
    <row r="43" spans="1:38" ht="11.25" customHeight="1" x14ac:dyDescent="0.2">
      <c r="A43" s="59" t="s">
        <v>25</v>
      </c>
      <c r="B43" s="60" t="s">
        <v>97</v>
      </c>
      <c r="C43" s="61" t="s">
        <v>6</v>
      </c>
      <c r="D43" s="61" t="s">
        <v>154</v>
      </c>
      <c r="E43" s="61" t="s">
        <v>7</v>
      </c>
      <c r="F43" s="61" t="s">
        <v>155</v>
      </c>
      <c r="G43" s="61" t="str">
        <f t="shared" si="18"/>
        <v>GbpLibor6M</v>
      </c>
      <c r="H43" s="59" t="str">
        <f t="shared" si="19"/>
        <v>GBPSB6L14Y_LCHQuote</v>
      </c>
      <c r="I43" s="127">
        <v>0</v>
      </c>
      <c r="J43" s="64"/>
      <c r="K43" s="64"/>
      <c r="M43" s="10" t="str">
        <f t="shared" si="14"/>
        <v>Sw</v>
      </c>
      <c r="N43" s="94" t="str">
        <f t="shared" ref="N43:O43" si="37">IF(ISBLANK(J47),"--",J47)</f>
        <v>--</v>
      </c>
      <c r="O43" s="94" t="str">
        <f t="shared" si="37"/>
        <v>--</v>
      </c>
      <c r="P43" s="146" t="str">
        <f>IFERROR(_xll.qlRateHelperQuoteName(N43,Trigger),"--")</f>
        <v>--</v>
      </c>
      <c r="Q43" s="98" t="str">
        <f>IFERROR(_xll.qlRateHelperQuoteValue($N43,Trigger),"--")</f>
        <v>--</v>
      </c>
      <c r="R43" s="141" t="b">
        <v>0</v>
      </c>
      <c r="S43" s="94">
        <v>10</v>
      </c>
      <c r="T43" s="94">
        <v>1</v>
      </c>
      <c r="U43" s="99" t="str">
        <f>IFERROR(_xll.qlRateHelperEarliestDate(N43,Trigger),"--")</f>
        <v>--</v>
      </c>
      <c r="V43" s="99" t="str">
        <f>IFERROR(_xll.qlRateHelperPillarDate(N43,Trigger),"--")</f>
        <v>--</v>
      </c>
      <c r="X43" s="4" t="str">
        <f t="shared" si="2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3"/>
        <v>#N/A</v>
      </c>
      <c r="AK43" s="80" t="e">
        <v>#N/A</v>
      </c>
      <c r="AL43" s="161" t="e">
        <f t="shared" si="4"/>
        <v>#N/A</v>
      </c>
    </row>
    <row r="44" spans="1:38" ht="11.25" customHeight="1" x14ac:dyDescent="0.2">
      <c r="A44" s="59" t="s">
        <v>25</v>
      </c>
      <c r="B44" s="60" t="s">
        <v>61</v>
      </c>
      <c r="C44" s="61" t="s">
        <v>6</v>
      </c>
      <c r="D44" s="61" t="s">
        <v>154</v>
      </c>
      <c r="E44" s="61" t="s">
        <v>7</v>
      </c>
      <c r="F44" s="61" t="s">
        <v>155</v>
      </c>
      <c r="G44" s="61" t="str">
        <f t="shared" si="18"/>
        <v>GbpLibor6M</v>
      </c>
      <c r="H44" s="59" t="str">
        <f t="shared" si="19"/>
        <v>GBPSB6L15Y_LCHQuote</v>
      </c>
      <c r="I44" s="127">
        <v>0</v>
      </c>
      <c r="J44" s="64" t="str">
        <f>_xll.qlSwapRateHelper2(,$H44,0,$B44,Calendar,$D44,$E44,$F44,$G44,$I44,$C44,Discounting1,PillarDate,,Permanent,Trigger,ObjectOverwrite)</f>
        <v>obj_003c7#0007</v>
      </c>
      <c r="K44" s="64" t="str">
        <f>_xll.qlSwapRateHelper2(,$H44,0,$B44,Calendar,$D44,$E44,$F44,$G44,$I44,$C44,Discounting2,PillarDate,,Permanent,Trigger,ObjectOverwrite)</f>
        <v>obj_003cf#0007</v>
      </c>
      <c r="M44" s="10" t="str">
        <f t="shared" si="14"/>
        <v>Sw</v>
      </c>
      <c r="N44" s="94" t="str">
        <f t="shared" ref="N44:O44" si="38">IF(ISBLANK(J48),"--",J48)</f>
        <v>--</v>
      </c>
      <c r="O44" s="94" t="str">
        <f t="shared" si="38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2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3"/>
        <v>#N/A</v>
      </c>
      <c r="AK44" s="80" t="e">
        <v>#N/A</v>
      </c>
      <c r="AL44" s="161" t="e">
        <f t="shared" si="4"/>
        <v>#N/A</v>
      </c>
    </row>
    <row r="45" spans="1:38" ht="11.25" customHeight="1" x14ac:dyDescent="0.2">
      <c r="A45" s="59" t="s">
        <v>25</v>
      </c>
      <c r="B45" s="60" t="s">
        <v>98</v>
      </c>
      <c r="C45" s="61" t="s">
        <v>6</v>
      </c>
      <c r="D45" s="61" t="s">
        <v>154</v>
      </c>
      <c r="E45" s="61" t="s">
        <v>7</v>
      </c>
      <c r="F45" s="61" t="s">
        <v>155</v>
      </c>
      <c r="G45" s="61" t="str">
        <f t="shared" si="18"/>
        <v>GbpLibor6M</v>
      </c>
      <c r="H45" s="59" t="str">
        <f t="shared" si="19"/>
        <v>GBPSB6L16Y_LCHQuote</v>
      </c>
      <c r="I45" s="127">
        <v>0</v>
      </c>
      <c r="J45" s="64"/>
      <c r="K45" s="64"/>
      <c r="M45" s="10" t="str">
        <f t="shared" si="14"/>
        <v>Sw</v>
      </c>
      <c r="N45" s="94" t="str">
        <f t="shared" ref="N45:O45" si="39">IF(ISBLANK(J49),"--",J49)</f>
        <v>obj_003d3#0007</v>
      </c>
      <c r="O45" s="94" t="str">
        <f t="shared" si="39"/>
        <v>obj_003dd#0007</v>
      </c>
      <c r="P45" s="146" t="str">
        <f>IFERROR(_xll.qlRateHelperQuoteName(N45,Trigger),"--")</f>
        <v>GBPSB6L20Y_LCHQuote</v>
      </c>
      <c r="Q45" s="98">
        <f>IFERROR(_xll.qlRateHelperQuoteValue($N45,Trigger),"--")</f>
        <v>2.1770000000000001E-2</v>
      </c>
      <c r="R45" s="141" t="b">
        <v>1</v>
      </c>
      <c r="S45" s="94">
        <v>10</v>
      </c>
      <c r="T45" s="94">
        <v>1</v>
      </c>
      <c r="U45" s="99">
        <f>IFERROR(_xll.qlRateHelperEarliestDate(N45,Trigger),"--")</f>
        <v>42321</v>
      </c>
      <c r="V45" s="99">
        <f>IFERROR(_xll.qlRateHelperPillarDate(N45,Trigger),"--")</f>
        <v>49626</v>
      </c>
      <c r="X45" s="4" t="str">
        <f t="shared" si="2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3"/>
        <v>#N/A</v>
      </c>
      <c r="AK45" s="80" t="e">
        <v>#N/A</v>
      </c>
      <c r="AL45" s="161" t="e">
        <f t="shared" si="4"/>
        <v>#N/A</v>
      </c>
    </row>
    <row r="46" spans="1:38" ht="11.25" customHeight="1" x14ac:dyDescent="0.2">
      <c r="A46" s="59" t="s">
        <v>25</v>
      </c>
      <c r="B46" s="60" t="s">
        <v>99</v>
      </c>
      <c r="C46" s="61" t="s">
        <v>6</v>
      </c>
      <c r="D46" s="61" t="s">
        <v>154</v>
      </c>
      <c r="E46" s="61" t="s">
        <v>7</v>
      </c>
      <c r="F46" s="61" t="s">
        <v>155</v>
      </c>
      <c r="G46" s="61" t="str">
        <f t="shared" si="18"/>
        <v>GbpLibor6M</v>
      </c>
      <c r="H46" s="59" t="str">
        <f t="shared" si="19"/>
        <v>GBPSB6L17Y_LCHQuote</v>
      </c>
      <c r="I46" s="127">
        <v>0</v>
      </c>
      <c r="J46" s="64"/>
      <c r="K46" s="64"/>
      <c r="M46" s="10" t="str">
        <f t="shared" si="14"/>
        <v>Sw</v>
      </c>
      <c r="N46" s="94" t="str">
        <f t="shared" ref="N46:O46" si="40">IF(ISBLANK(J50),"--",J50)</f>
        <v>--</v>
      </c>
      <c r="O46" s="94" t="str">
        <f t="shared" si="40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2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3"/>
        <v>#N/A</v>
      </c>
      <c r="AK46" s="80" t="e">
        <v>#N/A</v>
      </c>
      <c r="AL46" s="161" t="e">
        <f t="shared" si="4"/>
        <v>#N/A</v>
      </c>
    </row>
    <row r="47" spans="1:38" ht="11.25" customHeight="1" x14ac:dyDescent="0.2">
      <c r="A47" s="59" t="s">
        <v>25</v>
      </c>
      <c r="B47" s="60" t="s">
        <v>100</v>
      </c>
      <c r="C47" s="61" t="s">
        <v>6</v>
      </c>
      <c r="D47" s="61" t="s">
        <v>154</v>
      </c>
      <c r="E47" s="61" t="s">
        <v>7</v>
      </c>
      <c r="F47" s="61" t="s">
        <v>155</v>
      </c>
      <c r="G47" s="61" t="str">
        <f t="shared" si="18"/>
        <v>GbpLibor6M</v>
      </c>
      <c r="H47" s="59" t="str">
        <f t="shared" si="19"/>
        <v>GBPSB6L18Y_LCHQuote</v>
      </c>
      <c r="I47" s="127">
        <v>0</v>
      </c>
      <c r="J47" s="64"/>
      <c r="K47" s="64"/>
      <c r="M47" s="10" t="str">
        <f t="shared" si="14"/>
        <v>Sw</v>
      </c>
      <c r="N47" s="94" t="str">
        <f t="shared" ref="N47:O47" si="41">IF(ISBLANK(J51),"--",J51)</f>
        <v>--</v>
      </c>
      <c r="O47" s="94" t="str">
        <f t="shared" si="41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2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3"/>
        <v>#N/A</v>
      </c>
      <c r="AK47" s="80" t="e">
        <v>#N/A</v>
      </c>
      <c r="AL47" s="161" t="e">
        <f t="shared" si="4"/>
        <v>#N/A</v>
      </c>
    </row>
    <row r="48" spans="1:38" ht="11.25" customHeight="1" x14ac:dyDescent="0.2">
      <c r="A48" s="59" t="s">
        <v>25</v>
      </c>
      <c r="B48" s="60" t="s">
        <v>101</v>
      </c>
      <c r="C48" s="61" t="s">
        <v>6</v>
      </c>
      <c r="D48" s="61" t="s">
        <v>154</v>
      </c>
      <c r="E48" s="61" t="s">
        <v>7</v>
      </c>
      <c r="F48" s="61" t="s">
        <v>155</v>
      </c>
      <c r="G48" s="61" t="str">
        <f t="shared" si="18"/>
        <v>GbpLibor6M</v>
      </c>
      <c r="H48" s="59" t="str">
        <f t="shared" si="19"/>
        <v>GBPSB6L19Y_LCHQuote</v>
      </c>
      <c r="I48" s="127">
        <v>0</v>
      </c>
      <c r="J48" s="64"/>
      <c r="K48" s="64"/>
      <c r="M48" s="10" t="str">
        <f t="shared" si="14"/>
        <v>Sw</v>
      </c>
      <c r="N48" s="94" t="str">
        <f t="shared" ref="N48:O48" si="42">IF(ISBLANK(J52),"--",J52)</f>
        <v>--</v>
      </c>
      <c r="O48" s="94" t="str">
        <f t="shared" si="42"/>
        <v>--</v>
      </c>
      <c r="P48" s="146" t="str">
        <f>IFERROR(_xll.qlRateHelperQuoteName(N48,Trigger),"--")</f>
        <v>--</v>
      </c>
      <c r="Q48" s="98" t="str">
        <f>IFERROR(_xll.qlRateHelperQuoteValue($N48,Trigger),"--")</f>
        <v>--</v>
      </c>
      <c r="R48" s="141" t="b">
        <v>0</v>
      </c>
      <c r="S48" s="94">
        <v>10</v>
      </c>
      <c r="T48" s="94">
        <v>1</v>
      </c>
      <c r="U48" s="99" t="str">
        <f>IFERROR(_xll.qlRateHelperEarliestDate(N48,Trigger),"--")</f>
        <v>--</v>
      </c>
      <c r="V48" s="99" t="str">
        <f>IFERROR(_xll.qlRateHelperPillarDate(N48,Trigger),"--")</f>
        <v>--</v>
      </c>
      <c r="X48" s="4" t="str">
        <f t="shared" si="2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46" t="e">
        <v>#N/A</v>
      </c>
      <c r="AI48" s="46" t="e">
        <v>#N/A</v>
      </c>
      <c r="AJ48" s="172" t="e">
        <f t="shared" si="3"/>
        <v>#N/A</v>
      </c>
      <c r="AK48" s="46" t="e">
        <v>#N/A</v>
      </c>
      <c r="AL48" s="161" t="e">
        <f t="shared" si="4"/>
        <v>#N/A</v>
      </c>
    </row>
    <row r="49" spans="1:38" ht="11.25" customHeight="1" x14ac:dyDescent="0.2">
      <c r="A49" s="59" t="s">
        <v>25</v>
      </c>
      <c r="B49" s="60" t="s">
        <v>62</v>
      </c>
      <c r="C49" s="61" t="s">
        <v>6</v>
      </c>
      <c r="D49" s="61" t="s">
        <v>154</v>
      </c>
      <c r="E49" s="61" t="s">
        <v>7</v>
      </c>
      <c r="F49" s="61" t="s">
        <v>155</v>
      </c>
      <c r="G49" s="61" t="str">
        <f t="shared" si="18"/>
        <v>GbpLibor6M</v>
      </c>
      <c r="H49" s="59" t="str">
        <f t="shared" si="19"/>
        <v>GBPSB6L20Y_LCHQuote</v>
      </c>
      <c r="I49" s="127">
        <v>0</v>
      </c>
      <c r="J49" s="64" t="str">
        <f>_xll.qlSwapRateHelper2(,$H49,0,$B49,Calendar,$D49,$E49,$F49,$G49,$I49,$C49,Discounting1,PillarDate,,Permanent,Trigger,ObjectOverwrite)</f>
        <v>obj_003d3#0007</v>
      </c>
      <c r="K49" s="64" t="str">
        <f>_xll.qlSwapRateHelper2(,$H49,0,$B49,Calendar,$D49,$E49,$F49,$G49,$I49,$C49,Discounting2,PillarDate,,Permanent,Trigger,ObjectOverwrite)</f>
        <v>obj_003dd#0007</v>
      </c>
      <c r="M49" s="10" t="str">
        <f t="shared" si="14"/>
        <v>Sw</v>
      </c>
      <c r="N49" s="94" t="str">
        <f t="shared" ref="N49:O49" si="43">IF(ISBLANK(J53),"--",J53)</f>
        <v>--</v>
      </c>
      <c r="O49" s="94" t="str">
        <f t="shared" si="43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2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46" t="e">
        <v>#N/A</v>
      </c>
      <c r="AI49" s="46" t="e">
        <v>#N/A</v>
      </c>
      <c r="AJ49" s="172" t="e">
        <f t="shared" si="3"/>
        <v>#N/A</v>
      </c>
      <c r="AK49" s="46" t="e">
        <v>#N/A</v>
      </c>
      <c r="AL49" s="161" t="e">
        <f t="shared" si="4"/>
        <v>#N/A</v>
      </c>
    </row>
    <row r="50" spans="1:38" ht="11.25" customHeight="1" x14ac:dyDescent="0.2">
      <c r="A50" s="59" t="s">
        <v>25</v>
      </c>
      <c r="B50" s="60" t="s">
        <v>102</v>
      </c>
      <c r="C50" s="61" t="s">
        <v>6</v>
      </c>
      <c r="D50" s="61" t="s">
        <v>154</v>
      </c>
      <c r="E50" s="61" t="s">
        <v>7</v>
      </c>
      <c r="F50" s="61" t="s">
        <v>155</v>
      </c>
      <c r="G50" s="61" t="str">
        <f t="shared" si="18"/>
        <v>GbpLibor6M</v>
      </c>
      <c r="H50" s="59" t="str">
        <f t="shared" si="19"/>
        <v>GBPSB6L21Y_LCHQuote</v>
      </c>
      <c r="I50" s="127">
        <v>0</v>
      </c>
      <c r="J50" s="64"/>
      <c r="K50" s="64"/>
      <c r="M50" s="10" t="str">
        <f t="shared" si="14"/>
        <v>Sw</v>
      </c>
      <c r="N50" s="94" t="str">
        <f t="shared" ref="N50:O50" si="44">IF(ISBLANK(J54),"--",J54)</f>
        <v>obj_003d0#0007</v>
      </c>
      <c r="O50" s="94" t="str">
        <f t="shared" si="44"/>
        <v>obj_003d9#0007</v>
      </c>
      <c r="P50" s="146" t="str">
        <f>IFERROR(_xll.qlRateHelperQuoteName(N50,Trigger),"--")</f>
        <v>GBPSB6L25Y_LCHQuote</v>
      </c>
      <c r="Q50" s="98">
        <f>IFERROR(_xll.qlRateHelperQuoteValue($N50,Trigger),"--")</f>
        <v>2.1649999999999999E-2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42321</v>
      </c>
      <c r="V50" s="99">
        <f>IFERROR(_xll.qlRateHelperPillarDate(N50,Trigger),"--")</f>
        <v>51453</v>
      </c>
      <c r="X50" s="4" t="str">
        <f t="shared" si="2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46" t="e">
        <v>#N/A</v>
      </c>
      <c r="AI50" s="46" t="e">
        <v>#N/A</v>
      </c>
      <c r="AJ50" s="172" t="e">
        <f t="shared" si="3"/>
        <v>#N/A</v>
      </c>
      <c r="AK50" s="46" t="e">
        <v>#N/A</v>
      </c>
      <c r="AL50" s="161" t="e">
        <f t="shared" si="4"/>
        <v>#N/A</v>
      </c>
    </row>
    <row r="51" spans="1:38" ht="11.25" customHeight="1" x14ac:dyDescent="0.2">
      <c r="A51" s="59" t="s">
        <v>25</v>
      </c>
      <c r="B51" s="60" t="s">
        <v>103</v>
      </c>
      <c r="C51" s="61" t="s">
        <v>6</v>
      </c>
      <c r="D51" s="61" t="s">
        <v>154</v>
      </c>
      <c r="E51" s="61" t="s">
        <v>7</v>
      </c>
      <c r="F51" s="61" t="s">
        <v>155</v>
      </c>
      <c r="G51" s="61" t="str">
        <f t="shared" si="18"/>
        <v>GbpLibor6M</v>
      </c>
      <c r="H51" s="59" t="str">
        <f t="shared" si="19"/>
        <v>GBPSB6L22Y_LCHQuote</v>
      </c>
      <c r="I51" s="127">
        <v>0</v>
      </c>
      <c r="J51" s="64"/>
      <c r="K51" s="64"/>
      <c r="M51" s="10" t="str">
        <f t="shared" si="14"/>
        <v>Sw</v>
      </c>
      <c r="N51" s="94" t="str">
        <f t="shared" ref="N51:O51" si="45">IF(ISBLANK(J55),"--",J55)</f>
        <v>--</v>
      </c>
      <c r="O51" s="94" t="str">
        <f t="shared" si="45"/>
        <v>--</v>
      </c>
      <c r="P51" s="146" t="str">
        <f>IFERROR(_xll.qlRateHelperQuoteName(N51,Trigger),"--")</f>
        <v>--</v>
      </c>
      <c r="Q51" s="98" t="str">
        <f>IFERROR(_xll.qlRateHelperQuoteValue($N51,Trigger),"--")</f>
        <v>--</v>
      </c>
      <c r="R51" s="141" t="b">
        <v>0</v>
      </c>
      <c r="S51" s="94">
        <v>10</v>
      </c>
      <c r="T51" s="94">
        <v>1</v>
      </c>
      <c r="U51" s="99" t="str">
        <f>IFERROR(_xll.qlRateHelperEarliestDate(N51,Trigger),"--")</f>
        <v>--</v>
      </c>
      <c r="V51" s="99" t="str">
        <f>IFERROR(_xll.qlRateHelperPillarDate(N51,Trigger),"--")</f>
        <v>--</v>
      </c>
      <c r="X51" s="4" t="str">
        <f t="shared" si="2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46" t="e">
        <v>#N/A</v>
      </c>
      <c r="AI51" s="46" t="e">
        <v>#N/A</v>
      </c>
      <c r="AJ51" s="172" t="e">
        <f t="shared" si="3"/>
        <v>#N/A</v>
      </c>
      <c r="AK51" s="46" t="e">
        <v>#N/A</v>
      </c>
      <c r="AL51" s="161" t="e">
        <f t="shared" si="4"/>
        <v>#N/A</v>
      </c>
    </row>
    <row r="52" spans="1:38" ht="11.25" customHeight="1" x14ac:dyDescent="0.2">
      <c r="A52" s="59" t="s">
        <v>25</v>
      </c>
      <c r="B52" s="60" t="s">
        <v>104</v>
      </c>
      <c r="C52" s="61" t="s">
        <v>6</v>
      </c>
      <c r="D52" s="61" t="s">
        <v>154</v>
      </c>
      <c r="E52" s="61" t="s">
        <v>7</v>
      </c>
      <c r="F52" s="61" t="s">
        <v>155</v>
      </c>
      <c r="G52" s="61" t="str">
        <f t="shared" si="18"/>
        <v>GbpLibor6M</v>
      </c>
      <c r="H52" s="59" t="str">
        <f t="shared" si="19"/>
        <v>GBPSB6L23Y_LCHQuote</v>
      </c>
      <c r="I52" s="127">
        <v>0</v>
      </c>
      <c r="J52" s="64"/>
      <c r="K52" s="64"/>
      <c r="M52" s="10" t="str">
        <f t="shared" si="14"/>
        <v>Sw</v>
      </c>
      <c r="N52" s="94" t="str">
        <f t="shared" ref="N52:O52" si="46">IF(ISBLANK(J56),"--",J56)</f>
        <v>--</v>
      </c>
      <c r="O52" s="94" t="str">
        <f t="shared" si="46"/>
        <v>--</v>
      </c>
      <c r="P52" s="146" t="str">
        <f>IFERROR(_xll.qlRateHelperQuoteName(N52,Trigger),"--")</f>
        <v>--</v>
      </c>
      <c r="Q52" s="98" t="str">
        <f>IFERROR(_xll.qlRateHelperQuoteValue($N52,Trigger),"--")</f>
        <v>--</v>
      </c>
      <c r="R52" s="141" t="b">
        <v>0</v>
      </c>
      <c r="S52" s="94">
        <v>10</v>
      </c>
      <c r="T52" s="94">
        <v>1</v>
      </c>
      <c r="U52" s="99" t="str">
        <f>IFERROR(_xll.qlRateHelperEarliestDate(N52,Trigger),"--")</f>
        <v>--</v>
      </c>
      <c r="V52" s="99" t="str">
        <f>IFERROR(_xll.qlRateHelperPillarDate(N52,Trigger),"--")</f>
        <v>--</v>
      </c>
      <c r="X52" s="4" t="str">
        <f t="shared" si="2"/>
        <v/>
      </c>
      <c r="Y52" s="4" t="e">
        <v>#N/A</v>
      </c>
      <c r="Z52" s="4" t="e">
        <v>#N/A</v>
      </c>
      <c r="AA52" s="4" t="str">
        <f>IFERROR(_xll.qlRateHelperQuoteName(Y52,Trigger),"")</f>
        <v/>
      </c>
      <c r="AB52" s="70" t="str">
        <f>IFERROR(_xll.qlRateHelperRate(Y52,Trigger),"")</f>
        <v/>
      </c>
      <c r="AC52" s="104" t="str">
        <f>IF(ISERROR(_xll.qlSwapRateHelperSpread($Y52)),IF(ISERROR(_xll.qlFuturesRateHelperConvexityAdjustment($Y52)),"",_xll.qlFuturesRateHelperConvexityAdjustment($Y52)),_xll.qlSwapRateHelperSpread($Y52))</f>
        <v/>
      </c>
      <c r="AD52" s="5" t="str">
        <f>IFERROR(_xll.qlRateHelperEarliestDate(Y52,Trigger),"")</f>
        <v/>
      </c>
      <c r="AE52" s="5" t="str">
        <f>IFERROR(_xll.qlRateHelperPillarDate(Y52,Trigger),"")</f>
        <v/>
      </c>
      <c r="AF52" s="70" t="e">
        <v>#N/A</v>
      </c>
      <c r="AG52" s="77" t="e">
        <v>#N/A</v>
      </c>
      <c r="AH52" s="46" t="e">
        <v>#N/A</v>
      </c>
      <c r="AI52" s="46" t="e">
        <v>#N/A</v>
      </c>
      <c r="AJ52" s="172" t="e">
        <f t="shared" si="3"/>
        <v>#N/A</v>
      </c>
      <c r="AK52" s="46" t="e">
        <v>#N/A</v>
      </c>
      <c r="AL52" s="161" t="e">
        <f t="shared" si="4"/>
        <v>#N/A</v>
      </c>
    </row>
    <row r="53" spans="1:38" ht="11.25" customHeight="1" x14ac:dyDescent="0.2">
      <c r="A53" s="59" t="s">
        <v>25</v>
      </c>
      <c r="B53" s="60" t="s">
        <v>105</v>
      </c>
      <c r="C53" s="61" t="s">
        <v>6</v>
      </c>
      <c r="D53" s="61" t="s">
        <v>154</v>
      </c>
      <c r="E53" s="61" t="s">
        <v>7</v>
      </c>
      <c r="F53" s="61" t="s">
        <v>155</v>
      </c>
      <c r="G53" s="61" t="str">
        <f t="shared" si="18"/>
        <v>GbpLibor6M</v>
      </c>
      <c r="H53" s="59" t="str">
        <f t="shared" si="19"/>
        <v>GBPSB6L24Y_LCHQuote</v>
      </c>
      <c r="I53" s="127">
        <v>0</v>
      </c>
      <c r="J53" s="64"/>
      <c r="K53" s="64"/>
      <c r="M53" s="10" t="str">
        <f t="shared" si="14"/>
        <v>Sw</v>
      </c>
      <c r="N53" s="94" t="str">
        <f t="shared" ref="N53:O53" si="47">IF(ISBLANK(J57),"--",J57)</f>
        <v>--</v>
      </c>
      <c r="O53" s="94" t="str">
        <f t="shared" si="47"/>
        <v>--</v>
      </c>
      <c r="P53" s="146" t="str">
        <f>IFERROR(_xll.qlRateHelperQuoteName(N53,Trigger),"--")</f>
        <v>--</v>
      </c>
      <c r="Q53" s="98" t="str">
        <f>IFERROR(_xll.qlRateHelperQuoteValue($N53,Trigger),"--")</f>
        <v>--</v>
      </c>
      <c r="R53" s="141" t="b">
        <v>0</v>
      </c>
      <c r="S53" s="94">
        <v>10</v>
      </c>
      <c r="T53" s="94">
        <v>1</v>
      </c>
      <c r="U53" s="99" t="str">
        <f>IFERROR(_xll.qlRateHelperEarliestDate(N53,Trigger),"--")</f>
        <v>--</v>
      </c>
      <c r="V53" s="99" t="str">
        <f>IFERROR(_xll.qlRateHelperPillarDate(N53,Trigger),"--")</f>
        <v>--</v>
      </c>
      <c r="X53" s="4" t="str">
        <f t="shared" si="2"/>
        <v/>
      </c>
      <c r="Y53" s="4" t="e">
        <v>#N/A</v>
      </c>
      <c r="Z53" s="4" t="e">
        <v>#N/A</v>
      </c>
      <c r="AA53" s="4" t="str">
        <f>IFERROR(_xll.qlRateHelperQuoteName(Y53,Trigger),"")</f>
        <v/>
      </c>
      <c r="AB53" s="70" t="str">
        <f>IFERROR(_xll.qlRateHelperRate(Y53,Trigger),"")</f>
        <v/>
      </c>
      <c r="AC53" s="104" t="str">
        <f>IF(ISERROR(_xll.qlSwapRateHelperSpread($Y53)),IF(ISERROR(_xll.qlFuturesRateHelperConvexityAdjustment($Y53)),"",_xll.qlFuturesRateHelperConvexityAdjustment($Y53)),_xll.qlSwapRateHelperSpread($Y53))</f>
        <v/>
      </c>
      <c r="AD53" s="5" t="str">
        <f>IFERROR(_xll.qlRateHelperEarliestDate(Y53,Trigger),"")</f>
        <v/>
      </c>
      <c r="AE53" s="5" t="str">
        <f>IFERROR(_xll.qlRateHelperPillarDate(Y53,Trigger),"")</f>
        <v/>
      </c>
      <c r="AF53" s="70" t="e">
        <v>#N/A</v>
      </c>
      <c r="AG53" s="77" t="e">
        <v>#N/A</v>
      </c>
      <c r="AH53" s="46" t="e">
        <v>#N/A</v>
      </c>
      <c r="AI53" s="46" t="e">
        <v>#N/A</v>
      </c>
      <c r="AJ53" s="172" t="e">
        <f t="shared" si="3"/>
        <v>#N/A</v>
      </c>
      <c r="AK53" s="46" t="e">
        <v>#N/A</v>
      </c>
      <c r="AL53" s="161" t="e">
        <f t="shared" si="4"/>
        <v>#N/A</v>
      </c>
    </row>
    <row r="54" spans="1:38" ht="11.25" customHeight="1" x14ac:dyDescent="0.2">
      <c r="A54" s="59" t="s">
        <v>25</v>
      </c>
      <c r="B54" s="60" t="s">
        <v>63</v>
      </c>
      <c r="C54" s="61" t="s">
        <v>6</v>
      </c>
      <c r="D54" s="61" t="s">
        <v>154</v>
      </c>
      <c r="E54" s="61" t="s">
        <v>7</v>
      </c>
      <c r="F54" s="61" t="s">
        <v>155</v>
      </c>
      <c r="G54" s="61" t="str">
        <f t="shared" si="18"/>
        <v>GbpLibor6M</v>
      </c>
      <c r="H54" s="59" t="str">
        <f t="shared" si="19"/>
        <v>GBPSB6L25Y_LCHQuote</v>
      </c>
      <c r="I54" s="127">
        <v>0</v>
      </c>
      <c r="J54" s="64" t="str">
        <f>_xll.qlSwapRateHelper2(,$H54,0,$B54,Calendar,$D54,$E54,$F54,$G54,$I54,$C54,Discounting1,PillarDate,,Permanent,Trigger,ObjectOverwrite)</f>
        <v>obj_003d0#0007</v>
      </c>
      <c r="K54" s="64" t="str">
        <f>_xll.qlSwapRateHelper2(,$H54,0,$B54,Calendar,$D54,$E54,$F54,$G54,$I54,$C54,Discounting2,PillarDate,,Permanent,Trigger,ObjectOverwrite)</f>
        <v>obj_003d9#0007</v>
      </c>
      <c r="M54" s="10" t="str">
        <f t="shared" si="14"/>
        <v>Sw</v>
      </c>
      <c r="N54" s="94" t="str">
        <f t="shared" ref="N54:O54" si="48">IF(ISBLANK(J58),"--",J58)</f>
        <v>--</v>
      </c>
      <c r="O54" s="94" t="str">
        <f t="shared" si="48"/>
        <v>--</v>
      </c>
      <c r="P54" s="146" t="str">
        <f>IFERROR(_xll.qlRateHelperQuoteName(N54,Trigger),"--")</f>
        <v>--</v>
      </c>
      <c r="Q54" s="98" t="str">
        <f>IFERROR(_xll.qlRateHelperQuoteValue($N54,Trigger),"--")</f>
        <v>--</v>
      </c>
      <c r="R54" s="141" t="b">
        <v>0</v>
      </c>
      <c r="S54" s="94">
        <v>10</v>
      </c>
      <c r="T54" s="94">
        <v>1</v>
      </c>
      <c r="U54" s="99" t="str">
        <f>IFERROR(_xll.qlRateHelperEarliestDate(N54,Trigger),"--")</f>
        <v>--</v>
      </c>
      <c r="V54" s="99" t="str">
        <f>IFERROR(_xll.qlRateHelperPillarDate(N54,Trigger),"--")</f>
        <v>--</v>
      </c>
      <c r="X54" s="4" t="str">
        <f t="shared" si="2"/>
        <v/>
      </c>
      <c r="Y54" s="4" t="e">
        <v>#N/A</v>
      </c>
      <c r="Z54" s="4" t="e">
        <v>#N/A</v>
      </c>
      <c r="AA54" s="4" t="str">
        <f>IFERROR(_xll.qlRateHelperQuoteName(Y54,Trigger),"")</f>
        <v/>
      </c>
      <c r="AB54" s="70" t="str">
        <f>IFERROR(_xll.qlRateHelperRate(Y54,Trigger),"")</f>
        <v/>
      </c>
      <c r="AC54" s="104" t="str">
        <f>IF(ISERROR(_xll.qlSwapRateHelperSpread($Y54)),IF(ISERROR(_xll.qlFuturesRateHelperConvexityAdjustment($Y54)),"",_xll.qlFuturesRateHelperConvexityAdjustment($Y54)),_xll.qlSwapRateHelperSpread($Y54))</f>
        <v/>
      </c>
      <c r="AD54" s="5" t="str">
        <f>IFERROR(_xll.qlRateHelperEarliestDate(Y54,Trigger),"")</f>
        <v/>
      </c>
      <c r="AE54" s="5" t="str">
        <f>IFERROR(_xll.qlRateHelperPillarDate(Y54,Trigger),"")</f>
        <v/>
      </c>
      <c r="AF54" s="70" t="e">
        <v>#N/A</v>
      </c>
      <c r="AG54" s="77" t="e">
        <v>#N/A</v>
      </c>
      <c r="AH54" s="46" t="e">
        <v>#N/A</v>
      </c>
      <c r="AI54" s="46" t="e">
        <v>#N/A</v>
      </c>
      <c r="AJ54" s="172" t="e">
        <f t="shared" si="3"/>
        <v>#N/A</v>
      </c>
      <c r="AK54" s="46" t="e">
        <v>#N/A</v>
      </c>
      <c r="AL54" s="161" t="e">
        <f t="shared" si="4"/>
        <v>#N/A</v>
      </c>
    </row>
    <row r="55" spans="1:38" ht="11.25" customHeight="1" x14ac:dyDescent="0.2">
      <c r="A55" s="59" t="s">
        <v>25</v>
      </c>
      <c r="B55" s="60" t="s">
        <v>106</v>
      </c>
      <c r="C55" s="61" t="s">
        <v>6</v>
      </c>
      <c r="D55" s="61" t="s">
        <v>154</v>
      </c>
      <c r="E55" s="61" t="s">
        <v>7</v>
      </c>
      <c r="F55" s="61" t="s">
        <v>155</v>
      </c>
      <c r="G55" s="61" t="str">
        <f t="shared" si="18"/>
        <v>GbpLibor6M</v>
      </c>
      <c r="H55" s="59" t="str">
        <f t="shared" si="19"/>
        <v>GBPSB6L26Y_LCHQuote</v>
      </c>
      <c r="I55" s="127">
        <v>0</v>
      </c>
      <c r="J55" s="64"/>
      <c r="K55" s="64"/>
      <c r="M55" s="10" t="str">
        <f t="shared" si="14"/>
        <v>Sw</v>
      </c>
      <c r="N55" s="94" t="str">
        <f t="shared" ref="N55:O55" si="49">IF(ISBLANK(J59),"--",J59)</f>
        <v>obj_003c5#0007</v>
      </c>
      <c r="O55" s="94" t="str">
        <f t="shared" si="49"/>
        <v>obj_003ca#0007</v>
      </c>
      <c r="P55" s="146" t="str">
        <f>IFERROR(_xll.qlRateHelperQuoteName(N55,Trigger),"--")</f>
        <v>GBPSB6L30Y_LCHQuote</v>
      </c>
      <c r="Q55" s="98">
        <f>IFERROR(_xll.qlRateHelperQuoteValue($N55,Trigger),"--")</f>
        <v>2.1470000000000003E-2</v>
      </c>
      <c r="R55" s="141" t="b">
        <v>1</v>
      </c>
      <c r="S55" s="94">
        <v>10</v>
      </c>
      <c r="T55" s="94">
        <v>1</v>
      </c>
      <c r="U55" s="99">
        <f>IFERROR(_xll.qlRateHelperEarliestDate(N55,Trigger),"--")</f>
        <v>42321</v>
      </c>
      <c r="V55" s="99">
        <f>IFERROR(_xll.qlRateHelperPillarDate(N55,Trigger),"--")</f>
        <v>53279</v>
      </c>
      <c r="X55" s="4" t="str">
        <f t="shared" si="2"/>
        <v/>
      </c>
      <c r="Y55" s="4" t="e">
        <v>#N/A</v>
      </c>
      <c r="Z55" s="4" t="e">
        <v>#N/A</v>
      </c>
      <c r="AA55" s="4" t="str">
        <f>IFERROR(_xll.qlRateHelperQuoteName(Y55,Trigger),"")</f>
        <v/>
      </c>
      <c r="AB55" s="70" t="str">
        <f>IFERROR(_xll.qlRateHelperRate(Y55,Trigger),"")</f>
        <v/>
      </c>
      <c r="AC55" s="104" t="str">
        <f>IF(ISERROR(_xll.qlSwapRateHelperSpread($Y55)),IF(ISERROR(_xll.qlFuturesRateHelperConvexityAdjustment($Y55)),"",_xll.qlFuturesRateHelperConvexityAdjustment($Y55)),_xll.qlSwapRateHelperSpread($Y55))</f>
        <v/>
      </c>
      <c r="AD55" s="5" t="str">
        <f>IFERROR(_xll.qlRateHelperEarliestDate(Y55,Trigger),"")</f>
        <v/>
      </c>
      <c r="AE55" s="5" t="str">
        <f>IFERROR(_xll.qlRateHelperPillarDate(Y55,Trigger),"")</f>
        <v/>
      </c>
      <c r="AF55" s="70" t="e">
        <v>#N/A</v>
      </c>
      <c r="AG55" s="77" t="e">
        <v>#N/A</v>
      </c>
      <c r="AH55" s="46" t="e">
        <v>#N/A</v>
      </c>
      <c r="AI55" s="46" t="e">
        <v>#N/A</v>
      </c>
      <c r="AJ55" s="172" t="e">
        <f t="shared" si="3"/>
        <v>#N/A</v>
      </c>
      <c r="AK55" s="46" t="e">
        <v>#N/A</v>
      </c>
      <c r="AL55" s="161" t="e">
        <f t="shared" si="4"/>
        <v>#N/A</v>
      </c>
    </row>
    <row r="56" spans="1:38" ht="11.25" customHeight="1" x14ac:dyDescent="0.2">
      <c r="A56" s="59" t="s">
        <v>25</v>
      </c>
      <c r="B56" s="60" t="s">
        <v>64</v>
      </c>
      <c r="C56" s="61" t="s">
        <v>6</v>
      </c>
      <c r="D56" s="61" t="s">
        <v>154</v>
      </c>
      <c r="E56" s="61" t="s">
        <v>7</v>
      </c>
      <c r="F56" s="61" t="s">
        <v>155</v>
      </c>
      <c r="G56" s="61" t="str">
        <f t="shared" si="18"/>
        <v>GbpLibor6M</v>
      </c>
      <c r="H56" s="59" t="str">
        <f t="shared" si="19"/>
        <v>GBPSB6L27Y_LCHQuote</v>
      </c>
      <c r="I56" s="127">
        <v>0</v>
      </c>
      <c r="J56" s="64"/>
      <c r="K56" s="64"/>
      <c r="M56" s="10" t="str">
        <f t="shared" si="14"/>
        <v>Sw</v>
      </c>
      <c r="N56" s="94" t="str">
        <f t="shared" ref="N56:O56" si="50">IF(ISBLANK(J60),"--",J60)</f>
        <v>--</v>
      </c>
      <c r="O56" s="94" t="str">
        <f t="shared" si="50"/>
        <v>--</v>
      </c>
      <c r="P56" s="146" t="str">
        <f>IFERROR(_xll.qlRateHelperQuoteName(N56,Trigger),"--")</f>
        <v>--</v>
      </c>
      <c r="Q56" s="98" t="str">
        <f>IFERROR(_xll.qlRateHelperQuoteValue($N56,Trigger),"--")</f>
        <v>--</v>
      </c>
      <c r="R56" s="141" t="b">
        <v>0</v>
      </c>
      <c r="S56" s="94">
        <v>10</v>
      </c>
      <c r="T56" s="94">
        <v>1</v>
      </c>
      <c r="U56" s="99" t="str">
        <f>IFERROR(_xll.qlRateHelperEarliestDate(N56,Trigger),"--")</f>
        <v>--</v>
      </c>
      <c r="V56" s="99" t="str">
        <f>IFERROR(_xll.qlRateHelperPillarDate(N56,Trigger),"--")</f>
        <v>--</v>
      </c>
      <c r="X56" s="4" t="str">
        <f t="shared" si="2"/>
        <v/>
      </c>
      <c r="Y56" s="4" t="e">
        <v>#N/A</v>
      </c>
      <c r="Z56" s="4" t="e">
        <v>#N/A</v>
      </c>
      <c r="AA56" s="4" t="str">
        <f>IFERROR(_xll.qlRateHelperQuoteName(Y56,Trigger),"")</f>
        <v/>
      </c>
      <c r="AB56" s="70" t="str">
        <f>IFERROR(_xll.qlRateHelperRate(Y56,Trigger),"")</f>
        <v/>
      </c>
      <c r="AC56" s="104" t="str">
        <f>IF(ISERROR(_xll.qlSwapRateHelperSpread($Y56)),IF(ISERROR(_xll.qlFuturesRateHelperConvexityAdjustment($Y56)),"",_xll.qlFuturesRateHelperConvexityAdjustment($Y56)),_xll.qlSwapRateHelperSpread($Y56))</f>
        <v/>
      </c>
      <c r="AD56" s="5" t="str">
        <f>IFERROR(_xll.qlRateHelperEarliestDate(Y56,Trigger),"")</f>
        <v/>
      </c>
      <c r="AE56" s="5" t="str">
        <f>IFERROR(_xll.qlRateHelperPillarDate(Y56,Trigger),"")</f>
        <v/>
      </c>
      <c r="AF56" s="70" t="e">
        <v>#N/A</v>
      </c>
      <c r="AG56" s="77" t="e">
        <v>#N/A</v>
      </c>
      <c r="AH56" s="46" t="e">
        <v>#N/A</v>
      </c>
      <c r="AI56" s="46" t="e">
        <v>#N/A</v>
      </c>
      <c r="AJ56" s="172" t="e">
        <f t="shared" si="3"/>
        <v>#N/A</v>
      </c>
      <c r="AK56" s="46" t="e">
        <v>#N/A</v>
      </c>
      <c r="AL56" s="161" t="e">
        <f t="shared" si="4"/>
        <v>#N/A</v>
      </c>
    </row>
    <row r="57" spans="1:38" ht="11.25" customHeight="1" x14ac:dyDescent="0.2">
      <c r="A57" s="59" t="s">
        <v>25</v>
      </c>
      <c r="B57" s="60" t="s">
        <v>107</v>
      </c>
      <c r="C57" s="61" t="s">
        <v>6</v>
      </c>
      <c r="D57" s="61" t="s">
        <v>154</v>
      </c>
      <c r="E57" s="61" t="s">
        <v>7</v>
      </c>
      <c r="F57" s="61" t="s">
        <v>155</v>
      </c>
      <c r="G57" s="61" t="str">
        <f t="shared" si="18"/>
        <v>GbpLibor6M</v>
      </c>
      <c r="H57" s="59" t="str">
        <f t="shared" si="19"/>
        <v>GBPSB6L28Y_LCHQuote</v>
      </c>
      <c r="I57" s="127">
        <v>0</v>
      </c>
      <c r="J57" s="64"/>
      <c r="K57" s="64"/>
      <c r="M57" s="10" t="str">
        <f t="shared" si="14"/>
        <v>Sw</v>
      </c>
      <c r="N57" s="94" t="str">
        <f t="shared" ref="N57:O57" si="51">IF(ISBLANK(J61),"--",J61)</f>
        <v>obj_003da#0007</v>
      </c>
      <c r="O57" s="94" t="str">
        <f t="shared" si="51"/>
        <v>obj_003c9#0007</v>
      </c>
      <c r="P57" s="146" t="str">
        <f>IFERROR(_xll.qlRateHelperQuoteName(N57,Trigger),"--")</f>
        <v>GBPSB6L40Y_LCHQuote</v>
      </c>
      <c r="Q57" s="98">
        <f>IFERROR(_xll.qlRateHelperQuoteValue($N57,Trigger),"--")</f>
        <v>2.085E-2</v>
      </c>
      <c r="R57" s="141" t="b">
        <v>1</v>
      </c>
      <c r="S57" s="94">
        <v>10</v>
      </c>
      <c r="T57" s="94">
        <v>1</v>
      </c>
      <c r="U57" s="99">
        <f>IFERROR(_xll.qlRateHelperEarliestDate(N57,Trigger),"--")</f>
        <v>42321</v>
      </c>
      <c r="V57" s="99">
        <f>IFERROR(_xll.qlRateHelperPillarDate(N57,Trigger),"--")</f>
        <v>56933</v>
      </c>
      <c r="X57" s="4" t="str">
        <f t="shared" si="2"/>
        <v/>
      </c>
      <c r="Y57" s="4" t="e">
        <v>#N/A</v>
      </c>
      <c r="Z57" s="4" t="e">
        <v>#N/A</v>
      </c>
      <c r="AA57" s="4" t="str">
        <f>IFERROR(_xll.qlRateHelperQuoteName(Y57,Trigger),"")</f>
        <v/>
      </c>
      <c r="AB57" s="70" t="str">
        <f>IFERROR(_xll.qlRateHelperRate(Y57,Trigger),"")</f>
        <v/>
      </c>
      <c r="AC57" s="104" t="str">
        <f>IF(ISERROR(_xll.qlSwapRateHelperSpread($Y57)),IF(ISERROR(_xll.qlFuturesRateHelperConvexityAdjustment($Y57)),"",_xll.qlFuturesRateHelperConvexityAdjustment($Y57)),_xll.qlSwapRateHelperSpread($Y57))</f>
        <v/>
      </c>
      <c r="AD57" s="5" t="str">
        <f>IFERROR(_xll.qlRateHelperEarliestDate(Y57,Trigger),"")</f>
        <v/>
      </c>
      <c r="AE57" s="5" t="str">
        <f>IFERROR(_xll.qlRateHelperPillarDate(Y57,Trigger),"")</f>
        <v/>
      </c>
      <c r="AF57" s="70" t="e">
        <v>#N/A</v>
      </c>
      <c r="AG57" s="77" t="e">
        <v>#N/A</v>
      </c>
      <c r="AH57" s="46" t="e">
        <v>#N/A</v>
      </c>
      <c r="AI57" s="46" t="e">
        <v>#N/A</v>
      </c>
      <c r="AJ57" s="172" t="e">
        <f t="shared" si="3"/>
        <v>#N/A</v>
      </c>
      <c r="AK57" s="46" t="e">
        <v>#N/A</v>
      </c>
      <c r="AL57" s="161" t="e">
        <f t="shared" si="4"/>
        <v>#N/A</v>
      </c>
    </row>
    <row r="58" spans="1:38" ht="11.25" customHeight="1" x14ac:dyDescent="0.2">
      <c r="A58" s="59" t="s">
        <v>25</v>
      </c>
      <c r="B58" s="60" t="s">
        <v>108</v>
      </c>
      <c r="C58" s="61" t="s">
        <v>6</v>
      </c>
      <c r="D58" s="61" t="s">
        <v>154</v>
      </c>
      <c r="E58" s="61" t="s">
        <v>7</v>
      </c>
      <c r="F58" s="61" t="s">
        <v>155</v>
      </c>
      <c r="G58" s="61" t="str">
        <f t="shared" si="18"/>
        <v>GbpLibor6M</v>
      </c>
      <c r="H58" s="59" t="str">
        <f t="shared" si="19"/>
        <v>GBPSB6L29Y_LCHQuote</v>
      </c>
      <c r="I58" s="127">
        <v>0</v>
      </c>
      <c r="J58" s="64"/>
      <c r="K58" s="64"/>
      <c r="M58" s="10" t="str">
        <f t="shared" si="14"/>
        <v>Sw</v>
      </c>
      <c r="N58" s="94" t="str">
        <f t="shared" ref="N58:O58" si="52">IF(ISBLANK(J62),"--",J62)</f>
        <v>obj_003d6#0007</v>
      </c>
      <c r="O58" s="94" t="str">
        <f t="shared" si="52"/>
        <v>obj_003cb#0007</v>
      </c>
      <c r="P58" s="146" t="str">
        <f>IFERROR(_xll.qlRateHelperQuoteName(N58,Trigger),"--")</f>
        <v>GBPSB6L50Y_LCHQuote</v>
      </c>
      <c r="Q58" s="98">
        <f>IFERROR(_xll.qlRateHelperQuoteValue($N58,Trigger),"--")</f>
        <v>2.0419999999999997E-2</v>
      </c>
      <c r="R58" s="141" t="b">
        <v>1</v>
      </c>
      <c r="S58" s="94">
        <v>10</v>
      </c>
      <c r="T58" s="94">
        <v>1</v>
      </c>
      <c r="U58" s="99">
        <f>IFERROR(_xll.qlRateHelperEarliestDate(N58,Trigger),"--")</f>
        <v>42321</v>
      </c>
      <c r="V58" s="99">
        <f>IFERROR(_xll.qlRateHelperPillarDate(N58,Trigger),"--")</f>
        <v>60584</v>
      </c>
      <c r="X58" s="4" t="str">
        <f t="shared" si="2"/>
        <v/>
      </c>
      <c r="Y58" s="4" t="e">
        <v>#N/A</v>
      </c>
      <c r="Z58" s="4" t="e">
        <v>#N/A</v>
      </c>
      <c r="AA58" s="4" t="str">
        <f>IFERROR(_xll.qlRateHelperQuoteName(Y58,Trigger),"")</f>
        <v/>
      </c>
      <c r="AB58" s="70" t="str">
        <f>IFERROR(_xll.qlRateHelperRate(Y58,Trigger),"")</f>
        <v/>
      </c>
      <c r="AC58" s="104" t="str">
        <f>IF(ISERROR(_xll.qlSwapRateHelperSpread($Y58)),IF(ISERROR(_xll.qlFuturesRateHelperConvexityAdjustment($Y58)),"",_xll.qlFuturesRateHelperConvexityAdjustment($Y58)),_xll.qlSwapRateHelperSpread($Y58))</f>
        <v/>
      </c>
      <c r="AD58" s="5" t="str">
        <f>IFERROR(_xll.qlRateHelperEarliestDate(Y58,Trigger),"")</f>
        <v/>
      </c>
      <c r="AE58" s="5" t="str">
        <f>IFERROR(_xll.qlRateHelperPillarDate(Y58,Trigger),"")</f>
        <v/>
      </c>
      <c r="AF58" s="70" t="e">
        <v>#N/A</v>
      </c>
      <c r="AG58" s="77" t="e">
        <v>#N/A</v>
      </c>
      <c r="AH58" s="46" t="e">
        <v>#N/A</v>
      </c>
      <c r="AI58" s="46" t="e">
        <v>#N/A</v>
      </c>
      <c r="AJ58" s="172" t="e">
        <f t="shared" si="3"/>
        <v>#N/A</v>
      </c>
      <c r="AK58" s="46" t="e">
        <v>#N/A</v>
      </c>
      <c r="AL58" s="161" t="e">
        <f t="shared" si="4"/>
        <v>#N/A</v>
      </c>
    </row>
    <row r="59" spans="1:38" ht="11.25" customHeight="1" x14ac:dyDescent="0.2">
      <c r="A59" s="59" t="s">
        <v>25</v>
      </c>
      <c r="B59" s="60" t="s">
        <v>65</v>
      </c>
      <c r="C59" s="61" t="s">
        <v>6</v>
      </c>
      <c r="D59" s="61" t="s">
        <v>154</v>
      </c>
      <c r="E59" s="61" t="s">
        <v>7</v>
      </c>
      <c r="F59" s="61" t="s">
        <v>155</v>
      </c>
      <c r="G59" s="61" t="str">
        <f t="shared" si="18"/>
        <v>GbpLibor6M</v>
      </c>
      <c r="H59" s="59" t="str">
        <f t="shared" si="19"/>
        <v>GBPSB6L30Y_LCHQuote</v>
      </c>
      <c r="I59" s="127">
        <v>0</v>
      </c>
      <c r="J59" s="64" t="str">
        <f>_xll.qlSwapRateHelper2(,$H59,0,$B59,Calendar,$D59,$E59,$F59,$G59,$I59,$C59,Discounting1,PillarDate,,Permanent,Trigger,ObjectOverwrite)</f>
        <v>obj_003c5#0007</v>
      </c>
      <c r="K59" s="64" t="str">
        <f>_xll.qlSwapRateHelper2(,$H59,0,$B59,Calendar,$D59,$E59,$F59,$G59,$I59,$C59,Discounting2,PillarDate,,Permanent,Trigger,ObjectOverwrite)</f>
        <v>obj_003ca#0007</v>
      </c>
      <c r="M59" s="11" t="str">
        <f t="shared" si="14"/>
        <v>Sw</v>
      </c>
      <c r="N59" s="95" t="str">
        <f t="shared" ref="N59:O59" si="53">IF(ISBLANK(J63),"--",J63)</f>
        <v>obj_003e3#0007</v>
      </c>
      <c r="O59" s="95" t="str">
        <f t="shared" si="53"/>
        <v>obj_003e2#0007</v>
      </c>
      <c r="P59" s="147" t="str">
        <f>IFERROR(_xll.qlRateHelperQuoteName(N59,Trigger),"--")</f>
        <v>GBPSB6L60Y_LCHQuote</v>
      </c>
      <c r="Q59" s="101">
        <f>IFERROR(_xll.qlRateHelperQuoteValue($N59,Trigger),"--")</f>
        <v>2.0390000000000002E-2</v>
      </c>
      <c r="R59" s="144" t="b">
        <v>1</v>
      </c>
      <c r="S59" s="95">
        <v>10</v>
      </c>
      <c r="T59" s="95">
        <v>1</v>
      </c>
      <c r="U59" s="102">
        <f>IFERROR(_xll.qlRateHelperEarliestDate(N59,Trigger),"--")</f>
        <v>42321</v>
      </c>
      <c r="V59" s="102">
        <f>IFERROR(_xll.qlRateHelperPillarDate(N59,Trigger),"--")</f>
        <v>64236</v>
      </c>
      <c r="X59" s="6" t="str">
        <f t="shared" si="2"/>
        <v/>
      </c>
      <c r="Y59" s="6" t="e">
        <v>#N/A</v>
      </c>
      <c r="Z59" s="6" t="e">
        <v>#N/A</v>
      </c>
      <c r="AA59" s="6" t="str">
        <f>IFERROR(_xll.qlRateHelperQuoteName(Y59,Trigger),"")</f>
        <v/>
      </c>
      <c r="AB59" s="79" t="str">
        <f>IFERROR(_xll.qlRateHelperRate(Y59,Trigger),"")</f>
        <v/>
      </c>
      <c r="AC59" s="105" t="str">
        <f>IF(ISERROR(_xll.qlSwapRateHelperSpread($Y59)),IF(ISERROR(_xll.qlFuturesRateHelperConvexityAdjustment($Y59)),"",_xll.qlFuturesRateHelperConvexityAdjustment($Y59)),_xll.qlSwapRateHelperSpread($Y59))</f>
        <v/>
      </c>
      <c r="AD59" s="12" t="str">
        <f>IFERROR(_xll.qlRateHelperEarliestDate(Y59,Trigger),"")</f>
        <v/>
      </c>
      <c r="AE59" s="12" t="str">
        <f>IFERROR(_xll.qlRateHelperPillarDate(Y59,Trigger),"")</f>
        <v/>
      </c>
      <c r="AF59" s="79" t="e">
        <v>#N/A</v>
      </c>
      <c r="AG59" s="78" t="e">
        <v>#N/A</v>
      </c>
      <c r="AH59" s="46" t="e">
        <v>#N/A</v>
      </c>
      <c r="AI59" s="46" t="e">
        <v>#N/A</v>
      </c>
      <c r="AJ59" s="172" t="e">
        <f t="shared" si="3"/>
        <v>#N/A</v>
      </c>
      <c r="AK59" s="46" t="e">
        <v>#N/A</v>
      </c>
      <c r="AL59" s="161" t="e">
        <f t="shared" si="4"/>
        <v>#N/A</v>
      </c>
    </row>
    <row r="60" spans="1:38" ht="11.25" customHeight="1" x14ac:dyDescent="0.2">
      <c r="A60" s="59" t="s">
        <v>25</v>
      </c>
      <c r="B60" s="60" t="s">
        <v>66</v>
      </c>
      <c r="C60" s="61" t="s">
        <v>6</v>
      </c>
      <c r="D60" s="61" t="s">
        <v>154</v>
      </c>
      <c r="E60" s="61" t="s">
        <v>7</v>
      </c>
      <c r="F60" s="61" t="s">
        <v>155</v>
      </c>
      <c r="G60" s="61" t="str">
        <f t="shared" si="18"/>
        <v>GbpLibor6M</v>
      </c>
      <c r="H60" s="59" t="str">
        <f t="shared" si="19"/>
        <v>GBPSB6L35Y_LCHQuote</v>
      </c>
      <c r="I60" s="127">
        <v>0</v>
      </c>
      <c r="J60" s="64"/>
      <c r="K60" s="64"/>
    </row>
    <row r="61" spans="1:38" ht="11.25" customHeight="1" x14ac:dyDescent="0.2">
      <c r="A61" s="59" t="s">
        <v>25</v>
      </c>
      <c r="B61" s="60" t="s">
        <v>67</v>
      </c>
      <c r="C61" s="61" t="s">
        <v>6</v>
      </c>
      <c r="D61" s="61" t="s">
        <v>154</v>
      </c>
      <c r="E61" s="61" t="s">
        <v>7</v>
      </c>
      <c r="F61" s="61" t="s">
        <v>155</v>
      </c>
      <c r="G61" s="61" t="str">
        <f t="shared" si="18"/>
        <v>GbpLibor6M</v>
      </c>
      <c r="H61" s="59" t="str">
        <f t="shared" si="19"/>
        <v>GBPSB6L40Y_LCHQuote</v>
      </c>
      <c r="I61" s="127">
        <v>0</v>
      </c>
      <c r="J61" s="64" t="str">
        <f>_xll.qlSwapRateHelper2(,$H61,0,$B61,Calendar,$D61,$E61,$F61,$G61,$I61,$C61,Discounting1,PillarDate,,Permanent,Trigger,ObjectOverwrite)</f>
        <v>obj_003da#0007</v>
      </c>
      <c r="K61" s="64" t="str">
        <f>_xll.qlSwapRateHelper2(,$H61,0,$B61,Calendar,$D61,$E61,$F61,$G61,$I61,$C61,Discounting2,PillarDate,,Permanent,Trigger,ObjectOverwrite)</f>
        <v>obj_003c9#0007</v>
      </c>
    </row>
    <row r="62" spans="1:38" ht="11.25" customHeight="1" x14ac:dyDescent="0.2">
      <c r="A62" s="59" t="s">
        <v>25</v>
      </c>
      <c r="B62" s="60" t="s">
        <v>68</v>
      </c>
      <c r="C62" s="61" t="s">
        <v>6</v>
      </c>
      <c r="D62" s="61" t="s">
        <v>154</v>
      </c>
      <c r="E62" s="61" t="s">
        <v>7</v>
      </c>
      <c r="F62" s="61" t="s">
        <v>155</v>
      </c>
      <c r="G62" s="61" t="str">
        <f t="shared" si="18"/>
        <v>GbpLibor6M</v>
      </c>
      <c r="H62" s="59" t="str">
        <f t="shared" si="19"/>
        <v>GBPSB6L50Y_LCHQuote</v>
      </c>
      <c r="I62" s="125">
        <v>0</v>
      </c>
      <c r="J62" s="64" t="str">
        <f>_xll.qlSwapRateHelper2(,$H62,0,$B62,Calendar,$D62,$E62,$F62,$G62,$I62,$C62,Discounting1,PillarDate,,Permanent,Trigger,ObjectOverwrite)</f>
        <v>obj_003d6#0007</v>
      </c>
      <c r="K62" s="64" t="str">
        <f>_xll.qlSwapRateHelper2(,$H62,0,$B62,Calendar,$D62,$E62,$F62,$G62,$I62,$C62,Discounting2,PillarDate,,Permanent,Trigger,ObjectOverwrite)</f>
        <v>obj_003cb#0007</v>
      </c>
    </row>
    <row r="63" spans="1:38" ht="11.25" customHeight="1" x14ac:dyDescent="0.2">
      <c r="A63" s="1" t="s">
        <v>25</v>
      </c>
      <c r="B63" s="8" t="s">
        <v>109</v>
      </c>
      <c r="C63" s="7" t="s">
        <v>6</v>
      </c>
      <c r="D63" s="7" t="s">
        <v>154</v>
      </c>
      <c r="E63" s="7" t="s">
        <v>7</v>
      </c>
      <c r="F63" s="7" t="s">
        <v>155</v>
      </c>
      <c r="G63" s="7" t="str">
        <f t="shared" si="18"/>
        <v>GbpLibor6M</v>
      </c>
      <c r="H63" s="1" t="str">
        <f t="shared" si="19"/>
        <v>GBPSB6L60Y_LCHQuote</v>
      </c>
      <c r="I63" s="128">
        <v>0</v>
      </c>
      <c r="J63" s="3" t="str">
        <f>_xll.qlSwapRateHelper2(,$H63,0,$B63,Calendar,$D63,$E63,$F63,$G63,$I63,$C63,Discounting1,PillarDate,,Permanent,Trigger,ObjectOverwrite)</f>
        <v>obj_003e3#0007</v>
      </c>
      <c r="K63" s="3" t="str">
        <f>_xll.qlSwapRateHelper2(,$H63,0,$B63,Calendar,$D63,$E63,$F63,$G63,$I63,$C63,Discounting2,PillarDate,,Permanent,Trigger,ObjectOverwrite)</f>
        <v>obj_003e2#0007</v>
      </c>
    </row>
    <row r="64" spans="1:38" ht="11.25" customHeight="1" x14ac:dyDescent="0.2"/>
    <row r="65" ht="11.25" customHeight="1" x14ac:dyDescent="0.2"/>
    <row r="66" ht="11.25" customHeight="1" x14ac:dyDescent="0.2"/>
    <row r="67" ht="11.25" customHeight="1" x14ac:dyDescent="0.2"/>
    <row r="68" ht="11.25" customHeight="1" x14ac:dyDescent="0.2"/>
    <row r="69" ht="11.25" customHeight="1" x14ac:dyDescent="0.2"/>
    <row r="70" ht="11.25" customHeight="1" x14ac:dyDescent="0.2"/>
    <row r="71" ht="11.25" customHeight="1" x14ac:dyDescent="0.2"/>
    <row r="72" ht="11.25" customHeight="1" x14ac:dyDescent="0.2"/>
    <row r="73" ht="11.25" customHeight="1" x14ac:dyDescent="0.2"/>
    <row r="74" ht="11.25" customHeight="1" x14ac:dyDescent="0.2"/>
    <row r="75" ht="11.25" customHeight="1" x14ac:dyDescent="0.2"/>
    <row r="76" ht="11.25" customHeight="1" x14ac:dyDescent="0.2"/>
    <row r="77" ht="11.25" customHeight="1" x14ac:dyDescent="0.2"/>
    <row r="78" ht="11.25" customHeight="1" x14ac:dyDescent="0.2"/>
    <row r="79" ht="11.25" customHeight="1" x14ac:dyDescent="0.2"/>
    <row r="80" ht="11.25" customHeight="1" x14ac:dyDescent="0.2"/>
    <row r="90" spans="12:12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F26:F63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E26:E63">
      <formula1>"Following,Modified Following,Preceding,Modified Preceding,Unadjusted,Half-Month Modified Following"</formula1>
    </dataValidation>
    <dataValidation type="list" allowBlank="1" showInputMessage="1" showErrorMessage="1" sqref="D26:D63">
      <formula1>"Annual,Semiannual,EveryFourthMonth,Quarterly,Bimonthly,Monthly,Biweekly,Weekly,Daily,Once,NoFrequency"</formula1>
    </dataValidation>
  </dataValidations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O90"/>
  <sheetViews>
    <sheetView showGridLines="0" topLeftCell="L1" zoomScaleNormal="100" workbookViewId="0">
      <selection activeCell="L1" sqref="L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0.28515625" style="52" hidden="1" customWidth="1" outlineLevel="1"/>
    <col min="9" max="9" width="20.28515625" style="46" hidden="1" customWidth="1" outlineLevel="1"/>
    <col min="10" max="11" width="15.140625" style="46" hidden="1" customWidth="1" outlineLevel="1"/>
    <col min="12" max="12" width="2.7109375" style="46" customWidth="1" collapsed="1"/>
    <col min="13" max="13" width="6" style="46" hidden="1" customWidth="1" outlineLevel="1"/>
    <col min="14" max="15" width="15.140625" style="103" hidden="1" customWidth="1" outlineLevel="1"/>
    <col min="16" max="16" width="22.42578125" style="103" hidden="1" customWidth="1" outlineLevel="1"/>
    <col min="17" max="17" width="9.7109375" style="103" hidden="1" customWidth="1" outlineLevel="1"/>
    <col min="18" max="18" width="7.85546875" style="103" hidden="1" customWidth="1" outlineLevel="1"/>
    <col min="19" max="19" width="9" style="103" hidden="1" customWidth="1" outlineLevel="1"/>
    <col min="20" max="20" width="5.85546875" style="103" hidden="1" customWidth="1" outlineLevel="1"/>
    <col min="21" max="22" width="10.7109375" style="103" hidden="1" customWidth="1" outlineLevel="1"/>
    <col min="23" max="23" width="2.7109375" style="48" hidden="1" customWidth="1" outlineLevel="1"/>
    <col min="24" max="24" width="6" style="46" bestFit="1" customWidth="1" collapsed="1"/>
    <col min="25" max="26" width="10.140625" style="46" hidden="1" customWidth="1" outlineLevel="1"/>
    <col min="27" max="27" width="24.7109375" style="46" customWidth="1" collapsed="1"/>
    <col min="28" max="29" width="9.7109375" style="46" customWidth="1"/>
    <col min="30" max="31" width="17.28515625" style="46" bestFit="1" customWidth="1"/>
    <col min="32" max="32" width="11.140625" style="46" customWidth="1"/>
    <col min="33" max="33" width="12" style="46" customWidth="1"/>
    <col min="34" max="35" width="11.7109375" style="46" hidden="1" customWidth="1" outlineLevel="1"/>
    <col min="36" max="36" width="10" style="46" hidden="1" customWidth="1" outlineLevel="1"/>
    <col min="37" max="37" width="11.7109375" style="46" hidden="1" customWidth="1" outlineLevel="1"/>
    <col min="38" max="38" width="10" style="46" hidden="1" customWidth="1" outlineLevel="1"/>
    <col min="39" max="39" width="2.7109375" style="46" customWidth="1" collapsed="1"/>
    <col min="40" max="40" width="24.42578125" style="46" bestFit="1" customWidth="1"/>
    <col min="41" max="41" width="21.42578125" style="46" bestFit="1" customWidth="1"/>
    <col min="42" max="43" width="11" style="46" bestFit="1" customWidth="1"/>
    <col min="44" max="44" width="21.42578125" style="46" bestFit="1" customWidth="1"/>
    <col min="45" max="16384" width="9.140625" style="46"/>
  </cols>
  <sheetData>
    <row r="1" spans="1:41" ht="18" customHeight="1" x14ac:dyDescent="0.2">
      <c r="G1" s="50" t="s">
        <v>2</v>
      </c>
      <c r="H1" s="50"/>
      <c r="M1" s="67" t="s">
        <v>24</v>
      </c>
      <c r="N1" s="106"/>
      <c r="O1" s="106"/>
      <c r="P1" s="106"/>
      <c r="Q1" s="106"/>
      <c r="R1" s="106"/>
      <c r="S1" s="106"/>
      <c r="T1" s="106"/>
      <c r="U1" s="106"/>
      <c r="V1" s="96"/>
      <c r="W1" s="93"/>
      <c r="X1" s="74" t="str">
        <f>Currency&amp;$G$1</f>
        <v>GBP1M</v>
      </c>
      <c r="Y1" s="66"/>
      <c r="Z1" s="66"/>
      <c r="AA1" s="66"/>
      <c r="AB1" s="69"/>
      <c r="AC1" s="69"/>
      <c r="AD1" s="66"/>
      <c r="AE1" s="66"/>
      <c r="AF1" s="178" t="s">
        <v>128</v>
      </c>
      <c r="AG1" s="178" t="s">
        <v>135</v>
      </c>
      <c r="AN1" s="46" t="s">
        <v>117</v>
      </c>
    </row>
    <row r="2" spans="1:41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 t="s">
        <v>132</v>
      </c>
      <c r="K2" s="65" t="s">
        <v>133</v>
      </c>
      <c r="M2" s="73" t="s">
        <v>9</v>
      </c>
      <c r="N2" s="73" t="s">
        <v>132</v>
      </c>
      <c r="O2" s="73" t="s">
        <v>133</v>
      </c>
      <c r="P2" s="73" t="s">
        <v>77</v>
      </c>
      <c r="Q2" s="73" t="s">
        <v>80</v>
      </c>
      <c r="R2" s="73" t="s">
        <v>78</v>
      </c>
      <c r="S2" s="73" t="s">
        <v>79</v>
      </c>
      <c r="T2" s="73" t="s">
        <v>81</v>
      </c>
      <c r="U2" s="73" t="s">
        <v>22</v>
      </c>
      <c r="V2" s="73" t="s">
        <v>74</v>
      </c>
      <c r="W2" s="93"/>
      <c r="X2" s="73" t="s">
        <v>9</v>
      </c>
      <c r="Y2" s="73" t="s">
        <v>132</v>
      </c>
      <c r="Z2" s="73" t="s">
        <v>133</v>
      </c>
      <c r="AA2" s="73" t="s">
        <v>77</v>
      </c>
      <c r="AB2" s="75" t="s">
        <v>23</v>
      </c>
      <c r="AC2" s="75" t="s">
        <v>82</v>
      </c>
      <c r="AD2" s="73" t="s">
        <v>22</v>
      </c>
      <c r="AE2" s="73" t="s">
        <v>74</v>
      </c>
      <c r="AF2" s="171">
        <f t="array" ref="AF2:AF52">_xll.qlPiecewiseYieldCurveData(yieldcurve1_1M,Trigger)</f>
        <v>5.0994955248097398E-3</v>
      </c>
      <c r="AG2" s="76">
        <f t="array" ref="AG2:AG52">_xll.qlPiecewiseYieldCurveData(yieldcurve2_1M,Trigger)</f>
        <v>1</v>
      </c>
      <c r="AJ2" s="46" t="s">
        <v>136</v>
      </c>
      <c r="AL2" s="46" t="s">
        <v>137</v>
      </c>
      <c r="AN2" s="213" t="s">
        <v>83</v>
      </c>
      <c r="AO2" s="214"/>
    </row>
    <row r="3" spans="1:41" ht="11.25" customHeight="1" x14ac:dyDescent="0.2">
      <c r="A3" s="1" t="s">
        <v>26</v>
      </c>
      <c r="B3" s="8" t="s">
        <v>2</v>
      </c>
      <c r="C3" s="124"/>
      <c r="D3" s="124"/>
      <c r="E3" s="124"/>
      <c r="F3" s="124"/>
      <c r="G3" s="7" t="str">
        <f>PROPER(Currency)&amp;FamilyName&amp;B3</f>
        <v>GbpLibor1M</v>
      </c>
      <c r="H3" s="121" t="str">
        <f>IF(ReportQuoteOverwrite,Currency&amp;$B3&amp;"D"&amp;ReportQuoteSuffix,Currency&amp;$B3&amp;"D"&amp;QuoteSuffix)</f>
        <v>GBP1MD_LCHQuote</v>
      </c>
      <c r="I3" s="124"/>
      <c r="J3" s="3" t="str">
        <f>_xll.qlDepositRateHelper(,H3,G3,Permanent,Trigger,ObjectOverwrite)</f>
        <v>obj_0041e#0007</v>
      </c>
      <c r="K3" s="3" t="str">
        <f>J3</f>
        <v>obj_0041e#0007</v>
      </c>
      <c r="L3" s="49"/>
      <c r="M3" s="10" t="str">
        <f>A3</f>
        <v>Dp</v>
      </c>
      <c r="N3" s="94" t="str">
        <f>IF(ISBLANK(J3),"--",J3)</f>
        <v>obj_0041e#0007</v>
      </c>
      <c r="O3" s="94" t="str">
        <f>IF(ISBLANK(K3),"--",K3)</f>
        <v>obj_0041e#0007</v>
      </c>
      <c r="P3" s="146" t="str">
        <f>IFERROR(_xll.qlRateHelperQuoteName(N3,Trigger),"--")</f>
        <v>GBP1MD_LCHQuote</v>
      </c>
      <c r="Q3" s="98">
        <f>IFERROR(_xll.qlRateHelperQuoteValue($N3,Trigger),"--")</f>
        <v>5.1005999999999994E-3</v>
      </c>
      <c r="R3" s="141" t="b">
        <v>1</v>
      </c>
      <c r="S3" s="94">
        <v>20</v>
      </c>
      <c r="T3" s="94">
        <v>1</v>
      </c>
      <c r="U3" s="99">
        <f>IFERROR(_xll.qlRateHelperEarliestDate(N3,Trigger),"--")</f>
        <v>42321</v>
      </c>
      <c r="V3" s="99">
        <f>IFERROR(_xll.qlRateHelperPillarDate(N3,Trigger),"--")</f>
        <v>42352</v>
      </c>
      <c r="X3" s="4" t="str">
        <f t="shared" ref="X3:X34" si="0">IFERROR(INDEX($M$3:$M$52,MATCH(AA3,$P$3:$P$52,0),1),"")</f>
        <v>Dp</v>
      </c>
      <c r="Y3" s="4" t="str">
        <f t="array" ref="Y3:Y52">_xll.qlRateHelperSelection(_xll.ohFilter(RateHelpers1,IncludeFlag),_xll.ohFilter(Priority,IncludeFlag),$AO$3,$AO$4,$AO$5,$AO$6,_xll.ohFilter(MinDistance,IncludeFlag),Trigger)</f>
        <v>obj_0041e</v>
      </c>
      <c r="Z3" s="4" t="str">
        <f t="array" ref="Z3:Z52">_xll.qlRateHelperSelection(_xll.ohFilter(RateHelpers2,IncludeFlag),_xll.ohFilter(Priority,IncludeFlag),$AO$3,$AO$4,$AO$5,$AO$6,_xll.ohFilter(MinDistance,IncludeFlag),Trigger)</f>
        <v>obj_0041e</v>
      </c>
      <c r="AA3" s="4" t="str">
        <f>IFERROR(_xll.qlRateHelperQuoteName(Y3,Trigger),"")</f>
        <v>GBP1MD_LCHQuote</v>
      </c>
      <c r="AB3" s="70">
        <f>IFERROR(_xll.qlRateHelperRate(Y3,Trigger),"")</f>
        <v>5.1005999999999994E-3</v>
      </c>
      <c r="AC3" s="104" t="str">
        <f>IF(ISERROR(_xll.qlSwapRateHelperSpread($Y3)),IF(ISERROR(_xll.qlFuturesRateHelperConvexityAdjustment($Y3)),"",_xll.qlFuturesRateHelperConvexityAdjustment($Y3)),_xll.qlSwapRateHelperSpread($Y3))</f>
        <v/>
      </c>
      <c r="AD3" s="5">
        <f>IFERROR(_xll.qlRateHelperEarliestDate(Y3,Trigger),"")</f>
        <v>42321</v>
      </c>
      <c r="AE3" s="5">
        <f>IFERROR(_xll.qlRateHelperPillarDate(Y3,Trigger),"")</f>
        <v>42352</v>
      </c>
      <c r="AF3" s="70">
        <v>5.0994955248097398E-3</v>
      </c>
      <c r="AG3" s="77">
        <v>0.99956698593856763</v>
      </c>
      <c r="AH3" s="169">
        <f t="array" ref="AH3:AH52">_xll.ohFilter([1]REP00100!$C$2:$C$2000,([1]REP00100!$A$2:$A$2000="GBP_LIBOR_1M_EOD"))</f>
        <v>42352</v>
      </c>
      <c r="AI3" s="170">
        <f t="array" ref="AI3:AI52">_xll.ohFilter([1]REP00100!$E$2:$E$2000,([1]REP00100!$A$2:$A$2000="GBP_LIBOR_1M_EOD"))</f>
        <v>5.0994599071957497E-3</v>
      </c>
      <c r="AJ3" s="172">
        <f t="shared" ref="AJ3:AJ52" si="1">AF3-AI3</f>
        <v>3.5617613990124308E-8</v>
      </c>
      <c r="AK3" s="80">
        <f t="array" ref="AK3:AK52">_xll.ohFilter([1]REP00101!$F$2:$F$2000,([1]REP00101!$A$2:$A$2000="GBP_LIBOR_1M_EOD"))</f>
        <v>0.99955302398648604</v>
      </c>
      <c r="AL3" s="161">
        <f t="shared" ref="AL3:AL52" si="2">AG3-AK3</f>
        <v>1.3961952081587015E-5</v>
      </c>
      <c r="AN3" s="107" t="s">
        <v>84</v>
      </c>
      <c r="AO3" s="108">
        <v>0</v>
      </c>
    </row>
    <row r="4" spans="1:41" ht="11.25" customHeight="1" x14ac:dyDescent="0.2">
      <c r="B4" s="46"/>
      <c r="C4" s="46"/>
      <c r="D4" s="46"/>
      <c r="E4" s="46"/>
      <c r="F4" s="46"/>
      <c r="G4" s="46" t="s">
        <v>114</v>
      </c>
      <c r="H4" s="46" t="s">
        <v>157</v>
      </c>
      <c r="L4" s="48"/>
      <c r="M4" s="68" t="str">
        <f t="shared" ref="M4:M14" si="3">A6</f>
        <v>Sw</v>
      </c>
      <c r="N4" s="131" t="str">
        <f t="shared" ref="N4:O14" si="4">IF(ISBLANK(J6),"--",J6)</f>
        <v>obj_0040d#0007</v>
      </c>
      <c r="O4" s="131" t="str">
        <f t="shared" si="4"/>
        <v>obj_003ec#0007</v>
      </c>
      <c r="P4" s="145" t="str">
        <f>IFERROR(_xll.qlRateHelperQuoteName(N4,Trigger),"--")</f>
        <v>GBP2X1S_LCHQuote</v>
      </c>
      <c r="Q4" s="133">
        <f>IFERROR(_xll.qlRateHelperQuoteValue($N4,Trigger),"--")</f>
        <v>5.0875E-3</v>
      </c>
      <c r="R4" s="137" t="b">
        <v>1</v>
      </c>
      <c r="S4" s="131">
        <v>10</v>
      </c>
      <c r="T4" s="131">
        <v>1</v>
      </c>
      <c r="U4" s="134">
        <f>IFERROR(_xll.qlRateHelperEarliestDate(N4,Trigger),"--")</f>
        <v>42321</v>
      </c>
      <c r="V4" s="134">
        <f>IFERROR(_xll.qlRateHelperPillarDate(N4,Trigger),"--")</f>
        <v>42382</v>
      </c>
      <c r="X4" s="4" t="str">
        <f t="shared" si="0"/>
        <v>Sw</v>
      </c>
      <c r="Y4" s="4" t="str">
        <v>obj_0040d</v>
      </c>
      <c r="Z4" s="4" t="str">
        <v>obj_003ec</v>
      </c>
      <c r="AA4" s="4" t="str">
        <f>IFERROR(_xll.qlRateHelperQuoteName(Y4,Trigger),"")</f>
        <v>GBP2X1S_LCHQuote</v>
      </c>
      <c r="AB4" s="70">
        <f>IFERROR(_xll.qlRateHelperRate(Y4,Trigger),"")</f>
        <v>5.0875E-3</v>
      </c>
      <c r="AC4" s="104">
        <f>IF(ISERROR(_xll.qlSwapRateHelperSpread($Y4)),IF(ISERROR(_xll.qlFuturesRateHelperConvexityAdjustment($Y4)),"",_xll.qlFuturesRateHelperConvexityAdjustment($Y4)),_xll.qlSwapRateHelperSpread($Y4))</f>
        <v>0</v>
      </c>
      <c r="AD4" s="5">
        <f>IFERROR(_xll.qlRateHelperEarliestDate(Y4,Trigger),"")</f>
        <v>42321</v>
      </c>
      <c r="AE4" s="5">
        <f>IFERROR(_xll.qlRateHelperPillarDate(Y4,Trigger),"")</f>
        <v>42382</v>
      </c>
      <c r="AF4" s="70">
        <v>5.0856321220628395E-3</v>
      </c>
      <c r="AG4" s="77">
        <v>0.99915037391229566</v>
      </c>
      <c r="AH4" s="169">
        <v>42381</v>
      </c>
      <c r="AI4" s="170">
        <v>5.0750883560478502E-3</v>
      </c>
      <c r="AJ4" s="172">
        <f t="shared" si="1"/>
        <v>1.0543766014989298E-5</v>
      </c>
      <c r="AK4" s="80">
        <v>0.99915197753722895</v>
      </c>
      <c r="AL4" s="161">
        <f t="shared" si="2"/>
        <v>-1.6036249332884722E-6</v>
      </c>
      <c r="AN4" s="107" t="s">
        <v>85</v>
      </c>
      <c r="AO4" s="108">
        <v>0</v>
      </c>
    </row>
    <row r="5" spans="1:41" ht="11.25" customHeight="1" x14ac:dyDescent="0.2">
      <c r="A5" s="65" t="s">
        <v>9</v>
      </c>
      <c r="B5" s="65" t="s">
        <v>28</v>
      </c>
      <c r="C5" s="65" t="s">
        <v>111</v>
      </c>
      <c r="D5" s="65" t="s">
        <v>5</v>
      </c>
      <c r="E5" s="65" t="s">
        <v>33</v>
      </c>
      <c r="F5" s="65" t="s">
        <v>112</v>
      </c>
      <c r="G5" s="65" t="s">
        <v>4</v>
      </c>
      <c r="H5" s="65" t="s">
        <v>1</v>
      </c>
      <c r="I5" s="65" t="s">
        <v>110</v>
      </c>
      <c r="J5" s="65" t="s">
        <v>132</v>
      </c>
      <c r="K5" s="65" t="s">
        <v>133</v>
      </c>
      <c r="L5" s="48"/>
      <c r="M5" s="10" t="str">
        <f t="shared" si="3"/>
        <v>Sw</v>
      </c>
      <c r="N5" s="94" t="str">
        <f t="shared" si="4"/>
        <v>obj_003f6#0007</v>
      </c>
      <c r="O5" s="94" t="str">
        <f t="shared" si="4"/>
        <v>obj_003f1#0007</v>
      </c>
      <c r="P5" s="146" t="str">
        <f>IFERROR(_xll.qlRateHelperQuoteName(N5,Trigger),"--")</f>
        <v>GBP3X1S_LCHQuote</v>
      </c>
      <c r="Q5" s="98">
        <f>IFERROR(_xll.qlRateHelperQuoteValue($N5,Trigger),"--")</f>
        <v>5.0750000000000005E-3</v>
      </c>
      <c r="R5" s="141" t="b">
        <v>1</v>
      </c>
      <c r="S5" s="94">
        <v>10</v>
      </c>
      <c r="T5" s="94">
        <v>1</v>
      </c>
      <c r="U5" s="99">
        <f>IFERROR(_xll.qlRateHelperEarliestDate(N5,Trigger),"--")</f>
        <v>42321</v>
      </c>
      <c r="V5" s="99">
        <f>IFERROR(_xll.qlRateHelperPillarDate(N5,Trigger),"--")</f>
        <v>42415</v>
      </c>
      <c r="X5" s="4" t="str">
        <f t="shared" si="0"/>
        <v>Sw</v>
      </c>
      <c r="Y5" s="4" t="str">
        <v>obj_003f6</v>
      </c>
      <c r="Z5" s="4" t="str">
        <v>obj_003f1</v>
      </c>
      <c r="AA5" s="4" t="str">
        <f>IFERROR(_xll.qlRateHelperQuoteName(Y5,Trigger),"")</f>
        <v>GBP3X1S_LCHQuote</v>
      </c>
      <c r="AB5" s="70">
        <f>IFERROR(_xll.qlRateHelperRate(Y5,Trigger),"")</f>
        <v>5.0750000000000005E-3</v>
      </c>
      <c r="AC5" s="104">
        <f>IF(ISERROR(_xll.qlSwapRateHelperSpread($Y5)),IF(ISERROR(_xll.qlFuturesRateHelperConvexityAdjustment($Y5)),"",_xll.qlFuturesRateHelperConvexityAdjustment($Y5)),_xll.qlSwapRateHelperSpread($Y5))</f>
        <v>0</v>
      </c>
      <c r="AD5" s="5">
        <f>IFERROR(_xll.qlRateHelperEarliestDate(Y5,Trigger),"")</f>
        <v>42321</v>
      </c>
      <c r="AE5" s="5">
        <f>IFERROR(_xll.qlRateHelperPillarDate(Y5,Trigger),"")</f>
        <v>42415</v>
      </c>
      <c r="AF5" s="70">
        <v>5.0719759246082513E-3</v>
      </c>
      <c r="AG5" s="77">
        <v>0.99869458563309998</v>
      </c>
      <c r="AH5" s="169">
        <v>42412</v>
      </c>
      <c r="AI5" s="170">
        <v>5.1075180329826896E-3</v>
      </c>
      <c r="AJ5" s="172">
        <f t="shared" si="1"/>
        <v>-3.5542108374438282E-5</v>
      </c>
      <c r="AK5" s="80">
        <v>0.99871323739561502</v>
      </c>
      <c r="AL5" s="161">
        <f t="shared" si="2"/>
        <v>-1.8651762515031756E-5</v>
      </c>
      <c r="AM5" s="80"/>
      <c r="AN5" s="107" t="s">
        <v>86</v>
      </c>
      <c r="AO5" s="108">
        <v>0</v>
      </c>
    </row>
    <row r="6" spans="1:41" ht="11.25" customHeight="1" x14ac:dyDescent="0.2">
      <c r="A6" s="53" t="s">
        <v>25</v>
      </c>
      <c r="B6" s="54" t="s">
        <v>40</v>
      </c>
      <c r="C6" s="55" t="s">
        <v>6</v>
      </c>
      <c r="D6" s="55" t="s">
        <v>8</v>
      </c>
      <c r="E6" s="55" t="s">
        <v>7</v>
      </c>
      <c r="F6" s="55" t="s">
        <v>155</v>
      </c>
      <c r="G6" s="55" t="str">
        <f t="shared" ref="G6:G16" si="5">PROPER(Currency)&amp;FamilyName&amp;Tenor</f>
        <v>GbpLibor1M</v>
      </c>
      <c r="H6" s="53" t="str">
        <f t="shared" ref="H6:H16" si="6">IF(ReportQuoteOverwrite,Currency&amp;$H$4&amp;SUBSTITUTE(B6,"12M","1Y")&amp;ReportQuoteSuffix,Currency&amp;SUBSTITUTE($B6,"M","")&amp;$G$4&amp;QuoteSuffix)</f>
        <v>GBP2X1S_LCHQuote</v>
      </c>
      <c r="I6" s="126">
        <v>0</v>
      </c>
      <c r="J6" s="64" t="str">
        <f>_xll.qlSwapRateHelper2(,$H6,0,$B6,Calendar,$D6,$E6,$F6,$G6,$I6,$C6,Discounting1,PillarDate,,Permanent,Trigger,ObjectOverwrite)</f>
        <v>obj_0040d#0007</v>
      </c>
      <c r="K6" s="64" t="str">
        <f>_xll.qlSwapRateHelper2(,$H6,0,$B6,Calendar,$D6,$E6,$F6,$G6,$I6,$C6,Discounting2,PillarDate,,Permanent,Trigger,ObjectOverwrite)</f>
        <v>obj_003ec#0007</v>
      </c>
      <c r="L6" s="48"/>
      <c r="M6" s="10" t="str">
        <f t="shared" si="3"/>
        <v>Sw</v>
      </c>
      <c r="N6" s="94" t="str">
        <f t="shared" si="4"/>
        <v>--</v>
      </c>
      <c r="O6" s="94" t="str">
        <f t="shared" si="4"/>
        <v>--</v>
      </c>
      <c r="P6" s="146" t="str">
        <f>IFERROR(_xll.qlRateHelperQuoteName(N6,Trigger),"--")</f>
        <v>--</v>
      </c>
      <c r="Q6" s="98" t="str">
        <f>IFERROR(_xll.qlRateHelperQuoteValue($N6,Trigger),"--")</f>
        <v>--</v>
      </c>
      <c r="R6" s="141" t="b">
        <v>0</v>
      </c>
      <c r="S6" s="94">
        <v>10</v>
      </c>
      <c r="T6" s="94">
        <v>1</v>
      </c>
      <c r="U6" s="99" t="str">
        <f>IFERROR(_xll.qlRateHelperEarliestDate(N6,Trigger),"--")</f>
        <v>--</v>
      </c>
      <c r="V6" s="99" t="str">
        <f>IFERROR(_xll.qlRateHelperPillarDate(N6,Trigger),"--")</f>
        <v>--</v>
      </c>
      <c r="X6" s="4" t="str">
        <f t="shared" si="0"/>
        <v>Sw</v>
      </c>
      <c r="Y6" s="4" t="str">
        <v>obj_003f0</v>
      </c>
      <c r="Z6" s="4" t="str">
        <v>obj_003f5</v>
      </c>
      <c r="AA6" s="4" t="str">
        <f>IFERROR(_xll.qlRateHelperQuoteName(Y6,Trigger),"")</f>
        <v>GBP6X1S_LCHQuote</v>
      </c>
      <c r="AB6" s="70">
        <f>IFERROR(_xll.qlRateHelperRate(Y6,Trigger),"")</f>
        <v>5.2624999999999998E-3</v>
      </c>
      <c r="AC6" s="104">
        <f>IF(ISERROR(_xll.qlSwapRateHelperSpread($Y6)),IF(ISERROR(_xll.qlFuturesRateHelperConvexityAdjustment($Y6)),"",_xll.qlFuturesRateHelperConvexityAdjustment($Y6)),_xll.qlSwapRateHelperSpread($Y6))</f>
        <v>0</v>
      </c>
      <c r="AD6" s="5">
        <f>IFERROR(_xll.qlRateHelperEarliestDate(Y6,Trigger),"")</f>
        <v>42321</v>
      </c>
      <c r="AE6" s="5">
        <f>IFERROR(_xll.qlRateHelperPillarDate(Y6,Trigger),"")</f>
        <v>42503</v>
      </c>
      <c r="AF6" s="70">
        <v>5.2555307950712098E-3</v>
      </c>
      <c r="AG6" s="77">
        <v>0.99738307355069278</v>
      </c>
      <c r="AH6" s="169">
        <v>42502</v>
      </c>
      <c r="AI6" s="170">
        <v>5.3188481300918697E-3</v>
      </c>
      <c r="AJ6" s="172">
        <f t="shared" si="1"/>
        <v>-6.3317335020659886E-5</v>
      </c>
      <c r="AK6" s="80">
        <v>0.99735136531645596</v>
      </c>
      <c r="AL6" s="161">
        <f t="shared" si="2"/>
        <v>3.1708234236815791E-5</v>
      </c>
      <c r="AN6" s="107" t="s">
        <v>87</v>
      </c>
      <c r="AO6" s="109" t="s">
        <v>88</v>
      </c>
    </row>
    <row r="7" spans="1:41" ht="11.25" customHeight="1" x14ac:dyDescent="0.2">
      <c r="A7" s="59" t="s">
        <v>25</v>
      </c>
      <c r="B7" s="60" t="s">
        <v>0</v>
      </c>
      <c r="C7" s="61" t="s">
        <v>6</v>
      </c>
      <c r="D7" s="61" t="s">
        <v>8</v>
      </c>
      <c r="E7" s="61" t="s">
        <v>7</v>
      </c>
      <c r="F7" s="61" t="s">
        <v>155</v>
      </c>
      <c r="G7" s="61" t="str">
        <f t="shared" si="5"/>
        <v>GbpLibor1M</v>
      </c>
      <c r="H7" s="59" t="str">
        <f t="shared" si="6"/>
        <v>GBP3X1S_LCHQuote</v>
      </c>
      <c r="I7" s="127">
        <v>0</v>
      </c>
      <c r="J7" s="64" t="str">
        <f>_xll.qlSwapRateHelper2(,$H7,0,$B7,Calendar,$D7,$E7,$F7,$G7,$I7,$C7,Discounting1,PillarDate,,Permanent,Trigger,ObjectOverwrite)</f>
        <v>obj_003f6#0007</v>
      </c>
      <c r="K7" s="64" t="str">
        <f>_xll.qlSwapRateHelper2(,$H7,0,$B7,Calendar,$D7,$E7,$F7,$G7,$I7,$C7,Discounting2,PillarDate,,Permanent,Trigger,ObjectOverwrite)</f>
        <v>obj_003f1#0007</v>
      </c>
      <c r="L7" s="48"/>
      <c r="M7" s="10" t="str">
        <f t="shared" si="3"/>
        <v>Sw</v>
      </c>
      <c r="N7" s="94" t="str">
        <f t="shared" si="4"/>
        <v>--</v>
      </c>
      <c r="O7" s="94" t="str">
        <f t="shared" si="4"/>
        <v>--</v>
      </c>
      <c r="P7" s="146" t="str">
        <f>IFERROR(_xll.qlRateHelperQuoteName(N7,Trigger),"--")</f>
        <v>--</v>
      </c>
      <c r="Q7" s="98" t="str">
        <f>IFERROR(_xll.qlRateHelperQuoteValue($N7,Trigger),"--")</f>
        <v>--</v>
      </c>
      <c r="R7" s="141" t="b">
        <v>0</v>
      </c>
      <c r="S7" s="94">
        <v>10</v>
      </c>
      <c r="T7" s="94">
        <v>1</v>
      </c>
      <c r="U7" s="99" t="str">
        <f>IFERROR(_xll.qlRateHelperEarliestDate(N7,Trigger),"--")</f>
        <v>--</v>
      </c>
      <c r="V7" s="99" t="str">
        <f>IFERROR(_xll.qlRateHelperPillarDate(N7,Trigger),"--")</f>
        <v>--</v>
      </c>
      <c r="X7" s="4" t="str">
        <f t="shared" si="0"/>
        <v>Sw</v>
      </c>
      <c r="Y7" s="4" t="str">
        <v>obj_003fe</v>
      </c>
      <c r="Z7" s="4" t="str">
        <v>obj_0040a</v>
      </c>
      <c r="AA7" s="4" t="str">
        <f>IFERROR(_xll.qlRateHelperQuoteName(Y7,Trigger),"")</f>
        <v>GBP9X1S_LCHQuote</v>
      </c>
      <c r="AB7" s="70">
        <f>IFERROR(_xll.qlRateHelperRate(Y7,Trigger),"")</f>
        <v>5.575000000000001E-3</v>
      </c>
      <c r="AC7" s="104">
        <f>IF(ISERROR(_xll.qlSwapRateHelperSpread($Y7)),IF(ISERROR(_xll.qlFuturesRateHelperConvexityAdjustment($Y7)),"",_xll.qlFuturesRateHelperConvexityAdjustment($Y7)),_xll.qlSwapRateHelperSpread($Y7))</f>
        <v>0</v>
      </c>
      <c r="AD7" s="5">
        <f>IFERROR(_xll.qlRateHelperEarliestDate(Y7,Trigger),"")</f>
        <v>42321</v>
      </c>
      <c r="AE7" s="5">
        <f>IFERROR(_xll.qlRateHelperPillarDate(Y7,Trigger),"")</f>
        <v>42597</v>
      </c>
      <c r="AF7" s="70">
        <v>5.5638821381742577E-3</v>
      </c>
      <c r="AG7" s="77">
        <v>0.99580183280140722</v>
      </c>
      <c r="AH7" s="169">
        <v>42594</v>
      </c>
      <c r="AI7" s="170">
        <v>5.6503318803059E-3</v>
      </c>
      <c r="AJ7" s="172">
        <f t="shared" si="1"/>
        <v>-8.6449742131642325E-5</v>
      </c>
      <c r="AK7" s="80">
        <v>0.99576742704197196</v>
      </c>
      <c r="AL7" s="161">
        <f t="shared" si="2"/>
        <v>3.4405759435252037E-5</v>
      </c>
    </row>
    <row r="8" spans="1:41" ht="11.25" customHeight="1" x14ac:dyDescent="0.2">
      <c r="A8" s="59" t="s">
        <v>25</v>
      </c>
      <c r="B8" s="60" t="s">
        <v>41</v>
      </c>
      <c r="C8" s="61" t="s">
        <v>6</v>
      </c>
      <c r="D8" s="61" t="s">
        <v>8</v>
      </c>
      <c r="E8" s="61" t="s">
        <v>7</v>
      </c>
      <c r="F8" s="61" t="s">
        <v>155</v>
      </c>
      <c r="G8" s="61" t="str">
        <f t="shared" si="5"/>
        <v>GbpLibor1M</v>
      </c>
      <c r="H8" s="59" t="str">
        <f t="shared" si="6"/>
        <v>GBP4X1S_LCHQuote</v>
      </c>
      <c r="I8" s="127">
        <v>0</v>
      </c>
      <c r="J8" s="64"/>
      <c r="K8" s="64"/>
      <c r="L8" s="48"/>
      <c r="M8" s="10" t="str">
        <f t="shared" si="3"/>
        <v>Sw</v>
      </c>
      <c r="N8" s="94" t="str">
        <f t="shared" si="4"/>
        <v>obj_003f0#0007</v>
      </c>
      <c r="O8" s="94" t="str">
        <f t="shared" si="4"/>
        <v>obj_003f5#0007</v>
      </c>
      <c r="P8" s="146" t="str">
        <f>IFERROR(_xll.qlRateHelperQuoteName(N8,Trigger),"--")</f>
        <v>GBP6X1S_LCHQuote</v>
      </c>
      <c r="Q8" s="98">
        <f>IFERROR(_xll.qlRateHelperQuoteValue($N8,Trigger),"--")</f>
        <v>5.2624999999999998E-3</v>
      </c>
      <c r="R8" s="141" t="b">
        <v>1</v>
      </c>
      <c r="S8" s="94">
        <v>10</v>
      </c>
      <c r="T8" s="94">
        <v>1</v>
      </c>
      <c r="U8" s="99">
        <f>IFERROR(_xll.qlRateHelperEarliestDate(N8,Trigger),"--")</f>
        <v>42321</v>
      </c>
      <c r="V8" s="99">
        <f>IFERROR(_xll.qlRateHelperPillarDate(N8,Trigger),"--")</f>
        <v>42503</v>
      </c>
      <c r="X8" s="4" t="str">
        <f t="shared" si="0"/>
        <v>Sw</v>
      </c>
      <c r="Y8" s="4" t="str">
        <v>obj_003f7</v>
      </c>
      <c r="Z8" s="4" t="str">
        <v>obj_003f2</v>
      </c>
      <c r="AA8" s="4" t="str">
        <f>IFERROR(_xll.qlRateHelperQuoteName(Y8,Trigger),"")</f>
        <v>GBP12X1S_LCHQuote</v>
      </c>
      <c r="AB8" s="70">
        <f>IFERROR(_xll.qlRateHelperRate(Y8,Trigger),"")</f>
        <v>5.9499999999999996E-3</v>
      </c>
      <c r="AC8" s="104">
        <f>IF(ISERROR(_xll.qlSwapRateHelperSpread($Y8)),IF(ISERROR(_xll.qlFuturesRateHelperConvexityAdjustment($Y8)),"",_xll.qlFuturesRateHelperConvexityAdjustment($Y8)),_xll.qlSwapRateHelperSpread($Y8))</f>
        <v>0</v>
      </c>
      <c r="AD8" s="5">
        <f>IFERROR(_xll.qlRateHelperEarliestDate(Y8,Trigger),"")</f>
        <v>42321</v>
      </c>
      <c r="AE8" s="5">
        <f>IFERROR(_xll.qlRateHelperPillarDate(Y8,Trigger),"")</f>
        <v>42688</v>
      </c>
      <c r="AF8" s="70">
        <v>5.9329056819731251E-3</v>
      </c>
      <c r="AG8" s="77">
        <v>0.99405270125541556</v>
      </c>
      <c r="AH8" s="169">
        <v>42688</v>
      </c>
      <c r="AI8" s="170">
        <v>6.0619409388079498E-3</v>
      </c>
      <c r="AJ8" s="172">
        <f t="shared" si="1"/>
        <v>-1.2903525683482468E-4</v>
      </c>
      <c r="AK8" s="80">
        <v>0.99390692627800303</v>
      </c>
      <c r="AL8" s="161">
        <f t="shared" si="2"/>
        <v>1.4577497741252721E-4</v>
      </c>
    </row>
    <row r="9" spans="1:41" ht="11.25" customHeight="1" x14ac:dyDescent="0.2">
      <c r="A9" s="59" t="s">
        <v>25</v>
      </c>
      <c r="B9" s="60" t="s">
        <v>42</v>
      </c>
      <c r="C9" s="61" t="s">
        <v>6</v>
      </c>
      <c r="D9" s="61" t="s">
        <v>8</v>
      </c>
      <c r="E9" s="61" t="s">
        <v>7</v>
      </c>
      <c r="F9" s="61" t="s">
        <v>155</v>
      </c>
      <c r="G9" s="61" t="str">
        <f t="shared" si="5"/>
        <v>GbpLibor1M</v>
      </c>
      <c r="H9" s="59" t="str">
        <f t="shared" si="6"/>
        <v>GBP5X1S_LCHQuote</v>
      </c>
      <c r="I9" s="127">
        <v>0</v>
      </c>
      <c r="J9" s="64"/>
      <c r="K9" s="64"/>
      <c r="L9" s="48"/>
      <c r="M9" s="10" t="str">
        <f t="shared" si="3"/>
        <v>Sw</v>
      </c>
      <c r="N9" s="94" t="str">
        <f t="shared" si="4"/>
        <v>--</v>
      </c>
      <c r="O9" s="94" t="str">
        <f t="shared" si="4"/>
        <v>--</v>
      </c>
      <c r="P9" s="146" t="str">
        <f>IFERROR(_xll.qlRateHelperQuoteName(N9,Trigger),"--")</f>
        <v>--</v>
      </c>
      <c r="Q9" s="98" t="str">
        <f>IFERROR(_xll.qlRateHelperQuoteValue($N9,Trigger),"--")</f>
        <v>--</v>
      </c>
      <c r="R9" s="141" t="b">
        <v>0</v>
      </c>
      <c r="S9" s="94">
        <v>10</v>
      </c>
      <c r="T9" s="94">
        <v>1</v>
      </c>
      <c r="U9" s="99" t="str">
        <f>IFERROR(_xll.qlRateHelperEarliestDate(N9,Trigger),"--")</f>
        <v>--</v>
      </c>
      <c r="V9" s="99" t="str">
        <f>IFERROR(_xll.qlRateHelperPillarDate(N9,Trigger),"--")</f>
        <v>--</v>
      </c>
      <c r="X9" s="4" t="str">
        <f t="shared" si="0"/>
        <v>BasSw</v>
      </c>
      <c r="Y9" s="4" t="str">
        <v>obj_00405</v>
      </c>
      <c r="Z9" s="4" t="str">
        <v>obj_003fb</v>
      </c>
      <c r="AA9" s="4" t="str">
        <f>IFERROR(_xll.qlRateHelperQuoteName(Y9,Trigger),"")</f>
        <v>GBPSB6L2Y_LCHQuote</v>
      </c>
      <c r="AB9" s="70">
        <f>IFERROR(_xll.qlRateHelperRate(Y9,Trigger),"")</f>
        <v>9.92E-3</v>
      </c>
      <c r="AC9" s="104">
        <f>IF(ISERROR(_xll.qlSwapRateHelperSpread($Y9)),IF(ISERROR(_xll.qlFuturesRateHelperConvexityAdjustment($Y9)),"",_xll.qlFuturesRateHelperConvexityAdjustment($Y9)),_xll.qlSwapRateHelperSpread($Y9))</f>
        <v>1.9380000000000001E-3</v>
      </c>
      <c r="AD9" s="5">
        <f>IFERROR(_xll.qlRateHelperEarliestDate(Y9,Trigger),"")</f>
        <v>42321</v>
      </c>
      <c r="AE9" s="5">
        <f>IFERROR(_xll.qlRateHelperPillarDate(Y9,Trigger),"")</f>
        <v>43052</v>
      </c>
      <c r="AF9" s="70">
        <v>7.9717510555702715E-3</v>
      </c>
      <c r="AG9" s="77">
        <v>0.98416164426604091</v>
      </c>
      <c r="AH9" s="169">
        <v>43052</v>
      </c>
      <c r="AI9" s="170">
        <v>8.2500871183400892E-3</v>
      </c>
      <c r="AJ9" s="172">
        <f t="shared" si="1"/>
        <v>-2.7833606276981768E-4</v>
      </c>
      <c r="AK9" s="80">
        <v>0.98359079230186997</v>
      </c>
      <c r="AL9" s="161">
        <f t="shared" si="2"/>
        <v>5.7085196417094863E-4</v>
      </c>
    </row>
    <row r="10" spans="1:41" ht="11.25" customHeight="1" x14ac:dyDescent="0.2">
      <c r="A10" s="59" t="s">
        <v>25</v>
      </c>
      <c r="B10" s="60" t="s">
        <v>3</v>
      </c>
      <c r="C10" s="61" t="s">
        <v>6</v>
      </c>
      <c r="D10" s="61" t="s">
        <v>8</v>
      </c>
      <c r="E10" s="61" t="s">
        <v>7</v>
      </c>
      <c r="F10" s="61" t="s">
        <v>155</v>
      </c>
      <c r="G10" s="61" t="str">
        <f t="shared" si="5"/>
        <v>GbpLibor1M</v>
      </c>
      <c r="H10" s="59" t="str">
        <f t="shared" si="6"/>
        <v>GBP6X1S_LCHQuote</v>
      </c>
      <c r="I10" s="127">
        <v>0</v>
      </c>
      <c r="J10" s="64" t="str">
        <f>_xll.qlSwapRateHelper2(,$H10,0,$B10,Calendar,$D10,$E10,$F10,$G10,$I10,$C10,Discounting1,PillarDate,,Permanent,Trigger,ObjectOverwrite)</f>
        <v>obj_003f0#0007</v>
      </c>
      <c r="K10" s="64" t="str">
        <f>_xll.qlSwapRateHelper2(,$H10,0,$B10,Calendar,$D10,$E10,$F10,$G10,$I10,$C10,Discounting2,PillarDate,,Permanent,Trigger,ObjectOverwrite)</f>
        <v>obj_003f5#0007</v>
      </c>
      <c r="L10" s="48"/>
      <c r="M10" s="10" t="str">
        <f t="shared" si="3"/>
        <v>Sw</v>
      </c>
      <c r="N10" s="94" t="str">
        <f t="shared" si="4"/>
        <v>--</v>
      </c>
      <c r="O10" s="94" t="str">
        <f t="shared" si="4"/>
        <v>--</v>
      </c>
      <c r="P10" s="146" t="str">
        <f>IFERROR(_xll.qlRateHelperQuoteName(N10,Trigger),"--")</f>
        <v>--</v>
      </c>
      <c r="Q10" s="98" t="str">
        <f>IFERROR(_xll.qlRateHelperQuoteValue($N10,Trigger),"--")</f>
        <v>--</v>
      </c>
      <c r="R10" s="141" t="b">
        <v>0</v>
      </c>
      <c r="S10" s="94">
        <v>10</v>
      </c>
      <c r="T10" s="94">
        <v>1</v>
      </c>
      <c r="U10" s="99" t="str">
        <f>IFERROR(_xll.qlRateHelperEarliestDate(N10,Trigger),"--")</f>
        <v>--</v>
      </c>
      <c r="V10" s="99" t="str">
        <f>IFERROR(_xll.qlRateHelperPillarDate(N10,Trigger),"--")</f>
        <v>--</v>
      </c>
      <c r="X10" s="4" t="str">
        <f t="shared" si="0"/>
        <v>BasSw</v>
      </c>
      <c r="Y10" s="4" t="str">
        <v>obj_00400</v>
      </c>
      <c r="Z10" s="4" t="str">
        <v>obj_00410</v>
      </c>
      <c r="AA10" s="4" t="str">
        <f>IFERROR(_xll.qlRateHelperQuoteName(Y10,Trigger),"")</f>
        <v>GBPSB6L3Y_LCHQuote</v>
      </c>
      <c r="AB10" s="70">
        <f>IFERROR(_xll.qlRateHelperRate(Y10,Trigger),"")</f>
        <v>1.1979999999999999E-2</v>
      </c>
      <c r="AC10" s="104">
        <f>IF(ISERROR(_xll.qlSwapRateHelperSpread($Y10)),IF(ISERROR(_xll.qlFuturesRateHelperConvexityAdjustment($Y10)),"",_xll.qlFuturesRateHelperConvexityAdjustment($Y10)),_xll.qlSwapRateHelperSpread($Y10))</f>
        <v>1.9380000000000001E-3</v>
      </c>
      <c r="AD10" s="5">
        <f>IFERROR(_xll.qlRateHelperEarliestDate(Y10,Trigger),"")</f>
        <v>42321</v>
      </c>
      <c r="AE10" s="5">
        <f>IFERROR(_xll.qlRateHelperPillarDate(Y10,Trigger),"")</f>
        <v>43417</v>
      </c>
      <c r="AF10" s="70">
        <v>1.0041909783685098E-2</v>
      </c>
      <c r="AG10" s="77">
        <v>0.97030144027377885</v>
      </c>
      <c r="AH10" s="169">
        <v>43416</v>
      </c>
      <c r="AI10" s="170">
        <v>1.0339529663645399E-2</v>
      </c>
      <c r="AJ10" s="172">
        <f t="shared" si="1"/>
        <v>-2.9761987996030151E-4</v>
      </c>
      <c r="AK10" s="80">
        <v>0.96943018761155497</v>
      </c>
      <c r="AL10" s="161">
        <f t="shared" si="2"/>
        <v>8.7125266222387587E-4</v>
      </c>
    </row>
    <row r="11" spans="1:41" ht="11.25" customHeight="1" x14ac:dyDescent="0.2">
      <c r="A11" s="59" t="s">
        <v>25</v>
      </c>
      <c r="B11" s="60" t="s">
        <v>43</v>
      </c>
      <c r="C11" s="61" t="s">
        <v>6</v>
      </c>
      <c r="D11" s="61" t="s">
        <v>8</v>
      </c>
      <c r="E11" s="61" t="s">
        <v>7</v>
      </c>
      <c r="F11" s="61" t="s">
        <v>155</v>
      </c>
      <c r="G11" s="61" t="str">
        <f t="shared" si="5"/>
        <v>GbpLibor1M</v>
      </c>
      <c r="H11" s="59" t="str">
        <f t="shared" si="6"/>
        <v>GBP7X1S_LCHQuote</v>
      </c>
      <c r="I11" s="127">
        <v>0</v>
      </c>
      <c r="J11" s="64"/>
      <c r="K11" s="64"/>
      <c r="L11" s="48"/>
      <c r="M11" s="10" t="str">
        <f t="shared" si="3"/>
        <v>Sw</v>
      </c>
      <c r="N11" s="94" t="str">
        <f t="shared" si="4"/>
        <v>obj_003fe#0007</v>
      </c>
      <c r="O11" s="94" t="str">
        <f t="shared" si="4"/>
        <v>obj_0040a#0007</v>
      </c>
      <c r="P11" s="146" t="str">
        <f>IFERROR(_xll.qlRateHelperQuoteName(N11,Trigger),"--")</f>
        <v>GBP9X1S_LCHQuote</v>
      </c>
      <c r="Q11" s="98">
        <f>IFERROR(_xll.qlRateHelperQuoteValue($N11,Trigger),"--")</f>
        <v>5.575000000000001E-3</v>
      </c>
      <c r="R11" s="141" t="b">
        <v>1</v>
      </c>
      <c r="S11" s="94">
        <v>10</v>
      </c>
      <c r="T11" s="94">
        <v>1</v>
      </c>
      <c r="U11" s="99">
        <f>IFERROR(_xll.qlRateHelperEarliestDate(N11,Trigger),"--")</f>
        <v>42321</v>
      </c>
      <c r="V11" s="99">
        <f>IFERROR(_xll.qlRateHelperPillarDate(N11,Trigger),"--")</f>
        <v>42597</v>
      </c>
      <c r="X11" s="4" t="str">
        <f t="shared" si="0"/>
        <v>BasSw</v>
      </c>
      <c r="Y11" s="4" t="str">
        <v>obj_00404</v>
      </c>
      <c r="Z11" s="4" t="str">
        <v>obj_003ef</v>
      </c>
      <c r="AA11" s="4" t="str">
        <f>IFERROR(_xll.qlRateHelperQuoteName(Y11,Trigger),"")</f>
        <v>GBPSB6L4Y_LCHQuote</v>
      </c>
      <c r="AB11" s="70">
        <f>IFERROR(_xll.qlRateHelperRate(Y11,Trigger),"")</f>
        <v>1.3729999999999999E-2</v>
      </c>
      <c r="AC11" s="104">
        <f>IF(ISERROR(_xll.qlSwapRateHelperSpread($Y11)),IF(ISERROR(_xll.qlFuturesRateHelperConvexityAdjustment($Y11)),"",_xll.qlFuturesRateHelperConvexityAdjustment($Y11)),_xll.qlSwapRateHelperSpread($Y11))</f>
        <v>1.9380000000000001E-3</v>
      </c>
      <c r="AD11" s="5">
        <f>IFERROR(_xll.qlRateHelperEarliestDate(Y11,Trigger),"")</f>
        <v>42321</v>
      </c>
      <c r="AE11" s="5">
        <f>IFERROR(_xll.qlRateHelperPillarDate(Y11,Trigger),"")</f>
        <v>43782</v>
      </c>
      <c r="AF11" s="70">
        <v>1.1808349204417173E-2</v>
      </c>
      <c r="AG11" s="77">
        <v>0.95384157833903671</v>
      </c>
      <c r="AH11" s="169">
        <v>43781</v>
      </c>
      <c r="AI11" s="170">
        <v>1.20888585579108E-2</v>
      </c>
      <c r="AJ11" s="172">
        <f t="shared" si="1"/>
        <v>-2.805093534936267E-4</v>
      </c>
      <c r="AK11" s="80">
        <v>0.95276977685918196</v>
      </c>
      <c r="AL11" s="161">
        <f t="shared" si="2"/>
        <v>1.0718014798547504E-3</v>
      </c>
    </row>
    <row r="12" spans="1:41" ht="11.25" customHeight="1" x14ac:dyDescent="0.2">
      <c r="A12" s="59" t="s">
        <v>25</v>
      </c>
      <c r="B12" s="60" t="s">
        <v>44</v>
      </c>
      <c r="C12" s="61" t="s">
        <v>6</v>
      </c>
      <c r="D12" s="61" t="s">
        <v>8</v>
      </c>
      <c r="E12" s="61" t="s">
        <v>7</v>
      </c>
      <c r="F12" s="61" t="s">
        <v>155</v>
      </c>
      <c r="G12" s="61" t="str">
        <f t="shared" si="5"/>
        <v>GbpLibor1M</v>
      </c>
      <c r="H12" s="59" t="str">
        <f t="shared" si="6"/>
        <v>GBP8X1S_LCHQuote</v>
      </c>
      <c r="I12" s="127">
        <v>0</v>
      </c>
      <c r="J12" s="64"/>
      <c r="K12" s="64"/>
      <c r="L12" s="48" t="s">
        <v>35</v>
      </c>
      <c r="M12" s="10" t="str">
        <f t="shared" si="3"/>
        <v>Sw</v>
      </c>
      <c r="N12" s="94" t="str">
        <f t="shared" si="4"/>
        <v>--</v>
      </c>
      <c r="O12" s="94" t="str">
        <f t="shared" si="4"/>
        <v>--</v>
      </c>
      <c r="P12" s="146" t="str">
        <f>IFERROR(_xll.qlRateHelperQuoteName(N12,Trigger),"--")</f>
        <v>--</v>
      </c>
      <c r="Q12" s="98" t="str">
        <f>IFERROR(_xll.qlRateHelperQuoteValue($N12,Trigger),"--")</f>
        <v>--</v>
      </c>
      <c r="R12" s="141" t="b">
        <v>0</v>
      </c>
      <c r="S12" s="94">
        <v>10</v>
      </c>
      <c r="T12" s="94">
        <v>1</v>
      </c>
      <c r="U12" s="99" t="str">
        <f>IFERROR(_xll.qlRateHelperEarliestDate(N12,Trigger),"--")</f>
        <v>--</v>
      </c>
      <c r="V12" s="99" t="str">
        <f>IFERROR(_xll.qlRateHelperPillarDate(N12,Trigger),"--")</f>
        <v>--</v>
      </c>
      <c r="X12" s="4" t="str">
        <f t="shared" si="0"/>
        <v>BasSw</v>
      </c>
      <c r="Y12" s="4" t="str">
        <v>obj_00408</v>
      </c>
      <c r="Z12" s="4" t="str">
        <v>obj_003fa</v>
      </c>
      <c r="AA12" s="4" t="str">
        <f>IFERROR(_xll.qlRateHelperQuoteName(Y12,Trigger),"")</f>
        <v>GBPSB6L5Y_LCHQuote</v>
      </c>
      <c r="AB12" s="70">
        <f>IFERROR(_xll.qlRateHelperRate(Y12,Trigger),"")</f>
        <v>1.5190000000000002E-2</v>
      </c>
      <c r="AC12" s="104">
        <f>IF(ISERROR(_xll.qlSwapRateHelperSpread($Y12)),IF(ISERROR(_xll.qlFuturesRateHelperConvexityAdjustment($Y12)),"",_xll.qlFuturesRateHelperConvexityAdjustment($Y12)),_xll.qlSwapRateHelperSpread($Y12))</f>
        <v>1.9499999999999999E-3</v>
      </c>
      <c r="AD12" s="5">
        <f>IFERROR(_xll.qlRateHelperEarliestDate(Y12,Trigger),"")</f>
        <v>42321</v>
      </c>
      <c r="AE12" s="5">
        <f>IFERROR(_xll.qlRateHelperPillarDate(Y12,Trigger),"")</f>
        <v>44148</v>
      </c>
      <c r="AF12" s="70">
        <v>1.3277502158520723E-2</v>
      </c>
      <c r="AG12" s="77">
        <v>0.93570818707750603</v>
      </c>
      <c r="AH12" s="169">
        <v>44147</v>
      </c>
      <c r="AI12" s="170">
        <v>1.35395147140996E-2</v>
      </c>
      <c r="AJ12" s="172">
        <f t="shared" si="1"/>
        <v>-2.6201255557887701E-4</v>
      </c>
      <c r="AK12" s="80">
        <v>0.93448019182186903</v>
      </c>
      <c r="AL12" s="161">
        <f t="shared" si="2"/>
        <v>1.2279952556369933E-3</v>
      </c>
    </row>
    <row r="13" spans="1:41" ht="11.25" customHeight="1" x14ac:dyDescent="0.2">
      <c r="A13" s="59" t="s">
        <v>25</v>
      </c>
      <c r="B13" s="60" t="s">
        <v>45</v>
      </c>
      <c r="C13" s="61" t="s">
        <v>6</v>
      </c>
      <c r="D13" s="61" t="s">
        <v>8</v>
      </c>
      <c r="E13" s="61" t="s">
        <v>7</v>
      </c>
      <c r="F13" s="61" t="s">
        <v>155</v>
      </c>
      <c r="G13" s="61" t="str">
        <f t="shared" si="5"/>
        <v>GbpLibor1M</v>
      </c>
      <c r="H13" s="59" t="str">
        <f t="shared" si="6"/>
        <v>GBP9X1S_LCHQuote</v>
      </c>
      <c r="I13" s="127">
        <v>0</v>
      </c>
      <c r="J13" s="64" t="str">
        <f>_xll.qlSwapRateHelper2(,$H13,0,$B13,Calendar,$D13,$E13,$F13,$G13,$I13,$C13,Discounting1,PillarDate,,Permanent,Trigger,ObjectOverwrite)</f>
        <v>obj_003fe#0007</v>
      </c>
      <c r="K13" s="64" t="str">
        <f>_xll.qlSwapRateHelper2(,$H13,0,$B13,Calendar,$D13,$E13,$F13,$G13,$I13,$C13,Discounting2,PillarDate,,Permanent,Trigger,ObjectOverwrite)</f>
        <v>obj_0040a#0007</v>
      </c>
      <c r="L13" s="48"/>
      <c r="M13" s="10" t="str">
        <f t="shared" si="3"/>
        <v>Sw</v>
      </c>
      <c r="N13" s="94" t="str">
        <f t="shared" si="4"/>
        <v>--</v>
      </c>
      <c r="O13" s="94" t="str">
        <f t="shared" si="4"/>
        <v>--</v>
      </c>
      <c r="P13" s="146" t="str">
        <f>IFERROR(_xll.qlRateHelperQuoteName(N13,Trigger),"--")</f>
        <v>--</v>
      </c>
      <c r="Q13" s="98" t="str">
        <f>IFERROR(_xll.qlRateHelperQuoteValue($N13,Trigger),"--")</f>
        <v>--</v>
      </c>
      <c r="R13" s="141" t="b">
        <v>0</v>
      </c>
      <c r="S13" s="94">
        <v>10</v>
      </c>
      <c r="T13" s="94">
        <v>1</v>
      </c>
      <c r="U13" s="99" t="str">
        <f>IFERROR(_xll.qlRateHelperEarliestDate(N13,Trigger),"--")</f>
        <v>--</v>
      </c>
      <c r="V13" s="99" t="str">
        <f>IFERROR(_xll.qlRateHelperPillarDate(N13,Trigger),"--")</f>
        <v>--</v>
      </c>
      <c r="X13" s="4" t="str">
        <f t="shared" si="0"/>
        <v>BasSw</v>
      </c>
      <c r="Y13" s="4" t="str">
        <v>obj_003e9</v>
      </c>
      <c r="Z13" s="4" t="str">
        <v>obj_00411</v>
      </c>
      <c r="AA13" s="4" t="str">
        <f>IFERROR(_xll.qlRateHelperQuoteName(Y13,Trigger),"")</f>
        <v>GBPSB6L6Y_LCHQuote</v>
      </c>
      <c r="AB13" s="70">
        <f>IFERROR(_xll.qlRateHelperRate(Y13,Trigger),"")</f>
        <v>1.6410000000000001E-2</v>
      </c>
      <c r="AC13" s="104">
        <f>IF(ISERROR(_xll.qlSwapRateHelperSpread($Y13)),IF(ISERROR(_xll.qlFuturesRateHelperConvexityAdjustment($Y13)),"",_xll.qlFuturesRateHelperConvexityAdjustment($Y13)),_xll.qlSwapRateHelperSpread($Y13))</f>
        <v>1.9250000000000001E-3</v>
      </c>
      <c r="AD13" s="5">
        <f>IFERROR(_xll.qlRateHelperEarliestDate(Y13,Trigger),"")</f>
        <v>42321</v>
      </c>
      <c r="AE13" s="5">
        <f>IFERROR(_xll.qlRateHelperPillarDate(Y13,Trigger),"")</f>
        <v>44515</v>
      </c>
      <c r="AF13" s="70">
        <v>1.4549118383037858E-2</v>
      </c>
      <c r="AG13" s="77">
        <v>0.91626932725153665</v>
      </c>
      <c r="AH13" s="169">
        <v>44512</v>
      </c>
      <c r="AI13" s="170">
        <v>1.48144211231113E-2</v>
      </c>
      <c r="AJ13" s="172">
        <f t="shared" si="1"/>
        <v>-2.6530274007344201E-4</v>
      </c>
      <c r="AK13" s="80">
        <v>0.91488206979632802</v>
      </c>
      <c r="AL13" s="161">
        <f t="shared" si="2"/>
        <v>1.3872574552086236E-3</v>
      </c>
    </row>
    <row r="14" spans="1:41" ht="11.25" customHeight="1" x14ac:dyDescent="0.2">
      <c r="A14" s="59" t="s">
        <v>25</v>
      </c>
      <c r="B14" s="60" t="s">
        <v>46</v>
      </c>
      <c r="C14" s="61" t="s">
        <v>6</v>
      </c>
      <c r="D14" s="61" t="s">
        <v>8</v>
      </c>
      <c r="E14" s="61" t="s">
        <v>7</v>
      </c>
      <c r="F14" s="61" t="s">
        <v>155</v>
      </c>
      <c r="G14" s="61" t="str">
        <f t="shared" si="5"/>
        <v>GbpLibor1M</v>
      </c>
      <c r="H14" s="59" t="str">
        <f t="shared" si="6"/>
        <v>GBP10X1S_LCHQuote</v>
      </c>
      <c r="I14" s="127">
        <v>0</v>
      </c>
      <c r="J14" s="64"/>
      <c r="K14" s="64"/>
      <c r="L14" s="48"/>
      <c r="M14" s="11" t="str">
        <f t="shared" si="3"/>
        <v>Sw</v>
      </c>
      <c r="N14" s="95" t="str">
        <f t="shared" si="4"/>
        <v>obj_003f7#0007</v>
      </c>
      <c r="O14" s="95" t="str">
        <f t="shared" si="4"/>
        <v>obj_003f2#0007</v>
      </c>
      <c r="P14" s="147" t="str">
        <f>IFERROR(_xll.qlRateHelperQuoteName(N14,Trigger),"--")</f>
        <v>GBP12X1S_LCHQuote</v>
      </c>
      <c r="Q14" s="101">
        <f>IFERROR(_xll.qlRateHelperQuoteValue($N14,Trigger),"--")</f>
        <v>5.9499999999999996E-3</v>
      </c>
      <c r="R14" s="144" t="b">
        <v>1</v>
      </c>
      <c r="S14" s="95">
        <v>10</v>
      </c>
      <c r="T14" s="95">
        <v>1</v>
      </c>
      <c r="U14" s="102">
        <f>IFERROR(_xll.qlRateHelperEarliestDate(N14,Trigger),"--")</f>
        <v>42321</v>
      </c>
      <c r="V14" s="102">
        <f>IFERROR(_xll.qlRateHelperPillarDate(N14,Trigger),"--")</f>
        <v>42688</v>
      </c>
      <c r="X14" s="4" t="str">
        <f t="shared" si="0"/>
        <v>BasSw</v>
      </c>
      <c r="Y14" s="4" t="str">
        <v>obj_0040e</v>
      </c>
      <c r="Z14" s="4" t="str">
        <v>obj_0040b</v>
      </c>
      <c r="AA14" s="4" t="str">
        <f>IFERROR(_xll.qlRateHelperQuoteName(Y14,Trigger),"")</f>
        <v>GBPSB6L7Y_LCHQuote</v>
      </c>
      <c r="AB14" s="70">
        <f>IFERROR(_xll.qlRateHelperRate(Y14,Trigger),"")</f>
        <v>1.7420000000000001E-2</v>
      </c>
      <c r="AC14" s="104">
        <f>IF(ISERROR(_xll.qlSwapRateHelperSpread($Y14)),IF(ISERROR(_xll.qlFuturesRateHelperConvexityAdjustment($Y14)),"",_xll.qlFuturesRateHelperConvexityAdjustment($Y14)),_xll.qlSwapRateHelperSpread($Y14))</f>
        <v>1.8749999999999999E-3</v>
      </c>
      <c r="AD14" s="5">
        <f>IFERROR(_xll.qlRateHelperEarliestDate(Y14,Trigger),"")</f>
        <v>42321</v>
      </c>
      <c r="AE14" s="5">
        <f>IFERROR(_xll.qlRateHelperPillarDate(Y14,Trigger),"")</f>
        <v>44879</v>
      </c>
      <c r="AF14" s="70">
        <v>1.5639389002023194E-2</v>
      </c>
      <c r="AG14" s="77">
        <v>0.89619752636851902</v>
      </c>
      <c r="AH14" s="169">
        <v>44879</v>
      </c>
      <c r="AI14" s="170">
        <v>1.5894074379576701E-2</v>
      </c>
      <c r="AJ14" s="172">
        <f t="shared" si="1"/>
        <v>-2.5468537755350684E-4</v>
      </c>
      <c r="AK14" s="80">
        <v>0.89455916094166599</v>
      </c>
      <c r="AL14" s="161">
        <f t="shared" si="2"/>
        <v>1.6383654268530279E-3</v>
      </c>
    </row>
    <row r="15" spans="1:41" ht="11.25" customHeight="1" x14ac:dyDescent="0.2">
      <c r="A15" s="59" t="s">
        <v>25</v>
      </c>
      <c r="B15" s="60" t="s">
        <v>47</v>
      </c>
      <c r="C15" s="61" t="s">
        <v>6</v>
      </c>
      <c r="D15" s="61" t="s">
        <v>8</v>
      </c>
      <c r="E15" s="61" t="s">
        <v>7</v>
      </c>
      <c r="F15" s="61" t="s">
        <v>155</v>
      </c>
      <c r="G15" s="61" t="str">
        <f t="shared" si="5"/>
        <v>GbpLibor1M</v>
      </c>
      <c r="H15" s="59" t="str">
        <f t="shared" si="6"/>
        <v>GBP11X1S_LCHQuote</v>
      </c>
      <c r="I15" s="127">
        <v>0</v>
      </c>
      <c r="J15" s="64"/>
      <c r="K15" s="64"/>
      <c r="L15" s="48"/>
      <c r="M15" s="68" t="str">
        <f t="shared" ref="M15:M52" si="7">A19</f>
        <v>BasSw</v>
      </c>
      <c r="N15" s="131" t="str">
        <f t="shared" ref="N15:N52" si="8">IF(ISBLANK(J19),"--",J19)</f>
        <v>--</v>
      </c>
      <c r="O15" s="131" t="str">
        <f t="shared" ref="O15:O52" si="9">IF(ISBLANK(K19),"--",K19)</f>
        <v>--</v>
      </c>
      <c r="P15" s="145" t="str">
        <f>IFERROR(_xll.qlRateHelperQuoteName(N15,Trigger),"--")</f>
        <v>--</v>
      </c>
      <c r="Q15" s="133" t="str">
        <f>IFERROR(_xll.qlRateHelperQuoteValue($N15,Trigger),"--")</f>
        <v>--</v>
      </c>
      <c r="R15" s="137" t="b">
        <v>0</v>
      </c>
      <c r="S15" s="131">
        <v>10</v>
      </c>
      <c r="T15" s="131">
        <v>1</v>
      </c>
      <c r="U15" s="134" t="str">
        <f>IFERROR(_xll.qlRateHelperEarliestDate(N15,Trigger),"--")</f>
        <v>--</v>
      </c>
      <c r="V15" s="134" t="str">
        <f>IFERROR(_xll.qlRateHelperPillarDate(N15,Trigger),"--")</f>
        <v>--</v>
      </c>
      <c r="X15" s="4" t="str">
        <f t="shared" si="0"/>
        <v>BasSw</v>
      </c>
      <c r="Y15" s="4" t="str">
        <v>obj_00409</v>
      </c>
      <c r="Z15" s="4" t="str">
        <v>obj_00401</v>
      </c>
      <c r="AA15" s="4" t="str">
        <f>IFERROR(_xll.qlRateHelperQuoteName(Y15,Trigger),"")</f>
        <v>GBPSB6L8Y_LCHQuote</v>
      </c>
      <c r="AB15" s="70">
        <f>IFERROR(_xll.qlRateHelperRate(Y15,Trigger),"")</f>
        <v>1.8250000000000002E-2</v>
      </c>
      <c r="AC15" s="104">
        <f>IF(ISERROR(_xll.qlSwapRateHelperSpread($Y15)),IF(ISERROR(_xll.qlFuturesRateHelperConvexityAdjustment($Y15)),"",_xll.qlFuturesRateHelperConvexityAdjustment($Y15)),_xll.qlSwapRateHelperSpread($Y15))</f>
        <v>1.825E-3</v>
      </c>
      <c r="AD15" s="5">
        <f>IFERROR(_xll.qlRateHelperEarliestDate(Y15,Trigger),"")</f>
        <v>42321</v>
      </c>
      <c r="AE15" s="5">
        <f>IFERROR(_xll.qlRateHelperPillarDate(Y15,Trigger),"")</f>
        <v>45243</v>
      </c>
      <c r="AF15" s="70">
        <v>1.6550099812316265E-2</v>
      </c>
      <c r="AG15" s="77">
        <v>0.87591994674092577</v>
      </c>
      <c r="AH15" s="169">
        <v>45243</v>
      </c>
      <c r="AI15" s="170">
        <v>1.6788911705462199E-2</v>
      </c>
      <c r="AJ15" s="172">
        <f t="shared" si="1"/>
        <v>-2.3881189314593418E-4</v>
      </c>
      <c r="AK15" s="80">
        <v>0.87420552681275498</v>
      </c>
      <c r="AL15" s="161">
        <f t="shared" si="2"/>
        <v>1.714419928170785E-3</v>
      </c>
    </row>
    <row r="16" spans="1:41" ht="11.25" customHeight="1" x14ac:dyDescent="0.2">
      <c r="A16" s="1" t="s">
        <v>25</v>
      </c>
      <c r="B16" s="8" t="s">
        <v>113</v>
      </c>
      <c r="C16" s="7" t="s">
        <v>6</v>
      </c>
      <c r="D16" s="7" t="s">
        <v>8</v>
      </c>
      <c r="E16" s="7" t="s">
        <v>7</v>
      </c>
      <c r="F16" s="7" t="s">
        <v>155</v>
      </c>
      <c r="G16" s="7" t="str">
        <f t="shared" si="5"/>
        <v>GbpLibor1M</v>
      </c>
      <c r="H16" s="1" t="str">
        <f t="shared" si="6"/>
        <v>GBP12X1S_LCHQuote</v>
      </c>
      <c r="I16" s="130">
        <v>0</v>
      </c>
      <c r="J16" s="3" t="str">
        <f>_xll.qlSwapRateHelper2(,$H16,0,$B16,Calendar,$D16,$E16,$F16,$G16,$I16,$C16,Discounting1,PillarDate,,Permanent,Trigger,ObjectOverwrite)</f>
        <v>obj_003f7#0007</v>
      </c>
      <c r="K16" s="3" t="str">
        <f>_xll.qlSwapRateHelper2(,$H16,0,$B16,Calendar,$D16,$E16,$F16,$G16,$I16,$C16,Discounting2,PillarDate,,Permanent,Trigger,ObjectOverwrite)</f>
        <v>obj_003f2#0007</v>
      </c>
      <c r="L16" s="48"/>
      <c r="M16" s="10" t="str">
        <f t="shared" si="7"/>
        <v>BasSw</v>
      </c>
      <c r="N16" s="94" t="str">
        <f t="shared" si="8"/>
        <v>--</v>
      </c>
      <c r="O16" s="94" t="str">
        <f t="shared" si="9"/>
        <v>--</v>
      </c>
      <c r="P16" s="146" t="str">
        <f>IFERROR(_xll.qlRateHelperQuoteName(N16,Trigger),"--")</f>
        <v>--</v>
      </c>
      <c r="Q16" s="98" t="str">
        <f>IFERROR(_xll.qlRateHelperQuoteValue($N16,Trigger),"--")</f>
        <v>--</v>
      </c>
      <c r="R16" s="141" t="b">
        <v>0</v>
      </c>
      <c r="S16" s="94">
        <v>10</v>
      </c>
      <c r="T16" s="94">
        <v>1</v>
      </c>
      <c r="U16" s="99" t="str">
        <f>IFERROR(_xll.qlRateHelperEarliestDate(N16,Trigger),"--")</f>
        <v>--</v>
      </c>
      <c r="V16" s="99" t="str">
        <f>IFERROR(_xll.qlRateHelperPillarDate(N16,Trigger),"--")</f>
        <v>--</v>
      </c>
      <c r="X16" s="4" t="str">
        <f t="shared" si="0"/>
        <v>BasSw</v>
      </c>
      <c r="Y16" s="4" t="str">
        <v>obj_003ff</v>
      </c>
      <c r="Z16" s="4" t="str">
        <v>obj_0040f</v>
      </c>
      <c r="AA16" s="4" t="str">
        <f>IFERROR(_xll.qlRateHelperQuoteName(Y16,Trigger),"")</f>
        <v>GBPSB6L9Y_LCHQuote</v>
      </c>
      <c r="AB16" s="70">
        <f>IFERROR(_xll.qlRateHelperRate(Y16,Trigger),"")</f>
        <v>1.8940000000000002E-2</v>
      </c>
      <c r="AC16" s="104">
        <f>IF(ISERROR(_xll.qlSwapRateHelperSpread($Y16)),IF(ISERROR(_xll.qlFuturesRateHelperConvexityAdjustment($Y16)),"",_xll.qlFuturesRateHelperConvexityAdjustment($Y16)),_xll.qlSwapRateHelperSpread($Y16))</f>
        <v>1.7880000000000001E-3</v>
      </c>
      <c r="AD16" s="5">
        <f>IFERROR(_xll.qlRateHelperEarliestDate(Y16,Trigger),"")</f>
        <v>42321</v>
      </c>
      <c r="AE16" s="5">
        <f>IFERROR(_xll.qlRateHelperPillarDate(Y16,Trigger),"")</f>
        <v>45609</v>
      </c>
      <c r="AF16" s="70">
        <v>1.730656079909014E-2</v>
      </c>
      <c r="AG16" s="77">
        <v>0.85565561815792812</v>
      </c>
      <c r="AH16" s="169">
        <v>45608</v>
      </c>
      <c r="AI16" s="170">
        <v>1.75286097333603E-2</v>
      </c>
      <c r="AJ16" s="172">
        <f t="shared" si="1"/>
        <v>-2.2204893427016023E-4</v>
      </c>
      <c r="AK16" s="80">
        <v>0.85394661776843495</v>
      </c>
      <c r="AL16" s="161">
        <f t="shared" si="2"/>
        <v>1.709000389493176E-3</v>
      </c>
    </row>
    <row r="17" spans="1:38" ht="11.25" customHeight="1" x14ac:dyDescent="0.2">
      <c r="G17" s="50" t="s">
        <v>156</v>
      </c>
      <c r="H17" s="50" t="s">
        <v>149</v>
      </c>
      <c r="I17" s="103" t="s">
        <v>148</v>
      </c>
      <c r="L17" s="48"/>
      <c r="M17" s="10" t="str">
        <f t="shared" si="7"/>
        <v>BasSw</v>
      </c>
      <c r="N17" s="94" t="str">
        <f t="shared" si="8"/>
        <v>--</v>
      </c>
      <c r="O17" s="94" t="str">
        <f t="shared" si="9"/>
        <v>--</v>
      </c>
      <c r="P17" s="146" t="str">
        <f>IFERROR(_xll.qlRateHelperQuoteName(N17,Trigger),"--")</f>
        <v>--</v>
      </c>
      <c r="Q17" s="98" t="str">
        <f>IFERROR(_xll.qlRateHelperQuoteValue($N17,Trigger),"--")</f>
        <v>--</v>
      </c>
      <c r="R17" s="141" t="b">
        <v>0</v>
      </c>
      <c r="S17" s="94">
        <v>10</v>
      </c>
      <c r="T17" s="94">
        <v>1</v>
      </c>
      <c r="U17" s="99" t="str">
        <f>IFERROR(_xll.qlRateHelperEarliestDate(N17,Trigger),"--")</f>
        <v>--</v>
      </c>
      <c r="V17" s="99" t="str">
        <f>IFERROR(_xll.qlRateHelperPillarDate(N17,Trigger),"--")</f>
        <v>--</v>
      </c>
      <c r="X17" s="4" t="str">
        <f t="shared" si="0"/>
        <v>BasSw</v>
      </c>
      <c r="Y17" s="4" t="str">
        <v>obj_003f3</v>
      </c>
      <c r="Z17" s="4" t="str">
        <v>obj_003ed</v>
      </c>
      <c r="AA17" s="4" t="str">
        <f>IFERROR(_xll.qlRateHelperQuoteName(Y17,Trigger),"")</f>
        <v>GBPSB6L10Y_LCHQuote</v>
      </c>
      <c r="AB17" s="70">
        <f>IFERROR(_xll.qlRateHelperRate(Y17,Trigger),"")</f>
        <v>1.9519999999999999E-2</v>
      </c>
      <c r="AC17" s="104">
        <f>IF(ISERROR(_xll.qlSwapRateHelperSpread($Y17)),IF(ISERROR(_xll.qlFuturesRateHelperConvexityAdjustment($Y17)),"",_xll.qlFuturesRateHelperConvexityAdjustment($Y17)),_xll.qlSwapRateHelperSpread($Y17))</f>
        <v>1.75E-3</v>
      </c>
      <c r="AD17" s="5">
        <f>IFERROR(_xll.qlRateHelperEarliestDate(Y17,Trigger),"")</f>
        <v>42321</v>
      </c>
      <c r="AE17" s="5">
        <f>IFERROR(_xll.qlRateHelperPillarDate(Y17,Trigger),"")</f>
        <v>45974</v>
      </c>
      <c r="AF17" s="70">
        <v>1.7953382985358198E-2</v>
      </c>
      <c r="AG17" s="77">
        <v>0.83554867397924304</v>
      </c>
      <c r="AH17" s="169">
        <v>45973</v>
      </c>
      <c r="AI17" s="170">
        <v>1.8170222043246202E-2</v>
      </c>
      <c r="AJ17" s="172">
        <f t="shared" si="1"/>
        <v>-2.1683905788800334E-4</v>
      </c>
      <c r="AK17" s="80">
        <v>0.83374037237235499</v>
      </c>
      <c r="AL17" s="161">
        <f t="shared" si="2"/>
        <v>1.808301606888052E-3</v>
      </c>
    </row>
    <row r="18" spans="1:38" ht="11.25" customHeight="1" x14ac:dyDescent="0.2">
      <c r="A18" s="65" t="s">
        <v>9</v>
      </c>
      <c r="B18" s="65" t="s">
        <v>28</v>
      </c>
      <c r="C18" s="65" t="s">
        <v>111</v>
      </c>
      <c r="D18" s="65" t="s">
        <v>5</v>
      </c>
      <c r="E18" s="65" t="s">
        <v>33</v>
      </c>
      <c r="F18" s="65" t="s">
        <v>112</v>
      </c>
      <c r="G18" s="65" t="s">
        <v>4</v>
      </c>
      <c r="H18" s="65" t="s">
        <v>1</v>
      </c>
      <c r="I18" s="65" t="s">
        <v>110</v>
      </c>
      <c r="J18" s="65" t="s">
        <v>132</v>
      </c>
      <c r="K18" s="65" t="s">
        <v>133</v>
      </c>
      <c r="L18" s="48"/>
      <c r="M18" s="10" t="str">
        <f t="shared" si="7"/>
        <v>BasSw</v>
      </c>
      <c r="N18" s="94" t="str">
        <f t="shared" si="8"/>
        <v>--</v>
      </c>
      <c r="O18" s="94" t="str">
        <f t="shared" si="9"/>
        <v>--</v>
      </c>
      <c r="P18" s="146" t="str">
        <f>IFERROR(_xll.qlRateHelperQuoteName(N18,Trigger),"--")</f>
        <v>--</v>
      </c>
      <c r="Q18" s="98" t="str">
        <f>IFERROR(_xll.qlRateHelperQuoteValue($N18,Trigger),"--")</f>
        <v>--</v>
      </c>
      <c r="R18" s="141" t="b">
        <v>0</v>
      </c>
      <c r="S18" s="94">
        <v>10</v>
      </c>
      <c r="T18" s="94">
        <v>1</v>
      </c>
      <c r="U18" s="99" t="str">
        <f>IFERROR(_xll.qlRateHelperEarliestDate(N18,Trigger),"--")</f>
        <v>--</v>
      </c>
      <c r="V18" s="99" t="str">
        <f>IFERROR(_xll.qlRateHelperPillarDate(N18,Trigger),"--")</f>
        <v>--</v>
      </c>
      <c r="X18" s="4" t="str">
        <f t="shared" si="0"/>
        <v>BasSw</v>
      </c>
      <c r="Y18" s="4" t="str">
        <v>obj_003f9</v>
      </c>
      <c r="Z18" s="4" t="str">
        <v>obj_003fd</v>
      </c>
      <c r="AA18" s="4" t="str">
        <f>IFERROR(_xll.qlRateHelperQuoteName(Y18,Trigger),"")</f>
        <v>GBPSB6L12Y_LCHQuote</v>
      </c>
      <c r="AB18" s="70">
        <f>IFERROR(_xll.qlRateHelperRate(Y18,Trigger),"")</f>
        <v>2.043E-2</v>
      </c>
      <c r="AC18" s="104">
        <f>IF(ISERROR(_xll.qlSwapRateHelperSpread($Y18)),IF(ISERROR(_xll.qlFuturesRateHelperConvexityAdjustment($Y18)),"",_xll.qlFuturesRateHelperConvexityAdjustment($Y18)),_xll.qlSwapRateHelperSpread($Y18))</f>
        <v>1.6249999999999999E-3</v>
      </c>
      <c r="AD18" s="5">
        <f>IFERROR(_xll.qlRateHelperEarliestDate(Y18,Trigger),"")</f>
        <v>42321</v>
      </c>
      <c r="AE18" s="5">
        <f>IFERROR(_xll.qlRateHelperPillarDate(Y18,Trigger),"")</f>
        <v>46706</v>
      </c>
      <c r="AF18" s="70">
        <v>1.9048618703004356E-2</v>
      </c>
      <c r="AG18" s="77">
        <v>0.79547100339645971</v>
      </c>
      <c r="AH18" s="169">
        <v>46703</v>
      </c>
      <c r="AI18" s="170">
        <v>1.9243211771403899E-2</v>
      </c>
      <c r="AJ18" s="172">
        <f t="shared" si="1"/>
        <v>-1.9459306839954282E-4</v>
      </c>
      <c r="AK18" s="80">
        <v>0.79369954168452905</v>
      </c>
      <c r="AL18" s="161">
        <f t="shared" si="2"/>
        <v>1.7714617119306553E-3</v>
      </c>
    </row>
    <row r="19" spans="1:38" ht="11.25" customHeight="1" x14ac:dyDescent="0.2">
      <c r="A19" s="59" t="s">
        <v>115</v>
      </c>
      <c r="B19" s="60" t="s">
        <v>3</v>
      </c>
      <c r="C19" s="61" t="s">
        <v>6</v>
      </c>
      <c r="D19" s="61" t="s">
        <v>154</v>
      </c>
      <c r="E19" s="61" t="s">
        <v>7</v>
      </c>
      <c r="F19" s="61" t="s">
        <v>155</v>
      </c>
      <c r="G19" s="61" t="str">
        <f t="shared" ref="G19:G56" si="10">PROPER(Currency)&amp;FamilyName&amp;Tenor</f>
        <v>GbpLibor1M</v>
      </c>
      <c r="H19" s="59" t="str">
        <f t="shared" ref="H19:H56" si="11">IF(ReportQuoteOverwrite,Currency&amp;$H$17&amp;$I$17&amp;$B19&amp;ReportQuoteSuffix,Currency&amp;$G$17&amp;$I$17&amp;B19&amp;QuoteSuffix)</f>
        <v>GBPSB6L6M_LCHQuote</v>
      </c>
      <c r="I19" s="154" t="str">
        <f t="shared" ref="I19:I56" si="12">IF(ReportQuoteOverwrite,0,Currency&amp;$H$17&amp;$I$17&amp;B19&amp;QuoteSuffix)</f>
        <v>GBP1L6L6M_LCHQuote</v>
      </c>
      <c r="J19" s="64"/>
      <c r="K19" s="64"/>
      <c r="L19" s="48"/>
      <c r="M19" s="10" t="str">
        <f t="shared" si="7"/>
        <v>BasSw</v>
      </c>
      <c r="N19" s="94" t="str">
        <f t="shared" si="8"/>
        <v>--</v>
      </c>
      <c r="O19" s="94" t="str">
        <f t="shared" si="9"/>
        <v>--</v>
      </c>
      <c r="P19" s="146" t="str">
        <f>IFERROR(_xll.qlRateHelperQuoteName(N19,Trigger),"--")</f>
        <v>--</v>
      </c>
      <c r="Q19" s="98" t="str">
        <f>IFERROR(_xll.qlRateHelperQuoteValue($N19,Trigger),"--")</f>
        <v>--</v>
      </c>
      <c r="R19" s="141" t="b">
        <v>0</v>
      </c>
      <c r="S19" s="94">
        <v>10</v>
      </c>
      <c r="T19" s="94">
        <v>1</v>
      </c>
      <c r="U19" s="99" t="str">
        <f>IFERROR(_xll.qlRateHelperEarliestDate(N19,Trigger),"--")</f>
        <v>--</v>
      </c>
      <c r="V19" s="99" t="str">
        <f>IFERROR(_xll.qlRateHelperPillarDate(N19,Trigger),"--")</f>
        <v>--</v>
      </c>
      <c r="X19" s="4" t="str">
        <f t="shared" si="0"/>
        <v>BasSw</v>
      </c>
      <c r="Y19" s="4" t="str">
        <v>obj_00403</v>
      </c>
      <c r="Z19" s="4" t="str">
        <v>obj_003ea</v>
      </c>
      <c r="AA19" s="4" t="str">
        <f>IFERROR(_xll.qlRateHelperQuoteName(Y19,Trigger),"")</f>
        <v>GBPSB6L15Y_LCHQuote</v>
      </c>
      <c r="AB19" s="70">
        <f>IFERROR(_xll.qlRateHelperRate(Y19,Trigger),"")</f>
        <v>2.129E-2</v>
      </c>
      <c r="AC19" s="104">
        <f>IF(ISERROR(_xll.qlSwapRateHelperSpread($Y19)),IF(ISERROR(_xll.qlFuturesRateHelperConvexityAdjustment($Y19)),"",_xll.qlFuturesRateHelperConvexityAdjustment($Y19)),_xll.qlSwapRateHelperSpread($Y19))</f>
        <v>1.4499999999999999E-3</v>
      </c>
      <c r="AD19" s="5">
        <f>IFERROR(_xll.qlRateHelperEarliestDate(Y19,Trigger),"")</f>
        <v>42321</v>
      </c>
      <c r="AE19" s="5">
        <f>IFERROR(_xll.qlRateHelperPillarDate(Y19,Trigger),"")</f>
        <v>47800</v>
      </c>
      <c r="AF19" s="70">
        <v>2.0155784548153449E-2</v>
      </c>
      <c r="AG19" s="77">
        <v>0.73897841247611262</v>
      </c>
      <c r="AH19" s="169">
        <v>47799</v>
      </c>
      <c r="AI19" s="170">
        <v>2.03681583863079E-2</v>
      </c>
      <c r="AJ19" s="172">
        <f t="shared" si="1"/>
        <v>-2.1237383815445043E-4</v>
      </c>
      <c r="AK19" s="80">
        <v>0.73663709109184905</v>
      </c>
      <c r="AL19" s="161">
        <f t="shared" si="2"/>
        <v>2.3413213842635727E-3</v>
      </c>
    </row>
    <row r="20" spans="1:38" ht="11.25" customHeight="1" x14ac:dyDescent="0.2">
      <c r="A20" s="59" t="s">
        <v>115</v>
      </c>
      <c r="B20" s="60" t="s">
        <v>27</v>
      </c>
      <c r="C20" s="61" t="s">
        <v>6</v>
      </c>
      <c r="D20" s="61" t="s">
        <v>154</v>
      </c>
      <c r="E20" s="61" t="s">
        <v>7</v>
      </c>
      <c r="F20" s="61" t="s">
        <v>155</v>
      </c>
      <c r="G20" s="61" t="str">
        <f t="shared" si="10"/>
        <v>GbpLibor1M</v>
      </c>
      <c r="H20" s="59" t="str">
        <f t="shared" si="11"/>
        <v>GBPSB6L1Y_LCHQuote</v>
      </c>
      <c r="I20" s="154" t="str">
        <f t="shared" si="12"/>
        <v>GBP1L6L1Y_LCHQuote</v>
      </c>
      <c r="J20" s="64"/>
      <c r="K20" s="64"/>
      <c r="L20" s="48"/>
      <c r="M20" s="10" t="str">
        <f t="shared" si="7"/>
        <v>BasSw</v>
      </c>
      <c r="N20" s="94" t="str">
        <f t="shared" si="8"/>
        <v>obj_00405#0007</v>
      </c>
      <c r="O20" s="94" t="str">
        <f t="shared" si="9"/>
        <v>obj_003fb#0007</v>
      </c>
      <c r="P20" s="146" t="str">
        <f>IFERROR(_xll.qlRateHelperQuoteName(N20,Trigger),"--")</f>
        <v>GBPSB6L2Y_LCHQuote</v>
      </c>
      <c r="Q20" s="98">
        <f>IFERROR(_xll.qlRateHelperQuoteValue($N20,Trigger),"--")</f>
        <v>9.92E-3</v>
      </c>
      <c r="R20" s="141" t="b">
        <v>1</v>
      </c>
      <c r="S20" s="94">
        <v>10</v>
      </c>
      <c r="T20" s="94">
        <v>1</v>
      </c>
      <c r="U20" s="99">
        <f>IFERROR(_xll.qlRateHelperEarliestDate(N20,Trigger),"--")</f>
        <v>42321</v>
      </c>
      <c r="V20" s="99">
        <f>IFERROR(_xll.qlRateHelperPillarDate(N20,Trigger),"--")</f>
        <v>43052</v>
      </c>
      <c r="X20" s="4" t="str">
        <f t="shared" si="0"/>
        <v>BasSw</v>
      </c>
      <c r="Y20" s="4" t="str">
        <v>obj_0040c</v>
      </c>
      <c r="Z20" s="4" t="str">
        <v>obj_003e8</v>
      </c>
      <c r="AA20" s="4" t="str">
        <f>IFERROR(_xll.qlRateHelperQuoteName(Y20,Trigger),"")</f>
        <v>GBPSB6L20Y_LCHQuote</v>
      </c>
      <c r="AB20" s="70">
        <f>IFERROR(_xll.qlRateHelperRate(Y20,Trigger),"")</f>
        <v>2.1770000000000001E-2</v>
      </c>
      <c r="AC20" s="104">
        <f>IF(ISERROR(_xll.qlSwapRateHelperSpread($Y20)),IF(ISERROR(_xll.qlFuturesRateHelperConvexityAdjustment($Y20)),"",_xll.qlFuturesRateHelperConvexityAdjustment($Y20)),_xll.qlSwapRateHelperSpread($Y20))</f>
        <v>1.263E-3</v>
      </c>
      <c r="AD20" s="5">
        <f>IFERROR(_xll.qlRateHelperEarliestDate(Y20,Trigger),"")</f>
        <v>42321</v>
      </c>
      <c r="AE20" s="5">
        <f>IFERROR(_xll.qlRateHelperPillarDate(Y20,Trigger),"")</f>
        <v>49626</v>
      </c>
      <c r="AF20" s="70">
        <v>2.0840715797152271E-2</v>
      </c>
      <c r="AG20" s="77">
        <v>0.6591215803347904</v>
      </c>
      <c r="AH20" s="169">
        <v>49625</v>
      </c>
      <c r="AI20" s="170">
        <v>2.0949804866712499E-2</v>
      </c>
      <c r="AJ20" s="172">
        <f t="shared" si="1"/>
        <v>-1.0908906956022882E-4</v>
      </c>
      <c r="AK20" s="80">
        <v>0.65769158163028196</v>
      </c>
      <c r="AL20" s="161">
        <f t="shared" si="2"/>
        <v>1.4299987045084395E-3</v>
      </c>
    </row>
    <row r="21" spans="1:38" ht="11.25" customHeight="1" x14ac:dyDescent="0.2">
      <c r="A21" s="59" t="s">
        <v>115</v>
      </c>
      <c r="B21" s="60" t="s">
        <v>48</v>
      </c>
      <c r="C21" s="61" t="s">
        <v>6</v>
      </c>
      <c r="D21" s="61" t="s">
        <v>154</v>
      </c>
      <c r="E21" s="61" t="s">
        <v>7</v>
      </c>
      <c r="F21" s="61" t="s">
        <v>155</v>
      </c>
      <c r="G21" s="61" t="str">
        <f t="shared" si="10"/>
        <v>GbpLibor1M</v>
      </c>
      <c r="H21" s="59" t="str">
        <f t="shared" si="11"/>
        <v>GBPSB6L15M_LCHQuote</v>
      </c>
      <c r="I21" s="154" t="str">
        <f t="shared" si="12"/>
        <v>GBP1L6L15M_LCHQuote</v>
      </c>
      <c r="J21" s="64"/>
      <c r="K21" s="64"/>
      <c r="L21" s="48"/>
      <c r="M21" s="10" t="str">
        <f t="shared" si="7"/>
        <v>BasSw</v>
      </c>
      <c r="N21" s="94" t="str">
        <f t="shared" si="8"/>
        <v>obj_00400#0007</v>
      </c>
      <c r="O21" s="94" t="str">
        <f t="shared" si="9"/>
        <v>obj_00410#0007</v>
      </c>
      <c r="P21" s="146" t="str">
        <f>IFERROR(_xll.qlRateHelperQuoteName(N21,Trigger),"--")</f>
        <v>GBPSB6L3Y_LCHQuote</v>
      </c>
      <c r="Q21" s="98">
        <f>IFERROR(_xll.qlRateHelperQuoteValue($N21,Trigger),"--")</f>
        <v>1.1979999999999999E-2</v>
      </c>
      <c r="R21" s="141" t="b">
        <v>1</v>
      </c>
      <c r="S21" s="94">
        <v>10</v>
      </c>
      <c r="T21" s="94">
        <v>1</v>
      </c>
      <c r="U21" s="99">
        <f>IFERROR(_xll.qlRateHelperEarliestDate(N21,Trigger),"--")</f>
        <v>42321</v>
      </c>
      <c r="V21" s="99">
        <f>IFERROR(_xll.qlRateHelperPillarDate(N21,Trigger),"--")</f>
        <v>43417</v>
      </c>
      <c r="X21" s="4" t="str">
        <f t="shared" si="0"/>
        <v>BasSw</v>
      </c>
      <c r="Y21" s="4" t="str">
        <v>obj_003f8</v>
      </c>
      <c r="Z21" s="4" t="str">
        <v>obj_00407</v>
      </c>
      <c r="AA21" s="4" t="str">
        <f>IFERROR(_xll.qlRateHelperQuoteName(Y21,Trigger),"")</f>
        <v>GBPSB6L25Y_LCHQuote</v>
      </c>
      <c r="AB21" s="70">
        <f>IFERROR(_xll.qlRateHelperRate(Y21,Trigger),"")</f>
        <v>2.1649999999999999E-2</v>
      </c>
      <c r="AC21" s="104">
        <f>IF(ISERROR(_xll.qlSwapRateHelperSpread($Y21)),IF(ISERROR(_xll.qlFuturesRateHelperConvexityAdjustment($Y21)),"",_xll.qlFuturesRateHelperConvexityAdjustment($Y21)),_xll.qlSwapRateHelperSpread($Y21))</f>
        <v>1.1249999999999999E-3</v>
      </c>
      <c r="AD21" s="5">
        <f>IFERROR(_xll.qlRateHelperEarliestDate(Y21,Trigger),"")</f>
        <v>42321</v>
      </c>
      <c r="AE21" s="5">
        <f>IFERROR(_xll.qlRateHelperPillarDate(Y21,Trigger),"")</f>
        <v>51453</v>
      </c>
      <c r="AF21" s="70">
        <v>2.0775415941801347E-2</v>
      </c>
      <c r="AG21" s="77">
        <v>0.59483131302563863</v>
      </c>
      <c r="AH21" s="169">
        <v>51452</v>
      </c>
      <c r="AI21" s="170">
        <v>2.0835193380407999E-2</v>
      </c>
      <c r="AJ21" s="172">
        <f t="shared" si="1"/>
        <v>-5.977743860665144E-5</v>
      </c>
      <c r="AK21" s="80">
        <v>0.59394269504944197</v>
      </c>
      <c r="AL21" s="161">
        <f t="shared" si="2"/>
        <v>8.886179761966595E-4</v>
      </c>
    </row>
    <row r="22" spans="1:38" ht="11.25" customHeight="1" x14ac:dyDescent="0.2">
      <c r="A22" s="59" t="s">
        <v>115</v>
      </c>
      <c r="B22" s="60" t="s">
        <v>49</v>
      </c>
      <c r="C22" s="61" t="s">
        <v>6</v>
      </c>
      <c r="D22" s="61" t="s">
        <v>154</v>
      </c>
      <c r="E22" s="61" t="s">
        <v>7</v>
      </c>
      <c r="F22" s="61" t="s">
        <v>155</v>
      </c>
      <c r="G22" s="61" t="str">
        <f t="shared" si="10"/>
        <v>GbpLibor1M</v>
      </c>
      <c r="H22" s="59" t="str">
        <f t="shared" si="11"/>
        <v>GBPSB6L18M_LCHQuote</v>
      </c>
      <c r="I22" s="154" t="str">
        <f t="shared" si="12"/>
        <v>GBP1L6L18M_LCHQuote</v>
      </c>
      <c r="J22" s="64"/>
      <c r="K22" s="64"/>
      <c r="L22" s="48"/>
      <c r="M22" s="10" t="str">
        <f t="shared" si="7"/>
        <v>BasSw</v>
      </c>
      <c r="N22" s="94" t="str">
        <f t="shared" si="8"/>
        <v>obj_00404#0007</v>
      </c>
      <c r="O22" s="94" t="str">
        <f t="shared" si="9"/>
        <v>obj_003ef#0007</v>
      </c>
      <c r="P22" s="146" t="str">
        <f>IFERROR(_xll.qlRateHelperQuoteName(N22,Trigger),"--")</f>
        <v>GBPSB6L4Y_LCHQuote</v>
      </c>
      <c r="Q22" s="98">
        <f>IFERROR(_xll.qlRateHelperQuoteValue($N22,Trigger),"--")</f>
        <v>1.3729999999999999E-2</v>
      </c>
      <c r="R22" s="141" t="b">
        <v>1</v>
      </c>
      <c r="S22" s="94">
        <v>10</v>
      </c>
      <c r="T22" s="94">
        <v>1</v>
      </c>
      <c r="U22" s="99">
        <f>IFERROR(_xll.qlRateHelperEarliestDate(N22,Trigger),"--")</f>
        <v>42321</v>
      </c>
      <c r="V22" s="99">
        <f>IFERROR(_xll.qlRateHelperPillarDate(N22,Trigger),"--")</f>
        <v>43782</v>
      </c>
      <c r="X22" s="4" t="str">
        <f t="shared" si="0"/>
        <v>BasSw</v>
      </c>
      <c r="Y22" s="4" t="str">
        <v>obj_00412</v>
      </c>
      <c r="Z22" s="4" t="str">
        <v>obj_003eb</v>
      </c>
      <c r="AA22" s="4" t="str">
        <f>IFERROR(_xll.qlRateHelperQuoteName(Y22,Trigger),"")</f>
        <v>GBPSB6L30Y_LCHQuote</v>
      </c>
      <c r="AB22" s="70">
        <f>IFERROR(_xll.qlRateHelperRate(Y22,Trigger),"")</f>
        <v>2.1470000000000003E-2</v>
      </c>
      <c r="AC22" s="104">
        <f>IF(ISERROR(_xll.qlSwapRateHelperSpread($Y22)),IF(ISERROR(_xll.qlFuturesRateHelperConvexityAdjustment($Y22)),"",_xll.qlFuturesRateHelperConvexityAdjustment($Y22)),_xll.qlSwapRateHelperSpread($Y22))</f>
        <v>1.0250000000000001E-3</v>
      </c>
      <c r="AD22" s="5">
        <f>IFERROR(_xll.qlRateHelperEarliestDate(Y22,Trigger),"")</f>
        <v>42321</v>
      </c>
      <c r="AE22" s="5">
        <f>IFERROR(_xll.qlRateHelperPillarDate(Y22,Trigger),"")</f>
        <v>53279</v>
      </c>
      <c r="AF22" s="70">
        <v>2.0611092851614502E-2</v>
      </c>
      <c r="AG22" s="77">
        <v>0.53877699093009634</v>
      </c>
      <c r="AH22" s="169">
        <v>53279</v>
      </c>
      <c r="AI22" s="170">
        <v>2.0627481317957101E-2</v>
      </c>
      <c r="AJ22" s="172">
        <f t="shared" si="1"/>
        <v>-1.6388466342599078E-5</v>
      </c>
      <c r="AK22" s="80">
        <v>0.53847945988678703</v>
      </c>
      <c r="AL22" s="161">
        <f t="shared" si="2"/>
        <v>2.9753104330931812E-4</v>
      </c>
    </row>
    <row r="23" spans="1:38" ht="11.25" customHeight="1" x14ac:dyDescent="0.2">
      <c r="A23" s="59" t="s">
        <v>115</v>
      </c>
      <c r="B23" s="60" t="s">
        <v>50</v>
      </c>
      <c r="C23" s="61" t="s">
        <v>6</v>
      </c>
      <c r="D23" s="61" t="s">
        <v>154</v>
      </c>
      <c r="E23" s="61" t="s">
        <v>7</v>
      </c>
      <c r="F23" s="61" t="s">
        <v>155</v>
      </c>
      <c r="G23" s="61" t="str">
        <f t="shared" si="10"/>
        <v>GbpLibor1M</v>
      </c>
      <c r="H23" s="59" t="str">
        <f t="shared" si="11"/>
        <v>GBPSB6L21M_LCHQuote</v>
      </c>
      <c r="I23" s="154" t="str">
        <f t="shared" si="12"/>
        <v>GBP1L6L21M_LCHQuote</v>
      </c>
      <c r="J23" s="64"/>
      <c r="K23" s="64"/>
      <c r="L23" s="48"/>
      <c r="M23" s="10" t="str">
        <f t="shared" si="7"/>
        <v>BasSw</v>
      </c>
      <c r="N23" s="94" t="str">
        <f t="shared" si="8"/>
        <v>obj_00408#0007</v>
      </c>
      <c r="O23" s="94" t="str">
        <f t="shared" si="9"/>
        <v>obj_003fa#0007</v>
      </c>
      <c r="P23" s="146" t="str">
        <f>IFERROR(_xll.qlRateHelperQuoteName(N23,Trigger),"--")</f>
        <v>GBPSB6L5Y_LCHQuote</v>
      </c>
      <c r="Q23" s="98">
        <f>IFERROR(_xll.qlRateHelperQuoteValue($N23,Trigger),"--")</f>
        <v>1.5190000000000002E-2</v>
      </c>
      <c r="R23" s="141" t="b">
        <v>1</v>
      </c>
      <c r="S23" s="94">
        <v>10</v>
      </c>
      <c r="T23" s="94">
        <v>1</v>
      </c>
      <c r="U23" s="99">
        <f>IFERROR(_xll.qlRateHelperEarliestDate(N23,Trigger),"--")</f>
        <v>42321</v>
      </c>
      <c r="V23" s="99">
        <f>IFERROR(_xll.qlRateHelperPillarDate(N23,Trigger),"--")</f>
        <v>44148</v>
      </c>
      <c r="X23" s="4" t="str">
        <f t="shared" si="0"/>
        <v>BasSw</v>
      </c>
      <c r="Y23" s="4" t="str">
        <v>obj_00406</v>
      </c>
      <c r="Z23" s="4" t="str">
        <v>obj_003fc</v>
      </c>
      <c r="AA23" s="4" t="str">
        <f>IFERROR(_xll.qlRateHelperQuoteName(Y23,Trigger),"")</f>
        <v>GBPSB6L40Y_LCHQuote</v>
      </c>
      <c r="AB23" s="70">
        <f>IFERROR(_xll.qlRateHelperRate(Y23,Trigger),"")</f>
        <v>2.085E-2</v>
      </c>
      <c r="AC23" s="104">
        <f>IF(ISERROR(_xll.qlSwapRateHelperSpread($Y23)),IF(ISERROR(_xll.qlFuturesRateHelperConvexityAdjustment($Y23)),"",_xll.qlFuturesRateHelperConvexityAdjustment($Y23)),_xll.qlSwapRateHelperSpread($Y23))</f>
        <v>9.1299999999999997E-4</v>
      </c>
      <c r="AD23" s="5">
        <f>IFERROR(_xll.qlRateHelperEarliestDate(Y23,Trigger),"")</f>
        <v>42321</v>
      </c>
      <c r="AE23" s="5">
        <f>IFERROR(_xll.qlRateHelperPillarDate(Y23,Trigger),"")</f>
        <v>56933</v>
      </c>
      <c r="AF23" s="70">
        <v>1.9841583787695804E-2</v>
      </c>
      <c r="AG23" s="77">
        <v>0.45210306953049501</v>
      </c>
      <c r="AH23" s="169">
        <v>56930</v>
      </c>
      <c r="AI23" s="170">
        <v>1.9844830102936101E-2</v>
      </c>
      <c r="AJ23" s="172">
        <f t="shared" si="1"/>
        <v>-3.2463152402975592E-6</v>
      </c>
      <c r="AK23" s="80">
        <v>0.45208127876576798</v>
      </c>
      <c r="AL23" s="161">
        <f t="shared" si="2"/>
        <v>2.1790764727025458E-5</v>
      </c>
    </row>
    <row r="24" spans="1:38" ht="11.25" customHeight="1" x14ac:dyDescent="0.2">
      <c r="A24" s="59" t="s">
        <v>115</v>
      </c>
      <c r="B24" s="60" t="s">
        <v>51</v>
      </c>
      <c r="C24" s="61" t="s">
        <v>6</v>
      </c>
      <c r="D24" s="61" t="s">
        <v>154</v>
      </c>
      <c r="E24" s="61" t="s">
        <v>7</v>
      </c>
      <c r="F24" s="61" t="s">
        <v>155</v>
      </c>
      <c r="G24" s="61" t="str">
        <f t="shared" si="10"/>
        <v>GbpLibor1M</v>
      </c>
      <c r="H24" s="59" t="str">
        <f t="shared" si="11"/>
        <v>GBPSB6L2Y_LCHQuote</v>
      </c>
      <c r="I24" s="154" t="str">
        <f t="shared" si="12"/>
        <v>GBP1L6L2Y_LCHQuote</v>
      </c>
      <c r="J24" s="64" t="str">
        <f>_xll.qlSwapRateHelper2(,$H24,0,$B24,Calendar,$D24,$E24,$F24,$G24,$I24,$C24,Discounting1,PillarDate,,Permanent,Trigger,ObjectOverwrite)</f>
        <v>obj_00405#0007</v>
      </c>
      <c r="K24" s="64" t="str">
        <f>_xll.qlSwapRateHelper2(,$H24,0,$B24,Calendar,$D24,$E24,$F24,$G24,$I24,$C24,Discounting2,PillarDate,,Permanent,Trigger,ObjectOverwrite)</f>
        <v>obj_003fb#0007</v>
      </c>
      <c r="L24" s="48"/>
      <c r="M24" s="10" t="str">
        <f t="shared" si="7"/>
        <v>BasSw</v>
      </c>
      <c r="N24" s="94" t="str">
        <f t="shared" si="8"/>
        <v>obj_003e9#0007</v>
      </c>
      <c r="O24" s="94" t="str">
        <f t="shared" si="9"/>
        <v>obj_00411#0007</v>
      </c>
      <c r="P24" s="146" t="str">
        <f>IFERROR(_xll.qlRateHelperQuoteName(N24,Trigger),"--")</f>
        <v>GBPSB6L6Y_LCHQuote</v>
      </c>
      <c r="Q24" s="98">
        <f>IFERROR(_xll.qlRateHelperQuoteValue($N24,Trigger),"--")</f>
        <v>1.6410000000000001E-2</v>
      </c>
      <c r="R24" s="141" t="b">
        <v>1</v>
      </c>
      <c r="S24" s="94">
        <v>10</v>
      </c>
      <c r="T24" s="94">
        <v>1</v>
      </c>
      <c r="U24" s="99">
        <f>IFERROR(_xll.qlRateHelperEarliestDate(N24,Trigger),"--")</f>
        <v>42321</v>
      </c>
      <c r="V24" s="99">
        <f>IFERROR(_xll.qlRateHelperPillarDate(N24,Trigger),"--")</f>
        <v>44515</v>
      </c>
      <c r="X24" s="4" t="str">
        <f t="shared" si="0"/>
        <v>BasSw</v>
      </c>
      <c r="Y24" s="4" t="str">
        <v>obj_003ee</v>
      </c>
      <c r="Z24" s="4" t="str">
        <v>obj_003f4</v>
      </c>
      <c r="AA24" s="4" t="str">
        <f>IFERROR(_xll.qlRateHelperQuoteName(Y24,Trigger),"")</f>
        <v>GBPSB6L50Y_LCHQuote</v>
      </c>
      <c r="AB24" s="70">
        <f>IFERROR(_xll.qlRateHelperRate(Y24,Trigger),"")</f>
        <v>2.0419999999999997E-2</v>
      </c>
      <c r="AC24" s="104">
        <f>IF(ISERROR(_xll.qlSwapRateHelperSpread($Y24)),IF(ISERROR(_xll.qlFuturesRateHelperConvexityAdjustment($Y24)),"",_xll.qlFuturesRateHelperConvexityAdjustment($Y24)),_xll.qlSwapRateHelperSpread($Y24))</f>
        <v>8.4999999999999995E-4</v>
      </c>
      <c r="AD24" s="5">
        <f>IFERROR(_xll.qlRateHelperEarliestDate(Y24,Trigger),"")</f>
        <v>42321</v>
      </c>
      <c r="AE24" s="5">
        <f>IFERROR(_xll.qlRateHelperPillarDate(Y24,Trigger),"")</f>
        <v>60584</v>
      </c>
      <c r="AF24" s="70">
        <v>1.9288178065001532E-2</v>
      </c>
      <c r="AG24" s="77">
        <v>0.38094096686097789</v>
      </c>
      <c r="AH24" s="169">
        <v>60583</v>
      </c>
      <c r="AI24" s="170">
        <v>1.92230199309954E-2</v>
      </c>
      <c r="AJ24" s="172">
        <f t="shared" si="1"/>
        <v>6.5158134006131768E-5</v>
      </c>
      <c r="AK24" s="80">
        <v>0.38219344000986899</v>
      </c>
      <c r="AL24" s="161">
        <f t="shared" si="2"/>
        <v>-1.2524731488910978E-3</v>
      </c>
    </row>
    <row r="25" spans="1:38" ht="11.25" customHeight="1" x14ac:dyDescent="0.2">
      <c r="A25" s="59" t="s">
        <v>115</v>
      </c>
      <c r="B25" s="60" t="s">
        <v>52</v>
      </c>
      <c r="C25" s="61" t="s">
        <v>6</v>
      </c>
      <c r="D25" s="61" t="s">
        <v>154</v>
      </c>
      <c r="E25" s="61" t="s">
        <v>7</v>
      </c>
      <c r="F25" s="61" t="s">
        <v>155</v>
      </c>
      <c r="G25" s="61" t="str">
        <f t="shared" si="10"/>
        <v>GbpLibor1M</v>
      </c>
      <c r="H25" s="59" t="str">
        <f t="shared" si="11"/>
        <v>GBPSB6L3Y_LCHQuote</v>
      </c>
      <c r="I25" s="154" t="str">
        <f t="shared" si="12"/>
        <v>GBP1L6L3Y_LCHQuote</v>
      </c>
      <c r="J25" s="64" t="str">
        <f>_xll.qlSwapRateHelper2(,$H25,0,$B25,Calendar,$D25,$E25,$F25,$G25,$I25,$C25,Discounting1,PillarDate,,Permanent,Trigger,ObjectOverwrite)</f>
        <v>obj_00400#0007</v>
      </c>
      <c r="K25" s="64" t="str">
        <f>_xll.qlSwapRateHelper2(,$H25,0,$B25,Calendar,$D25,$E25,$F25,$G25,$I25,$C25,Discounting2,PillarDate,,Permanent,Trigger,ObjectOverwrite)</f>
        <v>obj_00410#0007</v>
      </c>
      <c r="L25" s="48"/>
      <c r="M25" s="10" t="str">
        <f t="shared" si="7"/>
        <v>BasSw</v>
      </c>
      <c r="N25" s="94" t="str">
        <f t="shared" si="8"/>
        <v>obj_0040e#0007</v>
      </c>
      <c r="O25" s="94" t="str">
        <f t="shared" si="9"/>
        <v>obj_0040b#0007</v>
      </c>
      <c r="P25" s="146" t="str">
        <f>IFERROR(_xll.qlRateHelperQuoteName(N25,Trigger),"--")</f>
        <v>GBPSB6L7Y_LCHQuote</v>
      </c>
      <c r="Q25" s="98">
        <f>IFERROR(_xll.qlRateHelperQuoteValue($N25,Trigger),"--")</f>
        <v>1.7420000000000001E-2</v>
      </c>
      <c r="R25" s="141" t="b">
        <v>1</v>
      </c>
      <c r="S25" s="94">
        <v>10</v>
      </c>
      <c r="T25" s="94">
        <v>1</v>
      </c>
      <c r="U25" s="99">
        <f>IFERROR(_xll.qlRateHelperEarliestDate(N25,Trigger),"--")</f>
        <v>42321</v>
      </c>
      <c r="V25" s="99">
        <f>IFERROR(_xll.qlRateHelperPillarDate(N25,Trigger),"--")</f>
        <v>44879</v>
      </c>
      <c r="X25" s="4" t="str">
        <f t="shared" si="0"/>
        <v>BasSw</v>
      </c>
      <c r="Y25" s="4" t="str">
        <v>obj_00402</v>
      </c>
      <c r="Z25" s="4" t="str">
        <v>obj_003e7</v>
      </c>
      <c r="AA25" s="4" t="str">
        <f>IFERROR(_xll.qlRateHelperQuoteName(Y25,Trigger),"")</f>
        <v>GBPSB6L60Y_LCHQuote</v>
      </c>
      <c r="AB25" s="70">
        <f>IFERROR(_xll.qlRateHelperRate(Y25,Trigger),"")</f>
        <v>2.0390000000000002E-2</v>
      </c>
      <c r="AC25" s="104">
        <f>IF(ISERROR(_xll.qlSwapRateHelperSpread($Y25)),IF(ISERROR(_xll.qlFuturesRateHelperConvexityAdjustment($Y25)),"",_xll.qlFuturesRateHelperConvexityAdjustment($Y25)),_xll.qlSwapRateHelperSpread($Y25))</f>
        <v>7.7499999999999997E-4</v>
      </c>
      <c r="AD25" s="5">
        <f>IFERROR(_xll.qlRateHelperEarliestDate(Y25,Trigger),"")</f>
        <v>42321</v>
      </c>
      <c r="AE25" s="5">
        <f>IFERROR(_xll.qlRateHelperPillarDate(Y25,Trigger),"")</f>
        <v>64236</v>
      </c>
      <c r="AF25" s="70">
        <v>1.9394781241921545E-2</v>
      </c>
      <c r="AG25" s="77">
        <v>0.3119808922716153</v>
      </c>
      <c r="AH25" s="169">
        <v>64235</v>
      </c>
      <c r="AI25" s="170">
        <v>1.9196440264511099E-2</v>
      </c>
      <c r="AJ25" s="172">
        <f t="shared" si="1"/>
        <v>1.9834097741044596E-4</v>
      </c>
      <c r="AK25" s="80">
        <v>0.31572508986889303</v>
      </c>
      <c r="AL25" s="161">
        <f t="shared" si="2"/>
        <v>-3.7441975972777319E-3</v>
      </c>
    </row>
    <row r="26" spans="1:38" ht="11.25" customHeight="1" x14ac:dyDescent="0.2">
      <c r="A26" s="59" t="s">
        <v>115</v>
      </c>
      <c r="B26" s="60" t="s">
        <v>53</v>
      </c>
      <c r="C26" s="61" t="s">
        <v>6</v>
      </c>
      <c r="D26" s="61" t="s">
        <v>154</v>
      </c>
      <c r="E26" s="61" t="s">
        <v>7</v>
      </c>
      <c r="F26" s="61" t="s">
        <v>155</v>
      </c>
      <c r="G26" s="61" t="str">
        <f t="shared" si="10"/>
        <v>GbpLibor1M</v>
      </c>
      <c r="H26" s="59" t="str">
        <f t="shared" si="11"/>
        <v>GBPSB6L4Y_LCHQuote</v>
      </c>
      <c r="I26" s="154" t="str">
        <f t="shared" si="12"/>
        <v>GBP1L6L4Y_LCHQuote</v>
      </c>
      <c r="J26" s="64" t="str">
        <f>_xll.qlSwapRateHelper2(,$H26,0,$B26,Calendar,$D26,$E26,$F26,$G26,$I26,$C26,Discounting1,PillarDate,,Permanent,Trigger,ObjectOverwrite)</f>
        <v>obj_00404#0007</v>
      </c>
      <c r="K26" s="64" t="str">
        <f>_xll.qlSwapRateHelper2(,$H26,0,$B26,Calendar,$D26,$E26,$F26,$G26,$I26,$C26,Discounting2,PillarDate,,Permanent,Trigger,ObjectOverwrite)</f>
        <v>obj_003ef#0007</v>
      </c>
      <c r="L26" s="48"/>
      <c r="M26" s="10" t="str">
        <f t="shared" si="7"/>
        <v>BasSw</v>
      </c>
      <c r="N26" s="94" t="str">
        <f t="shared" si="8"/>
        <v>obj_00409#0007</v>
      </c>
      <c r="O26" s="94" t="str">
        <f t="shared" si="9"/>
        <v>obj_00401#0007</v>
      </c>
      <c r="P26" s="146" t="str">
        <f>IFERROR(_xll.qlRateHelperQuoteName(N26,Trigger),"--")</f>
        <v>GBPSB6L8Y_LCHQuote</v>
      </c>
      <c r="Q26" s="98">
        <f>IFERROR(_xll.qlRateHelperQuoteValue($N26,Trigger),"--")</f>
        <v>1.8250000000000002E-2</v>
      </c>
      <c r="R26" s="141" t="b">
        <v>1</v>
      </c>
      <c r="S26" s="94">
        <v>10</v>
      </c>
      <c r="T26" s="94">
        <v>1</v>
      </c>
      <c r="U26" s="99">
        <f>IFERROR(_xll.qlRateHelperEarliestDate(N26,Trigger),"--")</f>
        <v>42321</v>
      </c>
      <c r="V26" s="99">
        <f>IFERROR(_xll.qlRateHelperPillarDate(N26,Trigger),"--")</f>
        <v>45243</v>
      </c>
      <c r="X26" s="4" t="str">
        <f t="shared" si="0"/>
        <v/>
      </c>
      <c r="Y26" s="4" t="e">
        <v>#N/A</v>
      </c>
      <c r="Z26" s="4" t="e">
        <v>#N/A</v>
      </c>
      <c r="AA26" s="4" t="str">
        <f>IFERROR(_xll.qlRateHelperQuoteName(Y26,Trigger),"")</f>
        <v/>
      </c>
      <c r="AB26" s="70" t="str">
        <f>IFERROR(_xll.qlRateHelperRate(Y26,Trigger),"")</f>
        <v/>
      </c>
      <c r="AC26" s="104" t="str">
        <f>IF(ISERROR(_xll.qlSwapRateHelperSpread($Y26)),IF(ISERROR(_xll.qlFuturesRateHelperConvexityAdjustment($Y26)),"",_xll.qlFuturesRateHelperConvexityAdjustment($Y26)),_xll.qlSwapRateHelperSpread($Y26))</f>
        <v/>
      </c>
      <c r="AD26" s="5" t="str">
        <f>IFERROR(_xll.qlRateHelperEarliestDate(Y26,Trigger),"")</f>
        <v/>
      </c>
      <c r="AE26" s="5" t="str">
        <f>IFERROR(_xll.qlRateHelperPillarDate(Y26,Trigger),"")</f>
        <v/>
      </c>
      <c r="AF26" s="70" t="e">
        <v>#N/A</v>
      </c>
      <c r="AG26" s="77" t="e">
        <v>#N/A</v>
      </c>
      <c r="AH26" s="169" t="e">
        <v>#N/A</v>
      </c>
      <c r="AI26" s="170" t="e">
        <v>#N/A</v>
      </c>
      <c r="AJ26" s="172" t="e">
        <f t="shared" si="1"/>
        <v>#N/A</v>
      </c>
      <c r="AK26" s="80" t="e">
        <v>#N/A</v>
      </c>
      <c r="AL26" s="161" t="e">
        <f t="shared" si="2"/>
        <v>#N/A</v>
      </c>
    </row>
    <row r="27" spans="1:38" ht="11.25" customHeight="1" x14ac:dyDescent="0.2">
      <c r="A27" s="59" t="s">
        <v>115</v>
      </c>
      <c r="B27" s="60" t="s">
        <v>54</v>
      </c>
      <c r="C27" s="61" t="s">
        <v>6</v>
      </c>
      <c r="D27" s="61" t="s">
        <v>154</v>
      </c>
      <c r="E27" s="61" t="s">
        <v>7</v>
      </c>
      <c r="F27" s="61" t="s">
        <v>155</v>
      </c>
      <c r="G27" s="61" t="str">
        <f t="shared" si="10"/>
        <v>GbpLibor1M</v>
      </c>
      <c r="H27" s="59" t="str">
        <f t="shared" si="11"/>
        <v>GBPSB6L5Y_LCHQuote</v>
      </c>
      <c r="I27" s="154" t="str">
        <f t="shared" si="12"/>
        <v>GBP1L6L5Y_LCHQuote</v>
      </c>
      <c r="J27" s="64" t="str">
        <f>_xll.qlSwapRateHelper2(,$H27,0,$B27,Calendar,$D27,$E27,$F27,$G27,$I27,$C27,Discounting1,PillarDate,,Permanent,Trigger,ObjectOverwrite)</f>
        <v>obj_00408#0007</v>
      </c>
      <c r="K27" s="64" t="str">
        <f>_xll.qlSwapRateHelper2(,$H27,0,$B27,Calendar,$D27,$E27,$F27,$G27,$I27,$C27,Discounting2,PillarDate,,Permanent,Trigger,ObjectOverwrite)</f>
        <v>obj_003fa#0007</v>
      </c>
      <c r="L27" s="48"/>
      <c r="M27" s="10" t="str">
        <f t="shared" si="7"/>
        <v>BasSw</v>
      </c>
      <c r="N27" s="94" t="str">
        <f t="shared" si="8"/>
        <v>obj_003ff#0007</v>
      </c>
      <c r="O27" s="94" t="str">
        <f t="shared" si="9"/>
        <v>obj_0040f#0007</v>
      </c>
      <c r="P27" s="146" t="str">
        <f>IFERROR(_xll.qlRateHelperQuoteName(N27,Trigger),"--")</f>
        <v>GBPSB6L9Y_LCHQuote</v>
      </c>
      <c r="Q27" s="98">
        <f>IFERROR(_xll.qlRateHelperQuoteValue($N27,Trigger),"--")</f>
        <v>1.8940000000000002E-2</v>
      </c>
      <c r="R27" s="141" t="b">
        <v>1</v>
      </c>
      <c r="S27" s="94">
        <v>10</v>
      </c>
      <c r="T27" s="94">
        <v>1</v>
      </c>
      <c r="U27" s="99">
        <f>IFERROR(_xll.qlRateHelperEarliestDate(N27,Trigger),"--")</f>
        <v>42321</v>
      </c>
      <c r="V27" s="99">
        <f>IFERROR(_xll.qlRateHelperPillarDate(N27,Trigger),"--")</f>
        <v>45609</v>
      </c>
      <c r="X27" s="4" t="str">
        <f t="shared" si="0"/>
        <v/>
      </c>
      <c r="Y27" s="4" t="e">
        <v>#N/A</v>
      </c>
      <c r="Z27" s="4" t="e">
        <v>#N/A</v>
      </c>
      <c r="AA27" s="4" t="str">
        <f>IFERROR(_xll.qlRateHelperQuoteName(Y27,Trigger),"")</f>
        <v/>
      </c>
      <c r="AB27" s="70" t="str">
        <f>IFERROR(_xll.qlRateHelperRate(Y27,Trigger),"")</f>
        <v/>
      </c>
      <c r="AC27" s="104" t="str">
        <f>IF(ISERROR(_xll.qlSwapRateHelperSpread($Y27)),IF(ISERROR(_xll.qlFuturesRateHelperConvexityAdjustment($Y27)),"",_xll.qlFuturesRateHelperConvexityAdjustment($Y27)),_xll.qlSwapRateHelperSpread($Y27))</f>
        <v/>
      </c>
      <c r="AD27" s="5" t="str">
        <f>IFERROR(_xll.qlRateHelperEarliestDate(Y27,Trigger),"")</f>
        <v/>
      </c>
      <c r="AE27" s="5" t="str">
        <f>IFERROR(_xll.qlRateHelperPillarDate(Y27,Trigger),"")</f>
        <v/>
      </c>
      <c r="AF27" s="70" t="e">
        <v>#N/A</v>
      </c>
      <c r="AG27" s="77" t="e">
        <v>#N/A</v>
      </c>
      <c r="AH27" s="169" t="e">
        <v>#N/A</v>
      </c>
      <c r="AI27" s="170" t="e">
        <v>#N/A</v>
      </c>
      <c r="AJ27" s="172" t="e">
        <f t="shared" si="1"/>
        <v>#N/A</v>
      </c>
      <c r="AK27" s="80" t="e">
        <v>#N/A</v>
      </c>
      <c r="AL27" s="161" t="e">
        <f t="shared" si="2"/>
        <v>#N/A</v>
      </c>
    </row>
    <row r="28" spans="1:38" ht="11.25" customHeight="1" x14ac:dyDescent="0.2">
      <c r="A28" s="59" t="s">
        <v>115</v>
      </c>
      <c r="B28" s="60" t="s">
        <v>55</v>
      </c>
      <c r="C28" s="61" t="s">
        <v>6</v>
      </c>
      <c r="D28" s="61" t="s">
        <v>154</v>
      </c>
      <c r="E28" s="61" t="s">
        <v>7</v>
      </c>
      <c r="F28" s="61" t="s">
        <v>155</v>
      </c>
      <c r="G28" s="61" t="str">
        <f t="shared" si="10"/>
        <v>GbpLibor1M</v>
      </c>
      <c r="H28" s="59" t="str">
        <f t="shared" si="11"/>
        <v>GBPSB6L6Y_LCHQuote</v>
      </c>
      <c r="I28" s="154" t="str">
        <f t="shared" si="12"/>
        <v>GBP1L6L6Y_LCHQuote</v>
      </c>
      <c r="J28" s="64" t="str">
        <f>_xll.qlSwapRateHelper2(,$H28,0,$B28,Calendar,$D28,$E28,$F28,$G28,$I28,$C28,Discounting1,PillarDate,,Permanent,Trigger,ObjectOverwrite)</f>
        <v>obj_003e9#0007</v>
      </c>
      <c r="K28" s="64" t="str">
        <f>_xll.qlSwapRateHelper2(,$H28,0,$B28,Calendar,$D28,$E28,$F28,$G28,$I28,$C28,Discounting2,PillarDate,,Permanent,Trigger,ObjectOverwrite)</f>
        <v>obj_00411#0007</v>
      </c>
      <c r="L28" s="48"/>
      <c r="M28" s="10" t="str">
        <f t="shared" si="7"/>
        <v>BasSw</v>
      </c>
      <c r="N28" s="94" t="str">
        <f t="shared" si="8"/>
        <v>obj_003f3#0007</v>
      </c>
      <c r="O28" s="94" t="str">
        <f t="shared" si="9"/>
        <v>obj_003ed#0007</v>
      </c>
      <c r="P28" s="146" t="str">
        <f>IFERROR(_xll.qlRateHelperQuoteName(N28,Trigger),"--")</f>
        <v>GBPSB6L10Y_LCHQuote</v>
      </c>
      <c r="Q28" s="98">
        <f>IFERROR(_xll.qlRateHelperQuoteValue($N28,Trigger),"--")</f>
        <v>1.9519999999999999E-2</v>
      </c>
      <c r="R28" s="141" t="b">
        <v>1</v>
      </c>
      <c r="S28" s="94">
        <v>10</v>
      </c>
      <c r="T28" s="94">
        <v>1</v>
      </c>
      <c r="U28" s="99">
        <f>IFERROR(_xll.qlRateHelperEarliestDate(N28,Trigger),"--")</f>
        <v>42321</v>
      </c>
      <c r="V28" s="99">
        <f>IFERROR(_xll.qlRateHelperPillarDate(N28,Trigger),"--")</f>
        <v>45974</v>
      </c>
      <c r="X28" s="4" t="str">
        <f t="shared" si="0"/>
        <v/>
      </c>
      <c r="Y28" s="4" t="e">
        <v>#N/A</v>
      </c>
      <c r="Z28" s="4" t="e">
        <v>#N/A</v>
      </c>
      <c r="AA28" s="4" t="str">
        <f>IFERROR(_xll.qlRateHelperQuoteName(Y28,Trigger),"")</f>
        <v/>
      </c>
      <c r="AB28" s="70" t="str">
        <f>IFERROR(_xll.qlRateHelperRate(Y28,Trigger),"")</f>
        <v/>
      </c>
      <c r="AC28" s="104" t="str">
        <f>IF(ISERROR(_xll.qlSwapRateHelperSpread($Y28)),IF(ISERROR(_xll.qlFuturesRateHelperConvexityAdjustment($Y28)),"",_xll.qlFuturesRateHelperConvexityAdjustment($Y28)),_xll.qlSwapRateHelperSpread($Y28))</f>
        <v/>
      </c>
      <c r="AD28" s="5" t="str">
        <f>IFERROR(_xll.qlRateHelperEarliestDate(Y28,Trigger),"")</f>
        <v/>
      </c>
      <c r="AE28" s="5" t="str">
        <f>IFERROR(_xll.qlRateHelperPillarDate(Y28,Trigger),"")</f>
        <v/>
      </c>
      <c r="AF28" s="70" t="e">
        <v>#N/A</v>
      </c>
      <c r="AG28" s="77" t="e">
        <v>#N/A</v>
      </c>
      <c r="AH28" s="169" t="e">
        <v>#N/A</v>
      </c>
      <c r="AI28" s="170" t="e">
        <v>#N/A</v>
      </c>
      <c r="AJ28" s="172" t="e">
        <f t="shared" si="1"/>
        <v>#N/A</v>
      </c>
      <c r="AK28" s="80" t="e">
        <v>#N/A</v>
      </c>
      <c r="AL28" s="161" t="e">
        <f t="shared" si="2"/>
        <v>#N/A</v>
      </c>
    </row>
    <row r="29" spans="1:38" ht="11.25" customHeight="1" x14ac:dyDescent="0.2">
      <c r="A29" s="59" t="s">
        <v>115</v>
      </c>
      <c r="B29" s="60" t="s">
        <v>56</v>
      </c>
      <c r="C29" s="61" t="s">
        <v>6</v>
      </c>
      <c r="D29" s="61" t="s">
        <v>154</v>
      </c>
      <c r="E29" s="61" t="s">
        <v>7</v>
      </c>
      <c r="F29" s="61" t="s">
        <v>155</v>
      </c>
      <c r="G29" s="61" t="str">
        <f t="shared" si="10"/>
        <v>GbpLibor1M</v>
      </c>
      <c r="H29" s="59" t="str">
        <f t="shared" si="11"/>
        <v>GBPSB6L7Y_LCHQuote</v>
      </c>
      <c r="I29" s="154" t="str">
        <f t="shared" si="12"/>
        <v>GBP1L6L7Y_LCHQuote</v>
      </c>
      <c r="J29" s="64" t="str">
        <f>_xll.qlSwapRateHelper2(,$H29,0,$B29,Calendar,$D29,$E29,$F29,$G29,$I29,$C29,Discounting1,PillarDate,,Permanent,Trigger,ObjectOverwrite)</f>
        <v>obj_0040e#0007</v>
      </c>
      <c r="K29" s="64" t="str">
        <f>_xll.qlSwapRateHelper2(,$H29,0,$B29,Calendar,$D29,$E29,$F29,$G29,$I29,$C29,Discounting2,PillarDate,,Permanent,Trigger,ObjectOverwrite)</f>
        <v>obj_0040b#0007</v>
      </c>
      <c r="L29" s="48"/>
      <c r="M29" s="10" t="str">
        <f t="shared" si="7"/>
        <v>BasSw</v>
      </c>
      <c r="N29" s="94" t="str">
        <f t="shared" si="8"/>
        <v>--</v>
      </c>
      <c r="O29" s="94" t="str">
        <f t="shared" si="9"/>
        <v>--</v>
      </c>
      <c r="P29" s="146" t="str">
        <f>IFERROR(_xll.qlRateHelperQuoteName(N29,Trigger),"--")</f>
        <v>--</v>
      </c>
      <c r="Q29" s="98" t="str">
        <f>IFERROR(_xll.qlRateHelperQuoteValue($N29,Trigger),"--")</f>
        <v>--</v>
      </c>
      <c r="R29" s="141" t="b">
        <v>0</v>
      </c>
      <c r="S29" s="94">
        <v>10</v>
      </c>
      <c r="T29" s="94">
        <v>1</v>
      </c>
      <c r="U29" s="99" t="str">
        <f>IFERROR(_xll.qlRateHelperEarliestDate(N29,Trigger),"--")</f>
        <v>--</v>
      </c>
      <c r="V29" s="99" t="str">
        <f>IFERROR(_xll.qlRateHelperPillarDate(N29,Trigger),"--")</f>
        <v>--</v>
      </c>
      <c r="X29" s="4" t="str">
        <f t="shared" si="0"/>
        <v/>
      </c>
      <c r="Y29" s="4" t="e">
        <v>#N/A</v>
      </c>
      <c r="Z29" s="4" t="e">
        <v>#N/A</v>
      </c>
      <c r="AA29" s="4" t="str">
        <f>IFERROR(_xll.qlRateHelperQuoteName(Y29,Trigger),"")</f>
        <v/>
      </c>
      <c r="AB29" s="70" t="str">
        <f>IFERROR(_xll.qlRateHelperRate(Y29,Trigger),"")</f>
        <v/>
      </c>
      <c r="AC29" s="104" t="str">
        <f>IF(ISERROR(_xll.qlSwapRateHelperSpread($Y29)),IF(ISERROR(_xll.qlFuturesRateHelperConvexityAdjustment($Y29)),"",_xll.qlFuturesRateHelperConvexityAdjustment($Y29)),_xll.qlSwapRateHelperSpread($Y29))</f>
        <v/>
      </c>
      <c r="AD29" s="5" t="str">
        <f>IFERROR(_xll.qlRateHelperEarliestDate(Y29,Trigger),"")</f>
        <v/>
      </c>
      <c r="AE29" s="5" t="str">
        <f>IFERROR(_xll.qlRateHelperPillarDate(Y29,Trigger),"")</f>
        <v/>
      </c>
      <c r="AF29" s="70" t="e">
        <v>#N/A</v>
      </c>
      <c r="AG29" s="77" t="e">
        <v>#N/A</v>
      </c>
      <c r="AH29" s="169" t="e">
        <v>#N/A</v>
      </c>
      <c r="AI29" s="170" t="e">
        <v>#N/A</v>
      </c>
      <c r="AJ29" s="172" t="e">
        <f t="shared" si="1"/>
        <v>#N/A</v>
      </c>
      <c r="AK29" s="80" t="e">
        <v>#N/A</v>
      </c>
      <c r="AL29" s="161" t="e">
        <f t="shared" si="2"/>
        <v>#N/A</v>
      </c>
    </row>
    <row r="30" spans="1:38" ht="11.25" customHeight="1" x14ac:dyDescent="0.2">
      <c r="A30" s="59" t="s">
        <v>115</v>
      </c>
      <c r="B30" s="60" t="s">
        <v>57</v>
      </c>
      <c r="C30" s="61" t="s">
        <v>6</v>
      </c>
      <c r="D30" s="61" t="s">
        <v>154</v>
      </c>
      <c r="E30" s="61" t="s">
        <v>7</v>
      </c>
      <c r="F30" s="61" t="s">
        <v>155</v>
      </c>
      <c r="G30" s="61" t="str">
        <f t="shared" si="10"/>
        <v>GbpLibor1M</v>
      </c>
      <c r="H30" s="59" t="str">
        <f t="shared" si="11"/>
        <v>GBPSB6L8Y_LCHQuote</v>
      </c>
      <c r="I30" s="154" t="str">
        <f t="shared" si="12"/>
        <v>GBP1L6L8Y_LCHQuote</v>
      </c>
      <c r="J30" s="64" t="str">
        <f>_xll.qlSwapRateHelper2(,$H30,0,$B30,Calendar,$D30,$E30,$F30,$G30,$I30,$C30,Discounting1,PillarDate,,Permanent,Trigger,ObjectOverwrite)</f>
        <v>obj_00409#0007</v>
      </c>
      <c r="K30" s="64" t="str">
        <f>_xll.qlSwapRateHelper2(,$H30,0,$B30,Calendar,$D30,$E30,$F30,$G30,$I30,$C30,Discounting2,PillarDate,,Permanent,Trigger,ObjectOverwrite)</f>
        <v>obj_00401#0007</v>
      </c>
      <c r="L30" s="48"/>
      <c r="M30" s="10" t="str">
        <f t="shared" si="7"/>
        <v>BasSw</v>
      </c>
      <c r="N30" s="94" t="str">
        <f t="shared" si="8"/>
        <v>obj_003f9#0007</v>
      </c>
      <c r="O30" s="94" t="str">
        <f t="shared" si="9"/>
        <v>obj_003fd#0007</v>
      </c>
      <c r="P30" s="146" t="str">
        <f>IFERROR(_xll.qlRateHelperQuoteName(N30,Trigger),"--")</f>
        <v>GBPSB6L12Y_LCHQuote</v>
      </c>
      <c r="Q30" s="98">
        <f>IFERROR(_xll.qlRateHelperQuoteValue($N30,Trigger),"--")</f>
        <v>2.043E-2</v>
      </c>
      <c r="R30" s="141" t="b">
        <v>1</v>
      </c>
      <c r="S30" s="94">
        <v>10</v>
      </c>
      <c r="T30" s="94">
        <v>1</v>
      </c>
      <c r="U30" s="99">
        <f>IFERROR(_xll.qlRateHelperEarliestDate(N30,Trigger),"--")</f>
        <v>42321</v>
      </c>
      <c r="V30" s="99">
        <f>IFERROR(_xll.qlRateHelperPillarDate(N30,Trigger),"--")</f>
        <v>46706</v>
      </c>
      <c r="X30" s="4" t="str">
        <f t="shared" si="0"/>
        <v/>
      </c>
      <c r="Y30" s="4" t="e">
        <v>#N/A</v>
      </c>
      <c r="Z30" s="4" t="e">
        <v>#N/A</v>
      </c>
      <c r="AA30" s="4" t="str">
        <f>IFERROR(_xll.qlRateHelperQuoteName(Y30,Trigger),"")</f>
        <v/>
      </c>
      <c r="AB30" s="70" t="str">
        <f>IFERROR(_xll.qlRateHelperRate(Y30,Trigger),"")</f>
        <v/>
      </c>
      <c r="AC30" s="104" t="str">
        <f>IF(ISERROR(_xll.qlSwapRateHelperSpread($Y30)),IF(ISERROR(_xll.qlFuturesRateHelperConvexityAdjustment($Y30)),"",_xll.qlFuturesRateHelperConvexityAdjustment($Y30)),_xll.qlSwapRateHelperSpread($Y30))</f>
        <v/>
      </c>
      <c r="AD30" s="5" t="str">
        <f>IFERROR(_xll.qlRateHelperEarliestDate(Y30,Trigger),"")</f>
        <v/>
      </c>
      <c r="AE30" s="5" t="str">
        <f>IFERROR(_xll.qlRateHelperPillarDate(Y30,Trigger),"")</f>
        <v/>
      </c>
      <c r="AF30" s="70" t="e">
        <v>#N/A</v>
      </c>
      <c r="AG30" s="77" t="e">
        <v>#N/A</v>
      </c>
      <c r="AH30" s="169" t="e">
        <v>#N/A</v>
      </c>
      <c r="AI30" s="170" t="e">
        <v>#N/A</v>
      </c>
      <c r="AJ30" s="172" t="e">
        <f t="shared" si="1"/>
        <v>#N/A</v>
      </c>
      <c r="AK30" s="80" t="e">
        <v>#N/A</v>
      </c>
      <c r="AL30" s="161" t="e">
        <f t="shared" si="2"/>
        <v>#N/A</v>
      </c>
    </row>
    <row r="31" spans="1:38" ht="11.25" customHeight="1" x14ac:dyDescent="0.2">
      <c r="A31" s="59" t="s">
        <v>115</v>
      </c>
      <c r="B31" s="60" t="s">
        <v>58</v>
      </c>
      <c r="C31" s="61" t="s">
        <v>6</v>
      </c>
      <c r="D31" s="61" t="s">
        <v>154</v>
      </c>
      <c r="E31" s="61" t="s">
        <v>7</v>
      </c>
      <c r="F31" s="61" t="s">
        <v>155</v>
      </c>
      <c r="G31" s="61" t="str">
        <f t="shared" si="10"/>
        <v>GbpLibor1M</v>
      </c>
      <c r="H31" s="59" t="str">
        <f t="shared" si="11"/>
        <v>GBPSB6L9Y_LCHQuote</v>
      </c>
      <c r="I31" s="154" t="str">
        <f t="shared" si="12"/>
        <v>GBP1L6L9Y_LCHQuote</v>
      </c>
      <c r="J31" s="64" t="str">
        <f>_xll.qlSwapRateHelper2(,$H31,0,$B31,Calendar,$D31,$E31,$F31,$G31,$I31,$C31,Discounting1,PillarDate,,Permanent,Trigger,ObjectOverwrite)</f>
        <v>obj_003ff#0007</v>
      </c>
      <c r="K31" s="64" t="str">
        <f>_xll.qlSwapRateHelper2(,$H31,0,$B31,Calendar,$D31,$E31,$F31,$G31,$I31,$C31,Discounting2,PillarDate,,Permanent,Trigger,ObjectOverwrite)</f>
        <v>obj_0040f#0007</v>
      </c>
      <c r="L31" s="48"/>
      <c r="M31" s="10" t="str">
        <f t="shared" si="7"/>
        <v>BasSw</v>
      </c>
      <c r="N31" s="94" t="str">
        <f t="shared" si="8"/>
        <v>--</v>
      </c>
      <c r="O31" s="94" t="str">
        <f t="shared" si="9"/>
        <v>--</v>
      </c>
      <c r="P31" s="146" t="str">
        <f>IFERROR(_xll.qlRateHelperQuoteName(N31,Trigger),"--")</f>
        <v>--</v>
      </c>
      <c r="Q31" s="98" t="str">
        <f>IFERROR(_xll.qlRateHelperQuoteValue($N31,Trigger),"--")</f>
        <v>--</v>
      </c>
      <c r="R31" s="141" t="b">
        <v>0</v>
      </c>
      <c r="S31" s="94">
        <v>10</v>
      </c>
      <c r="T31" s="94">
        <v>1</v>
      </c>
      <c r="U31" s="99" t="str">
        <f>IFERROR(_xll.qlRateHelperEarliestDate(N31,Trigger),"--")</f>
        <v>--</v>
      </c>
      <c r="V31" s="99" t="str">
        <f>IFERROR(_xll.qlRateHelperPillarDate(N31,Trigger),"--")</f>
        <v>--</v>
      </c>
      <c r="X31" s="4" t="str">
        <f t="shared" si="0"/>
        <v/>
      </c>
      <c r="Y31" s="4" t="e">
        <v>#N/A</v>
      </c>
      <c r="Z31" s="4" t="e">
        <v>#N/A</v>
      </c>
      <c r="AA31" s="4" t="str">
        <f>IFERROR(_xll.qlRateHelperQuoteName(Y31,Trigger),"")</f>
        <v/>
      </c>
      <c r="AB31" s="70" t="str">
        <f>IFERROR(_xll.qlRateHelperRate(Y31,Trigger),"")</f>
        <v/>
      </c>
      <c r="AC31" s="104" t="str">
        <f>IF(ISERROR(_xll.qlSwapRateHelperSpread($Y31)),IF(ISERROR(_xll.qlFuturesRateHelperConvexityAdjustment($Y31)),"",_xll.qlFuturesRateHelperConvexityAdjustment($Y31)),_xll.qlSwapRateHelperSpread($Y31))</f>
        <v/>
      </c>
      <c r="AD31" s="5" t="str">
        <f>IFERROR(_xll.qlRateHelperEarliestDate(Y31,Trigger),"")</f>
        <v/>
      </c>
      <c r="AE31" s="5" t="str">
        <f>IFERROR(_xll.qlRateHelperPillarDate(Y31,Trigger),"")</f>
        <v/>
      </c>
      <c r="AF31" s="70" t="e">
        <v>#N/A</v>
      </c>
      <c r="AG31" s="77" t="e">
        <v>#N/A</v>
      </c>
      <c r="AH31" s="169" t="e">
        <v>#N/A</v>
      </c>
      <c r="AI31" s="170" t="e">
        <v>#N/A</v>
      </c>
      <c r="AJ31" s="172" t="e">
        <f t="shared" si="1"/>
        <v>#N/A</v>
      </c>
      <c r="AK31" s="80" t="e">
        <v>#N/A</v>
      </c>
      <c r="AL31" s="161" t="e">
        <f t="shared" si="2"/>
        <v>#N/A</v>
      </c>
    </row>
    <row r="32" spans="1:38" ht="11.25" customHeight="1" x14ac:dyDescent="0.2">
      <c r="A32" s="59" t="s">
        <v>115</v>
      </c>
      <c r="B32" s="60" t="s">
        <v>59</v>
      </c>
      <c r="C32" s="61" t="s">
        <v>6</v>
      </c>
      <c r="D32" s="61" t="s">
        <v>154</v>
      </c>
      <c r="E32" s="61" t="s">
        <v>7</v>
      </c>
      <c r="F32" s="61" t="s">
        <v>155</v>
      </c>
      <c r="G32" s="61" t="str">
        <f t="shared" si="10"/>
        <v>GbpLibor1M</v>
      </c>
      <c r="H32" s="59" t="str">
        <f t="shared" si="11"/>
        <v>GBPSB6L10Y_LCHQuote</v>
      </c>
      <c r="I32" s="154" t="str">
        <f t="shared" si="12"/>
        <v>GBP1L6L10Y_LCHQuote</v>
      </c>
      <c r="J32" s="64" t="str">
        <f>_xll.qlSwapRateHelper2(,$H32,0,$B32,Calendar,$D32,$E32,$F32,$G32,$I32,$C32,Discounting1,PillarDate,,Permanent,Trigger,ObjectOverwrite)</f>
        <v>obj_003f3#0007</v>
      </c>
      <c r="K32" s="64" t="str">
        <f>_xll.qlSwapRateHelper2(,$H32,0,$B32,Calendar,$D32,$E32,$F32,$G32,$I32,$C32,Discounting2,PillarDate,,Permanent,Trigger,ObjectOverwrite)</f>
        <v>obj_003ed#0007</v>
      </c>
      <c r="L32" s="48"/>
      <c r="M32" s="10" t="str">
        <f t="shared" si="7"/>
        <v>BasSw</v>
      </c>
      <c r="N32" s="94" t="str">
        <f t="shared" si="8"/>
        <v>--</v>
      </c>
      <c r="O32" s="94" t="str">
        <f t="shared" si="9"/>
        <v>--</v>
      </c>
      <c r="P32" s="146" t="str">
        <f>IFERROR(_xll.qlRateHelperQuoteName(N32,Trigger),"--")</f>
        <v>--</v>
      </c>
      <c r="Q32" s="98" t="str">
        <f>IFERROR(_xll.qlRateHelperQuoteValue($N32,Trigger),"--")</f>
        <v>--</v>
      </c>
      <c r="R32" s="141" t="b">
        <v>0</v>
      </c>
      <c r="S32" s="94">
        <v>10</v>
      </c>
      <c r="T32" s="94">
        <v>1</v>
      </c>
      <c r="U32" s="99" t="str">
        <f>IFERROR(_xll.qlRateHelperEarliestDate(N32,Trigger),"--")</f>
        <v>--</v>
      </c>
      <c r="V32" s="99" t="str">
        <f>IFERROR(_xll.qlRateHelperPillarDate(N32,Trigger),"--")</f>
        <v>--</v>
      </c>
      <c r="X32" s="4" t="str">
        <f t="shared" si="0"/>
        <v/>
      </c>
      <c r="Y32" s="4" t="e">
        <v>#N/A</v>
      </c>
      <c r="Z32" s="4" t="e">
        <v>#N/A</v>
      </c>
      <c r="AA32" s="4" t="str">
        <f>IFERROR(_xll.qlRateHelperQuoteName(Y32,Trigger),"")</f>
        <v/>
      </c>
      <c r="AB32" s="70" t="str">
        <f>IFERROR(_xll.qlRateHelperRate(Y32,Trigger),"")</f>
        <v/>
      </c>
      <c r="AC32" s="104" t="str">
        <f>IF(ISERROR(_xll.qlSwapRateHelperSpread($Y32)),IF(ISERROR(_xll.qlFuturesRateHelperConvexityAdjustment($Y32)),"",_xll.qlFuturesRateHelperConvexityAdjustment($Y32)),_xll.qlSwapRateHelperSpread($Y32))</f>
        <v/>
      </c>
      <c r="AD32" s="5" t="str">
        <f>IFERROR(_xll.qlRateHelperEarliestDate(Y32,Trigger),"")</f>
        <v/>
      </c>
      <c r="AE32" s="5" t="str">
        <f>IFERROR(_xll.qlRateHelperPillarDate(Y32,Trigger),"")</f>
        <v/>
      </c>
      <c r="AF32" s="70" t="e">
        <v>#N/A</v>
      </c>
      <c r="AG32" s="77" t="e">
        <v>#N/A</v>
      </c>
      <c r="AH32" s="169" t="e">
        <v>#N/A</v>
      </c>
      <c r="AI32" s="170" t="e">
        <v>#N/A</v>
      </c>
      <c r="AJ32" s="172" t="e">
        <f t="shared" si="1"/>
        <v>#N/A</v>
      </c>
      <c r="AK32" s="80" t="e">
        <v>#N/A</v>
      </c>
      <c r="AL32" s="161" t="e">
        <f t="shared" si="2"/>
        <v>#N/A</v>
      </c>
    </row>
    <row r="33" spans="1:38" ht="11.25" customHeight="1" x14ac:dyDescent="0.2">
      <c r="A33" s="59" t="s">
        <v>115</v>
      </c>
      <c r="B33" s="60" t="s">
        <v>95</v>
      </c>
      <c r="C33" s="61" t="s">
        <v>6</v>
      </c>
      <c r="D33" s="61" t="s">
        <v>154</v>
      </c>
      <c r="E33" s="61" t="s">
        <v>7</v>
      </c>
      <c r="F33" s="61" t="s">
        <v>155</v>
      </c>
      <c r="G33" s="61" t="str">
        <f t="shared" si="10"/>
        <v>GbpLibor1M</v>
      </c>
      <c r="H33" s="59" t="str">
        <f t="shared" si="11"/>
        <v>GBPSB6L11Y_LCHQuote</v>
      </c>
      <c r="I33" s="154" t="str">
        <f t="shared" si="12"/>
        <v>GBP1L6L11Y_LCHQuote</v>
      </c>
      <c r="J33" s="64"/>
      <c r="K33" s="64"/>
      <c r="L33" s="48"/>
      <c r="M33" s="10" t="str">
        <f t="shared" si="7"/>
        <v>BasSw</v>
      </c>
      <c r="N33" s="94" t="str">
        <f t="shared" si="8"/>
        <v>obj_00403#0007</v>
      </c>
      <c r="O33" s="94" t="str">
        <f t="shared" si="9"/>
        <v>obj_003ea#0007</v>
      </c>
      <c r="P33" s="146" t="str">
        <f>IFERROR(_xll.qlRateHelperQuoteName(N33,Trigger),"--")</f>
        <v>GBPSB6L15Y_LCHQuote</v>
      </c>
      <c r="Q33" s="98">
        <f>IFERROR(_xll.qlRateHelperQuoteValue($N33,Trigger),"--")</f>
        <v>2.129E-2</v>
      </c>
      <c r="R33" s="141" t="b">
        <v>1</v>
      </c>
      <c r="S33" s="94">
        <v>10</v>
      </c>
      <c r="T33" s="94">
        <v>1</v>
      </c>
      <c r="U33" s="99">
        <f>IFERROR(_xll.qlRateHelperEarliestDate(N33,Trigger),"--")</f>
        <v>42321</v>
      </c>
      <c r="V33" s="99">
        <f>IFERROR(_xll.qlRateHelperPillarDate(N33,Trigger),"--")</f>
        <v>47800</v>
      </c>
      <c r="X33" s="4" t="str">
        <f t="shared" si="0"/>
        <v/>
      </c>
      <c r="Y33" s="4" t="e">
        <v>#N/A</v>
      </c>
      <c r="Z33" s="4" t="e">
        <v>#N/A</v>
      </c>
      <c r="AA33" s="4" t="str">
        <f>IFERROR(_xll.qlRateHelperQuoteName(Y33,Trigger),"")</f>
        <v/>
      </c>
      <c r="AB33" s="70" t="str">
        <f>IFERROR(_xll.qlRateHelperRate(Y33,Trigger),"")</f>
        <v/>
      </c>
      <c r="AC33" s="104" t="str">
        <f>IF(ISERROR(_xll.qlSwapRateHelperSpread($Y33)),IF(ISERROR(_xll.qlFuturesRateHelperConvexityAdjustment($Y33)),"",_xll.qlFuturesRateHelperConvexityAdjustment($Y33)),_xll.qlSwapRateHelperSpread($Y33))</f>
        <v/>
      </c>
      <c r="AD33" s="5" t="str">
        <f>IFERROR(_xll.qlRateHelperEarliestDate(Y33,Trigger),"")</f>
        <v/>
      </c>
      <c r="AE33" s="5" t="str">
        <f>IFERROR(_xll.qlRateHelperPillarDate(Y33,Trigger),"")</f>
        <v/>
      </c>
      <c r="AF33" s="70" t="e">
        <v>#N/A</v>
      </c>
      <c r="AG33" s="77" t="e">
        <v>#N/A</v>
      </c>
      <c r="AH33" s="169" t="e">
        <v>#N/A</v>
      </c>
      <c r="AI33" s="170" t="e">
        <v>#N/A</v>
      </c>
      <c r="AJ33" s="172" t="e">
        <f t="shared" si="1"/>
        <v>#N/A</v>
      </c>
      <c r="AK33" s="80" t="e">
        <v>#N/A</v>
      </c>
      <c r="AL33" s="161" t="e">
        <f t="shared" si="2"/>
        <v>#N/A</v>
      </c>
    </row>
    <row r="34" spans="1:38" ht="11.25" customHeight="1" x14ac:dyDescent="0.2">
      <c r="A34" s="59" t="s">
        <v>115</v>
      </c>
      <c r="B34" s="60" t="s">
        <v>60</v>
      </c>
      <c r="C34" s="61" t="s">
        <v>6</v>
      </c>
      <c r="D34" s="61" t="s">
        <v>154</v>
      </c>
      <c r="E34" s="61" t="s">
        <v>7</v>
      </c>
      <c r="F34" s="61" t="s">
        <v>155</v>
      </c>
      <c r="G34" s="61" t="str">
        <f t="shared" si="10"/>
        <v>GbpLibor1M</v>
      </c>
      <c r="H34" s="59" t="str">
        <f t="shared" si="11"/>
        <v>GBPSB6L12Y_LCHQuote</v>
      </c>
      <c r="I34" s="154" t="str">
        <f t="shared" si="12"/>
        <v>GBP1L6L12Y_LCHQuote</v>
      </c>
      <c r="J34" s="64" t="str">
        <f>_xll.qlSwapRateHelper2(,$H34,0,$B34,Calendar,$D34,$E34,$F34,$G34,$I34,$C34,Discounting1,PillarDate,,Permanent,Trigger,ObjectOverwrite)</f>
        <v>obj_003f9#0007</v>
      </c>
      <c r="K34" s="64" t="str">
        <f>_xll.qlSwapRateHelper2(,$H34,0,$B34,Calendar,$D34,$E34,$F34,$G34,$I34,$C34,Discounting2,PillarDate,,Permanent,Trigger,ObjectOverwrite)</f>
        <v>obj_003fd#0007</v>
      </c>
      <c r="L34" s="48"/>
      <c r="M34" s="10" t="str">
        <f t="shared" si="7"/>
        <v>BasSw</v>
      </c>
      <c r="N34" s="94" t="str">
        <f t="shared" si="8"/>
        <v>--</v>
      </c>
      <c r="O34" s="94" t="str">
        <f t="shared" si="9"/>
        <v>--</v>
      </c>
      <c r="P34" s="146" t="str">
        <f>IFERROR(_xll.qlRateHelperQuoteName(N34,Trigger),"--")</f>
        <v>--</v>
      </c>
      <c r="Q34" s="98" t="str">
        <f>IFERROR(_xll.qlRateHelperQuoteValue($N34,Trigger),"--")</f>
        <v>--</v>
      </c>
      <c r="R34" s="141" t="b">
        <v>0</v>
      </c>
      <c r="S34" s="94">
        <v>10</v>
      </c>
      <c r="T34" s="94">
        <v>1</v>
      </c>
      <c r="U34" s="99" t="str">
        <f>IFERROR(_xll.qlRateHelperEarliestDate(N34,Trigger),"--")</f>
        <v>--</v>
      </c>
      <c r="V34" s="99" t="str">
        <f>IFERROR(_xll.qlRateHelperPillarDate(N34,Trigger),"--")</f>
        <v>--</v>
      </c>
      <c r="X34" s="4" t="str">
        <f t="shared" si="0"/>
        <v/>
      </c>
      <c r="Y34" s="4" t="e">
        <v>#N/A</v>
      </c>
      <c r="Z34" s="4" t="e">
        <v>#N/A</v>
      </c>
      <c r="AA34" s="4" t="str">
        <f>IFERROR(_xll.qlRateHelperQuoteName(Y34,Trigger),"")</f>
        <v/>
      </c>
      <c r="AB34" s="70" t="str">
        <f>IFERROR(_xll.qlRateHelperRate(Y34,Trigger),"")</f>
        <v/>
      </c>
      <c r="AC34" s="104" t="str">
        <f>IF(ISERROR(_xll.qlSwapRateHelperSpread($Y34)),IF(ISERROR(_xll.qlFuturesRateHelperConvexityAdjustment($Y34)),"",_xll.qlFuturesRateHelperConvexityAdjustment($Y34)),_xll.qlSwapRateHelperSpread($Y34))</f>
        <v/>
      </c>
      <c r="AD34" s="5" t="str">
        <f>IFERROR(_xll.qlRateHelperEarliestDate(Y34,Trigger),"")</f>
        <v/>
      </c>
      <c r="AE34" s="5" t="str">
        <f>IFERROR(_xll.qlRateHelperPillarDate(Y34,Trigger),"")</f>
        <v/>
      </c>
      <c r="AF34" s="70" t="e">
        <v>#N/A</v>
      </c>
      <c r="AG34" s="77" t="e">
        <v>#N/A</v>
      </c>
      <c r="AH34" s="169" t="e">
        <v>#N/A</v>
      </c>
      <c r="AI34" s="170" t="e">
        <v>#N/A</v>
      </c>
      <c r="AJ34" s="172" t="e">
        <f t="shared" si="1"/>
        <v>#N/A</v>
      </c>
      <c r="AK34" s="80" t="e">
        <v>#N/A</v>
      </c>
      <c r="AL34" s="161" t="e">
        <f t="shared" si="2"/>
        <v>#N/A</v>
      </c>
    </row>
    <row r="35" spans="1:38" ht="11.25" customHeight="1" x14ac:dyDescent="0.2">
      <c r="A35" s="59" t="s">
        <v>115</v>
      </c>
      <c r="B35" s="60" t="s">
        <v>96</v>
      </c>
      <c r="C35" s="61" t="s">
        <v>6</v>
      </c>
      <c r="D35" s="61" t="s">
        <v>154</v>
      </c>
      <c r="E35" s="61" t="s">
        <v>7</v>
      </c>
      <c r="F35" s="61" t="s">
        <v>155</v>
      </c>
      <c r="G35" s="61" t="str">
        <f t="shared" si="10"/>
        <v>GbpLibor1M</v>
      </c>
      <c r="H35" s="59" t="str">
        <f t="shared" si="11"/>
        <v>GBPSB6L13Y_LCHQuote</v>
      </c>
      <c r="I35" s="154" t="str">
        <f t="shared" si="12"/>
        <v>GBP1L6L13Y_LCHQuote</v>
      </c>
      <c r="J35" s="64"/>
      <c r="K35" s="64"/>
      <c r="L35" s="48"/>
      <c r="M35" s="10" t="str">
        <f t="shared" si="7"/>
        <v>BasSw</v>
      </c>
      <c r="N35" s="94" t="str">
        <f t="shared" si="8"/>
        <v>--</v>
      </c>
      <c r="O35" s="94" t="str">
        <f t="shared" si="9"/>
        <v>--</v>
      </c>
      <c r="P35" s="146" t="str">
        <f>IFERROR(_xll.qlRateHelperQuoteName(N35,Trigger),"--")</f>
        <v>--</v>
      </c>
      <c r="Q35" s="98" t="str">
        <f>IFERROR(_xll.qlRateHelperQuoteValue($N35,Trigger),"--")</f>
        <v>--</v>
      </c>
      <c r="R35" s="141" t="b">
        <v>0</v>
      </c>
      <c r="S35" s="94">
        <v>10</v>
      </c>
      <c r="T35" s="94">
        <v>1</v>
      </c>
      <c r="U35" s="99" t="str">
        <f>IFERROR(_xll.qlRateHelperEarliestDate(N35,Trigger),"--")</f>
        <v>--</v>
      </c>
      <c r="V35" s="99" t="str">
        <f>IFERROR(_xll.qlRateHelperPillarDate(N35,Trigger),"--")</f>
        <v>--</v>
      </c>
      <c r="X35" s="4" t="str">
        <f t="shared" ref="X35:X52" si="13">IFERROR(INDEX($M$3:$M$52,MATCH(AA35,$P$3:$P$52,0),1),"")</f>
        <v/>
      </c>
      <c r="Y35" s="4" t="e">
        <v>#N/A</v>
      </c>
      <c r="Z35" s="4" t="e">
        <v>#N/A</v>
      </c>
      <c r="AA35" s="4" t="str">
        <f>IFERROR(_xll.qlRateHelperQuoteName(Y35,Trigger),"")</f>
        <v/>
      </c>
      <c r="AB35" s="70" t="str">
        <f>IFERROR(_xll.qlRateHelperRate(Y35,Trigger),"")</f>
        <v/>
      </c>
      <c r="AC35" s="104" t="str">
        <f>IF(ISERROR(_xll.qlSwapRateHelperSpread($Y35)),IF(ISERROR(_xll.qlFuturesRateHelperConvexityAdjustment($Y35)),"",_xll.qlFuturesRateHelperConvexityAdjustment($Y35)),_xll.qlSwapRateHelperSpread($Y35))</f>
        <v/>
      </c>
      <c r="AD35" s="5" t="str">
        <f>IFERROR(_xll.qlRateHelperEarliestDate(Y35,Trigger),"")</f>
        <v/>
      </c>
      <c r="AE35" s="5" t="str">
        <f>IFERROR(_xll.qlRateHelperPillarDate(Y35,Trigger),"")</f>
        <v/>
      </c>
      <c r="AF35" s="70" t="e">
        <v>#N/A</v>
      </c>
      <c r="AG35" s="77" t="e">
        <v>#N/A</v>
      </c>
      <c r="AH35" s="169" t="e">
        <v>#N/A</v>
      </c>
      <c r="AI35" s="170" t="e">
        <v>#N/A</v>
      </c>
      <c r="AJ35" s="172" t="e">
        <f t="shared" si="1"/>
        <v>#N/A</v>
      </c>
      <c r="AK35" s="80" t="e">
        <v>#N/A</v>
      </c>
      <c r="AL35" s="161" t="e">
        <f t="shared" si="2"/>
        <v>#N/A</v>
      </c>
    </row>
    <row r="36" spans="1:38" ht="11.25" customHeight="1" x14ac:dyDescent="0.2">
      <c r="A36" s="59" t="s">
        <v>115</v>
      </c>
      <c r="B36" s="60" t="s">
        <v>97</v>
      </c>
      <c r="C36" s="61" t="s">
        <v>6</v>
      </c>
      <c r="D36" s="61" t="s">
        <v>154</v>
      </c>
      <c r="E36" s="61" t="s">
        <v>7</v>
      </c>
      <c r="F36" s="61" t="s">
        <v>155</v>
      </c>
      <c r="G36" s="61" t="str">
        <f t="shared" si="10"/>
        <v>GbpLibor1M</v>
      </c>
      <c r="H36" s="59" t="str">
        <f t="shared" si="11"/>
        <v>GBPSB6L14Y_LCHQuote</v>
      </c>
      <c r="I36" s="154" t="str">
        <f t="shared" si="12"/>
        <v>GBP1L6L14Y_LCHQuote</v>
      </c>
      <c r="J36" s="64"/>
      <c r="K36" s="64"/>
      <c r="L36" s="48"/>
      <c r="M36" s="10" t="str">
        <f t="shared" si="7"/>
        <v>BasSw</v>
      </c>
      <c r="N36" s="94" t="str">
        <f t="shared" si="8"/>
        <v>--</v>
      </c>
      <c r="O36" s="94" t="str">
        <f t="shared" si="9"/>
        <v>--</v>
      </c>
      <c r="P36" s="146" t="str">
        <f>IFERROR(_xll.qlRateHelperQuoteName(N36,Trigger),"--")</f>
        <v>--</v>
      </c>
      <c r="Q36" s="98" t="str">
        <f>IFERROR(_xll.qlRateHelperQuoteValue($N36,Trigger),"--")</f>
        <v>--</v>
      </c>
      <c r="R36" s="141" t="b">
        <v>0</v>
      </c>
      <c r="S36" s="94">
        <v>10</v>
      </c>
      <c r="T36" s="94">
        <v>1</v>
      </c>
      <c r="U36" s="99" t="str">
        <f>IFERROR(_xll.qlRateHelperEarliestDate(N36,Trigger),"--")</f>
        <v>--</v>
      </c>
      <c r="V36" s="99" t="str">
        <f>IFERROR(_xll.qlRateHelperPillarDate(N36,Trigger),"--")</f>
        <v>--</v>
      </c>
      <c r="X36" s="4" t="str">
        <f t="shared" si="13"/>
        <v/>
      </c>
      <c r="Y36" s="4" t="e">
        <v>#N/A</v>
      </c>
      <c r="Z36" s="4" t="e">
        <v>#N/A</v>
      </c>
      <c r="AA36" s="4" t="str">
        <f>IFERROR(_xll.qlRateHelperQuoteName(Y36,Trigger),"")</f>
        <v/>
      </c>
      <c r="AB36" s="70" t="str">
        <f>IFERROR(_xll.qlRateHelperRate(Y36,Trigger),"")</f>
        <v/>
      </c>
      <c r="AC36" s="104" t="str">
        <f>IF(ISERROR(_xll.qlSwapRateHelperSpread($Y36)),IF(ISERROR(_xll.qlFuturesRateHelperConvexityAdjustment($Y36)),"",_xll.qlFuturesRateHelperConvexityAdjustment($Y36)),_xll.qlSwapRateHelperSpread($Y36))</f>
        <v/>
      </c>
      <c r="AD36" s="5" t="str">
        <f>IFERROR(_xll.qlRateHelperEarliestDate(Y36,Trigger),"")</f>
        <v/>
      </c>
      <c r="AE36" s="5" t="str">
        <f>IFERROR(_xll.qlRateHelperPillarDate(Y36,Trigger),"")</f>
        <v/>
      </c>
      <c r="AF36" s="70" t="e">
        <v>#N/A</v>
      </c>
      <c r="AG36" s="77" t="e">
        <v>#N/A</v>
      </c>
      <c r="AH36" s="169" t="e">
        <v>#N/A</v>
      </c>
      <c r="AI36" s="170" t="e">
        <v>#N/A</v>
      </c>
      <c r="AJ36" s="172" t="e">
        <f t="shared" si="1"/>
        <v>#N/A</v>
      </c>
      <c r="AK36" s="80" t="e">
        <v>#N/A</v>
      </c>
      <c r="AL36" s="161" t="e">
        <f t="shared" si="2"/>
        <v>#N/A</v>
      </c>
    </row>
    <row r="37" spans="1:38" ht="11.25" customHeight="1" x14ac:dyDescent="0.2">
      <c r="A37" s="59" t="s">
        <v>115</v>
      </c>
      <c r="B37" s="60" t="s">
        <v>61</v>
      </c>
      <c r="C37" s="61" t="s">
        <v>6</v>
      </c>
      <c r="D37" s="61" t="s">
        <v>154</v>
      </c>
      <c r="E37" s="61" t="s">
        <v>7</v>
      </c>
      <c r="F37" s="61" t="s">
        <v>155</v>
      </c>
      <c r="G37" s="61" t="str">
        <f t="shared" si="10"/>
        <v>GbpLibor1M</v>
      </c>
      <c r="H37" s="59" t="str">
        <f t="shared" si="11"/>
        <v>GBPSB6L15Y_LCHQuote</v>
      </c>
      <c r="I37" s="154" t="str">
        <f t="shared" si="12"/>
        <v>GBP1L6L15Y_LCHQuote</v>
      </c>
      <c r="J37" s="64" t="str">
        <f>_xll.qlSwapRateHelper2(,$H37,0,$B37,Calendar,$D37,$E37,$F37,$G37,$I37,$C37,Discounting1,PillarDate,,Permanent,Trigger,ObjectOverwrite)</f>
        <v>obj_00403#0007</v>
      </c>
      <c r="K37" s="64" t="str">
        <f>_xll.qlSwapRateHelper2(,$H37,0,$B37,Calendar,$D37,$E37,$F37,$G37,$I37,$C37,Discounting2,PillarDate,,Permanent,Trigger,ObjectOverwrite)</f>
        <v>obj_003ea#0007</v>
      </c>
      <c r="L37" s="48"/>
      <c r="M37" s="10" t="str">
        <f t="shared" si="7"/>
        <v>BasSw</v>
      </c>
      <c r="N37" s="94" t="str">
        <f t="shared" si="8"/>
        <v>--</v>
      </c>
      <c r="O37" s="94" t="str">
        <f t="shared" si="9"/>
        <v>--</v>
      </c>
      <c r="P37" s="146" t="str">
        <f>IFERROR(_xll.qlRateHelperQuoteName(N37,Trigger),"--")</f>
        <v>--</v>
      </c>
      <c r="Q37" s="98" t="str">
        <f>IFERROR(_xll.qlRateHelperQuoteValue($N37,Trigger),"--")</f>
        <v>--</v>
      </c>
      <c r="R37" s="141" t="b">
        <v>0</v>
      </c>
      <c r="S37" s="94">
        <v>10</v>
      </c>
      <c r="T37" s="94">
        <v>1</v>
      </c>
      <c r="U37" s="99" t="str">
        <f>IFERROR(_xll.qlRateHelperEarliestDate(N37,Trigger),"--")</f>
        <v>--</v>
      </c>
      <c r="V37" s="99" t="str">
        <f>IFERROR(_xll.qlRateHelperPillarDate(N37,Trigger),"--")</f>
        <v>--</v>
      </c>
      <c r="X37" s="4" t="str">
        <f t="shared" si="13"/>
        <v/>
      </c>
      <c r="Y37" s="4" t="e">
        <v>#N/A</v>
      </c>
      <c r="Z37" s="4" t="e">
        <v>#N/A</v>
      </c>
      <c r="AA37" s="4" t="str">
        <f>IFERROR(_xll.qlRateHelperQuoteName(Y37,Trigger),"")</f>
        <v/>
      </c>
      <c r="AB37" s="70" t="str">
        <f>IFERROR(_xll.qlRateHelperRate(Y37,Trigger),"")</f>
        <v/>
      </c>
      <c r="AC37" s="104" t="str">
        <f>IF(ISERROR(_xll.qlSwapRateHelperSpread($Y37)),IF(ISERROR(_xll.qlFuturesRateHelperConvexityAdjustment($Y37)),"",_xll.qlFuturesRateHelperConvexityAdjustment($Y37)),_xll.qlSwapRateHelperSpread($Y37))</f>
        <v/>
      </c>
      <c r="AD37" s="5" t="str">
        <f>IFERROR(_xll.qlRateHelperEarliestDate(Y37,Trigger),"")</f>
        <v/>
      </c>
      <c r="AE37" s="5" t="str">
        <f>IFERROR(_xll.qlRateHelperPillarDate(Y37,Trigger),"")</f>
        <v/>
      </c>
      <c r="AF37" s="70" t="e">
        <v>#N/A</v>
      </c>
      <c r="AG37" s="77" t="e">
        <v>#N/A</v>
      </c>
      <c r="AH37" s="169" t="e">
        <v>#N/A</v>
      </c>
      <c r="AI37" s="170" t="e">
        <v>#N/A</v>
      </c>
      <c r="AJ37" s="172" t="e">
        <f t="shared" si="1"/>
        <v>#N/A</v>
      </c>
      <c r="AK37" s="80" t="e">
        <v>#N/A</v>
      </c>
      <c r="AL37" s="161" t="e">
        <f t="shared" si="2"/>
        <v>#N/A</v>
      </c>
    </row>
    <row r="38" spans="1:38" ht="11.25" customHeight="1" x14ac:dyDescent="0.2">
      <c r="A38" s="59" t="s">
        <v>115</v>
      </c>
      <c r="B38" s="60" t="s">
        <v>98</v>
      </c>
      <c r="C38" s="61" t="s">
        <v>6</v>
      </c>
      <c r="D38" s="61" t="s">
        <v>154</v>
      </c>
      <c r="E38" s="61" t="s">
        <v>7</v>
      </c>
      <c r="F38" s="61" t="s">
        <v>155</v>
      </c>
      <c r="G38" s="61" t="str">
        <f t="shared" si="10"/>
        <v>GbpLibor1M</v>
      </c>
      <c r="H38" s="59" t="str">
        <f t="shared" si="11"/>
        <v>GBPSB6L16Y_LCHQuote</v>
      </c>
      <c r="I38" s="154" t="str">
        <f t="shared" si="12"/>
        <v>GBP1L6L16Y_LCHQuote</v>
      </c>
      <c r="J38" s="64"/>
      <c r="K38" s="64"/>
      <c r="L38" s="48"/>
      <c r="M38" s="10" t="str">
        <f t="shared" si="7"/>
        <v>BasSw</v>
      </c>
      <c r="N38" s="94" t="str">
        <f t="shared" si="8"/>
        <v>obj_0040c#0007</v>
      </c>
      <c r="O38" s="94" t="str">
        <f t="shared" si="9"/>
        <v>obj_003e8#0007</v>
      </c>
      <c r="P38" s="146" t="str">
        <f>IFERROR(_xll.qlRateHelperQuoteName(N38,Trigger),"--")</f>
        <v>GBPSB6L20Y_LCHQuote</v>
      </c>
      <c r="Q38" s="98">
        <f>IFERROR(_xll.qlRateHelperQuoteValue($N38,Trigger),"--")</f>
        <v>2.1770000000000001E-2</v>
      </c>
      <c r="R38" s="141" t="b">
        <v>1</v>
      </c>
      <c r="S38" s="94">
        <v>10</v>
      </c>
      <c r="T38" s="94">
        <v>1</v>
      </c>
      <c r="U38" s="99">
        <f>IFERROR(_xll.qlRateHelperEarliestDate(N38,Trigger),"--")</f>
        <v>42321</v>
      </c>
      <c r="V38" s="99">
        <f>IFERROR(_xll.qlRateHelperPillarDate(N38,Trigger),"--")</f>
        <v>49626</v>
      </c>
      <c r="X38" s="4" t="str">
        <f t="shared" si="13"/>
        <v/>
      </c>
      <c r="Y38" s="4" t="e">
        <v>#N/A</v>
      </c>
      <c r="Z38" s="4" t="e">
        <v>#N/A</v>
      </c>
      <c r="AA38" s="4" t="str">
        <f>IFERROR(_xll.qlRateHelperQuoteName(Y38,Trigger),"")</f>
        <v/>
      </c>
      <c r="AB38" s="70" t="str">
        <f>IFERROR(_xll.qlRateHelperRate(Y38,Trigger),"")</f>
        <v/>
      </c>
      <c r="AC38" s="104" t="str">
        <f>IF(ISERROR(_xll.qlSwapRateHelperSpread($Y38)),IF(ISERROR(_xll.qlFuturesRateHelperConvexityAdjustment($Y38)),"",_xll.qlFuturesRateHelperConvexityAdjustment($Y38)),_xll.qlSwapRateHelperSpread($Y38))</f>
        <v/>
      </c>
      <c r="AD38" s="5" t="str">
        <f>IFERROR(_xll.qlRateHelperEarliestDate(Y38,Trigger),"")</f>
        <v/>
      </c>
      <c r="AE38" s="5" t="str">
        <f>IFERROR(_xll.qlRateHelperPillarDate(Y38,Trigger),"")</f>
        <v/>
      </c>
      <c r="AF38" s="70" t="e">
        <v>#N/A</v>
      </c>
      <c r="AG38" s="77" t="e">
        <v>#N/A</v>
      </c>
      <c r="AH38" s="169" t="e">
        <v>#N/A</v>
      </c>
      <c r="AI38" s="170" t="e">
        <v>#N/A</v>
      </c>
      <c r="AJ38" s="172" t="e">
        <f t="shared" si="1"/>
        <v>#N/A</v>
      </c>
      <c r="AK38" s="80" t="e">
        <v>#N/A</v>
      </c>
      <c r="AL38" s="161" t="e">
        <f t="shared" si="2"/>
        <v>#N/A</v>
      </c>
    </row>
    <row r="39" spans="1:38" ht="11.25" customHeight="1" x14ac:dyDescent="0.2">
      <c r="A39" s="59" t="s">
        <v>115</v>
      </c>
      <c r="B39" s="60" t="s">
        <v>99</v>
      </c>
      <c r="C39" s="61" t="s">
        <v>6</v>
      </c>
      <c r="D39" s="61" t="s">
        <v>154</v>
      </c>
      <c r="E39" s="61" t="s">
        <v>7</v>
      </c>
      <c r="F39" s="61" t="s">
        <v>155</v>
      </c>
      <c r="G39" s="61" t="str">
        <f t="shared" si="10"/>
        <v>GbpLibor1M</v>
      </c>
      <c r="H39" s="59" t="str">
        <f t="shared" si="11"/>
        <v>GBPSB6L17Y_LCHQuote</v>
      </c>
      <c r="I39" s="154" t="str">
        <f t="shared" si="12"/>
        <v>GBP1L6L17Y_LCHQuote</v>
      </c>
      <c r="J39" s="64"/>
      <c r="K39" s="64"/>
      <c r="L39" s="48"/>
      <c r="M39" s="10" t="str">
        <f t="shared" si="7"/>
        <v>BasSw</v>
      </c>
      <c r="N39" s="94" t="str">
        <f t="shared" si="8"/>
        <v>--</v>
      </c>
      <c r="O39" s="94" t="str">
        <f t="shared" si="9"/>
        <v>--</v>
      </c>
      <c r="P39" s="146" t="str">
        <f>IFERROR(_xll.qlRateHelperQuoteName(N39,Trigger),"--")</f>
        <v>--</v>
      </c>
      <c r="Q39" s="98" t="str">
        <f>IFERROR(_xll.qlRateHelperQuoteValue($N39,Trigger),"--")</f>
        <v>--</v>
      </c>
      <c r="R39" s="141" t="b">
        <v>0</v>
      </c>
      <c r="S39" s="94">
        <v>10</v>
      </c>
      <c r="T39" s="94">
        <v>1</v>
      </c>
      <c r="U39" s="99" t="str">
        <f>IFERROR(_xll.qlRateHelperEarliestDate(N39,Trigger),"--")</f>
        <v>--</v>
      </c>
      <c r="V39" s="99" t="str">
        <f>IFERROR(_xll.qlRateHelperPillarDate(N39,Trigger),"--")</f>
        <v>--</v>
      </c>
      <c r="X39" s="4" t="str">
        <f t="shared" si="13"/>
        <v/>
      </c>
      <c r="Y39" s="4" t="e">
        <v>#N/A</v>
      </c>
      <c r="Z39" s="4" t="e">
        <v>#N/A</v>
      </c>
      <c r="AA39" s="4" t="str">
        <f>IFERROR(_xll.qlRateHelperQuoteName(Y39,Trigger),"")</f>
        <v/>
      </c>
      <c r="AB39" s="70" t="str">
        <f>IFERROR(_xll.qlRateHelperRate(Y39,Trigger),"")</f>
        <v/>
      </c>
      <c r="AC39" s="104" t="str">
        <f>IF(ISERROR(_xll.qlSwapRateHelperSpread($Y39)),IF(ISERROR(_xll.qlFuturesRateHelperConvexityAdjustment($Y39)),"",_xll.qlFuturesRateHelperConvexityAdjustment($Y39)),_xll.qlSwapRateHelperSpread($Y39))</f>
        <v/>
      </c>
      <c r="AD39" s="5" t="str">
        <f>IFERROR(_xll.qlRateHelperEarliestDate(Y39,Trigger),"")</f>
        <v/>
      </c>
      <c r="AE39" s="5" t="str">
        <f>IFERROR(_xll.qlRateHelperPillarDate(Y39,Trigger),"")</f>
        <v/>
      </c>
      <c r="AF39" s="70" t="e">
        <v>#N/A</v>
      </c>
      <c r="AG39" s="77" t="e">
        <v>#N/A</v>
      </c>
      <c r="AH39" s="169" t="e">
        <v>#N/A</v>
      </c>
      <c r="AI39" s="170" t="e">
        <v>#N/A</v>
      </c>
      <c r="AJ39" s="172" t="e">
        <f t="shared" si="1"/>
        <v>#N/A</v>
      </c>
      <c r="AK39" s="80" t="e">
        <v>#N/A</v>
      </c>
      <c r="AL39" s="161" t="e">
        <f t="shared" si="2"/>
        <v>#N/A</v>
      </c>
    </row>
    <row r="40" spans="1:38" ht="11.25" customHeight="1" x14ac:dyDescent="0.2">
      <c r="A40" s="59" t="s">
        <v>115</v>
      </c>
      <c r="B40" s="60" t="s">
        <v>100</v>
      </c>
      <c r="C40" s="61" t="s">
        <v>6</v>
      </c>
      <c r="D40" s="61" t="s">
        <v>154</v>
      </c>
      <c r="E40" s="61" t="s">
        <v>7</v>
      </c>
      <c r="F40" s="61" t="s">
        <v>155</v>
      </c>
      <c r="G40" s="61" t="str">
        <f t="shared" si="10"/>
        <v>GbpLibor1M</v>
      </c>
      <c r="H40" s="59" t="str">
        <f t="shared" si="11"/>
        <v>GBPSB6L18Y_LCHQuote</v>
      </c>
      <c r="I40" s="154" t="str">
        <f t="shared" si="12"/>
        <v>GBP1L6L18Y_LCHQuote</v>
      </c>
      <c r="J40" s="64"/>
      <c r="K40" s="64"/>
      <c r="L40" s="48"/>
      <c r="M40" s="10" t="str">
        <f t="shared" si="7"/>
        <v>BasSw</v>
      </c>
      <c r="N40" s="94" t="str">
        <f t="shared" si="8"/>
        <v>--</v>
      </c>
      <c r="O40" s="94" t="str">
        <f t="shared" si="9"/>
        <v>--</v>
      </c>
      <c r="P40" s="146" t="str">
        <f>IFERROR(_xll.qlRateHelperQuoteName(N40,Trigger),"--")</f>
        <v>--</v>
      </c>
      <c r="Q40" s="98" t="str">
        <f>IFERROR(_xll.qlRateHelperQuoteValue($N40,Trigger),"--")</f>
        <v>--</v>
      </c>
      <c r="R40" s="141" t="b">
        <v>0</v>
      </c>
      <c r="S40" s="94">
        <v>10</v>
      </c>
      <c r="T40" s="94">
        <v>1</v>
      </c>
      <c r="U40" s="99" t="str">
        <f>IFERROR(_xll.qlRateHelperEarliestDate(N40,Trigger),"--")</f>
        <v>--</v>
      </c>
      <c r="V40" s="99" t="str">
        <f>IFERROR(_xll.qlRateHelperPillarDate(N40,Trigger),"--")</f>
        <v>--</v>
      </c>
      <c r="X40" s="4" t="str">
        <f t="shared" si="13"/>
        <v/>
      </c>
      <c r="Y40" s="4" t="e">
        <v>#N/A</v>
      </c>
      <c r="Z40" s="4" t="e">
        <v>#N/A</v>
      </c>
      <c r="AA40" s="4" t="str">
        <f>IFERROR(_xll.qlRateHelperQuoteName(Y40,Trigger),"")</f>
        <v/>
      </c>
      <c r="AB40" s="70" t="str">
        <f>IFERROR(_xll.qlRateHelperRate(Y40,Trigger),"")</f>
        <v/>
      </c>
      <c r="AC40" s="104" t="str">
        <f>IF(ISERROR(_xll.qlSwapRateHelperSpread($Y40)),IF(ISERROR(_xll.qlFuturesRateHelperConvexityAdjustment($Y40)),"",_xll.qlFuturesRateHelperConvexityAdjustment($Y40)),_xll.qlSwapRateHelperSpread($Y40))</f>
        <v/>
      </c>
      <c r="AD40" s="5" t="str">
        <f>IFERROR(_xll.qlRateHelperEarliestDate(Y40,Trigger),"")</f>
        <v/>
      </c>
      <c r="AE40" s="5" t="str">
        <f>IFERROR(_xll.qlRateHelperPillarDate(Y40,Trigger),"")</f>
        <v/>
      </c>
      <c r="AF40" s="70" t="e">
        <v>#N/A</v>
      </c>
      <c r="AG40" s="77" t="e">
        <v>#N/A</v>
      </c>
      <c r="AH40" s="169" t="e">
        <v>#N/A</v>
      </c>
      <c r="AI40" s="170" t="e">
        <v>#N/A</v>
      </c>
      <c r="AJ40" s="172" t="e">
        <f t="shared" si="1"/>
        <v>#N/A</v>
      </c>
      <c r="AK40" s="80" t="e">
        <v>#N/A</v>
      </c>
      <c r="AL40" s="161" t="e">
        <f t="shared" si="2"/>
        <v>#N/A</v>
      </c>
    </row>
    <row r="41" spans="1:38" ht="11.25" customHeight="1" x14ac:dyDescent="0.2">
      <c r="A41" s="59" t="s">
        <v>115</v>
      </c>
      <c r="B41" s="60" t="s">
        <v>101</v>
      </c>
      <c r="C41" s="61" t="s">
        <v>6</v>
      </c>
      <c r="D41" s="61" t="s">
        <v>154</v>
      </c>
      <c r="E41" s="61" t="s">
        <v>7</v>
      </c>
      <c r="F41" s="61" t="s">
        <v>155</v>
      </c>
      <c r="G41" s="61" t="str">
        <f t="shared" si="10"/>
        <v>GbpLibor1M</v>
      </c>
      <c r="H41" s="59" t="str">
        <f t="shared" si="11"/>
        <v>GBPSB6L19Y_LCHQuote</v>
      </c>
      <c r="I41" s="154" t="str">
        <f t="shared" si="12"/>
        <v>GBP1L6L19Y_LCHQuote</v>
      </c>
      <c r="J41" s="64"/>
      <c r="K41" s="64"/>
      <c r="M41" s="10" t="str">
        <f t="shared" si="7"/>
        <v>BasSw</v>
      </c>
      <c r="N41" s="94" t="str">
        <f t="shared" si="8"/>
        <v>--</v>
      </c>
      <c r="O41" s="94" t="str">
        <f t="shared" si="9"/>
        <v>--</v>
      </c>
      <c r="P41" s="146" t="str">
        <f>IFERROR(_xll.qlRateHelperQuoteName(N41,Trigger),"--")</f>
        <v>--</v>
      </c>
      <c r="Q41" s="98" t="str">
        <f>IFERROR(_xll.qlRateHelperQuoteValue($N41,Trigger),"--")</f>
        <v>--</v>
      </c>
      <c r="R41" s="141" t="b">
        <v>0</v>
      </c>
      <c r="S41" s="94">
        <v>10</v>
      </c>
      <c r="T41" s="94">
        <v>1</v>
      </c>
      <c r="U41" s="99" t="str">
        <f>IFERROR(_xll.qlRateHelperEarliestDate(N41,Trigger),"--")</f>
        <v>--</v>
      </c>
      <c r="V41" s="99" t="str">
        <f>IFERROR(_xll.qlRateHelperPillarDate(N41,Trigger),"--")</f>
        <v>--</v>
      </c>
      <c r="X41" s="4" t="str">
        <f t="shared" si="13"/>
        <v/>
      </c>
      <c r="Y41" s="4" t="e">
        <v>#N/A</v>
      </c>
      <c r="Z41" s="4" t="e">
        <v>#N/A</v>
      </c>
      <c r="AA41" s="4" t="str">
        <f>IFERROR(_xll.qlRateHelperQuoteName(Y41,Trigger),"")</f>
        <v/>
      </c>
      <c r="AB41" s="70" t="str">
        <f>IFERROR(_xll.qlRateHelperRate(Y41,Trigger),"")</f>
        <v/>
      </c>
      <c r="AC41" s="104" t="str">
        <f>IF(ISERROR(_xll.qlSwapRateHelperSpread($Y41)),IF(ISERROR(_xll.qlFuturesRateHelperConvexityAdjustment($Y41)),"",_xll.qlFuturesRateHelperConvexityAdjustment($Y41)),_xll.qlSwapRateHelperSpread($Y41))</f>
        <v/>
      </c>
      <c r="AD41" s="5" t="str">
        <f>IFERROR(_xll.qlRateHelperEarliestDate(Y41,Trigger),"")</f>
        <v/>
      </c>
      <c r="AE41" s="5" t="str">
        <f>IFERROR(_xll.qlRateHelperPillarDate(Y41,Trigger),"")</f>
        <v/>
      </c>
      <c r="AF41" s="70" t="e">
        <v>#N/A</v>
      </c>
      <c r="AG41" s="77" t="e">
        <v>#N/A</v>
      </c>
      <c r="AH41" s="169" t="e">
        <v>#N/A</v>
      </c>
      <c r="AI41" s="170" t="e">
        <v>#N/A</v>
      </c>
      <c r="AJ41" s="172" t="e">
        <f t="shared" si="1"/>
        <v>#N/A</v>
      </c>
      <c r="AK41" s="80" t="e">
        <v>#N/A</v>
      </c>
      <c r="AL41" s="161" t="e">
        <f t="shared" si="2"/>
        <v>#N/A</v>
      </c>
    </row>
    <row r="42" spans="1:38" ht="11.25" customHeight="1" x14ac:dyDescent="0.2">
      <c r="A42" s="59" t="s">
        <v>115</v>
      </c>
      <c r="B42" s="60" t="s">
        <v>62</v>
      </c>
      <c r="C42" s="61" t="s">
        <v>6</v>
      </c>
      <c r="D42" s="61" t="s">
        <v>154</v>
      </c>
      <c r="E42" s="61" t="s">
        <v>7</v>
      </c>
      <c r="F42" s="61" t="s">
        <v>155</v>
      </c>
      <c r="G42" s="61" t="str">
        <f t="shared" si="10"/>
        <v>GbpLibor1M</v>
      </c>
      <c r="H42" s="59" t="str">
        <f t="shared" si="11"/>
        <v>GBPSB6L20Y_LCHQuote</v>
      </c>
      <c r="I42" s="154" t="str">
        <f t="shared" si="12"/>
        <v>GBP1L6L20Y_LCHQuote</v>
      </c>
      <c r="J42" s="64" t="str">
        <f>_xll.qlSwapRateHelper2(,$H42,0,$B42,Calendar,$D42,$E42,$F42,$G42,$I42,$C42,Discounting1,PillarDate,,Permanent,Trigger,ObjectOverwrite)</f>
        <v>obj_0040c#0007</v>
      </c>
      <c r="K42" s="64" t="str">
        <f>_xll.qlSwapRateHelper2(,$H42,0,$B42,Calendar,$D42,$E42,$F42,$G42,$I42,$C42,Discounting2,PillarDate,,Permanent,Trigger,ObjectOverwrite)</f>
        <v>obj_003e8#0007</v>
      </c>
      <c r="M42" s="10" t="str">
        <f t="shared" si="7"/>
        <v>BasSw</v>
      </c>
      <c r="N42" s="94" t="str">
        <f t="shared" si="8"/>
        <v>--</v>
      </c>
      <c r="O42" s="94" t="str">
        <f t="shared" si="9"/>
        <v>--</v>
      </c>
      <c r="P42" s="146" t="str">
        <f>IFERROR(_xll.qlRateHelperQuoteName(N42,Trigger),"--")</f>
        <v>--</v>
      </c>
      <c r="Q42" s="98" t="str">
        <f>IFERROR(_xll.qlRateHelperQuoteValue($N42,Trigger),"--")</f>
        <v>--</v>
      </c>
      <c r="R42" s="141" t="b">
        <v>0</v>
      </c>
      <c r="S42" s="94">
        <v>10</v>
      </c>
      <c r="T42" s="94">
        <v>1</v>
      </c>
      <c r="U42" s="99" t="str">
        <f>IFERROR(_xll.qlRateHelperEarliestDate(N42,Trigger),"--")</f>
        <v>--</v>
      </c>
      <c r="V42" s="99" t="str">
        <f>IFERROR(_xll.qlRateHelperPillarDate(N42,Trigger),"--")</f>
        <v>--</v>
      </c>
      <c r="X42" s="4" t="str">
        <f t="shared" si="13"/>
        <v/>
      </c>
      <c r="Y42" s="4" t="e">
        <v>#N/A</v>
      </c>
      <c r="Z42" s="4" t="e">
        <v>#N/A</v>
      </c>
      <c r="AA42" s="4" t="str">
        <f>IFERROR(_xll.qlRateHelperQuoteName(Y42,Trigger),"")</f>
        <v/>
      </c>
      <c r="AB42" s="70" t="str">
        <f>IFERROR(_xll.qlRateHelperRate(Y42,Trigger),"")</f>
        <v/>
      </c>
      <c r="AC42" s="104" t="str">
        <f>IF(ISERROR(_xll.qlSwapRateHelperSpread($Y42)),IF(ISERROR(_xll.qlFuturesRateHelperConvexityAdjustment($Y42)),"",_xll.qlFuturesRateHelperConvexityAdjustment($Y42)),_xll.qlSwapRateHelperSpread($Y42))</f>
        <v/>
      </c>
      <c r="AD42" s="5" t="str">
        <f>IFERROR(_xll.qlRateHelperEarliestDate(Y42,Trigger),"")</f>
        <v/>
      </c>
      <c r="AE42" s="5" t="str">
        <f>IFERROR(_xll.qlRateHelperPillarDate(Y42,Trigger),"")</f>
        <v/>
      </c>
      <c r="AF42" s="70" t="e">
        <v>#N/A</v>
      </c>
      <c r="AG42" s="77" t="e">
        <v>#N/A</v>
      </c>
      <c r="AH42" s="169" t="e">
        <v>#N/A</v>
      </c>
      <c r="AI42" s="170" t="e">
        <v>#N/A</v>
      </c>
      <c r="AJ42" s="172" t="e">
        <f t="shared" si="1"/>
        <v>#N/A</v>
      </c>
      <c r="AK42" s="80" t="e">
        <v>#N/A</v>
      </c>
      <c r="AL42" s="161" t="e">
        <f t="shared" si="2"/>
        <v>#N/A</v>
      </c>
    </row>
    <row r="43" spans="1:38" ht="11.25" customHeight="1" x14ac:dyDescent="0.2">
      <c r="A43" s="59" t="s">
        <v>115</v>
      </c>
      <c r="B43" s="60" t="s">
        <v>102</v>
      </c>
      <c r="C43" s="61" t="s">
        <v>6</v>
      </c>
      <c r="D43" s="61" t="s">
        <v>154</v>
      </c>
      <c r="E43" s="61" t="s">
        <v>7</v>
      </c>
      <c r="F43" s="61" t="s">
        <v>155</v>
      </c>
      <c r="G43" s="61" t="str">
        <f t="shared" si="10"/>
        <v>GbpLibor1M</v>
      </c>
      <c r="H43" s="59" t="str">
        <f t="shared" si="11"/>
        <v>GBPSB6L21Y_LCHQuote</v>
      </c>
      <c r="I43" s="154" t="str">
        <f t="shared" si="12"/>
        <v>GBP1L6L21Y_LCHQuote</v>
      </c>
      <c r="J43" s="64"/>
      <c r="K43" s="64"/>
      <c r="M43" s="10" t="str">
        <f t="shared" si="7"/>
        <v>BasSw</v>
      </c>
      <c r="N43" s="94" t="str">
        <f t="shared" si="8"/>
        <v>obj_003f8#0007</v>
      </c>
      <c r="O43" s="94" t="str">
        <f t="shared" si="9"/>
        <v>obj_00407#0007</v>
      </c>
      <c r="P43" s="146" t="str">
        <f>IFERROR(_xll.qlRateHelperQuoteName(N43,Trigger),"--")</f>
        <v>GBPSB6L25Y_LCHQuote</v>
      </c>
      <c r="Q43" s="98">
        <f>IFERROR(_xll.qlRateHelperQuoteValue($N43,Trigger),"--")</f>
        <v>2.1649999999999999E-2</v>
      </c>
      <c r="R43" s="141" t="b">
        <v>1</v>
      </c>
      <c r="S43" s="94">
        <v>10</v>
      </c>
      <c r="T43" s="94">
        <v>1</v>
      </c>
      <c r="U43" s="99">
        <f>IFERROR(_xll.qlRateHelperEarliestDate(N43,Trigger),"--")</f>
        <v>42321</v>
      </c>
      <c r="V43" s="99">
        <f>IFERROR(_xll.qlRateHelperPillarDate(N43,Trigger),"--")</f>
        <v>51453</v>
      </c>
      <c r="X43" s="4" t="str">
        <f t="shared" si="13"/>
        <v/>
      </c>
      <c r="Y43" s="4" t="e">
        <v>#N/A</v>
      </c>
      <c r="Z43" s="4" t="e">
        <v>#N/A</v>
      </c>
      <c r="AA43" s="4" t="str">
        <f>IFERROR(_xll.qlRateHelperQuoteName(Y43,Trigger),"")</f>
        <v/>
      </c>
      <c r="AB43" s="70" t="str">
        <f>IFERROR(_xll.qlRateHelperRate(Y43,Trigger),"")</f>
        <v/>
      </c>
      <c r="AC43" s="104" t="str">
        <f>IF(ISERROR(_xll.qlSwapRateHelperSpread($Y43)),IF(ISERROR(_xll.qlFuturesRateHelperConvexityAdjustment($Y43)),"",_xll.qlFuturesRateHelperConvexityAdjustment($Y43)),_xll.qlSwapRateHelperSpread($Y43))</f>
        <v/>
      </c>
      <c r="AD43" s="5" t="str">
        <f>IFERROR(_xll.qlRateHelperEarliestDate(Y43,Trigger),"")</f>
        <v/>
      </c>
      <c r="AE43" s="5" t="str">
        <f>IFERROR(_xll.qlRateHelperPillarDate(Y43,Trigger),"")</f>
        <v/>
      </c>
      <c r="AF43" s="70" t="e">
        <v>#N/A</v>
      </c>
      <c r="AG43" s="77" t="e">
        <v>#N/A</v>
      </c>
      <c r="AH43" s="169" t="e">
        <v>#N/A</v>
      </c>
      <c r="AI43" s="170" t="e">
        <v>#N/A</v>
      </c>
      <c r="AJ43" s="172" t="e">
        <f t="shared" si="1"/>
        <v>#N/A</v>
      </c>
      <c r="AK43" s="80" t="e">
        <v>#N/A</v>
      </c>
      <c r="AL43" s="161" t="e">
        <f t="shared" si="2"/>
        <v>#N/A</v>
      </c>
    </row>
    <row r="44" spans="1:38" ht="11.25" customHeight="1" x14ac:dyDescent="0.2">
      <c r="A44" s="59" t="s">
        <v>115</v>
      </c>
      <c r="B44" s="60" t="s">
        <v>103</v>
      </c>
      <c r="C44" s="61" t="s">
        <v>6</v>
      </c>
      <c r="D44" s="61" t="s">
        <v>154</v>
      </c>
      <c r="E44" s="61" t="s">
        <v>7</v>
      </c>
      <c r="F44" s="61" t="s">
        <v>155</v>
      </c>
      <c r="G44" s="61" t="str">
        <f t="shared" si="10"/>
        <v>GbpLibor1M</v>
      </c>
      <c r="H44" s="59" t="str">
        <f t="shared" si="11"/>
        <v>GBPSB6L22Y_LCHQuote</v>
      </c>
      <c r="I44" s="154" t="str">
        <f t="shared" si="12"/>
        <v>GBP1L6L22Y_LCHQuote</v>
      </c>
      <c r="J44" s="64"/>
      <c r="K44" s="64"/>
      <c r="M44" s="10" t="str">
        <f t="shared" si="7"/>
        <v>BasSw</v>
      </c>
      <c r="N44" s="94" t="str">
        <f t="shared" si="8"/>
        <v>--</v>
      </c>
      <c r="O44" s="94" t="str">
        <f t="shared" si="9"/>
        <v>--</v>
      </c>
      <c r="P44" s="146" t="str">
        <f>IFERROR(_xll.qlRateHelperQuoteName(N44,Trigger),"--")</f>
        <v>--</v>
      </c>
      <c r="Q44" s="98" t="str">
        <f>IFERROR(_xll.qlRateHelperQuoteValue($N44,Trigger),"--")</f>
        <v>--</v>
      </c>
      <c r="R44" s="141" t="b">
        <v>0</v>
      </c>
      <c r="S44" s="94">
        <v>10</v>
      </c>
      <c r="T44" s="94">
        <v>1</v>
      </c>
      <c r="U44" s="99" t="str">
        <f>IFERROR(_xll.qlRateHelperEarliestDate(N44,Trigger),"--")</f>
        <v>--</v>
      </c>
      <c r="V44" s="99" t="str">
        <f>IFERROR(_xll.qlRateHelperPillarDate(N44,Trigger),"--")</f>
        <v>--</v>
      </c>
      <c r="X44" s="4" t="str">
        <f t="shared" si="13"/>
        <v/>
      </c>
      <c r="Y44" s="4" t="e">
        <v>#N/A</v>
      </c>
      <c r="Z44" s="4" t="e">
        <v>#N/A</v>
      </c>
      <c r="AA44" s="4" t="str">
        <f>IFERROR(_xll.qlRateHelperQuoteName(Y44,Trigger),"")</f>
        <v/>
      </c>
      <c r="AB44" s="70" t="str">
        <f>IFERROR(_xll.qlRateHelperRate(Y44,Trigger),"")</f>
        <v/>
      </c>
      <c r="AC44" s="104" t="str">
        <f>IF(ISERROR(_xll.qlSwapRateHelperSpread($Y44)),IF(ISERROR(_xll.qlFuturesRateHelperConvexityAdjustment($Y44)),"",_xll.qlFuturesRateHelperConvexityAdjustment($Y44)),_xll.qlSwapRateHelperSpread($Y44))</f>
        <v/>
      </c>
      <c r="AD44" s="5" t="str">
        <f>IFERROR(_xll.qlRateHelperEarliestDate(Y44,Trigger),"")</f>
        <v/>
      </c>
      <c r="AE44" s="5" t="str">
        <f>IFERROR(_xll.qlRateHelperPillarDate(Y44,Trigger),"")</f>
        <v/>
      </c>
      <c r="AF44" s="70" t="e">
        <v>#N/A</v>
      </c>
      <c r="AG44" s="77" t="e">
        <v>#N/A</v>
      </c>
      <c r="AH44" s="169" t="e">
        <v>#N/A</v>
      </c>
      <c r="AI44" s="170" t="e">
        <v>#N/A</v>
      </c>
      <c r="AJ44" s="172" t="e">
        <f t="shared" si="1"/>
        <v>#N/A</v>
      </c>
      <c r="AK44" s="80" t="e">
        <v>#N/A</v>
      </c>
      <c r="AL44" s="161" t="e">
        <f t="shared" si="2"/>
        <v>#N/A</v>
      </c>
    </row>
    <row r="45" spans="1:38" ht="11.25" customHeight="1" x14ac:dyDescent="0.2">
      <c r="A45" s="59" t="s">
        <v>115</v>
      </c>
      <c r="B45" s="60" t="s">
        <v>104</v>
      </c>
      <c r="C45" s="61" t="s">
        <v>6</v>
      </c>
      <c r="D45" s="61" t="s">
        <v>154</v>
      </c>
      <c r="E45" s="61" t="s">
        <v>7</v>
      </c>
      <c r="F45" s="61" t="s">
        <v>155</v>
      </c>
      <c r="G45" s="61" t="str">
        <f t="shared" si="10"/>
        <v>GbpLibor1M</v>
      </c>
      <c r="H45" s="59" t="str">
        <f t="shared" si="11"/>
        <v>GBPSB6L23Y_LCHQuote</v>
      </c>
      <c r="I45" s="154" t="str">
        <f t="shared" si="12"/>
        <v>GBP1L6L23Y_LCHQuote</v>
      </c>
      <c r="J45" s="64"/>
      <c r="K45" s="64"/>
      <c r="M45" s="10" t="str">
        <f t="shared" si="7"/>
        <v>BasSw</v>
      </c>
      <c r="N45" s="94" t="str">
        <f t="shared" si="8"/>
        <v>--</v>
      </c>
      <c r="O45" s="94" t="str">
        <f t="shared" si="9"/>
        <v>--</v>
      </c>
      <c r="P45" s="146" t="str">
        <f>IFERROR(_xll.qlRateHelperQuoteName(N45,Trigger),"--")</f>
        <v>--</v>
      </c>
      <c r="Q45" s="98" t="str">
        <f>IFERROR(_xll.qlRateHelperQuoteValue($N45,Trigger),"--")</f>
        <v>--</v>
      </c>
      <c r="R45" s="141" t="b">
        <v>0</v>
      </c>
      <c r="S45" s="94">
        <v>10</v>
      </c>
      <c r="T45" s="94">
        <v>1</v>
      </c>
      <c r="U45" s="99" t="str">
        <f>IFERROR(_xll.qlRateHelperEarliestDate(N45,Trigger),"--")</f>
        <v>--</v>
      </c>
      <c r="V45" s="99" t="str">
        <f>IFERROR(_xll.qlRateHelperPillarDate(N45,Trigger),"--")</f>
        <v>--</v>
      </c>
      <c r="X45" s="4" t="str">
        <f t="shared" si="13"/>
        <v/>
      </c>
      <c r="Y45" s="4" t="e">
        <v>#N/A</v>
      </c>
      <c r="Z45" s="4" t="e">
        <v>#N/A</v>
      </c>
      <c r="AA45" s="4" t="str">
        <f>IFERROR(_xll.qlRateHelperQuoteName(Y45,Trigger),"")</f>
        <v/>
      </c>
      <c r="AB45" s="70" t="str">
        <f>IFERROR(_xll.qlRateHelperRate(Y45,Trigger),"")</f>
        <v/>
      </c>
      <c r="AC45" s="104" t="str">
        <f>IF(ISERROR(_xll.qlSwapRateHelperSpread($Y45)),IF(ISERROR(_xll.qlFuturesRateHelperConvexityAdjustment($Y45)),"",_xll.qlFuturesRateHelperConvexityAdjustment($Y45)),_xll.qlSwapRateHelperSpread($Y45))</f>
        <v/>
      </c>
      <c r="AD45" s="5" t="str">
        <f>IFERROR(_xll.qlRateHelperEarliestDate(Y45,Trigger),"")</f>
        <v/>
      </c>
      <c r="AE45" s="5" t="str">
        <f>IFERROR(_xll.qlRateHelperPillarDate(Y45,Trigger),"")</f>
        <v/>
      </c>
      <c r="AF45" s="70" t="e">
        <v>#N/A</v>
      </c>
      <c r="AG45" s="77" t="e">
        <v>#N/A</v>
      </c>
      <c r="AH45" s="169" t="e">
        <v>#N/A</v>
      </c>
      <c r="AI45" s="170" t="e">
        <v>#N/A</v>
      </c>
      <c r="AJ45" s="172" t="e">
        <f t="shared" si="1"/>
        <v>#N/A</v>
      </c>
      <c r="AK45" s="80" t="e">
        <v>#N/A</v>
      </c>
      <c r="AL45" s="161" t="e">
        <f t="shared" si="2"/>
        <v>#N/A</v>
      </c>
    </row>
    <row r="46" spans="1:38" ht="11.25" customHeight="1" x14ac:dyDescent="0.2">
      <c r="A46" s="59" t="s">
        <v>115</v>
      </c>
      <c r="B46" s="60" t="s">
        <v>105</v>
      </c>
      <c r="C46" s="61" t="s">
        <v>6</v>
      </c>
      <c r="D46" s="61" t="s">
        <v>154</v>
      </c>
      <c r="E46" s="61" t="s">
        <v>7</v>
      </c>
      <c r="F46" s="61" t="s">
        <v>155</v>
      </c>
      <c r="G46" s="61" t="str">
        <f t="shared" si="10"/>
        <v>GbpLibor1M</v>
      </c>
      <c r="H46" s="59" t="str">
        <f t="shared" si="11"/>
        <v>GBPSB6L24Y_LCHQuote</v>
      </c>
      <c r="I46" s="154" t="str">
        <f t="shared" si="12"/>
        <v>GBP1L6L24Y_LCHQuote</v>
      </c>
      <c r="J46" s="64"/>
      <c r="K46" s="64"/>
      <c r="M46" s="10" t="str">
        <f t="shared" si="7"/>
        <v>BasSw</v>
      </c>
      <c r="N46" s="94" t="str">
        <f t="shared" si="8"/>
        <v>--</v>
      </c>
      <c r="O46" s="94" t="str">
        <f t="shared" si="9"/>
        <v>--</v>
      </c>
      <c r="P46" s="146" t="str">
        <f>IFERROR(_xll.qlRateHelperQuoteName(N46,Trigger),"--")</f>
        <v>--</v>
      </c>
      <c r="Q46" s="98" t="str">
        <f>IFERROR(_xll.qlRateHelperQuoteValue($N46,Trigger),"--")</f>
        <v>--</v>
      </c>
      <c r="R46" s="141" t="b">
        <v>0</v>
      </c>
      <c r="S46" s="94">
        <v>10</v>
      </c>
      <c r="T46" s="94">
        <v>1</v>
      </c>
      <c r="U46" s="99" t="str">
        <f>IFERROR(_xll.qlRateHelperEarliestDate(N46,Trigger),"--")</f>
        <v>--</v>
      </c>
      <c r="V46" s="99" t="str">
        <f>IFERROR(_xll.qlRateHelperPillarDate(N46,Trigger),"--")</f>
        <v>--</v>
      </c>
      <c r="X46" s="4" t="str">
        <f t="shared" si="13"/>
        <v/>
      </c>
      <c r="Y46" s="4" t="e">
        <v>#N/A</v>
      </c>
      <c r="Z46" s="4" t="e">
        <v>#N/A</v>
      </c>
      <c r="AA46" s="4" t="str">
        <f>IFERROR(_xll.qlRateHelperQuoteName(Y46,Trigger),"")</f>
        <v/>
      </c>
      <c r="AB46" s="70" t="str">
        <f>IFERROR(_xll.qlRateHelperRate(Y46,Trigger),"")</f>
        <v/>
      </c>
      <c r="AC46" s="104" t="str">
        <f>IF(ISERROR(_xll.qlSwapRateHelperSpread($Y46)),IF(ISERROR(_xll.qlFuturesRateHelperConvexityAdjustment($Y46)),"",_xll.qlFuturesRateHelperConvexityAdjustment($Y46)),_xll.qlSwapRateHelperSpread($Y46))</f>
        <v/>
      </c>
      <c r="AD46" s="5" t="str">
        <f>IFERROR(_xll.qlRateHelperEarliestDate(Y46,Trigger),"")</f>
        <v/>
      </c>
      <c r="AE46" s="5" t="str">
        <f>IFERROR(_xll.qlRateHelperPillarDate(Y46,Trigger),"")</f>
        <v/>
      </c>
      <c r="AF46" s="70" t="e">
        <v>#N/A</v>
      </c>
      <c r="AG46" s="77" t="e">
        <v>#N/A</v>
      </c>
      <c r="AH46" s="169" t="e">
        <v>#N/A</v>
      </c>
      <c r="AI46" s="170" t="e">
        <v>#N/A</v>
      </c>
      <c r="AJ46" s="172" t="e">
        <f t="shared" si="1"/>
        <v>#N/A</v>
      </c>
      <c r="AK46" s="80" t="e">
        <v>#N/A</v>
      </c>
      <c r="AL46" s="161" t="e">
        <f t="shared" si="2"/>
        <v>#N/A</v>
      </c>
    </row>
    <row r="47" spans="1:38" ht="11.25" customHeight="1" x14ac:dyDescent="0.2">
      <c r="A47" s="59" t="s">
        <v>115</v>
      </c>
      <c r="B47" s="60" t="s">
        <v>63</v>
      </c>
      <c r="C47" s="61" t="s">
        <v>6</v>
      </c>
      <c r="D47" s="61" t="s">
        <v>154</v>
      </c>
      <c r="E47" s="61" t="s">
        <v>7</v>
      </c>
      <c r="F47" s="61" t="s">
        <v>155</v>
      </c>
      <c r="G47" s="61" t="str">
        <f t="shared" si="10"/>
        <v>GbpLibor1M</v>
      </c>
      <c r="H47" s="59" t="str">
        <f t="shared" si="11"/>
        <v>GBPSB6L25Y_LCHQuote</v>
      </c>
      <c r="I47" s="154" t="str">
        <f t="shared" si="12"/>
        <v>GBP1L6L25Y_LCHQuote</v>
      </c>
      <c r="J47" s="64" t="str">
        <f>_xll.qlSwapRateHelper2(,$H47,0,$B47,Calendar,$D47,$E47,$F47,$G47,$I47,$C47,Discounting1,PillarDate,,Permanent,Trigger,ObjectOverwrite)</f>
        <v>obj_003f8#0007</v>
      </c>
      <c r="K47" s="64" t="str">
        <f>_xll.qlSwapRateHelper2(,$H47,0,$B47,Calendar,$D47,$E47,$F47,$G47,$I47,$C47,Discounting2,PillarDate,,Permanent,Trigger,ObjectOverwrite)</f>
        <v>obj_00407#0007</v>
      </c>
      <c r="M47" s="10" t="str">
        <f t="shared" si="7"/>
        <v>BasSw</v>
      </c>
      <c r="N47" s="94" t="str">
        <f t="shared" si="8"/>
        <v>--</v>
      </c>
      <c r="O47" s="94" t="str">
        <f t="shared" si="9"/>
        <v>--</v>
      </c>
      <c r="P47" s="146" t="str">
        <f>IFERROR(_xll.qlRateHelperQuoteName(N47,Trigger),"--")</f>
        <v>--</v>
      </c>
      <c r="Q47" s="98" t="str">
        <f>IFERROR(_xll.qlRateHelperQuoteValue($N47,Trigger),"--")</f>
        <v>--</v>
      </c>
      <c r="R47" s="141" t="b">
        <v>0</v>
      </c>
      <c r="S47" s="94">
        <v>10</v>
      </c>
      <c r="T47" s="94">
        <v>1</v>
      </c>
      <c r="U47" s="99" t="str">
        <f>IFERROR(_xll.qlRateHelperEarliestDate(N47,Trigger),"--")</f>
        <v>--</v>
      </c>
      <c r="V47" s="99" t="str">
        <f>IFERROR(_xll.qlRateHelperPillarDate(N47,Trigger),"--")</f>
        <v>--</v>
      </c>
      <c r="X47" s="4" t="str">
        <f t="shared" si="13"/>
        <v/>
      </c>
      <c r="Y47" s="4" t="e">
        <v>#N/A</v>
      </c>
      <c r="Z47" s="4" t="e">
        <v>#N/A</v>
      </c>
      <c r="AA47" s="4" t="str">
        <f>IFERROR(_xll.qlRateHelperQuoteName(Y47,Trigger),"")</f>
        <v/>
      </c>
      <c r="AB47" s="70" t="str">
        <f>IFERROR(_xll.qlRateHelperRate(Y47,Trigger),"")</f>
        <v/>
      </c>
      <c r="AC47" s="104" t="str">
        <f>IF(ISERROR(_xll.qlSwapRateHelperSpread($Y47)),IF(ISERROR(_xll.qlFuturesRateHelperConvexityAdjustment($Y47)),"",_xll.qlFuturesRateHelperConvexityAdjustment($Y47)),_xll.qlSwapRateHelperSpread($Y47))</f>
        <v/>
      </c>
      <c r="AD47" s="5" t="str">
        <f>IFERROR(_xll.qlRateHelperEarliestDate(Y47,Trigger),"")</f>
        <v/>
      </c>
      <c r="AE47" s="5" t="str">
        <f>IFERROR(_xll.qlRateHelperPillarDate(Y47,Trigger),"")</f>
        <v/>
      </c>
      <c r="AF47" s="70" t="e">
        <v>#N/A</v>
      </c>
      <c r="AG47" s="77" t="e">
        <v>#N/A</v>
      </c>
      <c r="AH47" s="169" t="e">
        <v>#N/A</v>
      </c>
      <c r="AI47" s="170" t="e">
        <v>#N/A</v>
      </c>
      <c r="AJ47" s="172" t="e">
        <f t="shared" si="1"/>
        <v>#N/A</v>
      </c>
      <c r="AK47" s="80" t="e">
        <v>#N/A</v>
      </c>
      <c r="AL47" s="161" t="e">
        <f t="shared" si="2"/>
        <v>#N/A</v>
      </c>
    </row>
    <row r="48" spans="1:38" ht="11.25" customHeight="1" x14ac:dyDescent="0.2">
      <c r="A48" s="59" t="s">
        <v>115</v>
      </c>
      <c r="B48" s="60" t="s">
        <v>106</v>
      </c>
      <c r="C48" s="61" t="s">
        <v>6</v>
      </c>
      <c r="D48" s="61" t="s">
        <v>154</v>
      </c>
      <c r="E48" s="61" t="s">
        <v>7</v>
      </c>
      <c r="F48" s="61" t="s">
        <v>155</v>
      </c>
      <c r="G48" s="61" t="str">
        <f t="shared" si="10"/>
        <v>GbpLibor1M</v>
      </c>
      <c r="H48" s="59" t="str">
        <f t="shared" si="11"/>
        <v>GBPSB6L26Y_LCHQuote</v>
      </c>
      <c r="I48" s="154" t="str">
        <f t="shared" si="12"/>
        <v>GBP1L6L26Y_LCHQuote</v>
      </c>
      <c r="J48" s="64"/>
      <c r="K48" s="64"/>
      <c r="M48" s="10" t="str">
        <f t="shared" si="7"/>
        <v>BasSw</v>
      </c>
      <c r="N48" s="94" t="str">
        <f t="shared" si="8"/>
        <v>obj_00412#0007</v>
      </c>
      <c r="O48" s="94" t="str">
        <f t="shared" si="9"/>
        <v>obj_003eb#0007</v>
      </c>
      <c r="P48" s="146" t="str">
        <f>IFERROR(_xll.qlRateHelperQuoteName(N48,Trigger),"--")</f>
        <v>GBPSB6L30Y_LCHQuote</v>
      </c>
      <c r="Q48" s="98">
        <f>IFERROR(_xll.qlRateHelperQuoteValue($N48,Trigger),"--")</f>
        <v>2.1470000000000003E-2</v>
      </c>
      <c r="R48" s="141" t="b">
        <v>1</v>
      </c>
      <c r="S48" s="94">
        <v>10</v>
      </c>
      <c r="T48" s="94">
        <v>1</v>
      </c>
      <c r="U48" s="99">
        <f>IFERROR(_xll.qlRateHelperEarliestDate(N48,Trigger),"--")</f>
        <v>42321</v>
      </c>
      <c r="V48" s="99">
        <f>IFERROR(_xll.qlRateHelperPillarDate(N48,Trigger),"--")</f>
        <v>53279</v>
      </c>
      <c r="X48" s="4" t="str">
        <f t="shared" si="13"/>
        <v/>
      </c>
      <c r="Y48" s="4" t="e">
        <v>#N/A</v>
      </c>
      <c r="Z48" s="4" t="e">
        <v>#N/A</v>
      </c>
      <c r="AA48" s="4" t="str">
        <f>IFERROR(_xll.qlRateHelperQuoteName(Y48,Trigger),"")</f>
        <v/>
      </c>
      <c r="AB48" s="70" t="str">
        <f>IFERROR(_xll.qlRateHelperRate(Y48,Trigger),"")</f>
        <v/>
      </c>
      <c r="AC48" s="104" t="str">
        <f>IF(ISERROR(_xll.qlSwapRateHelperSpread($Y48)),IF(ISERROR(_xll.qlFuturesRateHelperConvexityAdjustment($Y48)),"",_xll.qlFuturesRateHelperConvexityAdjustment($Y48)),_xll.qlSwapRateHelperSpread($Y48))</f>
        <v/>
      </c>
      <c r="AD48" s="5" t="str">
        <f>IFERROR(_xll.qlRateHelperEarliestDate(Y48,Trigger),"")</f>
        <v/>
      </c>
      <c r="AE48" s="5" t="str">
        <f>IFERROR(_xll.qlRateHelperPillarDate(Y48,Trigger),"")</f>
        <v/>
      </c>
      <c r="AF48" s="70" t="e">
        <v>#N/A</v>
      </c>
      <c r="AG48" s="77" t="e">
        <v>#N/A</v>
      </c>
      <c r="AH48" s="169" t="e">
        <v>#N/A</v>
      </c>
      <c r="AI48" s="170" t="e">
        <v>#N/A</v>
      </c>
      <c r="AJ48" s="172" t="e">
        <f t="shared" si="1"/>
        <v>#N/A</v>
      </c>
      <c r="AK48" s="80" t="e">
        <v>#N/A</v>
      </c>
      <c r="AL48" s="161" t="e">
        <f t="shared" si="2"/>
        <v>#N/A</v>
      </c>
    </row>
    <row r="49" spans="1:38" ht="11.25" customHeight="1" x14ac:dyDescent="0.2">
      <c r="A49" s="59" t="s">
        <v>115</v>
      </c>
      <c r="B49" s="60" t="s">
        <v>64</v>
      </c>
      <c r="C49" s="61" t="s">
        <v>6</v>
      </c>
      <c r="D49" s="61" t="s">
        <v>154</v>
      </c>
      <c r="E49" s="61" t="s">
        <v>7</v>
      </c>
      <c r="F49" s="61" t="s">
        <v>155</v>
      </c>
      <c r="G49" s="61" t="str">
        <f t="shared" si="10"/>
        <v>GbpLibor1M</v>
      </c>
      <c r="H49" s="59" t="str">
        <f t="shared" si="11"/>
        <v>GBPSB6L27Y_LCHQuote</v>
      </c>
      <c r="I49" s="154" t="str">
        <f t="shared" si="12"/>
        <v>GBP1L6L27Y_LCHQuote</v>
      </c>
      <c r="J49" s="64"/>
      <c r="K49" s="64"/>
      <c r="M49" s="10" t="str">
        <f t="shared" si="7"/>
        <v>BasSw</v>
      </c>
      <c r="N49" s="94" t="str">
        <f t="shared" si="8"/>
        <v>--</v>
      </c>
      <c r="O49" s="94" t="str">
        <f t="shared" si="9"/>
        <v>--</v>
      </c>
      <c r="P49" s="146" t="str">
        <f>IFERROR(_xll.qlRateHelperQuoteName(N49,Trigger),"--")</f>
        <v>--</v>
      </c>
      <c r="Q49" s="98" t="str">
        <f>IFERROR(_xll.qlRateHelperQuoteValue($N49,Trigger),"--")</f>
        <v>--</v>
      </c>
      <c r="R49" s="141" t="b">
        <v>0</v>
      </c>
      <c r="S49" s="94">
        <v>10</v>
      </c>
      <c r="T49" s="94">
        <v>1</v>
      </c>
      <c r="U49" s="99" t="str">
        <f>IFERROR(_xll.qlRateHelperEarliestDate(N49,Trigger),"--")</f>
        <v>--</v>
      </c>
      <c r="V49" s="99" t="str">
        <f>IFERROR(_xll.qlRateHelperPillarDate(N49,Trigger),"--")</f>
        <v>--</v>
      </c>
      <c r="X49" s="4" t="str">
        <f t="shared" si="13"/>
        <v/>
      </c>
      <c r="Y49" s="4" t="e">
        <v>#N/A</v>
      </c>
      <c r="Z49" s="4" t="e">
        <v>#N/A</v>
      </c>
      <c r="AA49" s="4" t="str">
        <f>IFERROR(_xll.qlRateHelperQuoteName(Y49,Trigger),"")</f>
        <v/>
      </c>
      <c r="AB49" s="70" t="str">
        <f>IFERROR(_xll.qlRateHelperRate(Y49,Trigger),"")</f>
        <v/>
      </c>
      <c r="AC49" s="104" t="str">
        <f>IF(ISERROR(_xll.qlSwapRateHelperSpread($Y49)),IF(ISERROR(_xll.qlFuturesRateHelperConvexityAdjustment($Y49)),"",_xll.qlFuturesRateHelperConvexityAdjustment($Y49)),_xll.qlSwapRateHelperSpread($Y49))</f>
        <v/>
      </c>
      <c r="AD49" s="5" t="str">
        <f>IFERROR(_xll.qlRateHelperEarliestDate(Y49,Trigger),"")</f>
        <v/>
      </c>
      <c r="AE49" s="5" t="str">
        <f>IFERROR(_xll.qlRateHelperPillarDate(Y49,Trigger),"")</f>
        <v/>
      </c>
      <c r="AF49" s="70" t="e">
        <v>#N/A</v>
      </c>
      <c r="AG49" s="77" t="e">
        <v>#N/A</v>
      </c>
      <c r="AH49" s="169" t="e">
        <v>#N/A</v>
      </c>
      <c r="AI49" s="170" t="e">
        <v>#N/A</v>
      </c>
      <c r="AJ49" s="172" t="e">
        <f t="shared" si="1"/>
        <v>#N/A</v>
      </c>
      <c r="AK49" s="80" t="e">
        <v>#N/A</v>
      </c>
      <c r="AL49" s="161" t="e">
        <f t="shared" si="2"/>
        <v>#N/A</v>
      </c>
    </row>
    <row r="50" spans="1:38" ht="11.25" customHeight="1" x14ac:dyDescent="0.2">
      <c r="A50" s="59" t="s">
        <v>115</v>
      </c>
      <c r="B50" s="60" t="s">
        <v>107</v>
      </c>
      <c r="C50" s="61" t="s">
        <v>6</v>
      </c>
      <c r="D50" s="61" t="s">
        <v>154</v>
      </c>
      <c r="E50" s="61" t="s">
        <v>7</v>
      </c>
      <c r="F50" s="61" t="s">
        <v>155</v>
      </c>
      <c r="G50" s="61" t="str">
        <f t="shared" si="10"/>
        <v>GbpLibor1M</v>
      </c>
      <c r="H50" s="59" t="str">
        <f t="shared" si="11"/>
        <v>GBPSB6L28Y_LCHQuote</v>
      </c>
      <c r="I50" s="154" t="str">
        <f t="shared" si="12"/>
        <v>GBP1L6L28Y_LCHQuote</v>
      </c>
      <c r="J50" s="64"/>
      <c r="K50" s="64"/>
      <c r="M50" s="10" t="str">
        <f t="shared" si="7"/>
        <v>BasSw</v>
      </c>
      <c r="N50" s="94" t="str">
        <f t="shared" si="8"/>
        <v>obj_00406#0007</v>
      </c>
      <c r="O50" s="94" t="str">
        <f t="shared" si="9"/>
        <v>obj_003fc#0007</v>
      </c>
      <c r="P50" s="146" t="str">
        <f>IFERROR(_xll.qlRateHelperQuoteName(N50,Trigger),"--")</f>
        <v>GBPSB6L40Y_LCHQuote</v>
      </c>
      <c r="Q50" s="98">
        <f>IFERROR(_xll.qlRateHelperQuoteValue($N50,Trigger),"--")</f>
        <v>2.085E-2</v>
      </c>
      <c r="R50" s="141" t="b">
        <v>1</v>
      </c>
      <c r="S50" s="94">
        <v>10</v>
      </c>
      <c r="T50" s="94">
        <v>1</v>
      </c>
      <c r="U50" s="99">
        <f>IFERROR(_xll.qlRateHelperEarliestDate(N50,Trigger),"--")</f>
        <v>42321</v>
      </c>
      <c r="V50" s="99">
        <f>IFERROR(_xll.qlRateHelperPillarDate(N50,Trigger),"--")</f>
        <v>56933</v>
      </c>
      <c r="X50" s="4" t="str">
        <f t="shared" si="13"/>
        <v/>
      </c>
      <c r="Y50" s="4" t="e">
        <v>#N/A</v>
      </c>
      <c r="Z50" s="4" t="e">
        <v>#N/A</v>
      </c>
      <c r="AA50" s="4" t="str">
        <f>IFERROR(_xll.qlRateHelperQuoteName(Y50,Trigger),"")</f>
        <v/>
      </c>
      <c r="AB50" s="70" t="str">
        <f>IFERROR(_xll.qlRateHelperRate(Y50,Trigger),"")</f>
        <v/>
      </c>
      <c r="AC50" s="104" t="str">
        <f>IF(ISERROR(_xll.qlSwapRateHelperSpread($Y50)),IF(ISERROR(_xll.qlFuturesRateHelperConvexityAdjustment($Y50)),"",_xll.qlFuturesRateHelperConvexityAdjustment($Y50)),_xll.qlSwapRateHelperSpread($Y50))</f>
        <v/>
      </c>
      <c r="AD50" s="5" t="str">
        <f>IFERROR(_xll.qlRateHelperEarliestDate(Y50,Trigger),"")</f>
        <v/>
      </c>
      <c r="AE50" s="5" t="str">
        <f>IFERROR(_xll.qlRateHelperPillarDate(Y50,Trigger),"")</f>
        <v/>
      </c>
      <c r="AF50" s="70" t="e">
        <v>#N/A</v>
      </c>
      <c r="AG50" s="77" t="e">
        <v>#N/A</v>
      </c>
      <c r="AH50" s="169" t="e">
        <v>#N/A</v>
      </c>
      <c r="AI50" s="170" t="e">
        <v>#N/A</v>
      </c>
      <c r="AJ50" s="172" t="e">
        <f t="shared" si="1"/>
        <v>#N/A</v>
      </c>
      <c r="AK50" s="80" t="e">
        <v>#N/A</v>
      </c>
      <c r="AL50" s="161" t="e">
        <f t="shared" si="2"/>
        <v>#N/A</v>
      </c>
    </row>
    <row r="51" spans="1:38" ht="11.25" customHeight="1" x14ac:dyDescent="0.2">
      <c r="A51" s="59" t="s">
        <v>115</v>
      </c>
      <c r="B51" s="60" t="s">
        <v>108</v>
      </c>
      <c r="C51" s="61" t="s">
        <v>6</v>
      </c>
      <c r="D51" s="61" t="s">
        <v>154</v>
      </c>
      <c r="E51" s="61" t="s">
        <v>7</v>
      </c>
      <c r="F51" s="61" t="s">
        <v>155</v>
      </c>
      <c r="G51" s="61" t="str">
        <f t="shared" si="10"/>
        <v>GbpLibor1M</v>
      </c>
      <c r="H51" s="59" t="str">
        <f t="shared" si="11"/>
        <v>GBPSB6L29Y_LCHQuote</v>
      </c>
      <c r="I51" s="154" t="str">
        <f t="shared" si="12"/>
        <v>GBP1L6L29Y_LCHQuote</v>
      </c>
      <c r="J51" s="64"/>
      <c r="K51" s="64"/>
      <c r="M51" s="10" t="str">
        <f t="shared" si="7"/>
        <v>BasSw</v>
      </c>
      <c r="N51" s="94" t="str">
        <f t="shared" si="8"/>
        <v>obj_003ee#0007</v>
      </c>
      <c r="O51" s="94" t="str">
        <f t="shared" si="9"/>
        <v>obj_003f4#0007</v>
      </c>
      <c r="P51" s="146" t="str">
        <f>IFERROR(_xll.qlRateHelperQuoteName(N51,Trigger),"--")</f>
        <v>GBPSB6L50Y_LCHQuote</v>
      </c>
      <c r="Q51" s="98">
        <f>IFERROR(_xll.qlRateHelperQuoteValue($N51,Trigger),"--")</f>
        <v>2.0419999999999997E-2</v>
      </c>
      <c r="R51" s="141" t="b">
        <v>1</v>
      </c>
      <c r="S51" s="94">
        <v>10</v>
      </c>
      <c r="T51" s="94">
        <v>1</v>
      </c>
      <c r="U51" s="99">
        <f>IFERROR(_xll.qlRateHelperEarliestDate(N51,Trigger),"--")</f>
        <v>42321</v>
      </c>
      <c r="V51" s="99">
        <f>IFERROR(_xll.qlRateHelperPillarDate(N51,Trigger),"--")</f>
        <v>60584</v>
      </c>
      <c r="X51" s="4" t="str">
        <f t="shared" si="13"/>
        <v/>
      </c>
      <c r="Y51" s="4" t="e">
        <v>#N/A</v>
      </c>
      <c r="Z51" s="4" t="e">
        <v>#N/A</v>
      </c>
      <c r="AA51" s="4" t="str">
        <f>IFERROR(_xll.qlRateHelperQuoteName(Y51,Trigger),"")</f>
        <v/>
      </c>
      <c r="AB51" s="70" t="str">
        <f>IFERROR(_xll.qlRateHelperRate(Y51,Trigger),"")</f>
        <v/>
      </c>
      <c r="AC51" s="104" t="str">
        <f>IF(ISERROR(_xll.qlSwapRateHelperSpread($Y51)),IF(ISERROR(_xll.qlFuturesRateHelperConvexityAdjustment($Y51)),"",_xll.qlFuturesRateHelperConvexityAdjustment($Y51)),_xll.qlSwapRateHelperSpread($Y51))</f>
        <v/>
      </c>
      <c r="AD51" s="5" t="str">
        <f>IFERROR(_xll.qlRateHelperEarliestDate(Y51,Trigger),"")</f>
        <v/>
      </c>
      <c r="AE51" s="5" t="str">
        <f>IFERROR(_xll.qlRateHelperPillarDate(Y51,Trigger),"")</f>
        <v/>
      </c>
      <c r="AF51" s="70" t="e">
        <v>#N/A</v>
      </c>
      <c r="AG51" s="77" t="e">
        <v>#N/A</v>
      </c>
      <c r="AH51" s="169" t="e">
        <v>#N/A</v>
      </c>
      <c r="AI51" s="170" t="e">
        <v>#N/A</v>
      </c>
      <c r="AJ51" s="172" t="e">
        <f t="shared" si="1"/>
        <v>#N/A</v>
      </c>
      <c r="AK51" s="80" t="e">
        <v>#N/A</v>
      </c>
      <c r="AL51" s="161" t="e">
        <f t="shared" si="2"/>
        <v>#N/A</v>
      </c>
    </row>
    <row r="52" spans="1:38" ht="11.25" customHeight="1" x14ac:dyDescent="0.2">
      <c r="A52" s="59" t="s">
        <v>115</v>
      </c>
      <c r="B52" s="60" t="s">
        <v>65</v>
      </c>
      <c r="C52" s="61" t="s">
        <v>6</v>
      </c>
      <c r="D52" s="61" t="s">
        <v>154</v>
      </c>
      <c r="E52" s="61" t="s">
        <v>7</v>
      </c>
      <c r="F52" s="61" t="s">
        <v>155</v>
      </c>
      <c r="G52" s="61" t="str">
        <f t="shared" si="10"/>
        <v>GbpLibor1M</v>
      </c>
      <c r="H52" s="59" t="str">
        <f t="shared" si="11"/>
        <v>GBPSB6L30Y_LCHQuote</v>
      </c>
      <c r="I52" s="154" t="str">
        <f t="shared" si="12"/>
        <v>GBP1L6L30Y_LCHQuote</v>
      </c>
      <c r="J52" s="64" t="str">
        <f>_xll.qlSwapRateHelper2(,$H52,0,$B52,Calendar,$D52,$E52,$F52,$G52,$I52,$C52,Discounting1,PillarDate,,Permanent,Trigger,ObjectOverwrite)</f>
        <v>obj_00412#0007</v>
      </c>
      <c r="K52" s="64" t="str">
        <f>_xll.qlSwapRateHelper2(,$H52,0,$B52,Calendar,$D52,$E52,$F52,$G52,$I52,$C52,Discounting2,PillarDate,,Permanent,Trigger,ObjectOverwrite)</f>
        <v>obj_003eb#0007</v>
      </c>
      <c r="M52" s="11" t="str">
        <f t="shared" si="7"/>
        <v>BasSw</v>
      </c>
      <c r="N52" s="95" t="str">
        <f t="shared" si="8"/>
        <v>obj_00402#0007</v>
      </c>
      <c r="O52" s="95" t="str">
        <f t="shared" si="9"/>
        <v>obj_003e7#0007</v>
      </c>
      <c r="P52" s="147" t="str">
        <f>IFERROR(_xll.qlRateHelperQuoteName(N52,Trigger),"--")</f>
        <v>GBPSB6L60Y_LCHQuote</v>
      </c>
      <c r="Q52" s="101">
        <f>IFERROR(_xll.qlRateHelperQuoteValue($N52,Trigger),"--")</f>
        <v>2.0390000000000002E-2</v>
      </c>
      <c r="R52" s="144" t="b">
        <v>1</v>
      </c>
      <c r="S52" s="95">
        <v>10</v>
      </c>
      <c r="T52" s="95">
        <v>1</v>
      </c>
      <c r="U52" s="102">
        <f>IFERROR(_xll.qlRateHelperEarliestDate(N52,Trigger),"--")</f>
        <v>42321</v>
      </c>
      <c r="V52" s="102">
        <f>IFERROR(_xll.qlRateHelperPillarDate(N52,Trigger),"--")</f>
        <v>64236</v>
      </c>
      <c r="X52" s="6" t="str">
        <f t="shared" si="13"/>
        <v/>
      </c>
      <c r="Y52" s="6" t="e">
        <v>#N/A</v>
      </c>
      <c r="Z52" s="6" t="e">
        <v>#N/A</v>
      </c>
      <c r="AA52" s="6" t="str">
        <f>IFERROR(_xll.qlRateHelperQuoteName(Y52,Trigger),"")</f>
        <v/>
      </c>
      <c r="AB52" s="79" t="str">
        <f>IFERROR(_xll.qlRateHelperRate(Y52,Trigger),"")</f>
        <v/>
      </c>
      <c r="AC52" s="105" t="str">
        <f>IF(ISERROR(_xll.qlSwapRateHelperSpread($Y52)),IF(ISERROR(_xll.qlFuturesRateHelperConvexityAdjustment($Y52)),"",_xll.qlFuturesRateHelperConvexityAdjustment($Y52)),_xll.qlSwapRateHelperSpread($Y52))</f>
        <v/>
      </c>
      <c r="AD52" s="12" t="str">
        <f>IFERROR(_xll.qlRateHelperEarliestDate(Y52,Trigger),"")</f>
        <v/>
      </c>
      <c r="AE52" s="12" t="str">
        <f>IFERROR(_xll.qlRateHelperPillarDate(Y52,Trigger),"")</f>
        <v/>
      </c>
      <c r="AF52" s="79" t="e">
        <v>#N/A</v>
      </c>
      <c r="AG52" s="78" t="e">
        <v>#N/A</v>
      </c>
      <c r="AH52" s="169" t="e">
        <v>#N/A</v>
      </c>
      <c r="AI52" s="170" t="e">
        <v>#N/A</v>
      </c>
      <c r="AJ52" s="172" t="e">
        <f t="shared" si="1"/>
        <v>#N/A</v>
      </c>
      <c r="AK52" s="80" t="e">
        <v>#N/A</v>
      </c>
      <c r="AL52" s="161" t="e">
        <f t="shared" si="2"/>
        <v>#N/A</v>
      </c>
    </row>
    <row r="53" spans="1:38" ht="11.25" customHeight="1" x14ac:dyDescent="0.2">
      <c r="A53" s="59" t="s">
        <v>115</v>
      </c>
      <c r="B53" s="60" t="s">
        <v>66</v>
      </c>
      <c r="C53" s="61" t="s">
        <v>6</v>
      </c>
      <c r="D53" s="61" t="s">
        <v>154</v>
      </c>
      <c r="E53" s="61" t="s">
        <v>7</v>
      </c>
      <c r="F53" s="61" t="s">
        <v>155</v>
      </c>
      <c r="G53" s="61" t="str">
        <f t="shared" si="10"/>
        <v>GbpLibor1M</v>
      </c>
      <c r="H53" s="59" t="str">
        <f t="shared" si="11"/>
        <v>GBPSB6L35Y_LCHQuote</v>
      </c>
      <c r="I53" s="154" t="str">
        <f t="shared" si="12"/>
        <v>GBP1L6L35Y_LCHQuote</v>
      </c>
      <c r="J53" s="64"/>
      <c r="K53" s="64"/>
      <c r="M53" s="160"/>
      <c r="AH53" s="169"/>
      <c r="AI53" s="170"/>
    </row>
    <row r="54" spans="1:38" ht="11.25" customHeight="1" x14ac:dyDescent="0.2">
      <c r="A54" s="59" t="s">
        <v>115</v>
      </c>
      <c r="B54" s="60" t="s">
        <v>67</v>
      </c>
      <c r="C54" s="61" t="s">
        <v>6</v>
      </c>
      <c r="D54" s="61" t="s">
        <v>154</v>
      </c>
      <c r="E54" s="61" t="s">
        <v>7</v>
      </c>
      <c r="F54" s="61" t="s">
        <v>155</v>
      </c>
      <c r="G54" s="61" t="str">
        <f t="shared" si="10"/>
        <v>GbpLibor1M</v>
      </c>
      <c r="H54" s="59" t="str">
        <f t="shared" si="11"/>
        <v>GBPSB6L40Y_LCHQuote</v>
      </c>
      <c r="I54" s="154" t="str">
        <f t="shared" si="12"/>
        <v>GBP1L6L40Y_LCHQuote</v>
      </c>
      <c r="J54" s="64" t="str">
        <f>_xll.qlSwapRateHelper2(,$H54,0,$B54,Calendar,$D54,$E54,$F54,$G54,$I54,$C54,Discounting1,PillarDate,,Permanent,Trigger,ObjectOverwrite)</f>
        <v>obj_00406#0007</v>
      </c>
      <c r="K54" s="64" t="str">
        <f>_xll.qlSwapRateHelper2(,$H54,0,$B54,Calendar,$D54,$E54,$F54,$G54,$I54,$C54,Discounting2,PillarDate,,Permanent,Trigger,ObjectOverwrite)</f>
        <v>obj_003fc#0007</v>
      </c>
      <c r="AH54" s="169"/>
      <c r="AI54" s="170"/>
    </row>
    <row r="55" spans="1:38" ht="11.25" customHeight="1" x14ac:dyDescent="0.2">
      <c r="A55" s="59" t="s">
        <v>115</v>
      </c>
      <c r="B55" s="60" t="s">
        <v>68</v>
      </c>
      <c r="C55" s="61" t="s">
        <v>6</v>
      </c>
      <c r="D55" s="61" t="s">
        <v>154</v>
      </c>
      <c r="E55" s="61" t="s">
        <v>7</v>
      </c>
      <c r="F55" s="61" t="s">
        <v>155</v>
      </c>
      <c r="G55" s="61" t="str">
        <f t="shared" si="10"/>
        <v>GbpLibor1M</v>
      </c>
      <c r="H55" s="59" t="str">
        <f t="shared" si="11"/>
        <v>GBPSB6L50Y_LCHQuote</v>
      </c>
      <c r="I55" s="154" t="str">
        <f t="shared" si="12"/>
        <v>GBP1L6L50Y_LCHQuote</v>
      </c>
      <c r="J55" s="64" t="str">
        <f>_xll.qlSwapRateHelper2(,$H55,0,$B55,Calendar,$D55,$E55,$F55,$G55,$I55,$C55,Discounting1,PillarDate,,Permanent,Trigger,ObjectOverwrite)</f>
        <v>obj_003ee#0007</v>
      </c>
      <c r="K55" s="64" t="str">
        <f>_xll.qlSwapRateHelper2(,$H55,0,$B55,Calendar,$D55,$E55,$F55,$G55,$I55,$C55,Discounting2,PillarDate,,Permanent,Trigger,ObjectOverwrite)</f>
        <v>obj_003f4#0007</v>
      </c>
      <c r="AH55" s="169"/>
      <c r="AI55" s="170"/>
    </row>
    <row r="56" spans="1:38" ht="11.25" customHeight="1" x14ac:dyDescent="0.2">
      <c r="A56" s="1" t="s">
        <v>115</v>
      </c>
      <c r="B56" s="8" t="s">
        <v>109</v>
      </c>
      <c r="C56" s="7" t="s">
        <v>6</v>
      </c>
      <c r="D56" s="7" t="s">
        <v>154</v>
      </c>
      <c r="E56" s="7" t="s">
        <v>7</v>
      </c>
      <c r="F56" s="7" t="s">
        <v>155</v>
      </c>
      <c r="G56" s="7" t="str">
        <f t="shared" si="10"/>
        <v>GbpLibor1M</v>
      </c>
      <c r="H56" s="1" t="str">
        <f t="shared" si="11"/>
        <v>GBPSB6L60Y_LCHQuote</v>
      </c>
      <c r="I56" s="155" t="str">
        <f t="shared" si="12"/>
        <v>GBP1L6L60Y_LCHQuote</v>
      </c>
      <c r="J56" s="3" t="str">
        <f>_xll.qlSwapRateHelper2(,$H56,0,$B56,Calendar,$D56,$E56,$F56,$G56,$I56,$C56,Discounting1,PillarDate,,Permanent,Trigger,ObjectOverwrite)</f>
        <v>obj_00402#0007</v>
      </c>
      <c r="K56" s="3" t="str">
        <f>_xll.qlSwapRateHelper2(,$H56,0,$B56,Calendar,$D56,$E56,$F56,$G56,$I56,$C56,Discounting2,PillarDate,,Permanent,Trigger,ObjectOverwrite)</f>
        <v>obj_003e7#0007</v>
      </c>
      <c r="AH56" s="169"/>
      <c r="AI56" s="170"/>
    </row>
    <row r="57" spans="1:38" ht="11.25" customHeight="1" x14ac:dyDescent="0.2">
      <c r="AH57" s="169"/>
      <c r="AI57" s="170"/>
    </row>
    <row r="58" spans="1:38" ht="11.25" customHeight="1" x14ac:dyDescent="0.2">
      <c r="AH58" s="169"/>
      <c r="AI58" s="170"/>
    </row>
    <row r="59" spans="1:38" ht="11.25" customHeight="1" x14ac:dyDescent="0.2">
      <c r="AH59" s="169"/>
      <c r="AI59" s="170"/>
    </row>
    <row r="60" spans="1:38" ht="11.25" customHeight="1" x14ac:dyDescent="0.2">
      <c r="AH60" s="169"/>
      <c r="AI60" s="170"/>
    </row>
    <row r="61" spans="1:38" ht="11.25" customHeight="1" x14ac:dyDescent="0.2">
      <c r="AH61" s="169"/>
      <c r="AI61" s="170"/>
    </row>
    <row r="62" spans="1:38" ht="11.25" customHeight="1" x14ac:dyDescent="0.2">
      <c r="AH62" s="169"/>
      <c r="AI62" s="170"/>
    </row>
    <row r="63" spans="1:38" ht="11.25" customHeight="1" x14ac:dyDescent="0.2">
      <c r="AH63" s="169"/>
      <c r="AI63" s="170"/>
    </row>
    <row r="64" spans="1:38" ht="11.25" customHeight="1" x14ac:dyDescent="0.2">
      <c r="AH64" s="169"/>
      <c r="AI64" s="170"/>
    </row>
    <row r="65" spans="34:35" ht="11.25" customHeight="1" x14ac:dyDescent="0.2">
      <c r="AH65" s="169"/>
      <c r="AI65" s="170"/>
    </row>
    <row r="66" spans="34:35" ht="11.25" customHeight="1" x14ac:dyDescent="0.2">
      <c r="AH66" s="169"/>
      <c r="AI66" s="170"/>
    </row>
    <row r="67" spans="34:35" ht="11.25" customHeight="1" x14ac:dyDescent="0.2">
      <c r="AH67" s="169"/>
      <c r="AI67" s="170"/>
    </row>
    <row r="68" spans="34:35" ht="11.25" customHeight="1" x14ac:dyDescent="0.2">
      <c r="AH68" s="169"/>
      <c r="AI68" s="170"/>
    </row>
    <row r="69" spans="34:35" ht="11.25" customHeight="1" x14ac:dyDescent="0.2">
      <c r="AH69" s="169"/>
      <c r="AI69" s="170"/>
    </row>
    <row r="70" spans="34:35" ht="11.25" customHeight="1" x14ac:dyDescent="0.2">
      <c r="AH70" s="169"/>
      <c r="AI70" s="170"/>
    </row>
    <row r="71" spans="34:35" ht="11.25" customHeight="1" x14ac:dyDescent="0.2">
      <c r="AH71" s="169"/>
      <c r="AI71" s="170"/>
    </row>
    <row r="72" spans="34:35" ht="11.25" customHeight="1" x14ac:dyDescent="0.2">
      <c r="AH72" s="169"/>
      <c r="AI72" s="170"/>
    </row>
    <row r="73" spans="34:35" ht="11.25" customHeight="1" x14ac:dyDescent="0.2">
      <c r="AH73" s="169"/>
      <c r="AI73" s="170"/>
    </row>
    <row r="74" spans="34:35" ht="11.25" customHeight="1" x14ac:dyDescent="0.2">
      <c r="AH74" s="169"/>
      <c r="AI74" s="170"/>
    </row>
    <row r="75" spans="34:35" ht="11.25" customHeight="1" x14ac:dyDescent="0.2">
      <c r="AH75" s="169"/>
      <c r="AI75" s="170"/>
    </row>
    <row r="76" spans="34:35" ht="11.25" customHeight="1" x14ac:dyDescent="0.2">
      <c r="AH76" s="169"/>
      <c r="AI76" s="170"/>
    </row>
    <row r="77" spans="34:35" ht="11.25" customHeight="1" x14ac:dyDescent="0.2">
      <c r="AH77" s="169"/>
      <c r="AI77" s="170"/>
    </row>
    <row r="78" spans="34:35" ht="11.25" customHeight="1" x14ac:dyDescent="0.2">
      <c r="AH78" s="169"/>
      <c r="AI78" s="170"/>
    </row>
    <row r="79" spans="34:35" ht="11.25" customHeight="1" x14ac:dyDescent="0.2">
      <c r="AH79" s="169"/>
      <c r="AI79" s="170"/>
    </row>
    <row r="80" spans="34:35" ht="11.25" customHeight="1" x14ac:dyDescent="0.2">
      <c r="AH80" s="169"/>
      <c r="AI80" s="170"/>
    </row>
    <row r="81" spans="12:35" x14ac:dyDescent="0.2">
      <c r="AH81" s="169"/>
      <c r="AI81" s="170"/>
    </row>
    <row r="82" spans="12:35" x14ac:dyDescent="0.2">
      <c r="AH82" s="169"/>
      <c r="AI82" s="170"/>
    </row>
    <row r="83" spans="12:35" x14ac:dyDescent="0.2">
      <c r="AH83" s="169"/>
      <c r="AI83" s="170"/>
    </row>
    <row r="84" spans="12:35" x14ac:dyDescent="0.2">
      <c r="AH84" s="169"/>
      <c r="AI84" s="170"/>
    </row>
    <row r="85" spans="12:35" x14ac:dyDescent="0.2">
      <c r="AH85" s="169"/>
      <c r="AI85" s="170"/>
    </row>
    <row r="86" spans="12:35" x14ac:dyDescent="0.2">
      <c r="AH86" s="169"/>
      <c r="AI86" s="170"/>
    </row>
    <row r="87" spans="12:35" x14ac:dyDescent="0.2">
      <c r="AH87" s="169"/>
      <c r="AI87" s="170"/>
    </row>
    <row r="88" spans="12:35" x14ac:dyDescent="0.2">
      <c r="AH88" s="169"/>
      <c r="AI88" s="170"/>
    </row>
    <row r="89" spans="12:35" x14ac:dyDescent="0.2">
      <c r="AH89" s="169"/>
      <c r="AI89" s="170"/>
    </row>
    <row r="90" spans="12:35" x14ac:dyDescent="0.2">
      <c r="L90" s="46" t="s">
        <v>35</v>
      </c>
    </row>
  </sheetData>
  <mergeCells count="1">
    <mergeCell ref="AN2:AO2"/>
  </mergeCells>
  <dataValidations count="4">
    <dataValidation type="list" allowBlank="1" showInputMessage="1" showErrorMessage="1" sqref="AO6">
      <formula1>"AllDepos,DeposBeforeFirstFuturesStartDate,DeposBeforeFirstFuturesStartDatePlusOne,DeposBeforeFirstFuturesExpiryDate"</formula1>
    </dataValidation>
    <dataValidation type="list" allowBlank="1" showInputMessage="1" showErrorMessage="1" sqref="D6:D16 D19:D56">
      <formula1>"Annual,Semiannual,EveryFourthMonth,Quarterly,Bimonthly,Monthly,Biweekly,Weekly,Daily,Once,NoFrequency"</formula1>
    </dataValidation>
    <dataValidation type="list" allowBlank="1" showInputMessage="1" showErrorMessage="1" sqref="E6:E16 E19:E56">
      <formula1>"Following,Modified Following,Preceding,Modified Preceding,Unadjusted,Half-Month Modified Following"</formula1>
    </dataValidation>
    <dataValidation type="list" allowBlank="1" showInputMessage="1" showErrorMessage="1" sqref="F6:F16 F19:F56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pageSetup paperSize="9" orientation="portrait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P92"/>
  <sheetViews>
    <sheetView showGridLines="0" topLeftCell="M1" zoomScaleNormal="100" workbookViewId="0">
      <selection activeCell="M1" sqref="M1"/>
    </sheetView>
  </sheetViews>
  <sheetFormatPr defaultRowHeight="11.25" outlineLevelCol="1" x14ac:dyDescent="0.2"/>
  <cols>
    <col min="1" max="1" width="6" style="46" hidden="1" customWidth="1" outlineLevel="1"/>
    <col min="2" max="2" width="6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9" width="30.7109375" style="52" hidden="1" customWidth="1" outlineLevel="1"/>
    <col min="10" max="10" width="9" style="46" hidden="1" customWidth="1" outlineLevel="1"/>
    <col min="11" max="12" width="15.140625" style="46" hidden="1" customWidth="1" outlineLevel="1"/>
    <col min="13" max="13" width="2.7109375" style="46" customWidth="1" collapsed="1"/>
    <col min="14" max="14" width="6" style="46" hidden="1" customWidth="1" outlineLevel="1"/>
    <col min="15" max="16" width="15.140625" style="103" hidden="1" customWidth="1" outlineLevel="1"/>
    <col min="17" max="17" width="22.42578125" style="103" hidden="1" customWidth="1" outlineLevel="1"/>
    <col min="18" max="18" width="9.7109375" style="103" hidden="1" customWidth="1" outlineLevel="1"/>
    <col min="19" max="19" width="7.85546875" style="103" hidden="1" customWidth="1" outlineLevel="1"/>
    <col min="20" max="20" width="9" style="103" hidden="1" customWidth="1" outlineLevel="1"/>
    <col min="21" max="21" width="5.85546875" style="103" hidden="1" customWidth="1" outlineLevel="1"/>
    <col min="22" max="23" width="10.7109375" style="103" hidden="1" customWidth="1" outlineLevel="1"/>
    <col min="24" max="24" width="2.7109375" style="48" hidden="1" customWidth="1" outlineLevel="1"/>
    <col min="25" max="25" width="6" style="46" bestFit="1" customWidth="1" collapsed="1"/>
    <col min="26" max="27" width="10.140625" style="46" hidden="1" customWidth="1" outlineLevel="1"/>
    <col min="28" max="28" width="24.7109375" style="46" customWidth="1" collapsed="1"/>
    <col min="29" max="30" width="9.7109375" style="46" customWidth="1"/>
    <col min="31" max="32" width="17.28515625" style="46" bestFit="1" customWidth="1"/>
    <col min="33" max="33" width="12" style="46" bestFit="1" customWidth="1"/>
    <col min="34" max="34" width="12" style="46" customWidth="1"/>
    <col min="35" max="36" width="10.85546875" style="46" hidden="1" customWidth="1" outlineLevel="1"/>
    <col min="37" max="37" width="10" style="46" hidden="1" customWidth="1" outlineLevel="1"/>
    <col min="38" max="38" width="12" style="46" hidden="1" customWidth="1" outlineLevel="1"/>
    <col min="39" max="39" width="10.85546875" style="46" hidden="1" customWidth="1" outlineLevel="1"/>
    <col min="40" max="40" width="3.28515625" style="46" customWidth="1" collapsed="1"/>
    <col min="41" max="41" width="24.42578125" style="46" bestFit="1" customWidth="1"/>
    <col min="42" max="42" width="9" style="46" bestFit="1" customWidth="1"/>
    <col min="43" max="16384" width="9.140625" style="46"/>
  </cols>
  <sheetData>
    <row r="1" spans="1:42" ht="18" customHeight="1" x14ac:dyDescent="0.2">
      <c r="G1" s="50" t="s">
        <v>27</v>
      </c>
      <c r="H1" s="50"/>
      <c r="I1" s="50"/>
      <c r="N1" s="67" t="s">
        <v>24</v>
      </c>
      <c r="O1" s="106"/>
      <c r="P1" s="106"/>
      <c r="Q1" s="106"/>
      <c r="R1" s="106"/>
      <c r="S1" s="106"/>
      <c r="T1" s="106"/>
      <c r="U1" s="106"/>
      <c r="V1" s="106"/>
      <c r="W1" s="96"/>
      <c r="X1" s="93"/>
      <c r="Y1" s="74" t="str">
        <f>Currency&amp;$G$1</f>
        <v>GBP1Y</v>
      </c>
      <c r="Z1" s="66"/>
      <c r="AA1" s="66"/>
      <c r="AB1" s="66"/>
      <c r="AC1" s="69"/>
      <c r="AD1" s="69"/>
      <c r="AE1" s="66"/>
      <c r="AF1" s="66"/>
      <c r="AG1" s="73" t="s">
        <v>128</v>
      </c>
      <c r="AH1" s="73" t="s">
        <v>135</v>
      </c>
      <c r="AO1" s="46" t="s">
        <v>118</v>
      </c>
    </row>
    <row r="2" spans="1:42" ht="21.75" customHeight="1" x14ac:dyDescent="0.2">
      <c r="A2" s="65" t="s">
        <v>9</v>
      </c>
      <c r="B2" s="65" t="s">
        <v>28</v>
      </c>
      <c r="C2" s="65"/>
      <c r="D2" s="65"/>
      <c r="E2" s="65"/>
      <c r="F2" s="65"/>
      <c r="G2" s="65" t="s">
        <v>4</v>
      </c>
      <c r="H2" s="65" t="s">
        <v>1</v>
      </c>
      <c r="I2" s="65"/>
      <c r="J2" s="65"/>
      <c r="K2" s="65" t="s">
        <v>132</v>
      </c>
      <c r="L2" s="65" t="s">
        <v>134</v>
      </c>
      <c r="N2" s="73" t="s">
        <v>9</v>
      </c>
      <c r="O2" s="73" t="s">
        <v>132</v>
      </c>
      <c r="P2" s="73" t="s">
        <v>133</v>
      </c>
      <c r="Q2" s="73" t="s">
        <v>77</v>
      </c>
      <c r="R2" s="73" t="s">
        <v>80</v>
      </c>
      <c r="S2" s="73" t="s">
        <v>78</v>
      </c>
      <c r="T2" s="73" t="s">
        <v>79</v>
      </c>
      <c r="U2" s="73" t="s">
        <v>81</v>
      </c>
      <c r="V2" s="73" t="s">
        <v>22</v>
      </c>
      <c r="W2" s="73" t="s">
        <v>74</v>
      </c>
      <c r="X2" s="93"/>
      <c r="Y2" s="73" t="s">
        <v>9</v>
      </c>
      <c r="Z2" s="73" t="s">
        <v>132</v>
      </c>
      <c r="AA2" s="73" t="s">
        <v>133</v>
      </c>
      <c r="AB2" s="73" t="s">
        <v>77</v>
      </c>
      <c r="AC2" s="75" t="s">
        <v>23</v>
      </c>
      <c r="AD2" s="75" t="s">
        <v>82</v>
      </c>
      <c r="AE2" s="73" t="s">
        <v>22</v>
      </c>
      <c r="AF2" s="73" t="s">
        <v>74</v>
      </c>
      <c r="AG2" s="171">
        <f t="array" ref="AG2:AG53">_xll.qlPiecewiseYieldCurveData(yieldcurve1_1Y,Trigger)</f>
        <v>1.032996731875872E-2</v>
      </c>
      <c r="AH2" s="76">
        <f t="array" ref="AH2:AH53">_xll.qlPiecewiseYieldCurveData(yieldcurve2_1Y,Trigger)</f>
        <v>1</v>
      </c>
      <c r="AK2" s="46" t="s">
        <v>136</v>
      </c>
      <c r="AM2" s="46" t="s">
        <v>137</v>
      </c>
      <c r="AO2" s="213" t="s">
        <v>83</v>
      </c>
      <c r="AP2" s="214"/>
    </row>
    <row r="3" spans="1:42" ht="11.25" customHeight="1" x14ac:dyDescent="0.2">
      <c r="A3" s="1" t="s">
        <v>26</v>
      </c>
      <c r="B3" s="8" t="s">
        <v>27</v>
      </c>
      <c r="C3" s="124"/>
      <c r="D3" s="124"/>
      <c r="E3" s="124"/>
      <c r="F3" s="124"/>
      <c r="G3" s="7" t="str">
        <f>PROPER(Currency)&amp;FamilyName&amp;B3</f>
        <v>GbpLibor1Y</v>
      </c>
      <c r="H3" s="121" t="str">
        <f>IF(ReportQuoteOverwrite,Currency&amp;SUBSTITUTE($B3,"1Y","12M")&amp;"D"&amp;ReportQuoteSuffix,Currency&amp;$B3&amp;"D"&amp;QuoteSuffix)</f>
        <v>GBP1YD_LCHQuote</v>
      </c>
      <c r="I3" s="121"/>
      <c r="J3" s="124"/>
      <c r="K3" s="3" t="str">
        <f>_xll.qlDepositRateHelper(,H3,G3,Permanent,Trigger,ObjectOverwrite)</f>
        <v>obj_0041d#0009</v>
      </c>
      <c r="L3" s="3" t="str">
        <f>K3</f>
        <v>obj_0041d#0009</v>
      </c>
      <c r="M3" s="49"/>
      <c r="N3" s="11" t="str">
        <f>A3</f>
        <v>Dp</v>
      </c>
      <c r="O3" s="95" t="str">
        <f>IF(ISBLANK(K3),"--",K3)</f>
        <v>obj_0041d#0009</v>
      </c>
      <c r="P3" s="95" t="str">
        <f>IF(ISBLANK(L3),"--",L3)</f>
        <v>obj_0041d#0009</v>
      </c>
      <c r="Q3" s="147" t="str">
        <f>IFERROR(_xll.qlRateHelperQuoteName(O3,Trigger),"--")</f>
        <v>GBP1YD_LCHQuote</v>
      </c>
      <c r="R3" s="101">
        <f>IFERROR(_xll.qlRateHelperQuoteValue($O3,Trigger),"--")</f>
        <v>1.03838E-2</v>
      </c>
      <c r="S3" s="100" t="b">
        <v>1</v>
      </c>
      <c r="T3" s="95">
        <v>30</v>
      </c>
      <c r="U3" s="95">
        <v>1</v>
      </c>
      <c r="V3" s="102">
        <f>IFERROR(_xll.qlRateHelperEarliestDate(O3,Trigger),"--")</f>
        <v>42321</v>
      </c>
      <c r="W3" s="102">
        <f>IFERROR(_xll.qlRateHelperPillarDate(O3,Trigger),"--")</f>
        <v>42688</v>
      </c>
      <c r="Y3" s="4" t="str">
        <f t="shared" ref="Y3:Y16" si="0">IFERROR(INDEX($N$3:$N$53,MATCH(AB3,$Q$3:$Q$53,0),1),"")</f>
        <v>Dp</v>
      </c>
      <c r="Z3" s="4" t="str">
        <f t="array" ref="Z3:Z53">_xll.qlRateHelperSelection(_xll.ohFilter(RateHelpers1,IncludeFlag),_xll.ohFilter(Priority,IncludeFlag),$AP$3,$AP$4,$AP$5,$AP$6,_xll.ohFilter(MinDistance,IncludeFlag),Trigger)</f>
        <v>obj_0041d</v>
      </c>
      <c r="AA3" s="4" t="str">
        <f t="array" ref="AA3:AA53">_xll.qlRateHelperSelection(_xll.ohFilter(RateHelpers2,IncludeFlag),_xll.ohFilter(Priority,IncludeFlag),$AP$3,$AP$4,$AP$5,$AP$6,_xll.ohFilter(MinDistance,IncludeFlag),Trigger)</f>
        <v>obj_0041d</v>
      </c>
      <c r="AB3" s="4" t="str">
        <f>IFERROR(_xll.qlRateHelperQuoteName(Z3,Trigger),"")</f>
        <v>GBP1YD_LCHQuote</v>
      </c>
      <c r="AC3" s="70">
        <f>IFERROR(_xll.qlRateHelperRate(Z3,Trigger),"")</f>
        <v>1.03838E-2</v>
      </c>
      <c r="AD3" s="104" t="str">
        <f>IF(ISERROR(_xll.qlSwapRateHelperSpread($Z3)),IF(ISERROR(_xll.qlFuturesRateHelperConvexityAdjustment($Z3)),"",_xll.qlFuturesRateHelperConvexityAdjustment($Z3)),_xll.qlSwapRateHelperSpread($Z3))</f>
        <v/>
      </c>
      <c r="AE3" s="5">
        <f>IFERROR(_xll.qlRateHelperEarliestDate(Z3,Trigger),"")</f>
        <v>42321</v>
      </c>
      <c r="AF3" s="5">
        <f>IFERROR(_xll.qlRateHelperPillarDate(Z3,Trigger),"")</f>
        <v>42688</v>
      </c>
      <c r="AG3" s="70">
        <v>1.032996731875872E-2</v>
      </c>
      <c r="AH3" s="77">
        <v>0.98966718426947287</v>
      </c>
      <c r="AI3" s="169">
        <f t="array" ref="AI3:AI53">_xll.ohFilter([1]REP00100!$C$2:$C$2000,([1]REP00100!$A$2:$A$2000="GBP_LIBOR_12M_EOD"))</f>
        <v>42688</v>
      </c>
      <c r="AJ3" s="170">
        <f t="array" ref="AJ3:AJ53">_xll.ohFilter([1]REP00100!$E$2:$E$2000,([1]REP00100!$A$2:$A$2000="GBP_LIBOR_12M_EOD"))</f>
        <v>1.0385437821150799E-2</v>
      </c>
      <c r="AK3" s="172">
        <f>AG3-AJ3</f>
        <v>-5.5470502392079499E-5</v>
      </c>
      <c r="AL3" s="80">
        <f t="array" ref="AL3:AL53">_xll.ohFilter([1]REP00101!$F$2:$F$2000,([1]REP00101!$A$2:$A$2000="GBP_LIBOR_12M_EOD"))</f>
        <v>0.98958383038457198</v>
      </c>
      <c r="AM3" s="161">
        <f>AH3-AL3</f>
        <v>8.3353884900883024E-5</v>
      </c>
      <c r="AN3" s="161"/>
      <c r="AO3" s="107" t="s">
        <v>84</v>
      </c>
      <c r="AP3" s="108">
        <v>0</v>
      </c>
    </row>
    <row r="4" spans="1:42" ht="11.25" customHeight="1" x14ac:dyDescent="0.2">
      <c r="B4" s="46"/>
      <c r="C4" s="46" t="s">
        <v>113</v>
      </c>
      <c r="D4" s="46"/>
      <c r="E4" s="46"/>
      <c r="F4" s="46"/>
      <c r="G4" s="46"/>
      <c r="H4" s="46"/>
      <c r="I4" s="46"/>
      <c r="M4" s="48"/>
      <c r="N4" s="68" t="str">
        <f t="shared" ref="N4" si="1">A6</f>
        <v>FRA</v>
      </c>
      <c r="O4" s="131" t="str">
        <f t="shared" ref="O4" si="2">IF(ISBLANK(K6),"--",K6)</f>
        <v>obj_0041a#0011</v>
      </c>
      <c r="P4" s="131" t="str">
        <f t="shared" ref="P4" si="3">IF(ISBLANK(L6),"--",L6)</f>
        <v>obj_0041a#0011</v>
      </c>
      <c r="Q4" s="145" t="str">
        <f>IFERROR(_xll.qlRateHelperQuoteName(O4,Trigger),"--")</f>
        <v>GBP1x13F_LCHQuote</v>
      </c>
      <c r="R4" s="133">
        <f>IFERROR(_xll.qlRateHelperQuoteValue($O4,Trigger),"--")</f>
        <v>1.085E-2</v>
      </c>
      <c r="S4" s="132" t="b">
        <v>1</v>
      </c>
      <c r="T4" s="131">
        <v>10</v>
      </c>
      <c r="U4" s="131">
        <v>1</v>
      </c>
      <c r="V4" s="134">
        <f>IFERROR(_xll.qlRateHelperEarliestDate(O4,Trigger),"--")</f>
        <v>42352</v>
      </c>
      <c r="W4" s="134">
        <f>IFERROR(_xll.qlRateHelperPillarDate(O4,Trigger),"--")</f>
        <v>42717</v>
      </c>
      <c r="Y4" s="4" t="str">
        <f t="shared" si="0"/>
        <v>FRA</v>
      </c>
      <c r="Z4" s="4" t="str">
        <v>obj_0041a</v>
      </c>
      <c r="AA4" s="4" t="str">
        <v>obj_0041a</v>
      </c>
      <c r="AB4" s="4" t="str">
        <f>IFERROR(_xll.qlRateHelperQuoteName(Z4,Trigger),"")</f>
        <v>GBP1x13F_LCHQuote</v>
      </c>
      <c r="AC4" s="70">
        <f>IFERROR(_xll.qlRateHelperRate(Z4,Trigger),"")</f>
        <v>1.085E-2</v>
      </c>
      <c r="AD4" s="104" t="str">
        <f>IF(ISERROR(_xll.qlSwapRateHelperSpread($Z4)),IF(ISERROR(_xll.qlFuturesRateHelperConvexityAdjustment($Z4)),"",_xll.qlFuturesRateHelperConvexityAdjustment($Z4)),_xll.qlSwapRateHelperSpread($Z4))</f>
        <v/>
      </c>
      <c r="AE4" s="5">
        <f>IFERROR(_xll.qlRateHelperEarliestDate(Z4,Trigger),"")</f>
        <v>42352</v>
      </c>
      <c r="AF4" s="5">
        <f>IFERROR(_xll.qlRateHelperPillarDate(Z4,Trigger),"")</f>
        <v>42717</v>
      </c>
      <c r="AG4" s="70">
        <v>1.0746476293306734E-2</v>
      </c>
      <c r="AH4" s="77">
        <v>0.98841135516124867</v>
      </c>
      <c r="AI4" s="169">
        <v>42716</v>
      </c>
      <c r="AJ4" s="170">
        <v>1.09257475173218E-2</v>
      </c>
      <c r="AK4" s="172">
        <f t="shared" ref="AK4:AK53" si="4">AG4-AJ4</f>
        <v>-1.7927122401506512E-4</v>
      </c>
      <c r="AL4" s="80">
        <v>0.98822645157287803</v>
      </c>
      <c r="AM4" s="161">
        <f t="shared" ref="AM4:AM53" si="5">AH4-AL4</f>
        <v>1.8490358837064402E-4</v>
      </c>
      <c r="AN4" s="161"/>
      <c r="AO4" s="107" t="s">
        <v>85</v>
      </c>
      <c r="AP4" s="108">
        <v>0</v>
      </c>
    </row>
    <row r="5" spans="1:42" ht="11.25" customHeight="1" x14ac:dyDescent="0.2">
      <c r="A5" s="65" t="s">
        <v>9</v>
      </c>
      <c r="B5" s="65" t="s">
        <v>89</v>
      </c>
      <c r="C5" s="65" t="s">
        <v>90</v>
      </c>
      <c r="D5" s="65"/>
      <c r="E5" s="65"/>
      <c r="F5" s="65"/>
      <c r="G5" s="65" t="s">
        <v>4</v>
      </c>
      <c r="H5" s="65" t="s">
        <v>1</v>
      </c>
      <c r="I5" s="65"/>
      <c r="J5" s="65"/>
      <c r="K5" s="65" t="s">
        <v>132</v>
      </c>
      <c r="L5" s="65" t="s">
        <v>134</v>
      </c>
      <c r="M5" s="48"/>
      <c r="N5" s="10" t="str">
        <f t="shared" ref="N5:N15" si="6">A7</f>
        <v>FRA</v>
      </c>
      <c r="O5" s="94" t="str">
        <f t="shared" ref="O5:O15" si="7">IF(ISBLANK(K7),"--",K7)</f>
        <v>obj_00415#0011</v>
      </c>
      <c r="P5" s="94" t="str">
        <f t="shared" ref="P5:P15" si="8">IF(ISBLANK(L7),"--",L7)</f>
        <v>obj_00415#0011</v>
      </c>
      <c r="Q5" s="146" t="str">
        <f>IFERROR(_xll.qlRateHelperQuoteName(O5,Trigger),"--")</f>
        <v>GBP2x14F_LCHQuote</v>
      </c>
      <c r="R5" s="98">
        <f>IFERROR(_xll.qlRateHelperQuoteValue($O5,Trigger),"--")</f>
        <v>1.1200000000000002E-2</v>
      </c>
      <c r="S5" s="97" t="b">
        <v>1</v>
      </c>
      <c r="T5" s="94">
        <v>10</v>
      </c>
      <c r="U5" s="94">
        <v>1</v>
      </c>
      <c r="V5" s="99">
        <f>IFERROR(_xll.qlRateHelperEarliestDate(O5,Trigger),"--")</f>
        <v>42382</v>
      </c>
      <c r="W5" s="99">
        <f>IFERROR(_xll.qlRateHelperPillarDate(O5,Trigger),"--")</f>
        <v>42748</v>
      </c>
      <c r="Y5" s="4" t="str">
        <f t="shared" si="0"/>
        <v>FRA</v>
      </c>
      <c r="Z5" s="4" t="str">
        <v>obj_00415</v>
      </c>
      <c r="AA5" s="4" t="str">
        <v>obj_00415</v>
      </c>
      <c r="AB5" s="4" t="str">
        <f>IFERROR(_xll.qlRateHelperQuoteName(Z5,Trigger),"")</f>
        <v>GBP2x14F_LCHQuote</v>
      </c>
      <c r="AC5" s="70">
        <f>IFERROR(_xll.qlRateHelperRate(Z5,Trigger),"")</f>
        <v>1.1200000000000002E-2</v>
      </c>
      <c r="AD5" s="104" t="str">
        <f>IF(ISERROR(_xll.qlSwapRateHelperSpread($Z5)),IF(ISERROR(_xll.qlFuturesRateHelperConvexityAdjustment($Z5)),"",_xll.qlFuturesRateHelperConvexityAdjustment($Z5)),_xll.qlSwapRateHelperSpread($Z5))</f>
        <v/>
      </c>
      <c r="AE5" s="5">
        <f>IFERROR(_xll.qlRateHelperEarliestDate(Z5,Trigger),"")</f>
        <v>42382</v>
      </c>
      <c r="AF5" s="5">
        <f>IFERROR(_xll.qlRateHelperPillarDate(Z5,Trigger),"")</f>
        <v>42748</v>
      </c>
      <c r="AG5" s="70">
        <v>1.1022202570447231E-2</v>
      </c>
      <c r="AH5" s="77">
        <v>0.98718831035203813</v>
      </c>
      <c r="AI5" s="169">
        <v>42747</v>
      </c>
      <c r="AJ5" s="170">
        <v>1.1157260992933699E-2</v>
      </c>
      <c r="AK5" s="172">
        <f t="shared" si="4"/>
        <v>-1.3505842248646809E-4</v>
      </c>
      <c r="AL5" s="80">
        <v>0.98703234706536003</v>
      </c>
      <c r="AM5" s="161">
        <f t="shared" si="5"/>
        <v>1.5596328667810688E-4</v>
      </c>
      <c r="AN5" s="161"/>
      <c r="AO5" s="107" t="s">
        <v>86</v>
      </c>
      <c r="AP5" s="108">
        <v>0</v>
      </c>
    </row>
    <row r="6" spans="1:42" ht="11.25" customHeight="1" x14ac:dyDescent="0.2">
      <c r="A6" s="53" t="s">
        <v>91</v>
      </c>
      <c r="B6" s="115">
        <v>1</v>
      </c>
      <c r="C6" s="56" t="str">
        <f t="shared" ref="C6:C17" si="9">"x"&amp;B6+SUBSTITUTE($C$4,"M","")&amp;"F"</f>
        <v>x13F</v>
      </c>
      <c r="D6" s="129"/>
      <c r="E6" s="129"/>
      <c r="F6" s="129"/>
      <c r="G6" s="55" t="str">
        <f t="shared" ref="G6:G17" si="10">PROPER(Currency)&amp;FamilyName&amp;Tenor</f>
        <v>GbpLibor1Y</v>
      </c>
      <c r="H6" s="118" t="str">
        <f t="shared" ref="H6:H17" si="11">IF(ReportQuoteOverwrite,Currency&amp;B6&amp;C6&amp;ReportQuoteSuffix,Currency&amp;B6&amp;C6&amp;QuoteSuffix)</f>
        <v>GBP1x13F_LCHQuote</v>
      </c>
      <c r="I6" s="118"/>
      <c r="J6" s="129"/>
      <c r="K6" s="58" t="str">
        <f>_xll.qlFraRateHelper(,H6,B6&amp;"M",G6,PillarDate,,Permanent,Trigger,ObjectOverwrite)</f>
        <v>obj_0041a#0011</v>
      </c>
      <c r="L6" s="58" t="str">
        <f>K6</f>
        <v>obj_0041a#0011</v>
      </c>
      <c r="M6" s="48"/>
      <c r="N6" s="10" t="str">
        <f t="shared" si="6"/>
        <v>FRA</v>
      </c>
      <c r="O6" s="94" t="str">
        <f t="shared" si="7"/>
        <v>obj_00414#0011</v>
      </c>
      <c r="P6" s="94" t="str">
        <f t="shared" si="8"/>
        <v>obj_00414#0011</v>
      </c>
      <c r="Q6" s="146" t="str">
        <f>IFERROR(_xll.qlRateHelperQuoteName(O6,Trigger),"--")</f>
        <v>GBP3x15F_LCHQuote</v>
      </c>
      <c r="R6" s="98">
        <f>IFERROR(_xll.qlRateHelperQuoteValue($O6,Trigger),"--")</f>
        <v>1.15E-2</v>
      </c>
      <c r="S6" s="97" t="b">
        <v>1</v>
      </c>
      <c r="T6" s="94">
        <v>10</v>
      </c>
      <c r="U6" s="94">
        <v>1</v>
      </c>
      <c r="V6" s="99">
        <f>IFERROR(_xll.qlRateHelperEarliestDate(O6,Trigger),"--")</f>
        <v>42415</v>
      </c>
      <c r="W6" s="99">
        <f>IFERROR(_xll.qlRateHelperPillarDate(O6,Trigger),"--")</f>
        <v>42779</v>
      </c>
      <c r="Y6" s="4" t="str">
        <f t="shared" si="0"/>
        <v>FRA</v>
      </c>
      <c r="Z6" s="4" t="str">
        <v>obj_00414</v>
      </c>
      <c r="AA6" s="4" t="str">
        <v>obj_00414</v>
      </c>
      <c r="AB6" s="4" t="str">
        <f>IFERROR(_xll.qlRateHelperQuoteName(Z6,Trigger),"")</f>
        <v>GBP3x15F_LCHQuote</v>
      </c>
      <c r="AC6" s="70">
        <f>IFERROR(_xll.qlRateHelperRate(Z6,Trigger),"")</f>
        <v>1.15E-2</v>
      </c>
      <c r="AD6" s="104" t="str">
        <f>IF(ISERROR(_xll.qlSwapRateHelperSpread($Z6)),IF(ISERROR(_xll.qlFuturesRateHelperConvexityAdjustment($Z6)),"",_xll.qlFuturesRateHelperConvexityAdjustment($Z6)),_xll.qlSwapRateHelperSpread($Z6))</f>
        <v/>
      </c>
      <c r="AE6" s="5">
        <f>IFERROR(_xll.qlRateHelperEarliestDate(Z6,Trigger),"")</f>
        <v>42415</v>
      </c>
      <c r="AF6" s="5">
        <f>IFERROR(_xll.qlRateHelperPillarDate(Z6,Trigger),"")</f>
        <v>42779</v>
      </c>
      <c r="AG6" s="70">
        <v>1.1198780132051696E-2</v>
      </c>
      <c r="AH6" s="77">
        <v>0.98604490600639849</v>
      </c>
      <c r="AI6" s="169">
        <v>42779</v>
      </c>
      <c r="AJ6" s="170">
        <v>1.13819165071182E-2</v>
      </c>
      <c r="AK6" s="172">
        <f t="shared" si="4"/>
        <v>-1.8313637506650431E-4</v>
      </c>
      <c r="AL6" s="80">
        <v>0.98578879635941896</v>
      </c>
      <c r="AM6" s="161">
        <f t="shared" si="5"/>
        <v>2.5610964697952987E-4</v>
      </c>
      <c r="AN6" s="161"/>
      <c r="AO6" s="107" t="s">
        <v>87</v>
      </c>
      <c r="AP6" s="109" t="s">
        <v>88</v>
      </c>
    </row>
    <row r="7" spans="1:42" ht="11.25" customHeight="1" x14ac:dyDescent="0.2">
      <c r="A7" s="59" t="s">
        <v>91</v>
      </c>
      <c r="B7" s="116">
        <v>2</v>
      </c>
      <c r="C7" s="62" t="str">
        <f t="shared" si="9"/>
        <v>x14F</v>
      </c>
      <c r="D7" s="123"/>
      <c r="E7" s="123"/>
      <c r="F7" s="123"/>
      <c r="G7" s="61" t="str">
        <f t="shared" si="10"/>
        <v>GbpLibor1Y</v>
      </c>
      <c r="H7" s="119" t="str">
        <f t="shared" si="11"/>
        <v>GBP2x14F_LCHQuote</v>
      </c>
      <c r="I7" s="119"/>
      <c r="J7" s="123"/>
      <c r="K7" s="64" t="str">
        <f>_xll.qlFraRateHelper(,H7,B7&amp;"M",G7,PillarDate,,Permanent,Trigger,ObjectOverwrite)</f>
        <v>obj_00415#0011</v>
      </c>
      <c r="L7" s="64" t="str">
        <f t="shared" ref="L7:L14" si="12">K7</f>
        <v>obj_00415#0011</v>
      </c>
      <c r="M7" s="48"/>
      <c r="N7" s="10" t="str">
        <f t="shared" si="6"/>
        <v>FRA</v>
      </c>
      <c r="O7" s="94" t="str">
        <f t="shared" si="7"/>
        <v>obj_00419#0011</v>
      </c>
      <c r="P7" s="94" t="str">
        <f t="shared" si="8"/>
        <v>obj_00419#0011</v>
      </c>
      <c r="Q7" s="146" t="str">
        <f>IFERROR(_xll.qlRateHelperQuoteName(O7,Trigger),"--")</f>
        <v>GBP4x16F_LCHQuote</v>
      </c>
      <c r="R7" s="98">
        <f>IFERROR(_xll.qlRateHelperQuoteValue($O7,Trigger),"--")</f>
        <v>1.175E-2</v>
      </c>
      <c r="S7" s="97" t="b">
        <v>1</v>
      </c>
      <c r="T7" s="94">
        <v>10</v>
      </c>
      <c r="U7" s="94">
        <v>1</v>
      </c>
      <c r="V7" s="99">
        <f>IFERROR(_xll.qlRateHelperEarliestDate(O7,Trigger),"--")</f>
        <v>42443</v>
      </c>
      <c r="W7" s="99">
        <f>IFERROR(_xll.qlRateHelperPillarDate(O7,Trigger),"--")</f>
        <v>42807</v>
      </c>
      <c r="Y7" s="4" t="str">
        <f t="shared" si="0"/>
        <v>FRA</v>
      </c>
      <c r="Z7" s="4" t="str">
        <v>obj_00419</v>
      </c>
      <c r="AA7" s="4" t="str">
        <v>obj_00419</v>
      </c>
      <c r="AB7" s="4" t="str">
        <f>IFERROR(_xll.qlRateHelperQuoteName(Z7,Trigger),"")</f>
        <v>GBP4x16F_LCHQuote</v>
      </c>
      <c r="AC7" s="70">
        <f>IFERROR(_xll.qlRateHelperRate(Z7,Trigger),"")</f>
        <v>1.175E-2</v>
      </c>
      <c r="AD7" s="104" t="str">
        <f>IF(ISERROR(_xll.qlSwapRateHelperSpread($Z7)),IF(ISERROR(_xll.qlFuturesRateHelperConvexityAdjustment($Z7)),"",_xll.qlFuturesRateHelperConvexityAdjustment($Z7)),_xll.qlSwapRateHelperSpread($Z7))</f>
        <v/>
      </c>
      <c r="AE7" s="5">
        <f>IFERROR(_xll.qlRateHelperEarliestDate(Z7,Trigger),"")</f>
        <v>42443</v>
      </c>
      <c r="AF7" s="5">
        <f>IFERROR(_xll.qlRateHelperPillarDate(Z7,Trigger),"")</f>
        <v>42807</v>
      </c>
      <c r="AG7" s="70">
        <v>1.133558378309202E-2</v>
      </c>
      <c r="AH7" s="77">
        <v>0.98501921072360898</v>
      </c>
      <c r="AI7" s="169">
        <v>42807</v>
      </c>
      <c r="AJ7" s="170">
        <v>1.15322374099726E-2</v>
      </c>
      <c r="AK7" s="172">
        <f t="shared" si="4"/>
        <v>-1.9665362688058019E-4</v>
      </c>
      <c r="AL7" s="80">
        <v>0.98473033659765496</v>
      </c>
      <c r="AM7" s="161">
        <f t="shared" si="5"/>
        <v>2.8887412595401951E-4</v>
      </c>
      <c r="AN7" s="161"/>
    </row>
    <row r="8" spans="1:42" ht="11.25" customHeight="1" x14ac:dyDescent="0.2">
      <c r="A8" s="59" t="s">
        <v>91</v>
      </c>
      <c r="B8" s="116">
        <v>3</v>
      </c>
      <c r="C8" s="62" t="str">
        <f t="shared" si="9"/>
        <v>x15F</v>
      </c>
      <c r="D8" s="123"/>
      <c r="E8" s="123"/>
      <c r="F8" s="123"/>
      <c r="G8" s="61" t="str">
        <f t="shared" si="10"/>
        <v>GbpLibor1Y</v>
      </c>
      <c r="H8" s="119" t="str">
        <f t="shared" si="11"/>
        <v>GBP3x15F_LCHQuote</v>
      </c>
      <c r="I8" s="119"/>
      <c r="J8" s="123"/>
      <c r="K8" s="64" t="str">
        <f>_xll.qlFraRateHelper(,H8,B8&amp;"M",G8,PillarDate,,Permanent,Trigger,ObjectOverwrite)</f>
        <v>obj_00414#0011</v>
      </c>
      <c r="L8" s="64" t="str">
        <f t="shared" si="12"/>
        <v>obj_00414#0011</v>
      </c>
      <c r="M8" s="48"/>
      <c r="N8" s="10" t="str">
        <f t="shared" si="6"/>
        <v>FRA</v>
      </c>
      <c r="O8" s="94" t="str">
        <f t="shared" si="7"/>
        <v>obj_00418#0011</v>
      </c>
      <c r="P8" s="94" t="str">
        <f t="shared" si="8"/>
        <v>obj_00418#0011</v>
      </c>
      <c r="Q8" s="146" t="str">
        <f>IFERROR(_xll.qlRateHelperQuoteName(O8,Trigger),"--")</f>
        <v>GBP5x17F_LCHQuote</v>
      </c>
      <c r="R8" s="98">
        <f>IFERROR(_xll.qlRateHelperQuoteValue($O8,Trigger),"--")</f>
        <v>1.2150000000000001E-2</v>
      </c>
      <c r="S8" s="97" t="b">
        <v>1</v>
      </c>
      <c r="T8" s="94">
        <v>10</v>
      </c>
      <c r="U8" s="94">
        <v>1</v>
      </c>
      <c r="V8" s="99">
        <f>IFERROR(_xll.qlRateHelperEarliestDate(O8,Trigger),"--")</f>
        <v>42473</v>
      </c>
      <c r="W8" s="99">
        <f>IFERROR(_xll.qlRateHelperPillarDate(O8,Trigger),"--")</f>
        <v>42838</v>
      </c>
      <c r="Y8" s="4" t="str">
        <f t="shared" si="0"/>
        <v>FRA</v>
      </c>
      <c r="Z8" s="4" t="str">
        <v>obj_00418</v>
      </c>
      <c r="AA8" s="4" t="str">
        <v>obj_00418</v>
      </c>
      <c r="AB8" s="4" t="str">
        <f>IFERROR(_xll.qlRateHelperQuoteName(Z8,Trigger),"")</f>
        <v>GBP5x17F_LCHQuote</v>
      </c>
      <c r="AC8" s="70">
        <f>IFERROR(_xll.qlRateHelperRate(Z8,Trigger),"")</f>
        <v>1.2150000000000001E-2</v>
      </c>
      <c r="AD8" s="104" t="str">
        <f>IF(ISERROR(_xll.qlSwapRateHelperSpread($Z8)),IF(ISERROR(_xll.qlFuturesRateHelperConvexityAdjustment($Z8)),"",_xll.qlFuturesRateHelperConvexityAdjustment($Z8)),_xll.qlSwapRateHelperSpread($Z8))</f>
        <v/>
      </c>
      <c r="AE8" s="5">
        <f>IFERROR(_xll.qlRateHelperEarliestDate(Z8,Trigger),"")</f>
        <v>42473</v>
      </c>
      <c r="AF8" s="5">
        <f>IFERROR(_xll.qlRateHelperPillarDate(Z8,Trigger),"")</f>
        <v>42838</v>
      </c>
      <c r="AG8" s="70">
        <v>1.1563211179349636E-2</v>
      </c>
      <c r="AH8" s="77">
        <v>0.98375482374695811</v>
      </c>
      <c r="AI8" s="169">
        <v>42837</v>
      </c>
      <c r="AJ8" s="170">
        <v>1.1753878501372401E-2</v>
      </c>
      <c r="AK8" s="172">
        <f t="shared" si="4"/>
        <v>-1.9066732202276462E-4</v>
      </c>
      <c r="AL8" s="80">
        <v>0.983489178422155</v>
      </c>
      <c r="AM8" s="161">
        <f t="shared" si="5"/>
        <v>2.6564532480310987E-4</v>
      </c>
      <c r="AN8" s="161"/>
    </row>
    <row r="9" spans="1:42" ht="11.25" customHeight="1" x14ac:dyDescent="0.2">
      <c r="A9" s="59" t="s">
        <v>91</v>
      </c>
      <c r="B9" s="116">
        <v>4</v>
      </c>
      <c r="C9" s="62" t="str">
        <f t="shared" si="9"/>
        <v>x16F</v>
      </c>
      <c r="D9" s="123"/>
      <c r="E9" s="123"/>
      <c r="F9" s="123"/>
      <c r="G9" s="61" t="str">
        <f t="shared" si="10"/>
        <v>GbpLibor1Y</v>
      </c>
      <c r="H9" s="119" t="str">
        <f t="shared" si="11"/>
        <v>GBP4x16F_LCHQuote</v>
      </c>
      <c r="I9" s="119"/>
      <c r="J9" s="123"/>
      <c r="K9" s="64" t="str">
        <f>_xll.qlFraRateHelper(,H9,B9&amp;"M",G9,PillarDate,,Permanent,Trigger,ObjectOverwrite)</f>
        <v>obj_00419#0011</v>
      </c>
      <c r="L9" s="64" t="str">
        <f t="shared" si="12"/>
        <v>obj_00419#0011</v>
      </c>
      <c r="M9" s="48"/>
      <c r="N9" s="10" t="str">
        <f t="shared" si="6"/>
        <v>FRA</v>
      </c>
      <c r="O9" s="94" t="str">
        <f t="shared" si="7"/>
        <v>obj_00417#0011</v>
      </c>
      <c r="P9" s="94" t="str">
        <f t="shared" si="8"/>
        <v>obj_00417#0011</v>
      </c>
      <c r="Q9" s="146" t="str">
        <f>IFERROR(_xll.qlRateHelperQuoteName(O9,Trigger),"--")</f>
        <v>GBP6x18F_LCHQuote</v>
      </c>
      <c r="R9" s="98">
        <f>IFERROR(_xll.qlRateHelperQuoteValue($O9,Trigger),"--")</f>
        <v>1.24E-2</v>
      </c>
      <c r="S9" s="97" t="b">
        <v>1</v>
      </c>
      <c r="T9" s="94">
        <v>10</v>
      </c>
      <c r="U9" s="94">
        <v>1</v>
      </c>
      <c r="V9" s="99">
        <f>IFERROR(_xll.qlRateHelperEarliestDate(O9,Trigger),"--")</f>
        <v>42503</v>
      </c>
      <c r="W9" s="99">
        <f>IFERROR(_xll.qlRateHelperPillarDate(O9,Trigger),"--")</f>
        <v>42870</v>
      </c>
      <c r="Y9" s="4" t="str">
        <f t="shared" si="0"/>
        <v>FRA</v>
      </c>
      <c r="Z9" s="4" t="str">
        <v>obj_00417</v>
      </c>
      <c r="AA9" s="4" t="str">
        <v>obj_00417</v>
      </c>
      <c r="AB9" s="4" t="str">
        <f>IFERROR(_xll.qlRateHelperQuoteName(Z9,Trigger),"")</f>
        <v>GBP6x18F_LCHQuote</v>
      </c>
      <c r="AC9" s="70">
        <f>IFERROR(_xll.qlRateHelperRate(Z9,Trigger),"")</f>
        <v>1.24E-2</v>
      </c>
      <c r="AD9" s="104" t="str">
        <f>IF(ISERROR(_xll.qlSwapRateHelperSpread($Z9)),IF(ISERROR(_xll.qlFuturesRateHelperConvexityAdjustment($Z9)),"",_xll.qlFuturesRateHelperConvexityAdjustment($Z9)),_xll.qlSwapRateHelperSpread($Z9))</f>
        <v/>
      </c>
      <c r="AE9" s="5">
        <f>IFERROR(_xll.qlRateHelperEarliestDate(Z9,Trigger),"")</f>
        <v>42503</v>
      </c>
      <c r="AF9" s="5">
        <f>IFERROR(_xll.qlRateHelperPillarDate(Z9,Trigger),"")</f>
        <v>42870</v>
      </c>
      <c r="AG9" s="70">
        <v>1.1662510224060379E-2</v>
      </c>
      <c r="AH9" s="77">
        <v>0.98261126634718199</v>
      </c>
      <c r="AI9" s="169">
        <v>42867</v>
      </c>
      <c r="AJ9" s="170">
        <v>1.1843582361639E-2</v>
      </c>
      <c r="AK9" s="172">
        <f t="shared" si="4"/>
        <v>-1.8107213757862124E-4</v>
      </c>
      <c r="AL9" s="80">
        <v>0.98240743889086402</v>
      </c>
      <c r="AM9" s="161">
        <f t="shared" si="5"/>
        <v>2.0382745631797317E-4</v>
      </c>
      <c r="AN9" s="161"/>
    </row>
    <row r="10" spans="1:42" ht="11.25" customHeight="1" x14ac:dyDescent="0.2">
      <c r="A10" s="59" t="s">
        <v>91</v>
      </c>
      <c r="B10" s="116">
        <v>5</v>
      </c>
      <c r="C10" s="62" t="str">
        <f t="shared" si="9"/>
        <v>x17F</v>
      </c>
      <c r="D10" s="123"/>
      <c r="E10" s="123"/>
      <c r="F10" s="123"/>
      <c r="G10" s="61" t="str">
        <f t="shared" si="10"/>
        <v>GbpLibor1Y</v>
      </c>
      <c r="H10" s="119" t="str">
        <f t="shared" si="11"/>
        <v>GBP5x17F_LCHQuote</v>
      </c>
      <c r="I10" s="119"/>
      <c r="J10" s="123"/>
      <c r="K10" s="64" t="str">
        <f>_xll.qlFraRateHelper(,H10,B10&amp;"M",G10,PillarDate,,Permanent,Trigger,ObjectOverwrite)</f>
        <v>obj_00418#0011</v>
      </c>
      <c r="L10" s="64" t="str">
        <f t="shared" si="12"/>
        <v>obj_00418#0011</v>
      </c>
      <c r="M10" s="48"/>
      <c r="N10" s="10" t="str">
        <f t="shared" si="6"/>
        <v>FRA</v>
      </c>
      <c r="O10" s="94" t="str">
        <f t="shared" si="7"/>
        <v>--</v>
      </c>
      <c r="P10" s="94" t="str">
        <f t="shared" si="8"/>
        <v>--</v>
      </c>
      <c r="Q10" s="146" t="str">
        <f>IFERROR(_xll.qlRateHelperQuoteName(O10,Trigger),"--")</f>
        <v>--</v>
      </c>
      <c r="R10" s="98" t="str">
        <f>IFERROR(_xll.qlRateHelperQuoteValue($O10,Trigger),"--")</f>
        <v>--</v>
      </c>
      <c r="S10" s="97" t="b">
        <v>0</v>
      </c>
      <c r="T10" s="94">
        <v>10</v>
      </c>
      <c r="U10" s="94">
        <v>1</v>
      </c>
      <c r="V10" s="99" t="str">
        <f>IFERROR(_xll.qlRateHelperEarliestDate(O10,Trigger),"--")</f>
        <v>--</v>
      </c>
      <c r="W10" s="99" t="str">
        <f>IFERROR(_xll.qlRateHelperPillarDate(O10,Trigger),"--")</f>
        <v>--</v>
      </c>
      <c r="Y10" s="4" t="str">
        <f t="shared" si="0"/>
        <v>FRA</v>
      </c>
      <c r="Z10" s="4" t="str">
        <v>obj_00416</v>
      </c>
      <c r="AA10" s="4" t="str">
        <v>obj_00416</v>
      </c>
      <c r="AB10" s="4" t="str">
        <f>IFERROR(_xll.qlRateHelperQuoteName(Z10,Trigger),"")</f>
        <v>GBP9x21F_LCHQuote</v>
      </c>
      <c r="AC10" s="70">
        <f>IFERROR(_xll.qlRateHelperRate(Z10,Trigger),"")</f>
        <v>1.355E-2</v>
      </c>
      <c r="AD10" s="104" t="str">
        <f>IF(ISERROR(_xll.qlSwapRateHelperSpread($Z10)),IF(ISERROR(_xll.qlFuturesRateHelperConvexityAdjustment($Z10)),"",_xll.qlFuturesRateHelperConvexityAdjustment($Z10)),_xll.qlSwapRateHelperSpread($Z10))</f>
        <v/>
      </c>
      <c r="AE10" s="5">
        <f>IFERROR(_xll.qlRateHelperEarliestDate(Z10,Trigger),"")</f>
        <v>42597</v>
      </c>
      <c r="AF10" s="5">
        <f>IFERROR(_xll.qlRateHelperPillarDate(Z10,Trigger),"")</f>
        <v>42961</v>
      </c>
      <c r="AG10" s="70">
        <v>1.2112959491414695E-2</v>
      </c>
      <c r="AH10" s="77">
        <v>0.9789900683584597</v>
      </c>
      <c r="AI10" s="169">
        <v>42961</v>
      </c>
      <c r="AJ10" s="170">
        <v>1.23425746720267E-2</v>
      </c>
      <c r="AK10" s="172">
        <f t="shared" si="4"/>
        <v>-2.2961518061200524E-4</v>
      </c>
      <c r="AL10" s="80">
        <v>0.97855763740773904</v>
      </c>
      <c r="AM10" s="161">
        <f t="shared" si="5"/>
        <v>4.3243095072065252E-4</v>
      </c>
      <c r="AN10" s="161"/>
    </row>
    <row r="11" spans="1:42" ht="11.25" customHeight="1" x14ac:dyDescent="0.2">
      <c r="A11" s="59" t="s">
        <v>91</v>
      </c>
      <c r="B11" s="116">
        <v>6</v>
      </c>
      <c r="C11" s="62" t="str">
        <f t="shared" si="9"/>
        <v>x18F</v>
      </c>
      <c r="D11" s="123"/>
      <c r="E11" s="123"/>
      <c r="F11" s="123"/>
      <c r="G11" s="61" t="str">
        <f t="shared" si="10"/>
        <v>GbpLibor1Y</v>
      </c>
      <c r="H11" s="119" t="str">
        <f t="shared" si="11"/>
        <v>GBP6x18F_LCHQuote</v>
      </c>
      <c r="I11" s="119"/>
      <c r="J11" s="123"/>
      <c r="K11" s="64" t="str">
        <f>_xll.qlFraRateHelper(,H11,B11&amp;"M",G11,PillarDate,,Permanent,Trigger,ObjectOverwrite)</f>
        <v>obj_00417#0011</v>
      </c>
      <c r="L11" s="64" t="str">
        <f t="shared" si="12"/>
        <v>obj_00417#0011</v>
      </c>
      <c r="M11" s="48"/>
      <c r="N11" s="10" t="str">
        <f t="shared" si="6"/>
        <v>FRA</v>
      </c>
      <c r="O11" s="94" t="str">
        <f t="shared" si="7"/>
        <v>--</v>
      </c>
      <c r="P11" s="94" t="str">
        <f t="shared" si="8"/>
        <v>--</v>
      </c>
      <c r="Q11" s="146" t="str">
        <f>IFERROR(_xll.qlRateHelperQuoteName(O11,Trigger),"--")</f>
        <v>--</v>
      </c>
      <c r="R11" s="98" t="str">
        <f>IFERROR(_xll.qlRateHelperQuoteValue($O11,Trigger),"--")</f>
        <v>--</v>
      </c>
      <c r="S11" s="97" t="b">
        <v>0</v>
      </c>
      <c r="T11" s="94">
        <v>10</v>
      </c>
      <c r="U11" s="94">
        <v>1</v>
      </c>
      <c r="V11" s="99" t="str">
        <f>IFERROR(_xll.qlRateHelperEarliestDate(O11,Trigger),"--")</f>
        <v>--</v>
      </c>
      <c r="W11" s="99" t="str">
        <f>IFERROR(_xll.qlRateHelperPillarDate(O11,Trigger),"--")</f>
        <v>--</v>
      </c>
      <c r="Y11" s="4" t="str">
        <f t="shared" si="0"/>
        <v>BasSw</v>
      </c>
      <c r="Z11" s="4" t="str">
        <v>obj_004bc</v>
      </c>
      <c r="AA11" s="4" t="str">
        <v>obj_0049d</v>
      </c>
      <c r="AB11" s="4" t="str">
        <f>IFERROR(_xll.qlRateHelperQuoteName(Z11,Trigger),"")</f>
        <v>GBPSB6L2Y_S12L6L_linearLCH_LCHQuote</v>
      </c>
      <c r="AC11" s="70">
        <f>IFERROR(_xll.qlRateHelperRate(Z11,Trigger),"")</f>
        <v>1.2045000000079019E-2</v>
      </c>
      <c r="AD11" s="104">
        <f>IF(ISERROR(_xll.qlSwapRateHelperSpread($Z11)),IF(ISERROR(_xll.qlFuturesRateHelperConvexityAdjustment($Z11)),"",_xll.qlFuturesRateHelperConvexityAdjustment($Z11)),_xll.qlSwapRateHelperSpread($Z11))</f>
        <v>0</v>
      </c>
      <c r="AE11" s="5">
        <f>IFERROR(_xll.qlRateHelperEarliestDate(Z11,Trigger),"")</f>
        <v>42321</v>
      </c>
      <c r="AF11" s="5">
        <f>IFERROR(_xll.qlRateHelperPillarDate(Z11,Trigger),"")</f>
        <v>43052</v>
      </c>
      <c r="AG11" s="70">
        <v>1.2000257243082004E-2</v>
      </c>
      <c r="AH11" s="77">
        <v>0.97624166047552485</v>
      </c>
      <c r="AI11" s="169">
        <v>43052</v>
      </c>
      <c r="AJ11" s="170">
        <v>1.2274874233945099E-2</v>
      </c>
      <c r="AK11" s="172">
        <f t="shared" si="4"/>
        <v>-2.746169908630948E-4</v>
      </c>
      <c r="AL11" s="80">
        <v>0.97567263670051196</v>
      </c>
      <c r="AM11" s="161">
        <f t="shared" si="5"/>
        <v>5.6902377501288903E-4</v>
      </c>
      <c r="AN11" s="161"/>
    </row>
    <row r="12" spans="1:42" ht="11.25" customHeight="1" x14ac:dyDescent="0.2">
      <c r="A12" s="59" t="s">
        <v>91</v>
      </c>
      <c r="B12" s="116">
        <v>7</v>
      </c>
      <c r="C12" s="62" t="str">
        <f t="shared" si="9"/>
        <v>x19F</v>
      </c>
      <c r="D12" s="123"/>
      <c r="E12" s="123"/>
      <c r="F12" s="123"/>
      <c r="G12" s="61" t="str">
        <f t="shared" si="10"/>
        <v>GbpLibor1Y</v>
      </c>
      <c r="H12" s="119" t="str">
        <f t="shared" si="11"/>
        <v>GBP7x19F_LCHQuote</v>
      </c>
      <c r="I12" s="119"/>
      <c r="J12" s="123"/>
      <c r="K12" s="64"/>
      <c r="L12" s="64"/>
      <c r="M12" s="48" t="s">
        <v>35</v>
      </c>
      <c r="N12" s="10" t="str">
        <f t="shared" si="6"/>
        <v>FRA</v>
      </c>
      <c r="O12" s="94" t="str">
        <f t="shared" si="7"/>
        <v>obj_00416#0011</v>
      </c>
      <c r="P12" s="94" t="str">
        <f t="shared" si="8"/>
        <v>obj_00416#0011</v>
      </c>
      <c r="Q12" s="146" t="str">
        <f>IFERROR(_xll.qlRateHelperQuoteName(O12,Trigger),"--")</f>
        <v>GBP9x21F_LCHQuote</v>
      </c>
      <c r="R12" s="98">
        <f>IFERROR(_xll.qlRateHelperQuoteValue($O12,Trigger),"--")</f>
        <v>1.355E-2</v>
      </c>
      <c r="S12" s="97" t="b">
        <v>1</v>
      </c>
      <c r="T12" s="94">
        <v>10</v>
      </c>
      <c r="U12" s="94">
        <v>1</v>
      </c>
      <c r="V12" s="99">
        <f>IFERROR(_xll.qlRateHelperEarliestDate(O12,Trigger),"--")</f>
        <v>42597</v>
      </c>
      <c r="W12" s="99">
        <f>IFERROR(_xll.qlRateHelperPillarDate(O12,Trigger),"--")</f>
        <v>42961</v>
      </c>
      <c r="Y12" s="4" t="str">
        <f t="shared" si="0"/>
        <v>BasSw</v>
      </c>
      <c r="Z12" s="4" t="str">
        <v>obj_004ad</v>
      </c>
      <c r="AA12" s="4" t="str">
        <v>obj_0049c</v>
      </c>
      <c r="AB12" s="4" t="str">
        <f>IFERROR(_xll.qlRateHelperQuoteName(Z12,Trigger),"")</f>
        <v>GBPSB6L3Y_S12L6L_linearLCH_LCHQuote</v>
      </c>
      <c r="AC12" s="70">
        <f>IFERROR(_xll.qlRateHelperRate(Z12,Trigger),"")</f>
        <v>1.3918000000080699E-2</v>
      </c>
      <c r="AD12" s="104">
        <f>IF(ISERROR(_xll.qlSwapRateHelperSpread($Z12)),IF(ISERROR(_xll.qlFuturesRateHelperConvexityAdjustment($Z12)),"",_xll.qlFuturesRateHelperConvexityAdjustment($Z12)),_xll.qlSwapRateHelperSpread($Z12))</f>
        <v>0</v>
      </c>
      <c r="AE12" s="5">
        <f>IFERROR(_xll.qlRateHelperEarliestDate(Z12,Trigger),"")</f>
        <v>42321</v>
      </c>
      <c r="AF12" s="5">
        <f>IFERROR(_xll.qlRateHelperPillarDate(Z12,Trigger),"")</f>
        <v>43417</v>
      </c>
      <c r="AG12" s="70">
        <v>1.3876391992272651E-2</v>
      </c>
      <c r="AH12" s="77">
        <v>0.959178319485682</v>
      </c>
      <c r="AI12" s="169">
        <v>43416</v>
      </c>
      <c r="AJ12" s="170">
        <v>1.41691465894874E-2</v>
      </c>
      <c r="AK12" s="172">
        <f t="shared" si="4"/>
        <v>-2.9275459721474911E-4</v>
      </c>
      <c r="AL12" s="80">
        <v>0.958340328238802</v>
      </c>
      <c r="AM12" s="161">
        <f t="shared" si="5"/>
        <v>8.3799124687999882E-4</v>
      </c>
      <c r="AN12" s="161"/>
    </row>
    <row r="13" spans="1:42" ht="11.25" customHeight="1" x14ac:dyDescent="0.2">
      <c r="A13" s="59" t="s">
        <v>91</v>
      </c>
      <c r="B13" s="116">
        <v>8</v>
      </c>
      <c r="C13" s="62" t="str">
        <f t="shared" si="9"/>
        <v>x20F</v>
      </c>
      <c r="D13" s="123"/>
      <c r="E13" s="123"/>
      <c r="F13" s="123"/>
      <c r="G13" s="61" t="str">
        <f t="shared" si="10"/>
        <v>GbpLibor1Y</v>
      </c>
      <c r="H13" s="119" t="str">
        <f t="shared" si="11"/>
        <v>GBP8x20F_LCHQuote</v>
      </c>
      <c r="I13" s="119"/>
      <c r="J13" s="123"/>
      <c r="K13" s="64"/>
      <c r="L13" s="64"/>
      <c r="M13" s="48"/>
      <c r="N13" s="10" t="str">
        <f t="shared" si="6"/>
        <v>FRA</v>
      </c>
      <c r="O13" s="94" t="str">
        <f t="shared" si="7"/>
        <v>--</v>
      </c>
      <c r="P13" s="94" t="str">
        <f t="shared" si="8"/>
        <v>--</v>
      </c>
      <c r="Q13" s="146" t="str">
        <f>IFERROR(_xll.qlRateHelperQuoteName(O13,Trigger),"--")</f>
        <v>--</v>
      </c>
      <c r="R13" s="98" t="str">
        <f>IFERROR(_xll.qlRateHelperQuoteValue($O13,Trigger),"--")</f>
        <v>--</v>
      </c>
      <c r="S13" s="97" t="b">
        <v>0</v>
      </c>
      <c r="T13" s="94">
        <v>10</v>
      </c>
      <c r="U13" s="94">
        <v>1</v>
      </c>
      <c r="V13" s="99" t="str">
        <f>IFERROR(_xll.qlRateHelperEarliestDate(O13,Trigger),"--")</f>
        <v>--</v>
      </c>
      <c r="W13" s="99" t="str">
        <f>IFERROR(_xll.qlRateHelperPillarDate(O13,Trigger),"--")</f>
        <v>--</v>
      </c>
      <c r="Y13" s="4" t="str">
        <f t="shared" si="0"/>
        <v>BasSw</v>
      </c>
      <c r="Z13" s="4" t="str">
        <v>obj_004ae</v>
      </c>
      <c r="AA13" s="4" t="str">
        <v>obj_00498</v>
      </c>
      <c r="AB13" s="4" t="str">
        <f>IFERROR(_xll.qlRateHelperQuoteName(Z13,Trigger),"")</f>
        <v>GBPSB6L4Y_S12L6L_linearLCH_LCHQuote</v>
      </c>
      <c r="AC13" s="70">
        <f>IFERROR(_xll.qlRateHelperRate(Z13,Trigger),"")</f>
        <v>1.5517999999959467E-2</v>
      </c>
      <c r="AD13" s="104">
        <f>IF(ISERROR(_xll.qlSwapRateHelperSpread($Z13)),IF(ISERROR(_xll.qlFuturesRateHelperConvexityAdjustment($Z13)),"",_xll.qlFuturesRateHelperConvexityAdjustment($Z13)),_xll.qlSwapRateHelperSpread($Z13))</f>
        <v>0</v>
      </c>
      <c r="AE13" s="5">
        <f>IFERROR(_xll.qlRateHelperEarliestDate(Z13,Trigger),"")</f>
        <v>42321</v>
      </c>
      <c r="AF13" s="5">
        <f>IFERROR(_xll.qlRateHelperPillarDate(Z13,Trigger),"")</f>
        <v>43782</v>
      </c>
      <c r="AG13" s="70">
        <v>1.5486602123692237E-2</v>
      </c>
      <c r="AH13" s="77">
        <v>0.93988390054495485</v>
      </c>
      <c r="AI13" s="169">
        <v>43781</v>
      </c>
      <c r="AJ13" s="170">
        <v>1.5773364050020999E-2</v>
      </c>
      <c r="AK13" s="172">
        <f t="shared" si="4"/>
        <v>-2.8676192632876192E-4</v>
      </c>
      <c r="AL13" s="80">
        <v>0.93881046844666205</v>
      </c>
      <c r="AM13" s="161">
        <f t="shared" si="5"/>
        <v>1.0734320982928036E-3</v>
      </c>
      <c r="AN13" s="161"/>
    </row>
    <row r="14" spans="1:42" ht="11.25" customHeight="1" x14ac:dyDescent="0.2">
      <c r="A14" s="59" t="s">
        <v>91</v>
      </c>
      <c r="B14" s="116">
        <v>9</v>
      </c>
      <c r="C14" s="62" t="str">
        <f t="shared" si="9"/>
        <v>x21F</v>
      </c>
      <c r="D14" s="123"/>
      <c r="E14" s="123"/>
      <c r="F14" s="123"/>
      <c r="G14" s="61" t="str">
        <f t="shared" si="10"/>
        <v>GbpLibor1Y</v>
      </c>
      <c r="H14" s="119" t="str">
        <f t="shared" si="11"/>
        <v>GBP9x21F_LCHQuote</v>
      </c>
      <c r="I14" s="119"/>
      <c r="J14" s="123"/>
      <c r="K14" s="64" t="str">
        <f>_xll.qlFraRateHelper(,H14,B14&amp;"M",G14,PillarDate,,Permanent,Trigger,ObjectOverwrite)</f>
        <v>obj_00416#0011</v>
      </c>
      <c r="L14" s="64" t="str">
        <f t="shared" si="12"/>
        <v>obj_00416#0011</v>
      </c>
      <c r="M14" s="48"/>
      <c r="N14" s="10" t="str">
        <f t="shared" si="6"/>
        <v>FRA</v>
      </c>
      <c r="O14" s="94" t="str">
        <f t="shared" si="7"/>
        <v>--</v>
      </c>
      <c r="P14" s="94" t="str">
        <f t="shared" si="8"/>
        <v>--</v>
      </c>
      <c r="Q14" s="146" t="str">
        <f>IFERROR(_xll.qlRateHelperQuoteName(O14,Trigger),"--")</f>
        <v>--</v>
      </c>
      <c r="R14" s="98" t="str">
        <f>IFERROR(_xll.qlRateHelperQuoteValue($O14,Trigger),"--")</f>
        <v>--</v>
      </c>
      <c r="S14" s="97" t="b">
        <v>0</v>
      </c>
      <c r="T14" s="94">
        <v>10</v>
      </c>
      <c r="U14" s="94">
        <v>1</v>
      </c>
      <c r="V14" s="99" t="str">
        <f>IFERROR(_xll.qlRateHelperEarliestDate(O14,Trigger),"--")</f>
        <v>--</v>
      </c>
      <c r="W14" s="99" t="str">
        <f>IFERROR(_xll.qlRateHelperPillarDate(O14,Trigger),"--")</f>
        <v>--</v>
      </c>
      <c r="Y14" s="4" t="str">
        <f t="shared" si="0"/>
        <v>BasSw</v>
      </c>
      <c r="Z14" s="4" t="str">
        <v>obj_004b6</v>
      </c>
      <c r="AA14" s="4" t="str">
        <v>obj_00494</v>
      </c>
      <c r="AB14" s="4" t="str">
        <f>IFERROR(_xll.qlRateHelperQuoteName(Z14,Trigger),"")</f>
        <v>GBPSB6L5Y_S12L6L_linearLCH_LCHQuote</v>
      </c>
      <c r="AC14" s="70">
        <f>IFERROR(_xll.qlRateHelperRate(Z14,Trigger),"")</f>
        <v>1.6889999999954112E-2</v>
      </c>
      <c r="AD14" s="104">
        <f>IF(ISERROR(_xll.qlSwapRateHelperSpread($Z14)),IF(ISERROR(_xll.qlFuturesRateHelperConvexityAdjustment($Z14)),"",_xll.qlFuturesRateHelperConvexityAdjustment($Z14)),_xll.qlSwapRateHelperSpread($Z14))</f>
        <v>0</v>
      </c>
      <c r="AE14" s="5">
        <f>IFERROR(_xll.qlRateHelperEarliestDate(Z14,Trigger),"")</f>
        <v>42321</v>
      </c>
      <c r="AF14" s="5">
        <f>IFERROR(_xll.qlRateHelperPillarDate(Z14,Trigger),"")</f>
        <v>44148</v>
      </c>
      <c r="AG14" s="70">
        <v>1.6875413818823629E-2</v>
      </c>
      <c r="AH14" s="77">
        <v>0.91899146068059645</v>
      </c>
      <c r="AI14" s="169">
        <v>44147</v>
      </c>
      <c r="AJ14" s="170">
        <v>1.7144002009818901E-2</v>
      </c>
      <c r="AK14" s="172">
        <f t="shared" si="4"/>
        <v>-2.6858819099527184E-4</v>
      </c>
      <c r="AL14" s="80">
        <v>0.91776135974925799</v>
      </c>
      <c r="AM14" s="161">
        <f t="shared" si="5"/>
        <v>1.2301009313384625E-3</v>
      </c>
      <c r="AN14" s="161"/>
    </row>
    <row r="15" spans="1:42" ht="11.25" customHeight="1" x14ac:dyDescent="0.2">
      <c r="A15" s="59" t="s">
        <v>91</v>
      </c>
      <c r="B15" s="116">
        <v>10</v>
      </c>
      <c r="C15" s="62" t="str">
        <f t="shared" si="9"/>
        <v>x22F</v>
      </c>
      <c r="D15" s="123"/>
      <c r="E15" s="123"/>
      <c r="F15" s="123"/>
      <c r="G15" s="61" t="str">
        <f t="shared" si="10"/>
        <v>GbpLibor1Y</v>
      </c>
      <c r="H15" s="119" t="str">
        <f t="shared" si="11"/>
        <v>GBP10x22F_LCHQuote</v>
      </c>
      <c r="I15" s="119"/>
      <c r="J15" s="123"/>
      <c r="K15" s="64"/>
      <c r="L15" s="64"/>
      <c r="M15" s="48"/>
      <c r="N15" s="10" t="str">
        <f t="shared" si="6"/>
        <v>FRA</v>
      </c>
      <c r="O15" s="94" t="str">
        <f t="shared" si="7"/>
        <v>--</v>
      </c>
      <c r="P15" s="94" t="str">
        <f t="shared" si="8"/>
        <v>--</v>
      </c>
      <c r="Q15" s="146" t="str">
        <f>IFERROR(_xll.qlRateHelperQuoteName(O15,Trigger),"--")</f>
        <v>--</v>
      </c>
      <c r="R15" s="98" t="str">
        <f>IFERROR(_xll.qlRateHelperQuoteValue($O15,Trigger),"--")</f>
        <v>--</v>
      </c>
      <c r="S15" s="97" t="b">
        <v>0</v>
      </c>
      <c r="T15" s="94">
        <v>10</v>
      </c>
      <c r="U15" s="94">
        <v>1</v>
      </c>
      <c r="V15" s="99" t="str">
        <f>IFERROR(_xll.qlRateHelperEarliestDate(O15,Trigger),"--")</f>
        <v>--</v>
      </c>
      <c r="W15" s="99" t="str">
        <f>IFERROR(_xll.qlRateHelperPillarDate(O15,Trigger),"--")</f>
        <v>--</v>
      </c>
      <c r="Y15" s="4" t="str">
        <f t="shared" si="0"/>
        <v>BasSw</v>
      </c>
      <c r="Z15" s="4" t="str">
        <v>obj_004ac</v>
      </c>
      <c r="AA15" s="4" t="str">
        <v>obj_00490</v>
      </c>
      <c r="AB15" s="4" t="str">
        <f>IFERROR(_xll.qlRateHelperQuoteName(Z15,Trigger),"")</f>
        <v>GBPSB6L6Y_S12L6L_linearLCH_LCHQuote</v>
      </c>
      <c r="AC15" s="70">
        <f>IFERROR(_xll.qlRateHelperRate(Z15,Trigger),"")</f>
        <v>1.8034999999949713E-2</v>
      </c>
      <c r="AD15" s="104">
        <f>IF(ISERROR(_xll.qlSwapRateHelperSpread($Z15)),IF(ISERROR(_xll.qlFuturesRateHelperConvexityAdjustment($Z15)),"",_xll.qlFuturesRateHelperConvexityAdjustment($Z15)),_xll.qlSwapRateHelperSpread($Z15))</f>
        <v>0</v>
      </c>
      <c r="AE15" s="5">
        <f>IFERROR(_xll.qlRateHelperEarliestDate(Z15,Trigger),"")</f>
        <v>42321</v>
      </c>
      <c r="AF15" s="5">
        <f>IFERROR(_xll.qlRateHelperPillarDate(Z15,Trigger),"")</f>
        <v>44515</v>
      </c>
      <c r="AG15" s="70">
        <v>1.8041907077784729E-2</v>
      </c>
      <c r="AH15" s="77">
        <v>0.89721765488881178</v>
      </c>
      <c r="AI15" s="169">
        <v>44512</v>
      </c>
      <c r="AJ15" s="170">
        <v>1.83004458785469E-2</v>
      </c>
      <c r="AK15" s="172">
        <f t="shared" si="4"/>
        <v>-2.5853880076217098E-4</v>
      </c>
      <c r="AL15" s="80">
        <v>0.89591850665634098</v>
      </c>
      <c r="AM15" s="161">
        <f t="shared" si="5"/>
        <v>1.2991482324707926E-3</v>
      </c>
      <c r="AN15" s="161"/>
    </row>
    <row r="16" spans="1:42" ht="11.25" customHeight="1" x14ac:dyDescent="0.2">
      <c r="A16" s="59" t="s">
        <v>91</v>
      </c>
      <c r="B16" s="116">
        <v>11</v>
      </c>
      <c r="C16" s="62" t="str">
        <f t="shared" ref="C16" si="13">"x"&amp;B16+SUBSTITUTE($C$4,"M","")&amp;"F"</f>
        <v>x23F</v>
      </c>
      <c r="D16" s="123"/>
      <c r="E16" s="123"/>
      <c r="F16" s="123"/>
      <c r="G16" s="61" t="str">
        <f t="shared" si="10"/>
        <v>GbpLibor1Y</v>
      </c>
      <c r="H16" s="119" t="str">
        <f t="shared" ref="H16" si="14">IF(ReportQuoteOverwrite,Currency&amp;B16&amp;C16&amp;ReportQuoteSuffix,Currency&amp;B16&amp;C16&amp;QuoteSuffix)</f>
        <v>GBP11x23F_LCHQuote</v>
      </c>
      <c r="I16" s="119"/>
      <c r="J16" s="123"/>
      <c r="K16" s="64"/>
      <c r="L16" s="64"/>
      <c r="M16" s="48"/>
      <c r="N16" s="68" t="str">
        <f>A20</f>
        <v>BasSw</v>
      </c>
      <c r="O16" s="131" t="str">
        <f>IF(ISBLANK(K20),"--",K20)</f>
        <v>--</v>
      </c>
      <c r="P16" s="131" t="str">
        <f>IF(ISBLANK(L20),"--",L20)</f>
        <v>--</v>
      </c>
      <c r="Q16" s="145" t="str">
        <f>IFERROR(_xll.qlRateHelperQuoteName(O16,Trigger),"--")</f>
        <v>--</v>
      </c>
      <c r="R16" s="133" t="str">
        <f>IFERROR(_xll.qlRateHelperQuoteValue($O16,Trigger),"--")</f>
        <v>--</v>
      </c>
      <c r="S16" s="132" t="b">
        <v>0</v>
      </c>
      <c r="T16" s="131">
        <v>20</v>
      </c>
      <c r="U16" s="131">
        <v>1</v>
      </c>
      <c r="V16" s="134" t="str">
        <f>IFERROR(_xll.qlRateHelperEarliestDate(O16,Trigger),"--")</f>
        <v>--</v>
      </c>
      <c r="W16" s="134" t="str">
        <f>IFERROR(_xll.qlRateHelperPillarDate(O16,Trigger),"--")</f>
        <v>--</v>
      </c>
      <c r="Y16" s="4" t="str">
        <f t="shared" si="0"/>
        <v>BasSw</v>
      </c>
      <c r="Z16" s="4" t="str">
        <v>obj_004ab</v>
      </c>
      <c r="AA16" s="4" t="str">
        <v>obj_0048c</v>
      </c>
      <c r="AB16" s="4" t="str">
        <f>IFERROR(_xll.qlRateHelperQuoteName(Z16,Trigger),"")</f>
        <v>GBPSB6L7Y_S12L6L_linearLCH_LCHQuote</v>
      </c>
      <c r="AC16" s="70">
        <f>IFERROR(_xll.qlRateHelperRate(Z16,Trigger),"")</f>
        <v>1.8994999999945791E-2</v>
      </c>
      <c r="AD16" s="104">
        <f>IF(ISERROR(_xll.qlSwapRateHelperSpread($Z16)),IF(ISERROR(_xll.qlFuturesRateHelperConvexityAdjustment($Z16)),"",_xll.qlFuturesRateHelperConvexityAdjustment($Z16)),_xll.qlSwapRateHelperSpread($Z16))</f>
        <v>0</v>
      </c>
      <c r="AE16" s="5">
        <f>IFERROR(_xll.qlRateHelperEarliestDate(Z16,Trigger),"")</f>
        <v>42321</v>
      </c>
      <c r="AF16" s="5">
        <f>IFERROR(_xll.qlRateHelperPillarDate(Z16,Trigger),"")</f>
        <v>44879</v>
      </c>
      <c r="AG16" s="70">
        <v>1.9026847633108704E-2</v>
      </c>
      <c r="AH16" s="77">
        <v>0.87516005465193158</v>
      </c>
      <c r="AI16" s="169">
        <v>44879</v>
      </c>
      <c r="AJ16" s="170">
        <v>1.9274444942109701E-2</v>
      </c>
      <c r="AK16" s="172">
        <f t="shared" si="4"/>
        <v>-2.4759730900099711E-4</v>
      </c>
      <c r="AL16" s="80">
        <v>0.87359919209418302</v>
      </c>
      <c r="AM16" s="161">
        <f t="shared" si="5"/>
        <v>1.5608625577485657E-3</v>
      </c>
      <c r="AN16" s="161"/>
    </row>
    <row r="17" spans="1:40" ht="11.25" customHeight="1" x14ac:dyDescent="0.2">
      <c r="A17" s="1" t="s">
        <v>91</v>
      </c>
      <c r="B17" s="117">
        <v>12</v>
      </c>
      <c r="C17" s="9" t="str">
        <f t="shared" si="9"/>
        <v>x24F</v>
      </c>
      <c r="D17" s="124"/>
      <c r="E17" s="124"/>
      <c r="F17" s="124"/>
      <c r="G17" s="7" t="str">
        <f t="shared" si="10"/>
        <v>GbpLibor1Y</v>
      </c>
      <c r="H17" s="120" t="str">
        <f t="shared" si="11"/>
        <v>GBP12x24F_LCHQuote</v>
      </c>
      <c r="I17" s="120"/>
      <c r="J17" s="124"/>
      <c r="K17" s="3"/>
      <c r="L17" s="3"/>
      <c r="M17" s="48"/>
      <c r="N17" s="10" t="str">
        <f t="shared" ref="N17:N53" si="15">A21</f>
        <v>BasSw</v>
      </c>
      <c r="O17" s="94" t="str">
        <f t="shared" ref="O17:P17" si="16">IF(ISBLANK(K21),"--",K21)</f>
        <v>--</v>
      </c>
      <c r="P17" s="94" t="str">
        <f t="shared" si="16"/>
        <v>--</v>
      </c>
      <c r="Q17" s="146" t="str">
        <f>IFERROR(_xll.qlRateHelperQuoteName(O17,Trigger),"--")</f>
        <v>--</v>
      </c>
      <c r="R17" s="98" t="str">
        <f>IFERROR(_xll.qlRateHelperQuoteValue($O17,Trigger),"--")</f>
        <v>--</v>
      </c>
      <c r="S17" s="97" t="b">
        <v>0</v>
      </c>
      <c r="T17" s="94">
        <v>20</v>
      </c>
      <c r="U17" s="94">
        <v>1</v>
      </c>
      <c r="V17" s="99" t="str">
        <f>IFERROR(_xll.qlRateHelperEarliestDate(O17,Trigger),"--")</f>
        <v>--</v>
      </c>
      <c r="W17" s="99" t="str">
        <f>IFERROR(_xll.qlRateHelperPillarDate(O17,Trigger),"--")</f>
        <v>--</v>
      </c>
      <c r="Y17" s="4" t="str">
        <f t="shared" ref="Y17:Y53" si="17">IFERROR(INDEX($N$3:$N$53,MATCH(AB17,$Q$3:$Q$53,0),1),"")</f>
        <v>BasSw</v>
      </c>
      <c r="Z17" s="4" t="str">
        <v>obj_004b5</v>
      </c>
      <c r="AA17" s="4" t="str">
        <v>obj_00488</v>
      </c>
      <c r="AB17" s="4" t="str">
        <f>IFERROR(_xll.qlRateHelperQuoteName(Z17,Trigger),"")</f>
        <v>GBPSB6L8Y_S12L6L_linearLCH_LCHQuote</v>
      </c>
      <c r="AC17" s="70">
        <f>IFERROR(_xll.qlRateHelperRate(Z17,Trigger),"")</f>
        <v>1.9762999999987402E-2</v>
      </c>
      <c r="AD17" s="104">
        <f>IF(ISERROR(_xll.qlSwapRateHelperSpread($Z17)),IF(ISERROR(_xll.qlFuturesRateHelperConvexityAdjustment($Z17)),"",_xll.qlFuturesRateHelperConvexityAdjustment($Z17)),_xll.qlSwapRateHelperSpread($Z17))</f>
        <v>0</v>
      </c>
      <c r="AE17" s="5">
        <f>IFERROR(_xll.qlRateHelperEarliestDate(Z17,Trigger),"")</f>
        <v>42321</v>
      </c>
      <c r="AF17" s="5">
        <f>IFERROR(_xll.qlRateHelperPillarDate(Z17,Trigger),"")</f>
        <v>45243</v>
      </c>
      <c r="AG17" s="70">
        <v>1.9819317944679268E-2</v>
      </c>
      <c r="AH17" s="77">
        <v>0.85328273024434975</v>
      </c>
      <c r="AI17" s="169">
        <v>45243</v>
      </c>
      <c r="AJ17" s="170">
        <v>2.0050406541149601E-2</v>
      </c>
      <c r="AK17" s="172">
        <f t="shared" si="4"/>
        <v>-2.3108859647033228E-4</v>
      </c>
      <c r="AL17" s="80">
        <v>0.85166111155524804</v>
      </c>
      <c r="AM17" s="161">
        <f t="shared" si="5"/>
        <v>1.6216186891017115E-3</v>
      </c>
      <c r="AN17" s="161"/>
    </row>
    <row r="18" spans="1:40" ht="11.25" customHeight="1" x14ac:dyDescent="0.2">
      <c r="B18" s="46"/>
      <c r="C18" s="46"/>
      <c r="D18" s="46"/>
      <c r="E18" s="46"/>
      <c r="H18" s="103" t="s">
        <v>156</v>
      </c>
      <c r="I18" s="50" t="s">
        <v>150</v>
      </c>
      <c r="J18" s="103" t="s">
        <v>148</v>
      </c>
      <c r="M18" s="48"/>
      <c r="N18" s="10" t="str">
        <f t="shared" si="15"/>
        <v>BasSw</v>
      </c>
      <c r="O18" s="94" t="str">
        <f t="shared" ref="O18:P18" si="18">IF(ISBLANK(K22),"--",K22)</f>
        <v>--</v>
      </c>
      <c r="P18" s="94" t="str">
        <f t="shared" si="18"/>
        <v>--</v>
      </c>
      <c r="Q18" s="146" t="str">
        <f>IFERROR(_xll.qlRateHelperQuoteName(O18,Trigger),"--")</f>
        <v>--</v>
      </c>
      <c r="R18" s="98" t="str">
        <f>IFERROR(_xll.qlRateHelperQuoteValue($O18,Trigger),"--")</f>
        <v>--</v>
      </c>
      <c r="S18" s="97" t="b">
        <v>0</v>
      </c>
      <c r="T18" s="94">
        <v>20</v>
      </c>
      <c r="U18" s="94">
        <v>1</v>
      </c>
      <c r="V18" s="99" t="str">
        <f>IFERROR(_xll.qlRateHelperEarliestDate(O18,Trigger),"--")</f>
        <v>--</v>
      </c>
      <c r="W18" s="99" t="str">
        <f>IFERROR(_xll.qlRateHelperPillarDate(O18,Trigger),"--")</f>
        <v>--</v>
      </c>
      <c r="Y18" s="4" t="str">
        <f t="shared" si="17"/>
        <v>BasSw</v>
      </c>
      <c r="Z18" s="4" t="str">
        <v>obj_004b8</v>
      </c>
      <c r="AA18" s="4" t="str">
        <v>obj_00484</v>
      </c>
      <c r="AB18" s="4" t="str">
        <f>IFERROR(_xll.qlRateHelperQuoteName(Z18,Trigger),"")</f>
        <v>GBPSB6L9Y_S12L6L_linearLCH_LCHQuote</v>
      </c>
      <c r="AC18" s="70">
        <f>IFERROR(_xll.qlRateHelperRate(Z18,Trigger),"")</f>
        <v>2.0389999999921502E-2</v>
      </c>
      <c r="AD18" s="104">
        <f>IF(ISERROR(_xll.qlSwapRateHelperSpread($Z18)),IF(ISERROR(_xll.qlFuturesRateHelperConvexityAdjustment($Z18)),"",_xll.qlFuturesRateHelperConvexityAdjustment($Z18)),_xll.qlSwapRateHelperSpread($Z18))</f>
        <v>0</v>
      </c>
      <c r="AE18" s="5">
        <f>IFERROR(_xll.qlRateHelperEarliestDate(Z18,Trigger),"")</f>
        <v>42321</v>
      </c>
      <c r="AF18" s="5">
        <f>IFERROR(_xll.qlRateHelperPillarDate(Z18,Trigger),"")</f>
        <v>45609</v>
      </c>
      <c r="AG18" s="70">
        <v>2.0469823560808963E-2</v>
      </c>
      <c r="AH18" s="77">
        <v>0.83160633813344442</v>
      </c>
      <c r="AI18" s="169">
        <v>45608</v>
      </c>
      <c r="AJ18" s="170">
        <v>2.0683807023317E-2</v>
      </c>
      <c r="AK18" s="172">
        <f t="shared" si="4"/>
        <v>-2.1398346250803627E-4</v>
      </c>
      <c r="AL18" s="80">
        <v>0.830007742366354</v>
      </c>
      <c r="AM18" s="161">
        <f t="shared" si="5"/>
        <v>1.5985957670904272E-3</v>
      </c>
      <c r="AN18" s="161"/>
    </row>
    <row r="19" spans="1:40" ht="11.25" customHeight="1" x14ac:dyDescent="0.2">
      <c r="A19" s="65" t="s">
        <v>9</v>
      </c>
      <c r="B19" s="65" t="s">
        <v>28</v>
      </c>
      <c r="C19" s="65" t="s">
        <v>111</v>
      </c>
      <c r="D19" s="65" t="s">
        <v>5</v>
      </c>
      <c r="E19" s="65" t="s">
        <v>33</v>
      </c>
      <c r="F19" s="65" t="s">
        <v>112</v>
      </c>
      <c r="G19" s="65" t="s">
        <v>4</v>
      </c>
      <c r="H19" s="65" t="s">
        <v>168</v>
      </c>
      <c r="I19" s="65" t="s">
        <v>169</v>
      </c>
      <c r="J19" s="65" t="s">
        <v>110</v>
      </c>
      <c r="K19" s="65" t="s">
        <v>132</v>
      </c>
      <c r="L19" s="65" t="s">
        <v>134</v>
      </c>
      <c r="M19" s="48"/>
      <c r="N19" s="10" t="str">
        <f t="shared" si="15"/>
        <v>BasSw</v>
      </c>
      <c r="O19" s="94" t="str">
        <f t="shared" ref="O19:P19" si="19">IF(ISBLANK(K23),"--",K23)</f>
        <v>--</v>
      </c>
      <c r="P19" s="94" t="str">
        <f t="shared" si="19"/>
        <v>--</v>
      </c>
      <c r="Q19" s="146" t="str">
        <f>IFERROR(_xll.qlRateHelperQuoteName(O19,Trigger),"--")</f>
        <v>--</v>
      </c>
      <c r="R19" s="98" t="str">
        <f>IFERROR(_xll.qlRateHelperQuoteValue($O19,Trigger),"--")</f>
        <v>--</v>
      </c>
      <c r="S19" s="97" t="b">
        <v>0</v>
      </c>
      <c r="T19" s="94">
        <v>20</v>
      </c>
      <c r="U19" s="94">
        <v>1</v>
      </c>
      <c r="V19" s="99" t="str">
        <f>IFERROR(_xll.qlRateHelperEarliestDate(O19,Trigger),"--")</f>
        <v>--</v>
      </c>
      <c r="W19" s="99" t="str">
        <f>IFERROR(_xll.qlRateHelperPillarDate(O19,Trigger),"--")</f>
        <v>--</v>
      </c>
      <c r="Y19" s="4" t="str">
        <f t="shared" si="17"/>
        <v>BasSw</v>
      </c>
      <c r="Z19" s="4" t="str">
        <v>obj_004b4</v>
      </c>
      <c r="AA19" s="4" t="str">
        <v>obj_00480</v>
      </c>
      <c r="AB19" s="4" t="str">
        <f>IFERROR(_xll.qlRateHelperQuoteName(Z19,Trigger),"")</f>
        <v>GBPSB6L10Y_S12L6L_linearLCH_LCHQuote</v>
      </c>
      <c r="AC19" s="70">
        <f>IFERROR(_xll.qlRateHelperRate(Z19,Trigger),"")</f>
        <v>2.091999999991935E-2</v>
      </c>
      <c r="AD19" s="104">
        <f>IF(ISERROR(_xll.qlSwapRateHelperSpread($Z19)),IF(ISERROR(_xll.qlFuturesRateHelperConvexityAdjustment($Z19)),"",_xll.qlFuturesRateHelperConvexityAdjustment($Z19)),_xll.qlSwapRateHelperSpread($Z19))</f>
        <v>0</v>
      </c>
      <c r="AE19" s="5">
        <f>IFERROR(_xll.qlRateHelperEarliestDate(Z19,Trigger),"")</f>
        <v>42321</v>
      </c>
      <c r="AF19" s="5">
        <f>IFERROR(_xll.qlRateHelperPillarDate(Z19,Trigger),"")</f>
        <v>45974</v>
      </c>
      <c r="AG19" s="70">
        <v>2.1022949360911151E-2</v>
      </c>
      <c r="AH19" s="77">
        <v>0.81025967214067862</v>
      </c>
      <c r="AI19" s="169">
        <v>45973</v>
      </c>
      <c r="AJ19" s="170">
        <v>2.12320332456205E-2</v>
      </c>
      <c r="AK19" s="172">
        <f t="shared" si="4"/>
        <v>-2.0908388470934972E-4</v>
      </c>
      <c r="AL19" s="80">
        <v>0.80856868331306597</v>
      </c>
      <c r="AM19" s="161">
        <f t="shared" si="5"/>
        <v>1.6909888276126495E-3</v>
      </c>
      <c r="AN19" s="161"/>
    </row>
    <row r="20" spans="1:40" ht="11.25" customHeight="1" x14ac:dyDescent="0.2">
      <c r="A20" s="53" t="s">
        <v>115</v>
      </c>
      <c r="B20" s="54" t="s">
        <v>3</v>
      </c>
      <c r="C20" s="55" t="s">
        <v>6</v>
      </c>
      <c r="D20" s="55" t="s">
        <v>154</v>
      </c>
      <c r="E20" s="55" t="s">
        <v>7</v>
      </c>
      <c r="F20" s="55" t="s">
        <v>155</v>
      </c>
      <c r="G20" s="55" t="str">
        <f t="shared" ref="G20:G57" si="20">PROPER(Currency)&amp;FamilyName&amp;Tenor</f>
        <v>GbpLibor1Y</v>
      </c>
      <c r="H20" s="53" t="str">
        <f>IF(ReportQuoteOverwrite,Currency&amp;$J$18&amp;$I$18&amp;$B20&amp;ReportQuoteSuffix,Currency&amp;$H$18&amp;$J$18&amp;B20&amp;"_S"&amp;$I$18&amp;$J$18&amp;LCHlinear&amp;QuoteSuffix)</f>
        <v>GBPSB6L6M_S12L6L_linearLCH_LCHQuote</v>
      </c>
      <c r="I20" s="53" t="str">
        <f>IF(ReportQuoteOverwrite,Currency&amp;$J$18&amp;$I$18&amp;$B20&amp;ReportQuoteSuffix,Currency&amp;$H$18&amp;$J$18&amp;B20&amp;"_S"&amp;$I$18&amp;$J$18&amp;LCHcubic&amp;QuoteSuffix)</f>
        <v>GBPSB6L6M_S12L6L_cubicLCH_LCHQuote</v>
      </c>
      <c r="J20" s="126">
        <v>0</v>
      </c>
      <c r="K20" s="64"/>
      <c r="L20" s="64"/>
      <c r="M20" s="48"/>
      <c r="N20" s="10" t="str">
        <f t="shared" si="15"/>
        <v>BasSw</v>
      </c>
      <c r="O20" s="94" t="str">
        <f t="shared" ref="O20:P20" si="21">IF(ISBLANK(K24),"--",K24)</f>
        <v>--</v>
      </c>
      <c r="P20" s="94" t="str">
        <f t="shared" si="21"/>
        <v>--</v>
      </c>
      <c r="Q20" s="146" t="str">
        <f>IFERROR(_xll.qlRateHelperQuoteName(O20,Trigger),"--")</f>
        <v>--</v>
      </c>
      <c r="R20" s="98" t="str">
        <f>IFERROR(_xll.qlRateHelperQuoteValue($O20,Trigger),"--")</f>
        <v>--</v>
      </c>
      <c r="S20" s="97" t="b">
        <v>0</v>
      </c>
      <c r="T20" s="94">
        <v>20</v>
      </c>
      <c r="U20" s="94">
        <v>1</v>
      </c>
      <c r="V20" s="99" t="str">
        <f>IFERROR(_xll.qlRateHelperEarliestDate(O20,Trigger),"--")</f>
        <v>--</v>
      </c>
      <c r="W20" s="99" t="str">
        <f>IFERROR(_xll.qlRateHelperPillarDate(O20,Trigger),"--")</f>
        <v>--</v>
      </c>
      <c r="Y20" s="4" t="str">
        <f t="shared" si="17"/>
        <v>BasSw</v>
      </c>
      <c r="Z20" s="4" t="str">
        <v>obj_004a9</v>
      </c>
      <c r="AA20" s="4" t="str">
        <v>obj_00497</v>
      </c>
      <c r="AB20" s="4" t="str">
        <f>IFERROR(_xll.qlRateHelperQuoteName(Z20,Trigger),"")</f>
        <v>GBPSB6L12Y_S12L6L_linearLCH_LCHQuote</v>
      </c>
      <c r="AC20" s="70">
        <f>IFERROR(_xll.qlRateHelperRate(Z20,Trigger),"")</f>
        <v>2.1692999999958003E-2</v>
      </c>
      <c r="AD20" s="104">
        <f>IF(ISERROR(_xll.qlSwapRateHelperSpread($Z20)),IF(ISERROR(_xll.qlFuturesRateHelperConvexityAdjustment($Z20)),"",_xll.qlFuturesRateHelperConvexityAdjustment($Z20)),_xll.qlSwapRateHelperSpread($Z20))</f>
        <v>0</v>
      </c>
      <c r="AE20" s="5">
        <f>IFERROR(_xll.qlRateHelperEarliestDate(Z20,Trigger),"")</f>
        <v>42321</v>
      </c>
      <c r="AF20" s="5">
        <f>IFERROR(_xll.qlRateHelperPillarDate(Z20,Trigger),"")</f>
        <v>46706</v>
      </c>
      <c r="AG20" s="70">
        <v>2.1835167150542859E-2</v>
      </c>
      <c r="AH20" s="77">
        <v>0.76927565219377592</v>
      </c>
      <c r="AI20" s="169">
        <v>46703</v>
      </c>
      <c r="AJ20" s="170">
        <v>2.2035509747702599E-2</v>
      </c>
      <c r="AK20" s="172">
        <f t="shared" si="4"/>
        <v>-2.0034259715974098E-4</v>
      </c>
      <c r="AL20" s="80">
        <v>0.76752061395952398</v>
      </c>
      <c r="AM20" s="161">
        <f t="shared" si="5"/>
        <v>1.7550382342519377E-3</v>
      </c>
      <c r="AN20" s="161"/>
    </row>
    <row r="21" spans="1:40" ht="11.25" customHeight="1" x14ac:dyDescent="0.2">
      <c r="A21" s="59" t="s">
        <v>115</v>
      </c>
      <c r="B21" s="60" t="s">
        <v>27</v>
      </c>
      <c r="C21" s="61" t="s">
        <v>6</v>
      </c>
      <c r="D21" s="61" t="s">
        <v>154</v>
      </c>
      <c r="E21" s="61" t="s">
        <v>7</v>
      </c>
      <c r="F21" s="61" t="s">
        <v>155</v>
      </c>
      <c r="G21" s="61" t="str">
        <f t="shared" si="20"/>
        <v>GbpLibor1Y</v>
      </c>
      <c r="H21" s="59" t="str">
        <f>IF(ReportQuoteOverwrite,Currency&amp;$J$18&amp;$I$18&amp;$B21&amp;ReportQuoteSuffix,Currency&amp;$H$18&amp;$J$18&amp;B21&amp;"_S"&amp;$I$18&amp;$J$18&amp;LCHlinear&amp;QuoteSuffix)</f>
        <v>GBPSB6L1Y_S12L6L_linearLCH_LCHQuote</v>
      </c>
      <c r="I21" s="59" t="str">
        <f>IF(ReportQuoteOverwrite,Currency&amp;$J$18&amp;$I$18&amp;$B21&amp;ReportQuoteSuffix,Currency&amp;$H$18&amp;$J$18&amp;B21&amp;"_S"&amp;$I$18&amp;$J$18&amp;LCHcubic&amp;QuoteSuffix)</f>
        <v>GBPSB6L1Y_S12L6L_cubicLCH_LCHQuote</v>
      </c>
      <c r="J21" s="127">
        <v>0</v>
      </c>
      <c r="K21" s="64"/>
      <c r="L21" s="64"/>
      <c r="M21" s="48"/>
      <c r="N21" s="10" t="str">
        <f t="shared" si="15"/>
        <v>BasSw</v>
      </c>
      <c r="O21" s="94" t="str">
        <f t="shared" ref="O21:P21" si="22">IF(ISBLANK(K25),"--",K25)</f>
        <v>obj_004bc#0001</v>
      </c>
      <c r="P21" s="94" t="str">
        <f t="shared" si="22"/>
        <v>obj_0049d#0001</v>
      </c>
      <c r="Q21" s="146" t="str">
        <f>IFERROR(_xll.qlRateHelperQuoteName(O21,Trigger),"--")</f>
        <v>GBPSB6L2Y_S12L6L_linearLCH_LCHQuote</v>
      </c>
      <c r="R21" s="98">
        <f>IFERROR(_xll.qlRateHelperQuoteValue($O21,Trigger),"--")</f>
        <v>1.2044999999999922E-2</v>
      </c>
      <c r="S21" s="97" t="b">
        <v>1</v>
      </c>
      <c r="T21" s="94">
        <v>20</v>
      </c>
      <c r="U21" s="94">
        <v>1</v>
      </c>
      <c r="V21" s="99">
        <f>IFERROR(_xll.qlRateHelperEarliestDate(O21,Trigger),"--")</f>
        <v>42321</v>
      </c>
      <c r="W21" s="99">
        <f>IFERROR(_xll.qlRateHelperPillarDate(O21,Trigger),"--")</f>
        <v>43052</v>
      </c>
      <c r="Y21" s="4" t="str">
        <f t="shared" si="17"/>
        <v>BasSw</v>
      </c>
      <c r="Z21" s="4" t="str">
        <v>obj_004a7</v>
      </c>
      <c r="AA21" s="4" t="str">
        <v>obj_0048b</v>
      </c>
      <c r="AB21" s="4" t="str">
        <f>IFERROR(_xll.qlRateHelperQuoteName(Z21,Trigger),"")</f>
        <v>GBPSB6L15Y_S12L6L_linearLCH_LCHQuote</v>
      </c>
      <c r="AC21" s="70">
        <f>IFERROR(_xll.qlRateHelperRate(Z21,Trigger),"")</f>
        <v>2.2402999999971272E-2</v>
      </c>
      <c r="AD21" s="104">
        <f>IF(ISERROR(_xll.qlSwapRateHelperSpread($Z21)),IF(ISERROR(_xll.qlFuturesRateHelperConvexityAdjustment($Z21)),"",_xll.qlFuturesRateHelperConvexityAdjustment($Z21)),_xll.qlSwapRateHelperSpread($Z21))</f>
        <v>0</v>
      </c>
      <c r="AE21" s="5">
        <f>IFERROR(_xll.qlRateHelperEarliestDate(Z21,Trigger),"")</f>
        <v>42321</v>
      </c>
      <c r="AF21" s="5">
        <f>IFERROR(_xll.qlRateHelperPillarDate(Z21,Trigger),"")</f>
        <v>47800</v>
      </c>
      <c r="AG21" s="70">
        <v>2.2585061506017648E-2</v>
      </c>
      <c r="AH21" s="77">
        <v>0.71250216538603783</v>
      </c>
      <c r="AI21" s="169">
        <v>47799</v>
      </c>
      <c r="AJ21" s="170">
        <v>2.2773849362192601E-2</v>
      </c>
      <c r="AK21" s="172">
        <f t="shared" si="4"/>
        <v>-1.8878785617495314E-4</v>
      </c>
      <c r="AL21" s="80">
        <v>0.71048362401293197</v>
      </c>
      <c r="AM21" s="161">
        <f t="shared" si="5"/>
        <v>2.0185413731058643E-3</v>
      </c>
      <c r="AN21" s="161"/>
    </row>
    <row r="22" spans="1:40" ht="11.25" customHeight="1" x14ac:dyDescent="0.2">
      <c r="A22" s="59" t="s">
        <v>115</v>
      </c>
      <c r="B22" s="60" t="s">
        <v>48</v>
      </c>
      <c r="C22" s="61" t="s">
        <v>6</v>
      </c>
      <c r="D22" s="61" t="s">
        <v>154</v>
      </c>
      <c r="E22" s="61" t="s">
        <v>7</v>
      </c>
      <c r="F22" s="61" t="s">
        <v>155</v>
      </c>
      <c r="G22" s="61" t="str">
        <f t="shared" si="20"/>
        <v>GbpLibor1Y</v>
      </c>
      <c r="H22" s="59" t="str">
        <f>IF(ReportQuoteOverwrite,Currency&amp;$J$18&amp;$I$18&amp;$B22&amp;ReportQuoteSuffix,Currency&amp;$H$18&amp;$J$18&amp;B22&amp;"_S"&amp;$I$18&amp;$J$18&amp;LCHlinear&amp;QuoteSuffix)</f>
        <v>GBPSB6L15M_S12L6L_linearLCH_LCHQuote</v>
      </c>
      <c r="I22" s="59" t="str">
        <f>IF(ReportQuoteOverwrite,Currency&amp;$J$18&amp;$I$18&amp;$B22&amp;ReportQuoteSuffix,Currency&amp;$H$18&amp;$J$18&amp;B22&amp;"_S"&amp;$I$18&amp;$J$18&amp;LCHcubic&amp;QuoteSuffix)</f>
        <v>GBPSB6L15M_S12L6L_cubicLCH_LCHQuote</v>
      </c>
      <c r="J22" s="127">
        <v>0</v>
      </c>
      <c r="K22" s="64"/>
      <c r="L22" s="64"/>
      <c r="M22" s="48"/>
      <c r="N22" s="10" t="str">
        <f t="shared" si="15"/>
        <v>BasSw</v>
      </c>
      <c r="O22" s="94" t="str">
        <f t="shared" ref="O22:P22" si="23">IF(ISBLANK(K26),"--",K26)</f>
        <v>obj_004ad#0001</v>
      </c>
      <c r="P22" s="94" t="str">
        <f t="shared" si="23"/>
        <v>obj_0049c#0001</v>
      </c>
      <c r="Q22" s="146" t="str">
        <f>IFERROR(_xll.qlRateHelperQuoteName(O22,Trigger),"--")</f>
        <v>GBPSB6L3Y_S12L6L_linearLCH_LCHQuote</v>
      </c>
      <c r="R22" s="98">
        <f>IFERROR(_xll.qlRateHelperQuoteValue($O22,Trigger),"--")</f>
        <v>1.3917999999309948E-2</v>
      </c>
      <c r="S22" s="97" t="b">
        <v>1</v>
      </c>
      <c r="T22" s="94">
        <v>20</v>
      </c>
      <c r="U22" s="94">
        <v>1</v>
      </c>
      <c r="V22" s="99">
        <f>IFERROR(_xll.qlRateHelperEarliestDate(O22,Trigger),"--")</f>
        <v>42321</v>
      </c>
      <c r="W22" s="99">
        <f>IFERROR(_xll.qlRateHelperPillarDate(O22,Trigger),"--")</f>
        <v>43417</v>
      </c>
      <c r="Y22" s="4" t="str">
        <f t="shared" si="17"/>
        <v>BasSw</v>
      </c>
      <c r="Z22" s="4" t="str">
        <v>obj_004a1</v>
      </c>
      <c r="AA22" s="4" t="str">
        <v>obj_00496</v>
      </c>
      <c r="AB22" s="4" t="str">
        <f>IFERROR(_xll.qlRateHelperQuoteName(Z22,Trigger),"")</f>
        <v>GBPSB6L20Y_S12L6L_linearLCH_LCHQuote</v>
      </c>
      <c r="AC22" s="70">
        <f>IFERROR(_xll.qlRateHelperRate(Z22,Trigger),"")</f>
        <v>2.2795000000007629E-2</v>
      </c>
      <c r="AD22" s="104">
        <f>IF(ISERROR(_xll.qlSwapRateHelperSpread($Z22)),IF(ISERROR(_xll.qlFuturesRateHelperConvexityAdjustment($Z22)),"",_xll.qlFuturesRateHelperConvexityAdjustment($Z22)),_xll.qlSwapRateHelperSpread($Z22))</f>
        <v>0</v>
      </c>
      <c r="AE22" s="5">
        <f>IFERROR(_xll.qlRateHelperEarliestDate(Z22,Trigger),"")</f>
        <v>42321</v>
      </c>
      <c r="AF22" s="5">
        <f>IFERROR(_xll.qlRateHelperPillarDate(Z22,Trigger),"")</f>
        <v>49626</v>
      </c>
      <c r="AG22" s="70">
        <v>2.2968420881853413E-2</v>
      </c>
      <c r="AH22" s="77">
        <v>0.63162740857449751</v>
      </c>
      <c r="AI22" s="169">
        <v>49625</v>
      </c>
      <c r="AJ22" s="170">
        <v>2.3101291360312901E-2</v>
      </c>
      <c r="AK22" s="172">
        <f t="shared" si="4"/>
        <v>-1.3287047845948752E-4</v>
      </c>
      <c r="AL22" s="80">
        <v>0.62994555832203303</v>
      </c>
      <c r="AM22" s="161">
        <f t="shared" si="5"/>
        <v>1.6818502524644785E-3</v>
      </c>
      <c r="AN22" s="161"/>
    </row>
    <row r="23" spans="1:40" ht="11.25" customHeight="1" x14ac:dyDescent="0.2">
      <c r="A23" s="59" t="s">
        <v>115</v>
      </c>
      <c r="B23" s="60" t="s">
        <v>49</v>
      </c>
      <c r="C23" s="61" t="s">
        <v>6</v>
      </c>
      <c r="D23" s="61" t="s">
        <v>154</v>
      </c>
      <c r="E23" s="61" t="s">
        <v>7</v>
      </c>
      <c r="F23" s="61" t="s">
        <v>155</v>
      </c>
      <c r="G23" s="61" t="str">
        <f t="shared" si="20"/>
        <v>GbpLibor1Y</v>
      </c>
      <c r="H23" s="59" t="str">
        <f>IF(ReportQuoteOverwrite,Currency&amp;$J$18&amp;$I$18&amp;$B23&amp;ReportQuoteSuffix,Currency&amp;$H$18&amp;$J$18&amp;B23&amp;"_S"&amp;$I$18&amp;$J$18&amp;LCHlinear&amp;QuoteSuffix)</f>
        <v>GBPSB6L18M_S12L6L_linearLCH_LCHQuote</v>
      </c>
      <c r="I23" s="59" t="str">
        <f>IF(ReportQuoteOverwrite,Currency&amp;$J$18&amp;$I$18&amp;$B23&amp;ReportQuoteSuffix,Currency&amp;$H$18&amp;$J$18&amp;B23&amp;"_S"&amp;$I$18&amp;$J$18&amp;LCHcubic&amp;QuoteSuffix)</f>
        <v>GBPSB6L18M_S12L6L_cubicLCH_LCHQuote</v>
      </c>
      <c r="J23" s="127">
        <v>0</v>
      </c>
      <c r="K23" s="64"/>
      <c r="L23" s="64"/>
      <c r="M23" s="48"/>
      <c r="N23" s="10" t="str">
        <f t="shared" si="15"/>
        <v>BasSw</v>
      </c>
      <c r="O23" s="94" t="str">
        <f t="shared" ref="O23:P23" si="24">IF(ISBLANK(K27),"--",K27)</f>
        <v>obj_004ae#0001</v>
      </c>
      <c r="P23" s="94" t="str">
        <f t="shared" si="24"/>
        <v>obj_00498#0001</v>
      </c>
      <c r="Q23" s="146" t="str">
        <f>IFERROR(_xll.qlRateHelperQuoteName(O23,Trigger),"--")</f>
        <v>GBPSB6L4Y_S12L6L_linearLCH_LCHQuote</v>
      </c>
      <c r="R23" s="98">
        <f>IFERROR(_xll.qlRateHelperQuoteValue($O23,Trigger),"--")</f>
        <v>1.5518000000200757E-2</v>
      </c>
      <c r="S23" s="97" t="b">
        <v>1</v>
      </c>
      <c r="T23" s="94">
        <v>20</v>
      </c>
      <c r="U23" s="94">
        <v>1</v>
      </c>
      <c r="V23" s="99">
        <f>IFERROR(_xll.qlRateHelperEarliestDate(O23,Trigger),"--")</f>
        <v>42321</v>
      </c>
      <c r="W23" s="99">
        <f>IFERROR(_xll.qlRateHelperPillarDate(O23,Trigger),"--")</f>
        <v>43782</v>
      </c>
      <c r="Y23" s="4" t="str">
        <f t="shared" si="17"/>
        <v>BasSw</v>
      </c>
      <c r="Z23" s="4" t="str">
        <v>obj_004aa</v>
      </c>
      <c r="AA23" s="4" t="str">
        <v>obj_00482</v>
      </c>
      <c r="AB23" s="4" t="str">
        <f>IFERROR(_xll.qlRateHelperQuoteName(Z23,Trigger),"")</f>
        <v>GBPSB6L25Y_S12L6L_linearLCH_LCHQuote</v>
      </c>
      <c r="AC23" s="70">
        <f>IFERROR(_xll.qlRateHelperRate(Z23,Trigger),"")</f>
        <v>2.2513000000012256E-2</v>
      </c>
      <c r="AD23" s="104">
        <f>IF(ISERROR(_xll.qlSwapRateHelperSpread($Z23)),IF(ISERROR(_xll.qlFuturesRateHelperConvexityAdjustment($Z23)),"",_xll.qlFuturesRateHelperConvexityAdjustment($Z23)),_xll.qlSwapRateHelperSpread($Z23))</f>
        <v>0</v>
      </c>
      <c r="AE23" s="5">
        <f>IFERROR(_xll.qlRateHelperEarliestDate(Z23,Trigger),"")</f>
        <v>42321</v>
      </c>
      <c r="AF23" s="5">
        <f>IFERROR(_xll.qlRateHelperPillarDate(Z23,Trigger),"")</f>
        <v>51453</v>
      </c>
      <c r="AG23" s="70">
        <v>2.2554608917633633E-2</v>
      </c>
      <c r="AH23" s="77">
        <v>0.56891364940367661</v>
      </c>
      <c r="AI23" s="169">
        <v>51452</v>
      </c>
      <c r="AJ23" s="170">
        <v>2.26378818903911E-2</v>
      </c>
      <c r="AK23" s="172">
        <f t="shared" si="4"/>
        <v>-8.3272972757467145E-5</v>
      </c>
      <c r="AL23" s="80">
        <v>0.56772822074965301</v>
      </c>
      <c r="AM23" s="161">
        <f t="shared" si="5"/>
        <v>1.1854286540236014E-3</v>
      </c>
      <c r="AN23" s="161"/>
    </row>
    <row r="24" spans="1:40" ht="11.25" customHeight="1" x14ac:dyDescent="0.2">
      <c r="A24" s="59" t="s">
        <v>115</v>
      </c>
      <c r="B24" s="60" t="s">
        <v>50</v>
      </c>
      <c r="C24" s="61" t="s">
        <v>6</v>
      </c>
      <c r="D24" s="61" t="s">
        <v>154</v>
      </c>
      <c r="E24" s="61" t="s">
        <v>7</v>
      </c>
      <c r="F24" s="61" t="s">
        <v>155</v>
      </c>
      <c r="G24" s="61" t="str">
        <f t="shared" si="20"/>
        <v>GbpLibor1Y</v>
      </c>
      <c r="H24" s="59" t="str">
        <f>IF(ReportQuoteOverwrite,Currency&amp;$J$18&amp;$I$18&amp;$B24&amp;ReportQuoteSuffix,Currency&amp;$H$18&amp;$J$18&amp;B24&amp;"_S"&amp;$I$18&amp;$J$18&amp;LCHlinear&amp;QuoteSuffix)</f>
        <v>GBPSB6L21M_S12L6L_linearLCH_LCHQuote</v>
      </c>
      <c r="I24" s="59" t="str">
        <f>IF(ReportQuoteOverwrite,Currency&amp;$J$18&amp;$I$18&amp;$B24&amp;ReportQuoteSuffix,Currency&amp;$H$18&amp;$J$18&amp;B24&amp;"_S"&amp;$I$18&amp;$J$18&amp;LCHcubic&amp;QuoteSuffix)</f>
        <v>GBPSB6L21M_S12L6L_cubicLCH_LCHQuote</v>
      </c>
      <c r="J24" s="127">
        <v>0</v>
      </c>
      <c r="K24" s="64"/>
      <c r="L24" s="64"/>
      <c r="M24" s="48"/>
      <c r="N24" s="10" t="str">
        <f t="shared" si="15"/>
        <v>BasSw</v>
      </c>
      <c r="O24" s="94" t="str">
        <f t="shared" ref="O24:P24" si="25">IF(ISBLANK(K28),"--",K28)</f>
        <v>obj_004b6#0001</v>
      </c>
      <c r="P24" s="94" t="str">
        <f t="shared" si="25"/>
        <v>obj_00494#0001</v>
      </c>
      <c r="Q24" s="146" t="str">
        <f>IFERROR(_xll.qlRateHelperQuoteName(O24,Trigger),"--")</f>
        <v>GBPSB6L5Y_S12L6L_linearLCH_LCHQuote</v>
      </c>
      <c r="R24" s="98">
        <f>IFERROR(_xll.qlRateHelperQuoteValue($O24,Trigger),"--")</f>
        <v>1.6890000000161737E-2</v>
      </c>
      <c r="S24" s="97" t="b">
        <v>1</v>
      </c>
      <c r="T24" s="94">
        <v>20</v>
      </c>
      <c r="U24" s="94">
        <v>1</v>
      </c>
      <c r="V24" s="99">
        <f>IFERROR(_xll.qlRateHelperEarliestDate(O24,Trigger),"--")</f>
        <v>42321</v>
      </c>
      <c r="W24" s="99">
        <f>IFERROR(_xll.qlRateHelperPillarDate(O24,Trigger),"--")</f>
        <v>44148</v>
      </c>
      <c r="Y24" s="4" t="str">
        <f t="shared" si="17"/>
        <v>BasSw</v>
      </c>
      <c r="Z24" s="4" t="str">
        <v>obj_004bd</v>
      </c>
      <c r="AA24" s="4" t="str">
        <v>obj_0048d</v>
      </c>
      <c r="AB24" s="4" t="str">
        <f>IFERROR(_xll.qlRateHelperQuoteName(Z24,Trigger),"")</f>
        <v>GBPSB6L30Y_S12L6L_linearLCH_LCHQuote</v>
      </c>
      <c r="AC24" s="70">
        <f>IFERROR(_xll.qlRateHelperRate(Z24,Trigger),"")</f>
        <v>2.2258000000590444E-2</v>
      </c>
      <c r="AD24" s="104">
        <f>IF(ISERROR(_xll.qlSwapRateHelperSpread($Z24)),IF(ISERROR(_xll.qlFuturesRateHelperConvexityAdjustment($Z24)),"",_xll.qlFuturesRateHelperConvexityAdjustment($Z24)),_xll.qlSwapRateHelperSpread($Z24))</f>
        <v>0</v>
      </c>
      <c r="AE24" s="5">
        <f>IFERROR(_xll.qlRateHelperEarliestDate(Z24,Trigger),"")</f>
        <v>42321</v>
      </c>
      <c r="AF24" s="5">
        <f>IFERROR(_xll.qlRateHelperPillarDate(Z24,Trigger),"")</f>
        <v>53279</v>
      </c>
      <c r="AG24" s="70">
        <v>2.2191072639562222E-2</v>
      </c>
      <c r="AH24" s="77">
        <v>0.51378585736279059</v>
      </c>
      <c r="AI24" s="169">
        <v>53279</v>
      </c>
      <c r="AJ24" s="170">
        <v>2.2214377681326399E-2</v>
      </c>
      <c r="AK24" s="172">
        <f t="shared" si="4"/>
        <v>-2.3305041764176693E-5</v>
      </c>
      <c r="AL24" s="80">
        <v>0.51338246038313995</v>
      </c>
      <c r="AM24" s="161">
        <f t="shared" si="5"/>
        <v>4.033969796506387E-4</v>
      </c>
      <c r="AN24" s="161"/>
    </row>
    <row r="25" spans="1:40" ht="11.25" customHeight="1" x14ac:dyDescent="0.2">
      <c r="A25" s="59" t="s">
        <v>115</v>
      </c>
      <c r="B25" s="60" t="s">
        <v>51</v>
      </c>
      <c r="C25" s="61" t="s">
        <v>6</v>
      </c>
      <c r="D25" s="61" t="s">
        <v>154</v>
      </c>
      <c r="E25" s="61" t="s">
        <v>7</v>
      </c>
      <c r="F25" s="61" t="s">
        <v>155</v>
      </c>
      <c r="G25" s="61" t="str">
        <f t="shared" si="20"/>
        <v>GbpLibor1Y</v>
      </c>
      <c r="H25" s="59" t="str">
        <f>IF(ReportQuoteOverwrite,Currency&amp;$J$18&amp;$I$18&amp;$B25&amp;ReportQuoteSuffix,Currency&amp;$H$18&amp;$J$18&amp;B25&amp;"_S"&amp;$I$18&amp;$J$18&amp;LCHlinear&amp;QuoteSuffix)</f>
        <v>GBPSB6L2Y_S12L6L_linearLCH_LCHQuote</v>
      </c>
      <c r="I25" s="59" t="str">
        <f>IF(ReportQuoteOverwrite,Currency&amp;$J$18&amp;$I$18&amp;$B25&amp;ReportQuoteSuffix,Currency&amp;$H$18&amp;$J$18&amp;B25&amp;"_S"&amp;$I$18&amp;$J$18&amp;LCHcubic&amp;QuoteSuffix)</f>
        <v>GBPSB6L2Y_S12L6L_cubicLCH_LCHQuote</v>
      </c>
      <c r="J25" s="127">
        <v>0</v>
      </c>
      <c r="K25" s="64" t="str">
        <f>_xll.qlSwapRateHelper2(,$H25,0,$B25,Calendar,$D25,$E25,$F25,$G25,$J25,$C25,Discounting1,PillarDate,,Permanent,Trigger,ObjectOverwrite)</f>
        <v>obj_004bc#0001</v>
      </c>
      <c r="L25" s="64" t="str">
        <f>_xll.qlSwapRateHelper2(,$I25,0,$B25,Calendar,$D25,$E25,$F25,$G25,$J25,$C25,Discounting2,PillarDate,,Permanent,Trigger,ObjectOverwrite)</f>
        <v>obj_0049d#0001</v>
      </c>
      <c r="M25" s="48"/>
      <c r="N25" s="10" t="str">
        <f t="shared" si="15"/>
        <v>BasSw</v>
      </c>
      <c r="O25" s="94" t="str">
        <f t="shared" ref="O25:P25" si="26">IF(ISBLANK(K29),"--",K29)</f>
        <v>obj_004ac#0001</v>
      </c>
      <c r="P25" s="94" t="str">
        <f t="shared" si="26"/>
        <v>obj_00490#0001</v>
      </c>
      <c r="Q25" s="146" t="str">
        <f>IFERROR(_xll.qlRateHelperQuoteName(O25,Trigger),"--")</f>
        <v>GBPSB6L6Y_S12L6L_linearLCH_LCHQuote</v>
      </c>
      <c r="R25" s="98">
        <f>IFERROR(_xll.qlRateHelperQuoteValue($O25,Trigger),"--")</f>
        <v>1.8035000000135765E-2</v>
      </c>
      <c r="S25" s="97" t="b">
        <v>1</v>
      </c>
      <c r="T25" s="94">
        <v>20</v>
      </c>
      <c r="U25" s="94">
        <v>1</v>
      </c>
      <c r="V25" s="99">
        <f>IFERROR(_xll.qlRateHelperEarliestDate(O25,Trigger),"--")</f>
        <v>42321</v>
      </c>
      <c r="W25" s="99">
        <f>IFERROR(_xll.qlRateHelperPillarDate(O25,Trigger),"--")</f>
        <v>44515</v>
      </c>
      <c r="Y25" s="4" t="str">
        <f t="shared" si="17"/>
        <v>BasSw</v>
      </c>
      <c r="Z25" s="4" t="str">
        <v>obj_004af</v>
      </c>
      <c r="AA25" s="4" t="str">
        <v>obj_00485</v>
      </c>
      <c r="AB25" s="4" t="str">
        <f>IFERROR(_xll.qlRateHelperQuoteName(Z25,Trigger),"")</f>
        <v>GBPSB6L40Y_S12L6L_linearLCH_LCHQuote</v>
      </c>
      <c r="AC25" s="70">
        <f>IFERROR(_xll.qlRateHelperRate(Z25,Trigger),"")</f>
        <v>2.153800000001713E-2</v>
      </c>
      <c r="AD25" s="104">
        <f>IF(ISERROR(_xll.qlSwapRateHelperSpread($Z25)),IF(ISERROR(_xll.qlFuturesRateHelperConvexityAdjustment($Z25)),"",_xll.qlFuturesRateHelperConvexityAdjustment($Z25)),_xll.qlSwapRateHelperSpread($Z25))</f>
        <v>0</v>
      </c>
      <c r="AE25" s="5">
        <f>IFERROR(_xll.qlRateHelperEarliestDate(Z25,Trigger),"")</f>
        <v>42321</v>
      </c>
      <c r="AF25" s="5">
        <f>IFERROR(_xll.qlRateHelperPillarDate(Z25,Trigger),"")</f>
        <v>56933</v>
      </c>
      <c r="AG25" s="70">
        <v>2.1181953047675055E-2</v>
      </c>
      <c r="AH25" s="77">
        <v>0.42843232754446858</v>
      </c>
      <c r="AI25" s="169">
        <v>56930</v>
      </c>
      <c r="AJ25" s="170">
        <v>2.13125939616725E-2</v>
      </c>
      <c r="AK25" s="172">
        <f t="shared" si="4"/>
        <v>-1.3064091399744501E-4</v>
      </c>
      <c r="AL25" s="80">
        <v>0.42624599297356303</v>
      </c>
      <c r="AM25" s="161">
        <f t="shared" si="5"/>
        <v>2.1863345709055571E-3</v>
      </c>
      <c r="AN25" s="161"/>
    </row>
    <row r="26" spans="1:40" ht="11.25" customHeight="1" x14ac:dyDescent="0.2">
      <c r="A26" s="59" t="s">
        <v>115</v>
      </c>
      <c r="B26" s="60" t="s">
        <v>52</v>
      </c>
      <c r="C26" s="61" t="s">
        <v>6</v>
      </c>
      <c r="D26" s="61" t="s">
        <v>154</v>
      </c>
      <c r="E26" s="61" t="s">
        <v>7</v>
      </c>
      <c r="F26" s="61" t="s">
        <v>155</v>
      </c>
      <c r="G26" s="61" t="str">
        <f t="shared" si="20"/>
        <v>GbpLibor1Y</v>
      </c>
      <c r="H26" s="59" t="str">
        <f>IF(ReportQuoteOverwrite,Currency&amp;$J$18&amp;$I$18&amp;$B26&amp;ReportQuoteSuffix,Currency&amp;$H$18&amp;$J$18&amp;B26&amp;"_S"&amp;$I$18&amp;$J$18&amp;LCHlinear&amp;QuoteSuffix)</f>
        <v>GBPSB6L3Y_S12L6L_linearLCH_LCHQuote</v>
      </c>
      <c r="I26" s="59" t="str">
        <f>IF(ReportQuoteOverwrite,Currency&amp;$J$18&amp;$I$18&amp;$B26&amp;ReportQuoteSuffix,Currency&amp;$H$18&amp;$J$18&amp;B26&amp;"_S"&amp;$I$18&amp;$J$18&amp;LCHcubic&amp;QuoteSuffix)</f>
        <v>GBPSB6L3Y_S12L6L_cubicLCH_LCHQuote</v>
      </c>
      <c r="J26" s="127">
        <v>0</v>
      </c>
      <c r="K26" s="64" t="str">
        <f>_xll.qlSwapRateHelper2(,$H26,0,$B26,Calendar,$D26,$E26,$F26,$G26,$J26,$C26,Discounting1,PillarDate,,Permanent,Trigger,ObjectOverwrite)</f>
        <v>obj_004ad#0001</v>
      </c>
      <c r="L26" s="64" t="str">
        <f>_xll.qlSwapRateHelper2(,$I26,0,$B26,Calendar,$D26,$E26,$F26,$G26,$J26,$C26,Discounting2,PillarDate,,Permanent,Trigger,ObjectOverwrite)</f>
        <v>obj_0049c#0001</v>
      </c>
      <c r="M26" s="48"/>
      <c r="N26" s="10" t="str">
        <f t="shared" si="15"/>
        <v>BasSw</v>
      </c>
      <c r="O26" s="94" t="str">
        <f t="shared" ref="O26:P26" si="27">IF(ISBLANK(K30),"--",K30)</f>
        <v>obj_004ab#0001</v>
      </c>
      <c r="P26" s="94" t="str">
        <f t="shared" si="27"/>
        <v>obj_0048c#0001</v>
      </c>
      <c r="Q26" s="146" t="str">
        <f>IFERROR(_xll.qlRateHelperQuoteName(O26,Trigger),"--")</f>
        <v>GBPSB6L7Y_S12L6L_linearLCH_LCHQuote</v>
      </c>
      <c r="R26" s="98">
        <f>IFERROR(_xll.qlRateHelperQuoteValue($O26,Trigger),"--")</f>
        <v>1.8995000000117453E-2</v>
      </c>
      <c r="S26" s="97" t="b">
        <v>1</v>
      </c>
      <c r="T26" s="94">
        <v>20</v>
      </c>
      <c r="U26" s="94">
        <v>1</v>
      </c>
      <c r="V26" s="99">
        <f>IFERROR(_xll.qlRateHelperEarliestDate(O26,Trigger),"--")</f>
        <v>42321</v>
      </c>
      <c r="W26" s="99">
        <f>IFERROR(_xll.qlRateHelperPillarDate(O26,Trigger),"--")</f>
        <v>44879</v>
      </c>
      <c r="Y26" s="4" t="str">
        <f t="shared" si="17"/>
        <v>BasSw</v>
      </c>
      <c r="Z26" s="4" t="str">
        <v>obj_004b2</v>
      </c>
      <c r="AA26" s="4" t="str">
        <v>obj_00481</v>
      </c>
      <c r="AB26" s="4" t="str">
        <f>IFERROR(_xll.qlRateHelperQuoteName(Z26,Trigger),"")</f>
        <v>GBPSB6L50Y_S12L6L_linearLCH_LCHQuote</v>
      </c>
      <c r="AC26" s="70">
        <f>IFERROR(_xll.qlRateHelperRate(Z26,Trigger),"")</f>
        <v>2.1033000000014995E-2</v>
      </c>
      <c r="AD26" s="104">
        <f>IF(ISERROR(_xll.qlSwapRateHelperSpread($Z26)),IF(ISERROR(_xll.qlFuturesRateHelperConvexityAdjustment($Z26)),"",_xll.qlFuturesRateHelperConvexityAdjustment($Z26)),_xll.qlSwapRateHelperSpread($Z26))</f>
        <v>0</v>
      </c>
      <c r="AE26" s="5">
        <f>IFERROR(_xll.qlRateHelperEarliestDate(Z26,Trigger),"")</f>
        <v>42321</v>
      </c>
      <c r="AF26" s="5">
        <f>IFERROR(_xll.qlRateHelperPillarDate(Z26,Trigger),"")</f>
        <v>60584</v>
      </c>
      <c r="AG26" s="70">
        <v>2.0469485353963791E-2</v>
      </c>
      <c r="AH26" s="77">
        <v>0.35905077783601413</v>
      </c>
      <c r="AI26" s="169">
        <v>60583</v>
      </c>
      <c r="AJ26" s="170">
        <v>2.0452519125738099E-2</v>
      </c>
      <c r="AK26" s="172">
        <f t="shared" si="4"/>
        <v>1.696622822569202E-5</v>
      </c>
      <c r="AL26" s="80">
        <v>0.35933141868039098</v>
      </c>
      <c r="AM26" s="161">
        <f t="shared" si="5"/>
        <v>-2.8064084437684489E-4</v>
      </c>
      <c r="AN26" s="161"/>
    </row>
    <row r="27" spans="1:40" ht="11.25" customHeight="1" x14ac:dyDescent="0.2">
      <c r="A27" s="59" t="s">
        <v>115</v>
      </c>
      <c r="B27" s="60" t="s">
        <v>53</v>
      </c>
      <c r="C27" s="61" t="s">
        <v>6</v>
      </c>
      <c r="D27" s="61" t="s">
        <v>154</v>
      </c>
      <c r="E27" s="61" t="s">
        <v>7</v>
      </c>
      <c r="F27" s="61" t="s">
        <v>155</v>
      </c>
      <c r="G27" s="61" t="str">
        <f t="shared" si="20"/>
        <v>GbpLibor1Y</v>
      </c>
      <c r="H27" s="59" t="str">
        <f>IF(ReportQuoteOverwrite,Currency&amp;$J$18&amp;$I$18&amp;$B27&amp;ReportQuoteSuffix,Currency&amp;$H$18&amp;$J$18&amp;B27&amp;"_S"&amp;$I$18&amp;$J$18&amp;LCHlinear&amp;QuoteSuffix)</f>
        <v>GBPSB6L4Y_S12L6L_linearLCH_LCHQuote</v>
      </c>
      <c r="I27" s="59" t="str">
        <f>IF(ReportQuoteOverwrite,Currency&amp;$J$18&amp;$I$18&amp;$B27&amp;ReportQuoteSuffix,Currency&amp;$H$18&amp;$J$18&amp;B27&amp;"_S"&amp;$I$18&amp;$J$18&amp;LCHcubic&amp;QuoteSuffix)</f>
        <v>GBPSB6L4Y_S12L6L_cubicLCH_LCHQuote</v>
      </c>
      <c r="J27" s="127">
        <v>0</v>
      </c>
      <c r="K27" s="64" t="str">
        <f>_xll.qlSwapRateHelper2(,$H27,0,$B27,Calendar,$D27,$E27,$F27,$G27,$J27,$C27,Discounting1,PillarDate,,Permanent,Trigger,ObjectOverwrite)</f>
        <v>obj_004ae#0001</v>
      </c>
      <c r="L27" s="64" t="str">
        <f>_xll.qlSwapRateHelper2(,$I27,0,$B27,Calendar,$D27,$E27,$F27,$G27,$J27,$C27,Discounting2,PillarDate,,Permanent,Trigger,ObjectOverwrite)</f>
        <v>obj_00498#0001</v>
      </c>
      <c r="M27" s="48"/>
      <c r="N27" s="10" t="str">
        <f t="shared" si="15"/>
        <v>BasSw</v>
      </c>
      <c r="O27" s="94" t="str">
        <f t="shared" ref="O27:P27" si="28">IF(ISBLANK(K31),"--",K31)</f>
        <v>obj_004b5#0001</v>
      </c>
      <c r="P27" s="94" t="str">
        <f t="shared" si="28"/>
        <v>obj_00488#0001</v>
      </c>
      <c r="Q27" s="146" t="str">
        <f>IFERROR(_xll.qlRateHelperQuoteName(O27,Trigger),"--")</f>
        <v>GBPSB6L8Y_S12L6L_linearLCH_LCHQuote</v>
      </c>
      <c r="R27" s="98">
        <f>IFERROR(_xll.qlRateHelperQuoteValue($O27,Trigger),"--")</f>
        <v>1.9763000000417492E-2</v>
      </c>
      <c r="S27" s="97" t="b">
        <v>1</v>
      </c>
      <c r="T27" s="94">
        <v>20</v>
      </c>
      <c r="U27" s="94">
        <v>1</v>
      </c>
      <c r="V27" s="99">
        <f>IFERROR(_xll.qlRateHelperEarliestDate(O27,Trigger),"--")</f>
        <v>42321</v>
      </c>
      <c r="W27" s="99">
        <f>IFERROR(_xll.qlRateHelperPillarDate(O27,Trigger),"--")</f>
        <v>45243</v>
      </c>
      <c r="Y27" s="4" t="str">
        <f t="shared" si="17"/>
        <v>BasSw</v>
      </c>
      <c r="Z27" s="4" t="str">
        <v>obj_004be</v>
      </c>
      <c r="AA27" s="4" t="str">
        <v>obj_0047d</v>
      </c>
      <c r="AB27" s="4" t="str">
        <f>IFERROR(_xll.qlRateHelperQuoteName(Z27,Trigger),"")</f>
        <v>GBPSB6L60Y_S12L6L_linearLCH_LCHQuote</v>
      </c>
      <c r="AC27" s="70">
        <f>IFERROR(_xll.qlRateHelperRate(Z27,Trigger),"")</f>
        <v>2.0952999999458585E-2</v>
      </c>
      <c r="AD27" s="104">
        <f>IF(ISERROR(_xll.qlSwapRateHelperSpread($Z27)),IF(ISERROR(_xll.qlFuturesRateHelperConvexityAdjustment($Z27)),"",_xll.qlFuturesRateHelperConvexityAdjustment($Z27)),_xll.qlSwapRateHelperSpread($Z27))</f>
        <v>0</v>
      </c>
      <c r="AE27" s="5">
        <f>IFERROR(_xll.qlRateHelperEarliestDate(Z27,Trigger),"")</f>
        <v>42321</v>
      </c>
      <c r="AF27" s="5">
        <f>IFERROR(_xll.qlRateHelperPillarDate(Z27,Trigger),"")</f>
        <v>64236</v>
      </c>
      <c r="AG27" s="70">
        <v>2.0411484624078893E-2</v>
      </c>
      <c r="AH27" s="77">
        <v>0.29347858001801014</v>
      </c>
      <c r="AI27" s="169">
        <v>64235</v>
      </c>
      <c r="AJ27" s="170">
        <v>2.0387181174979899E-2</v>
      </c>
      <c r="AK27" s="172">
        <f t="shared" si="4"/>
        <v>2.4303449098993929E-5</v>
      </c>
      <c r="AL27" s="80">
        <v>0.29385133090495102</v>
      </c>
      <c r="AM27" s="161">
        <f t="shared" si="5"/>
        <v>-3.7275088694088687E-4</v>
      </c>
      <c r="AN27" s="161"/>
    </row>
    <row r="28" spans="1:40" ht="11.25" customHeight="1" x14ac:dyDescent="0.2">
      <c r="A28" s="59" t="s">
        <v>115</v>
      </c>
      <c r="B28" s="60" t="s">
        <v>54</v>
      </c>
      <c r="C28" s="61" t="s">
        <v>6</v>
      </c>
      <c r="D28" s="61" t="s">
        <v>154</v>
      </c>
      <c r="E28" s="61" t="s">
        <v>7</v>
      </c>
      <c r="F28" s="61" t="s">
        <v>155</v>
      </c>
      <c r="G28" s="61" t="str">
        <f t="shared" si="20"/>
        <v>GbpLibor1Y</v>
      </c>
      <c r="H28" s="59" t="str">
        <f>IF(ReportQuoteOverwrite,Currency&amp;$J$18&amp;$I$18&amp;$B28&amp;ReportQuoteSuffix,Currency&amp;$H$18&amp;$J$18&amp;B28&amp;"_S"&amp;$I$18&amp;$J$18&amp;LCHlinear&amp;QuoteSuffix)</f>
        <v>GBPSB6L5Y_S12L6L_linearLCH_LCHQuote</v>
      </c>
      <c r="I28" s="59" t="str">
        <f>IF(ReportQuoteOverwrite,Currency&amp;$J$18&amp;$I$18&amp;$B28&amp;ReportQuoteSuffix,Currency&amp;$H$18&amp;$J$18&amp;B28&amp;"_S"&amp;$I$18&amp;$J$18&amp;LCHcubic&amp;QuoteSuffix)</f>
        <v>GBPSB6L5Y_S12L6L_cubicLCH_LCHQuote</v>
      </c>
      <c r="J28" s="127">
        <v>0</v>
      </c>
      <c r="K28" s="64" t="str">
        <f>_xll.qlSwapRateHelper2(,$H28,0,$B28,Calendar,$D28,$E28,$F28,$G28,$J28,$C28,Discounting1,PillarDate,,Permanent,Trigger,ObjectOverwrite)</f>
        <v>obj_004b6#0001</v>
      </c>
      <c r="L28" s="64" t="str">
        <f>_xll.qlSwapRateHelper2(,$I28,0,$B28,Calendar,$D28,$E28,$F28,$G28,$J28,$C28,Discounting2,PillarDate,,Permanent,Trigger,ObjectOverwrite)</f>
        <v>obj_00494#0001</v>
      </c>
      <c r="M28" s="48"/>
      <c r="N28" s="10" t="str">
        <f t="shared" si="15"/>
        <v>BasSw</v>
      </c>
      <c r="O28" s="94" t="str">
        <f t="shared" ref="O28:P28" si="29">IF(ISBLANK(K32),"--",K32)</f>
        <v>obj_004b8#0001</v>
      </c>
      <c r="P28" s="94" t="str">
        <f t="shared" si="29"/>
        <v>obj_00484#0001</v>
      </c>
      <c r="Q28" s="146" t="str">
        <f>IFERROR(_xll.qlRateHelperQuoteName(O28,Trigger),"--")</f>
        <v>GBPSB6L9Y_S12L6L_linearLCH_LCHQuote</v>
      </c>
      <c r="R28" s="98">
        <f>IFERROR(_xll.qlRateHelperQuoteValue($O28,Trigger),"--")</f>
        <v>2.0390000000240383E-2</v>
      </c>
      <c r="S28" s="97" t="b">
        <v>1</v>
      </c>
      <c r="T28" s="94">
        <v>20</v>
      </c>
      <c r="U28" s="94">
        <v>1</v>
      </c>
      <c r="V28" s="99">
        <f>IFERROR(_xll.qlRateHelperEarliestDate(O28,Trigger),"--")</f>
        <v>42321</v>
      </c>
      <c r="W28" s="99">
        <f>IFERROR(_xll.qlRateHelperPillarDate(O28,Trigger),"--")</f>
        <v>45609</v>
      </c>
      <c r="Y28" s="4" t="str">
        <f t="shared" si="17"/>
        <v/>
      </c>
      <c r="Z28" s="4" t="e">
        <v>#N/A</v>
      </c>
      <c r="AA28" s="4" t="e">
        <v>#N/A</v>
      </c>
      <c r="AB28" s="4" t="str">
        <f>IFERROR(_xll.qlRateHelperQuoteName(Z28,Trigger),"")</f>
        <v/>
      </c>
      <c r="AC28" s="70" t="str">
        <f>IFERROR(_xll.qlRateHelperRate(Z28,Trigger),"")</f>
        <v/>
      </c>
      <c r="AD28" s="104" t="str">
        <f>IF(ISERROR(_xll.qlSwapRateHelperSpread($Z28)),IF(ISERROR(_xll.qlFuturesRateHelperConvexityAdjustment($Z28)),"",_xll.qlFuturesRateHelperConvexityAdjustment($Z28)),_xll.qlSwapRateHelperSpread($Z28))</f>
        <v/>
      </c>
      <c r="AE28" s="5" t="str">
        <f>IFERROR(_xll.qlRateHelperEarliestDate(Z28,Trigger),"")</f>
        <v/>
      </c>
      <c r="AF28" s="5" t="str">
        <f>IFERROR(_xll.qlRateHelperPillarDate(Z28,Trigger),"")</f>
        <v/>
      </c>
      <c r="AG28" s="70" t="e">
        <v>#N/A</v>
      </c>
      <c r="AH28" s="77" t="e">
        <v>#N/A</v>
      </c>
      <c r="AI28" s="169" t="e">
        <v>#N/A</v>
      </c>
      <c r="AJ28" s="170" t="e">
        <v>#N/A</v>
      </c>
      <c r="AK28" s="172" t="e">
        <f t="shared" si="4"/>
        <v>#N/A</v>
      </c>
      <c r="AL28" s="80" t="e">
        <v>#N/A</v>
      </c>
      <c r="AM28" s="161" t="e">
        <f t="shared" si="5"/>
        <v>#N/A</v>
      </c>
      <c r="AN28" s="161"/>
    </row>
    <row r="29" spans="1:40" ht="11.25" customHeight="1" x14ac:dyDescent="0.2">
      <c r="A29" s="59" t="s">
        <v>115</v>
      </c>
      <c r="B29" s="60" t="s">
        <v>55</v>
      </c>
      <c r="C29" s="61" t="s">
        <v>6</v>
      </c>
      <c r="D29" s="61" t="s">
        <v>154</v>
      </c>
      <c r="E29" s="61" t="s">
        <v>7</v>
      </c>
      <c r="F29" s="61" t="s">
        <v>155</v>
      </c>
      <c r="G29" s="61" t="str">
        <f t="shared" si="20"/>
        <v>GbpLibor1Y</v>
      </c>
      <c r="H29" s="59" t="str">
        <f>IF(ReportQuoteOverwrite,Currency&amp;$J$18&amp;$I$18&amp;$B29&amp;ReportQuoteSuffix,Currency&amp;$H$18&amp;$J$18&amp;B29&amp;"_S"&amp;$I$18&amp;$J$18&amp;LCHlinear&amp;QuoteSuffix)</f>
        <v>GBPSB6L6Y_S12L6L_linearLCH_LCHQuote</v>
      </c>
      <c r="I29" s="59" t="str">
        <f>IF(ReportQuoteOverwrite,Currency&amp;$J$18&amp;$I$18&amp;$B29&amp;ReportQuoteSuffix,Currency&amp;$H$18&amp;$J$18&amp;B29&amp;"_S"&amp;$I$18&amp;$J$18&amp;LCHcubic&amp;QuoteSuffix)</f>
        <v>GBPSB6L6Y_S12L6L_cubicLCH_LCHQuote</v>
      </c>
      <c r="J29" s="127">
        <v>0</v>
      </c>
      <c r="K29" s="64" t="str">
        <f>_xll.qlSwapRateHelper2(,$H29,0,$B29,Calendar,$D29,$E29,$F29,$G29,$J29,$C29,Discounting1,PillarDate,,Permanent,Trigger,ObjectOverwrite)</f>
        <v>obj_004ac#0001</v>
      </c>
      <c r="L29" s="64" t="str">
        <f>_xll.qlSwapRateHelper2(,$I29,0,$B29,Calendar,$D29,$E29,$F29,$G29,$J29,$C29,Discounting2,PillarDate,,Permanent,Trigger,ObjectOverwrite)</f>
        <v>obj_00490#0001</v>
      </c>
      <c r="M29" s="48"/>
      <c r="N29" s="10" t="str">
        <f t="shared" si="15"/>
        <v>BasSw</v>
      </c>
      <c r="O29" s="94" t="str">
        <f t="shared" ref="O29:P29" si="30">IF(ISBLANK(K33),"--",K33)</f>
        <v>obj_004b4#0001</v>
      </c>
      <c r="P29" s="94" t="str">
        <f t="shared" si="30"/>
        <v>obj_00480#0001</v>
      </c>
      <c r="Q29" s="146" t="str">
        <f>IFERROR(_xll.qlRateHelperQuoteName(O29,Trigger),"--")</f>
        <v>GBPSB6L10Y_S12L6L_linearLCH_LCHQuote</v>
      </c>
      <c r="R29" s="98">
        <f>IFERROR(_xll.qlRateHelperQuoteValue($O29,Trigger),"--")</f>
        <v>2.0920000000218434E-2</v>
      </c>
      <c r="S29" s="97" t="b">
        <v>1</v>
      </c>
      <c r="T29" s="94">
        <v>20</v>
      </c>
      <c r="U29" s="94">
        <v>1</v>
      </c>
      <c r="V29" s="99">
        <f>IFERROR(_xll.qlRateHelperEarliestDate(O29,Trigger),"--")</f>
        <v>42321</v>
      </c>
      <c r="W29" s="99">
        <f>IFERROR(_xll.qlRateHelperPillarDate(O29,Trigger),"--")</f>
        <v>45974</v>
      </c>
      <c r="Y29" s="4" t="str">
        <f t="shared" si="17"/>
        <v/>
      </c>
      <c r="Z29" s="4" t="e">
        <v>#N/A</v>
      </c>
      <c r="AA29" s="4" t="e">
        <v>#N/A</v>
      </c>
      <c r="AB29" s="4" t="str">
        <f>IFERROR(_xll.qlRateHelperQuoteName(Z29,Trigger),"")</f>
        <v/>
      </c>
      <c r="AC29" s="70" t="str">
        <f>IFERROR(_xll.qlRateHelperRate(Z29,Trigger),"")</f>
        <v/>
      </c>
      <c r="AD29" s="104" t="str">
        <f>IF(ISERROR(_xll.qlSwapRateHelperSpread($Z29)),IF(ISERROR(_xll.qlFuturesRateHelperConvexityAdjustment($Z29)),"",_xll.qlFuturesRateHelperConvexityAdjustment($Z29)),_xll.qlSwapRateHelperSpread($Z29))</f>
        <v/>
      </c>
      <c r="AE29" s="5" t="str">
        <f>IFERROR(_xll.qlRateHelperEarliestDate(Z29,Trigger),"")</f>
        <v/>
      </c>
      <c r="AF29" s="5" t="str">
        <f>IFERROR(_xll.qlRateHelperPillarDate(Z29,Trigger),"")</f>
        <v/>
      </c>
      <c r="AG29" s="70" t="e">
        <v>#N/A</v>
      </c>
      <c r="AH29" s="77" t="e">
        <v>#N/A</v>
      </c>
      <c r="AI29" s="169" t="e">
        <v>#N/A</v>
      </c>
      <c r="AJ29" s="170" t="e">
        <v>#N/A</v>
      </c>
      <c r="AK29" s="172" t="e">
        <f t="shared" si="4"/>
        <v>#N/A</v>
      </c>
      <c r="AL29" s="80" t="e">
        <v>#N/A</v>
      </c>
      <c r="AM29" s="161" t="e">
        <f t="shared" si="5"/>
        <v>#N/A</v>
      </c>
      <c r="AN29" s="161"/>
    </row>
    <row r="30" spans="1:40" ht="11.25" customHeight="1" x14ac:dyDescent="0.2">
      <c r="A30" s="59" t="s">
        <v>115</v>
      </c>
      <c r="B30" s="60" t="s">
        <v>56</v>
      </c>
      <c r="C30" s="61" t="s">
        <v>6</v>
      </c>
      <c r="D30" s="61" t="s">
        <v>154</v>
      </c>
      <c r="E30" s="61" t="s">
        <v>7</v>
      </c>
      <c r="F30" s="61" t="s">
        <v>155</v>
      </c>
      <c r="G30" s="61" t="str">
        <f t="shared" si="20"/>
        <v>GbpLibor1Y</v>
      </c>
      <c r="H30" s="59" t="str">
        <f>IF(ReportQuoteOverwrite,Currency&amp;$J$18&amp;$I$18&amp;$B30&amp;ReportQuoteSuffix,Currency&amp;$H$18&amp;$J$18&amp;B30&amp;"_S"&amp;$I$18&amp;$J$18&amp;LCHlinear&amp;QuoteSuffix)</f>
        <v>GBPSB6L7Y_S12L6L_linearLCH_LCHQuote</v>
      </c>
      <c r="I30" s="59" t="str">
        <f>IF(ReportQuoteOverwrite,Currency&amp;$J$18&amp;$I$18&amp;$B30&amp;ReportQuoteSuffix,Currency&amp;$H$18&amp;$J$18&amp;B30&amp;"_S"&amp;$I$18&amp;$J$18&amp;LCHcubic&amp;QuoteSuffix)</f>
        <v>GBPSB6L7Y_S12L6L_cubicLCH_LCHQuote</v>
      </c>
      <c r="J30" s="127">
        <v>0</v>
      </c>
      <c r="K30" s="64" t="str">
        <f>_xll.qlSwapRateHelper2(,$H30,0,$B30,Calendar,$D30,$E30,$F30,$G30,$J30,$C30,Discounting1,PillarDate,,Permanent,Trigger,ObjectOverwrite)</f>
        <v>obj_004ab#0001</v>
      </c>
      <c r="L30" s="64" t="str">
        <f>_xll.qlSwapRateHelper2(,$I30,0,$B30,Calendar,$D30,$E30,$F30,$G30,$J30,$C30,Discounting2,PillarDate,,Permanent,Trigger,ObjectOverwrite)</f>
        <v>obj_0048c#0001</v>
      </c>
      <c r="M30" s="48"/>
      <c r="N30" s="10" t="str">
        <f t="shared" si="15"/>
        <v>BasSw</v>
      </c>
      <c r="O30" s="94" t="str">
        <f t="shared" ref="O30:P30" si="31">IF(ISBLANK(K34),"--",K34)</f>
        <v>--</v>
      </c>
      <c r="P30" s="94" t="str">
        <f t="shared" si="31"/>
        <v>--</v>
      </c>
      <c r="Q30" s="146" t="str">
        <f>IFERROR(_xll.qlRateHelperQuoteName(O30,Trigger),"--")</f>
        <v>--</v>
      </c>
      <c r="R30" s="98" t="str">
        <f>IFERROR(_xll.qlRateHelperQuoteValue($O30,Trigger),"--")</f>
        <v>--</v>
      </c>
      <c r="S30" s="97" t="b">
        <v>0</v>
      </c>
      <c r="T30" s="94">
        <v>20</v>
      </c>
      <c r="U30" s="94">
        <v>1</v>
      </c>
      <c r="V30" s="99" t="str">
        <f>IFERROR(_xll.qlRateHelperEarliestDate(O30,Trigger),"--")</f>
        <v>--</v>
      </c>
      <c r="W30" s="99" t="str">
        <f>IFERROR(_xll.qlRateHelperPillarDate(O30,Trigger),"--")</f>
        <v>--</v>
      </c>
      <c r="Y30" s="4" t="str">
        <f t="shared" si="17"/>
        <v/>
      </c>
      <c r="Z30" s="4" t="e">
        <v>#N/A</v>
      </c>
      <c r="AA30" s="4" t="e">
        <v>#N/A</v>
      </c>
      <c r="AB30" s="4" t="str">
        <f>IFERROR(_xll.qlRateHelperQuoteName(Z30,Trigger),"")</f>
        <v/>
      </c>
      <c r="AC30" s="70" t="str">
        <f>IFERROR(_xll.qlRateHelperRate(Z30,Trigger),"")</f>
        <v/>
      </c>
      <c r="AD30" s="104" t="str">
        <f>IF(ISERROR(_xll.qlSwapRateHelperSpread($Z30)),IF(ISERROR(_xll.qlFuturesRateHelperConvexityAdjustment($Z30)),"",_xll.qlFuturesRateHelperConvexityAdjustment($Z30)),_xll.qlSwapRateHelperSpread($Z30))</f>
        <v/>
      </c>
      <c r="AE30" s="5" t="str">
        <f>IFERROR(_xll.qlRateHelperEarliestDate(Z30,Trigger),"")</f>
        <v/>
      </c>
      <c r="AF30" s="5" t="str">
        <f>IFERROR(_xll.qlRateHelperPillarDate(Z30,Trigger),"")</f>
        <v/>
      </c>
      <c r="AG30" s="70" t="e">
        <v>#N/A</v>
      </c>
      <c r="AH30" s="77" t="e">
        <v>#N/A</v>
      </c>
      <c r="AI30" s="169" t="e">
        <v>#N/A</v>
      </c>
      <c r="AJ30" s="170" t="e">
        <v>#N/A</v>
      </c>
      <c r="AK30" s="172" t="e">
        <f t="shared" si="4"/>
        <v>#N/A</v>
      </c>
      <c r="AL30" s="80" t="e">
        <v>#N/A</v>
      </c>
      <c r="AM30" s="161" t="e">
        <f t="shared" si="5"/>
        <v>#N/A</v>
      </c>
      <c r="AN30" s="161"/>
    </row>
    <row r="31" spans="1:40" ht="11.25" customHeight="1" x14ac:dyDescent="0.2">
      <c r="A31" s="59" t="s">
        <v>115</v>
      </c>
      <c r="B31" s="60" t="s">
        <v>57</v>
      </c>
      <c r="C31" s="61" t="s">
        <v>6</v>
      </c>
      <c r="D31" s="61" t="s">
        <v>154</v>
      </c>
      <c r="E31" s="61" t="s">
        <v>7</v>
      </c>
      <c r="F31" s="61" t="s">
        <v>155</v>
      </c>
      <c r="G31" s="61" t="str">
        <f t="shared" si="20"/>
        <v>GbpLibor1Y</v>
      </c>
      <c r="H31" s="59" t="str">
        <f>IF(ReportQuoteOverwrite,Currency&amp;$J$18&amp;$I$18&amp;$B31&amp;ReportQuoteSuffix,Currency&amp;$H$18&amp;$J$18&amp;B31&amp;"_S"&amp;$I$18&amp;$J$18&amp;LCHlinear&amp;QuoteSuffix)</f>
        <v>GBPSB6L8Y_S12L6L_linearLCH_LCHQuote</v>
      </c>
      <c r="I31" s="59" t="str">
        <f>IF(ReportQuoteOverwrite,Currency&amp;$J$18&amp;$I$18&amp;$B31&amp;ReportQuoteSuffix,Currency&amp;$H$18&amp;$J$18&amp;B31&amp;"_S"&amp;$I$18&amp;$J$18&amp;LCHcubic&amp;QuoteSuffix)</f>
        <v>GBPSB6L8Y_S12L6L_cubicLCH_LCHQuote</v>
      </c>
      <c r="J31" s="127">
        <v>0</v>
      </c>
      <c r="K31" s="64" t="str">
        <f>_xll.qlSwapRateHelper2(,$H31,0,$B31,Calendar,$D31,$E31,$F31,$G31,$J31,$C31,Discounting1,PillarDate,,Permanent,Trigger,ObjectOverwrite)</f>
        <v>obj_004b5#0001</v>
      </c>
      <c r="L31" s="64" t="str">
        <f>_xll.qlSwapRateHelper2(,$I31,0,$B31,Calendar,$D31,$E31,$F31,$G31,$J31,$C31,Discounting2,PillarDate,,Permanent,Trigger,ObjectOverwrite)</f>
        <v>obj_00488#0001</v>
      </c>
      <c r="M31" s="48"/>
      <c r="N31" s="10" t="str">
        <f t="shared" si="15"/>
        <v>BasSw</v>
      </c>
      <c r="O31" s="94" t="str">
        <f t="shared" ref="O31:P31" si="32">IF(ISBLANK(K35),"--",K35)</f>
        <v>obj_004a9#0001</v>
      </c>
      <c r="P31" s="94" t="str">
        <f t="shared" si="32"/>
        <v>obj_00497#0001</v>
      </c>
      <c r="Q31" s="146" t="str">
        <f>IFERROR(_xll.qlRateHelperQuoteName(O31,Trigger),"--")</f>
        <v>GBPSB6L12Y_S12L6L_linearLCH_LCHQuote</v>
      </c>
      <c r="R31" s="98">
        <f>IFERROR(_xll.qlRateHelperQuoteValue($O31,Trigger),"--")</f>
        <v>2.1693000000185595E-2</v>
      </c>
      <c r="S31" s="97" t="b">
        <v>1</v>
      </c>
      <c r="T31" s="94">
        <v>20</v>
      </c>
      <c r="U31" s="94">
        <v>1</v>
      </c>
      <c r="V31" s="99">
        <f>IFERROR(_xll.qlRateHelperEarliestDate(O31,Trigger),"--")</f>
        <v>42321</v>
      </c>
      <c r="W31" s="99">
        <f>IFERROR(_xll.qlRateHelperPillarDate(O31,Trigger),"--")</f>
        <v>46706</v>
      </c>
      <c r="Y31" s="4" t="str">
        <f t="shared" si="17"/>
        <v/>
      </c>
      <c r="Z31" s="4" t="e">
        <v>#N/A</v>
      </c>
      <c r="AA31" s="4" t="e">
        <v>#N/A</v>
      </c>
      <c r="AB31" s="4" t="str">
        <f>IFERROR(_xll.qlRateHelperQuoteName(Z31,Trigger),"")</f>
        <v/>
      </c>
      <c r="AC31" s="70" t="str">
        <f>IFERROR(_xll.qlRateHelperRate(Z31,Trigger),"")</f>
        <v/>
      </c>
      <c r="AD31" s="104" t="str">
        <f>IF(ISERROR(_xll.qlSwapRateHelperSpread($Z31)),IF(ISERROR(_xll.qlFuturesRateHelperConvexityAdjustment($Z31)),"",_xll.qlFuturesRateHelperConvexityAdjustment($Z31)),_xll.qlSwapRateHelperSpread($Z31))</f>
        <v/>
      </c>
      <c r="AE31" s="5" t="str">
        <f>IFERROR(_xll.qlRateHelperEarliestDate(Z31,Trigger),"")</f>
        <v/>
      </c>
      <c r="AF31" s="5" t="str">
        <f>IFERROR(_xll.qlRateHelperPillarDate(Z31,Trigger),"")</f>
        <v/>
      </c>
      <c r="AG31" s="70" t="e">
        <v>#N/A</v>
      </c>
      <c r="AH31" s="77" t="e">
        <v>#N/A</v>
      </c>
      <c r="AI31" s="169" t="e">
        <v>#N/A</v>
      </c>
      <c r="AJ31" s="170" t="e">
        <v>#N/A</v>
      </c>
      <c r="AK31" s="172" t="e">
        <f t="shared" si="4"/>
        <v>#N/A</v>
      </c>
      <c r="AL31" s="80" t="e">
        <v>#N/A</v>
      </c>
      <c r="AM31" s="161" t="e">
        <f t="shared" si="5"/>
        <v>#N/A</v>
      </c>
      <c r="AN31" s="161"/>
    </row>
    <row r="32" spans="1:40" ht="11.25" customHeight="1" x14ac:dyDescent="0.2">
      <c r="A32" s="59" t="s">
        <v>115</v>
      </c>
      <c r="B32" s="60" t="s">
        <v>58</v>
      </c>
      <c r="C32" s="61" t="s">
        <v>6</v>
      </c>
      <c r="D32" s="61" t="s">
        <v>154</v>
      </c>
      <c r="E32" s="61" t="s">
        <v>7</v>
      </c>
      <c r="F32" s="61" t="s">
        <v>155</v>
      </c>
      <c r="G32" s="61" t="str">
        <f t="shared" si="20"/>
        <v>GbpLibor1Y</v>
      </c>
      <c r="H32" s="59" t="str">
        <f>IF(ReportQuoteOverwrite,Currency&amp;$J$18&amp;$I$18&amp;$B32&amp;ReportQuoteSuffix,Currency&amp;$H$18&amp;$J$18&amp;B32&amp;"_S"&amp;$I$18&amp;$J$18&amp;LCHlinear&amp;QuoteSuffix)</f>
        <v>GBPSB6L9Y_S12L6L_linearLCH_LCHQuote</v>
      </c>
      <c r="I32" s="59" t="str">
        <f>IF(ReportQuoteOverwrite,Currency&amp;$J$18&amp;$I$18&amp;$B32&amp;ReportQuoteSuffix,Currency&amp;$H$18&amp;$J$18&amp;B32&amp;"_S"&amp;$I$18&amp;$J$18&amp;LCHcubic&amp;QuoteSuffix)</f>
        <v>GBPSB6L9Y_S12L6L_cubicLCH_LCHQuote</v>
      </c>
      <c r="J32" s="127">
        <v>0</v>
      </c>
      <c r="K32" s="64" t="str">
        <f>_xll.qlSwapRateHelper2(,$H32,0,$B32,Calendar,$D32,$E32,$F32,$G32,$J32,$C32,Discounting1,PillarDate,,Permanent,Trigger,ObjectOverwrite)</f>
        <v>obj_004b8#0001</v>
      </c>
      <c r="L32" s="64" t="str">
        <f>_xll.qlSwapRateHelper2(,$I32,0,$B32,Calendar,$D32,$E32,$F32,$G32,$J32,$C32,Discounting2,PillarDate,,Permanent,Trigger,ObjectOverwrite)</f>
        <v>obj_00484#0001</v>
      </c>
      <c r="M32" s="48"/>
      <c r="N32" s="10" t="str">
        <f t="shared" si="15"/>
        <v>BasSw</v>
      </c>
      <c r="O32" s="94" t="str">
        <f t="shared" ref="O32:P32" si="33">IF(ISBLANK(K36),"--",K36)</f>
        <v>--</v>
      </c>
      <c r="P32" s="94" t="str">
        <f t="shared" si="33"/>
        <v>--</v>
      </c>
      <c r="Q32" s="146" t="str">
        <f>IFERROR(_xll.qlRateHelperQuoteName(O32,Trigger),"--")</f>
        <v>--</v>
      </c>
      <c r="R32" s="98" t="str">
        <f>IFERROR(_xll.qlRateHelperQuoteValue($O32,Trigger),"--")</f>
        <v>--</v>
      </c>
      <c r="S32" s="97" t="b">
        <v>0</v>
      </c>
      <c r="T32" s="94">
        <v>20</v>
      </c>
      <c r="U32" s="94">
        <v>1</v>
      </c>
      <c r="V32" s="99" t="str">
        <f>IFERROR(_xll.qlRateHelperEarliestDate(O32,Trigger),"--")</f>
        <v>--</v>
      </c>
      <c r="W32" s="99" t="str">
        <f>IFERROR(_xll.qlRateHelperPillarDate(O32,Trigger),"--")</f>
        <v>--</v>
      </c>
      <c r="Y32" s="4" t="str">
        <f t="shared" si="17"/>
        <v/>
      </c>
      <c r="Z32" s="4" t="e">
        <v>#N/A</v>
      </c>
      <c r="AA32" s="4" t="e">
        <v>#N/A</v>
      </c>
      <c r="AB32" s="4" t="str">
        <f>IFERROR(_xll.qlRateHelperQuoteName(Z32,Trigger),"")</f>
        <v/>
      </c>
      <c r="AC32" s="70" t="str">
        <f>IFERROR(_xll.qlRateHelperRate(Z32,Trigger),"")</f>
        <v/>
      </c>
      <c r="AD32" s="104" t="str">
        <f>IF(ISERROR(_xll.qlSwapRateHelperSpread($Z32)),IF(ISERROR(_xll.qlFuturesRateHelperConvexityAdjustment($Z32)),"",_xll.qlFuturesRateHelperConvexityAdjustment($Z32)),_xll.qlSwapRateHelperSpread($Z32))</f>
        <v/>
      </c>
      <c r="AE32" s="5" t="str">
        <f>IFERROR(_xll.qlRateHelperEarliestDate(Z32,Trigger),"")</f>
        <v/>
      </c>
      <c r="AF32" s="5" t="str">
        <f>IFERROR(_xll.qlRateHelperPillarDate(Z32,Trigger),"")</f>
        <v/>
      </c>
      <c r="AG32" s="70" t="e">
        <v>#N/A</v>
      </c>
      <c r="AH32" s="77" t="e">
        <v>#N/A</v>
      </c>
      <c r="AI32" s="169" t="e">
        <v>#N/A</v>
      </c>
      <c r="AJ32" s="170" t="e">
        <v>#N/A</v>
      </c>
      <c r="AK32" s="172" t="e">
        <f t="shared" si="4"/>
        <v>#N/A</v>
      </c>
      <c r="AL32" s="80" t="e">
        <v>#N/A</v>
      </c>
      <c r="AM32" s="161" t="e">
        <f t="shared" si="5"/>
        <v>#N/A</v>
      </c>
      <c r="AN32" s="161"/>
    </row>
    <row r="33" spans="1:40" ht="11.25" customHeight="1" x14ac:dyDescent="0.2">
      <c r="A33" s="59" t="s">
        <v>115</v>
      </c>
      <c r="B33" s="60" t="s">
        <v>59</v>
      </c>
      <c r="C33" s="61" t="s">
        <v>6</v>
      </c>
      <c r="D33" s="61" t="s">
        <v>154</v>
      </c>
      <c r="E33" s="61" t="s">
        <v>7</v>
      </c>
      <c r="F33" s="61" t="s">
        <v>155</v>
      </c>
      <c r="G33" s="61" t="str">
        <f t="shared" si="20"/>
        <v>GbpLibor1Y</v>
      </c>
      <c r="H33" s="59" t="str">
        <f>IF(ReportQuoteOverwrite,Currency&amp;$J$18&amp;$I$18&amp;$B33&amp;ReportQuoteSuffix,Currency&amp;$H$18&amp;$J$18&amp;B33&amp;"_S"&amp;$I$18&amp;$J$18&amp;LCHlinear&amp;QuoteSuffix)</f>
        <v>GBPSB6L10Y_S12L6L_linearLCH_LCHQuote</v>
      </c>
      <c r="I33" s="59" t="str">
        <f>IF(ReportQuoteOverwrite,Currency&amp;$J$18&amp;$I$18&amp;$B33&amp;ReportQuoteSuffix,Currency&amp;$H$18&amp;$J$18&amp;B33&amp;"_S"&amp;$I$18&amp;$J$18&amp;LCHcubic&amp;QuoteSuffix)</f>
        <v>GBPSB6L10Y_S12L6L_cubicLCH_LCHQuote</v>
      </c>
      <c r="J33" s="127">
        <v>0</v>
      </c>
      <c r="K33" s="64" t="str">
        <f>_xll.qlSwapRateHelper2(,$H33,0,$B33,Calendar,$D33,$E33,$F33,$G33,$J33,$C33,Discounting1,PillarDate,,Permanent,Trigger,ObjectOverwrite)</f>
        <v>obj_004b4#0001</v>
      </c>
      <c r="L33" s="64" t="str">
        <f>_xll.qlSwapRateHelper2(,$I33,0,$B33,Calendar,$D33,$E33,$F33,$G33,$J33,$C33,Discounting2,PillarDate,,Permanent,Trigger,ObjectOverwrite)</f>
        <v>obj_00480#0001</v>
      </c>
      <c r="M33" s="48"/>
      <c r="N33" s="10" t="str">
        <f t="shared" si="15"/>
        <v>BasSw</v>
      </c>
      <c r="O33" s="94" t="str">
        <f t="shared" ref="O33:P33" si="34">IF(ISBLANK(K37),"--",K37)</f>
        <v>--</v>
      </c>
      <c r="P33" s="94" t="str">
        <f t="shared" si="34"/>
        <v>--</v>
      </c>
      <c r="Q33" s="146" t="str">
        <f>IFERROR(_xll.qlRateHelperQuoteName(O33,Trigger),"--")</f>
        <v>--</v>
      </c>
      <c r="R33" s="98" t="str">
        <f>IFERROR(_xll.qlRateHelperQuoteValue($O33,Trigger),"--")</f>
        <v>--</v>
      </c>
      <c r="S33" s="97" t="b">
        <v>0</v>
      </c>
      <c r="T33" s="94">
        <v>20</v>
      </c>
      <c r="U33" s="94">
        <v>1</v>
      </c>
      <c r="V33" s="99" t="str">
        <f>IFERROR(_xll.qlRateHelperEarliestDate(O33,Trigger),"--")</f>
        <v>--</v>
      </c>
      <c r="W33" s="99" t="str">
        <f>IFERROR(_xll.qlRateHelperPillarDate(O33,Trigger),"--")</f>
        <v>--</v>
      </c>
      <c r="Y33" s="4" t="str">
        <f t="shared" si="17"/>
        <v/>
      </c>
      <c r="Z33" s="4" t="e">
        <v>#N/A</v>
      </c>
      <c r="AA33" s="4" t="e">
        <v>#N/A</v>
      </c>
      <c r="AB33" s="4" t="str">
        <f>IFERROR(_xll.qlRateHelperQuoteName(Z33,Trigger),"")</f>
        <v/>
      </c>
      <c r="AC33" s="70" t="str">
        <f>IFERROR(_xll.qlRateHelperRate(Z33,Trigger),"")</f>
        <v/>
      </c>
      <c r="AD33" s="104" t="str">
        <f>IF(ISERROR(_xll.qlSwapRateHelperSpread($Z33)),IF(ISERROR(_xll.qlFuturesRateHelperConvexityAdjustment($Z33)),"",_xll.qlFuturesRateHelperConvexityAdjustment($Z33)),_xll.qlSwapRateHelperSpread($Z33))</f>
        <v/>
      </c>
      <c r="AE33" s="5" t="str">
        <f>IFERROR(_xll.qlRateHelperEarliestDate(Z33,Trigger),"")</f>
        <v/>
      </c>
      <c r="AF33" s="5" t="str">
        <f>IFERROR(_xll.qlRateHelperPillarDate(Z33,Trigger),"")</f>
        <v/>
      </c>
      <c r="AG33" s="70" t="e">
        <v>#N/A</v>
      </c>
      <c r="AH33" s="77" t="e">
        <v>#N/A</v>
      </c>
      <c r="AI33" s="169" t="e">
        <v>#N/A</v>
      </c>
      <c r="AJ33" s="170" t="e">
        <v>#N/A</v>
      </c>
      <c r="AK33" s="172" t="e">
        <f t="shared" si="4"/>
        <v>#N/A</v>
      </c>
      <c r="AL33" s="80" t="e">
        <v>#N/A</v>
      </c>
      <c r="AM33" s="161" t="e">
        <f t="shared" si="5"/>
        <v>#N/A</v>
      </c>
      <c r="AN33" s="161"/>
    </row>
    <row r="34" spans="1:40" ht="11.25" customHeight="1" x14ac:dyDescent="0.2">
      <c r="A34" s="59" t="s">
        <v>115</v>
      </c>
      <c r="B34" s="60" t="s">
        <v>95</v>
      </c>
      <c r="C34" s="61" t="s">
        <v>6</v>
      </c>
      <c r="D34" s="61" t="s">
        <v>154</v>
      </c>
      <c r="E34" s="61" t="s">
        <v>7</v>
      </c>
      <c r="F34" s="61" t="s">
        <v>155</v>
      </c>
      <c r="G34" s="61" t="str">
        <f t="shared" si="20"/>
        <v>GbpLibor1Y</v>
      </c>
      <c r="H34" s="59" t="str">
        <f>IF(ReportQuoteOverwrite,Currency&amp;$J$18&amp;$I$18&amp;$B34&amp;ReportQuoteSuffix,Currency&amp;$H$18&amp;$J$18&amp;B34&amp;"_S"&amp;$I$18&amp;$J$18&amp;LCHlinear&amp;QuoteSuffix)</f>
        <v>GBPSB6L11Y_S12L6L_linearLCH_LCHQuote</v>
      </c>
      <c r="I34" s="59" t="str">
        <f>IF(ReportQuoteOverwrite,Currency&amp;$J$18&amp;$I$18&amp;$B34&amp;ReportQuoteSuffix,Currency&amp;$H$18&amp;$J$18&amp;B34&amp;"_S"&amp;$I$18&amp;$J$18&amp;LCHcubic&amp;QuoteSuffix)</f>
        <v>GBPSB6L11Y_S12L6L_cubicLCH_LCHQuote</v>
      </c>
      <c r="J34" s="127">
        <v>0</v>
      </c>
      <c r="K34" s="64"/>
      <c r="L34" s="64"/>
      <c r="M34" s="48"/>
      <c r="N34" s="10" t="str">
        <f t="shared" si="15"/>
        <v>BasSw</v>
      </c>
      <c r="O34" s="94" t="str">
        <f t="shared" ref="O34:P34" si="35">IF(ISBLANK(K38),"--",K38)</f>
        <v>obj_004a7#0001</v>
      </c>
      <c r="P34" s="94" t="str">
        <f t="shared" si="35"/>
        <v>obj_0048b#0001</v>
      </c>
      <c r="Q34" s="146" t="str">
        <f>IFERROR(_xll.qlRateHelperQuoteName(O34,Trigger),"--")</f>
        <v>GBPSB6L15Y_S12L6L_linearLCH_LCHQuote</v>
      </c>
      <c r="R34" s="98">
        <f>IFERROR(_xll.qlRateHelperQuoteValue($O34,Trigger),"--")</f>
        <v>2.2403000000153207E-2</v>
      </c>
      <c r="S34" s="97" t="b">
        <v>1</v>
      </c>
      <c r="T34" s="94">
        <v>20</v>
      </c>
      <c r="U34" s="94">
        <v>1</v>
      </c>
      <c r="V34" s="99">
        <f>IFERROR(_xll.qlRateHelperEarliestDate(O34,Trigger),"--")</f>
        <v>42321</v>
      </c>
      <c r="W34" s="99">
        <f>IFERROR(_xll.qlRateHelperPillarDate(O34,Trigger),"--")</f>
        <v>47800</v>
      </c>
      <c r="Y34" s="4" t="str">
        <f t="shared" si="17"/>
        <v/>
      </c>
      <c r="Z34" s="4" t="e">
        <v>#N/A</v>
      </c>
      <c r="AA34" s="4" t="e">
        <v>#N/A</v>
      </c>
      <c r="AB34" s="4" t="str">
        <f>IFERROR(_xll.qlRateHelperQuoteName(Z34,Trigger),"")</f>
        <v/>
      </c>
      <c r="AC34" s="70" t="str">
        <f>IFERROR(_xll.qlRateHelperRate(Z34,Trigger),"")</f>
        <v/>
      </c>
      <c r="AD34" s="104" t="str">
        <f>IF(ISERROR(_xll.qlSwapRateHelperSpread($Z34)),IF(ISERROR(_xll.qlFuturesRateHelperConvexityAdjustment($Z34)),"",_xll.qlFuturesRateHelperConvexityAdjustment($Z34)),_xll.qlSwapRateHelperSpread($Z34))</f>
        <v/>
      </c>
      <c r="AE34" s="5" t="str">
        <f>IFERROR(_xll.qlRateHelperEarliestDate(Z34,Trigger),"")</f>
        <v/>
      </c>
      <c r="AF34" s="5" t="str">
        <f>IFERROR(_xll.qlRateHelperPillarDate(Z34,Trigger),"")</f>
        <v/>
      </c>
      <c r="AG34" s="70" t="e">
        <v>#N/A</v>
      </c>
      <c r="AH34" s="77" t="e">
        <v>#N/A</v>
      </c>
      <c r="AI34" s="169" t="e">
        <v>#N/A</v>
      </c>
      <c r="AJ34" s="170" t="e">
        <v>#N/A</v>
      </c>
      <c r="AK34" s="172" t="e">
        <f t="shared" si="4"/>
        <v>#N/A</v>
      </c>
      <c r="AL34" s="80" t="e">
        <v>#N/A</v>
      </c>
      <c r="AM34" s="161" t="e">
        <f t="shared" si="5"/>
        <v>#N/A</v>
      </c>
      <c r="AN34" s="161"/>
    </row>
    <row r="35" spans="1:40" ht="11.25" customHeight="1" x14ac:dyDescent="0.2">
      <c r="A35" s="59" t="s">
        <v>115</v>
      </c>
      <c r="B35" s="60" t="s">
        <v>60</v>
      </c>
      <c r="C35" s="61" t="s">
        <v>6</v>
      </c>
      <c r="D35" s="61" t="s">
        <v>154</v>
      </c>
      <c r="E35" s="61" t="s">
        <v>7</v>
      </c>
      <c r="F35" s="61" t="s">
        <v>155</v>
      </c>
      <c r="G35" s="61" t="str">
        <f t="shared" si="20"/>
        <v>GbpLibor1Y</v>
      </c>
      <c r="H35" s="59" t="str">
        <f>IF(ReportQuoteOverwrite,Currency&amp;$J$18&amp;$I$18&amp;$B35&amp;ReportQuoteSuffix,Currency&amp;$H$18&amp;$J$18&amp;B35&amp;"_S"&amp;$I$18&amp;$J$18&amp;LCHlinear&amp;QuoteSuffix)</f>
        <v>GBPSB6L12Y_S12L6L_linearLCH_LCHQuote</v>
      </c>
      <c r="I35" s="59" t="str">
        <f>IF(ReportQuoteOverwrite,Currency&amp;$J$18&amp;$I$18&amp;$B35&amp;ReportQuoteSuffix,Currency&amp;$H$18&amp;$J$18&amp;B35&amp;"_S"&amp;$I$18&amp;$J$18&amp;LCHcubic&amp;QuoteSuffix)</f>
        <v>GBPSB6L12Y_S12L6L_cubicLCH_LCHQuote</v>
      </c>
      <c r="J35" s="127">
        <v>0</v>
      </c>
      <c r="K35" s="64" t="str">
        <f>_xll.qlSwapRateHelper2(,$H35,0,$B35,Calendar,$D35,$E35,$F35,$G35,$J35,$C35,Discounting1,PillarDate,,Permanent,Trigger,ObjectOverwrite)</f>
        <v>obj_004a9#0001</v>
      </c>
      <c r="L35" s="64" t="str">
        <f>_xll.qlSwapRateHelper2(,$I35,0,$B35,Calendar,$D35,$E35,$F35,$G35,$J35,$C35,Discounting2,PillarDate,,Permanent,Trigger,ObjectOverwrite)</f>
        <v>obj_00497#0001</v>
      </c>
      <c r="M35" s="48"/>
      <c r="N35" s="10" t="str">
        <f t="shared" si="15"/>
        <v>BasSw</v>
      </c>
      <c r="O35" s="94" t="str">
        <f t="shared" ref="O35:P35" si="36">IF(ISBLANK(K39),"--",K39)</f>
        <v>--</v>
      </c>
      <c r="P35" s="94" t="str">
        <f t="shared" si="36"/>
        <v>--</v>
      </c>
      <c r="Q35" s="146" t="str">
        <f>IFERROR(_xll.qlRateHelperQuoteName(O35,Trigger),"--")</f>
        <v>--</v>
      </c>
      <c r="R35" s="98" t="str">
        <f>IFERROR(_xll.qlRateHelperQuoteValue($O35,Trigger),"--")</f>
        <v>--</v>
      </c>
      <c r="S35" s="97" t="b">
        <v>0</v>
      </c>
      <c r="T35" s="94">
        <v>20</v>
      </c>
      <c r="U35" s="94">
        <v>1</v>
      </c>
      <c r="V35" s="99" t="str">
        <f>IFERROR(_xll.qlRateHelperEarliestDate(O35,Trigger),"--")</f>
        <v>--</v>
      </c>
      <c r="W35" s="99" t="str">
        <f>IFERROR(_xll.qlRateHelperPillarDate(O35,Trigger),"--")</f>
        <v>--</v>
      </c>
      <c r="Y35" s="4" t="str">
        <f t="shared" si="17"/>
        <v/>
      </c>
      <c r="Z35" s="4" t="e">
        <v>#N/A</v>
      </c>
      <c r="AA35" s="4" t="e">
        <v>#N/A</v>
      </c>
      <c r="AB35" s="4" t="str">
        <f>IFERROR(_xll.qlRateHelperQuoteName(Z35,Trigger),"")</f>
        <v/>
      </c>
      <c r="AC35" s="70" t="str">
        <f>IFERROR(_xll.qlRateHelperRate(Z35,Trigger),"")</f>
        <v/>
      </c>
      <c r="AD35" s="104" t="str">
        <f>IF(ISERROR(_xll.qlSwapRateHelperSpread($Z35)),IF(ISERROR(_xll.qlFuturesRateHelperConvexityAdjustment($Z35)),"",_xll.qlFuturesRateHelperConvexityAdjustment($Z35)),_xll.qlSwapRateHelperSpread($Z35))</f>
        <v/>
      </c>
      <c r="AE35" s="5" t="str">
        <f>IFERROR(_xll.qlRateHelperEarliestDate(Z35,Trigger),"")</f>
        <v/>
      </c>
      <c r="AF35" s="5" t="str">
        <f>IFERROR(_xll.qlRateHelperPillarDate(Z35,Trigger),"")</f>
        <v/>
      </c>
      <c r="AG35" s="70" t="e">
        <v>#N/A</v>
      </c>
      <c r="AH35" s="77" t="e">
        <v>#N/A</v>
      </c>
      <c r="AI35" s="169" t="e">
        <v>#N/A</v>
      </c>
      <c r="AJ35" s="170" t="e">
        <v>#N/A</v>
      </c>
      <c r="AK35" s="172" t="e">
        <f t="shared" si="4"/>
        <v>#N/A</v>
      </c>
      <c r="AL35" s="80" t="e">
        <v>#N/A</v>
      </c>
      <c r="AM35" s="161" t="e">
        <f t="shared" si="5"/>
        <v>#N/A</v>
      </c>
    </row>
    <row r="36" spans="1:40" ht="11.25" customHeight="1" x14ac:dyDescent="0.2">
      <c r="A36" s="59" t="s">
        <v>115</v>
      </c>
      <c r="B36" s="60" t="s">
        <v>96</v>
      </c>
      <c r="C36" s="61" t="s">
        <v>6</v>
      </c>
      <c r="D36" s="61" t="s">
        <v>154</v>
      </c>
      <c r="E36" s="61" t="s">
        <v>7</v>
      </c>
      <c r="F36" s="61" t="s">
        <v>155</v>
      </c>
      <c r="G36" s="61" t="str">
        <f t="shared" si="20"/>
        <v>GbpLibor1Y</v>
      </c>
      <c r="H36" s="59" t="str">
        <f>IF(ReportQuoteOverwrite,Currency&amp;$J$18&amp;$I$18&amp;$B36&amp;ReportQuoteSuffix,Currency&amp;$H$18&amp;$J$18&amp;B36&amp;"_S"&amp;$I$18&amp;$J$18&amp;LCHlinear&amp;QuoteSuffix)</f>
        <v>GBPSB6L13Y_S12L6L_linearLCH_LCHQuote</v>
      </c>
      <c r="I36" s="59" t="str">
        <f>IF(ReportQuoteOverwrite,Currency&amp;$J$18&amp;$I$18&amp;$B36&amp;ReportQuoteSuffix,Currency&amp;$H$18&amp;$J$18&amp;B36&amp;"_S"&amp;$I$18&amp;$J$18&amp;LCHcubic&amp;QuoteSuffix)</f>
        <v>GBPSB6L13Y_S12L6L_cubicLCH_LCHQuote</v>
      </c>
      <c r="J36" s="127">
        <v>0</v>
      </c>
      <c r="K36" s="64"/>
      <c r="L36" s="64"/>
      <c r="M36" s="48"/>
      <c r="N36" s="10" t="str">
        <f t="shared" si="15"/>
        <v>BasSw</v>
      </c>
      <c r="O36" s="94" t="str">
        <f t="shared" ref="O36:P36" si="37">IF(ISBLANK(K40),"--",K40)</f>
        <v>--</v>
      </c>
      <c r="P36" s="94" t="str">
        <f t="shared" si="37"/>
        <v>--</v>
      </c>
      <c r="Q36" s="146" t="str">
        <f>IFERROR(_xll.qlRateHelperQuoteName(O36,Trigger),"--")</f>
        <v>--</v>
      </c>
      <c r="R36" s="98" t="str">
        <f>IFERROR(_xll.qlRateHelperQuoteValue($O36,Trigger),"--")</f>
        <v>--</v>
      </c>
      <c r="S36" s="97" t="b">
        <v>0</v>
      </c>
      <c r="T36" s="94">
        <v>20</v>
      </c>
      <c r="U36" s="94">
        <v>1</v>
      </c>
      <c r="V36" s="99" t="str">
        <f>IFERROR(_xll.qlRateHelperEarliestDate(O36,Trigger),"--")</f>
        <v>--</v>
      </c>
      <c r="W36" s="99" t="str">
        <f>IFERROR(_xll.qlRateHelperPillarDate(O36,Trigger),"--")</f>
        <v>--</v>
      </c>
      <c r="Y36" s="4" t="str">
        <f t="shared" si="17"/>
        <v/>
      </c>
      <c r="Z36" s="4" t="e">
        <v>#N/A</v>
      </c>
      <c r="AA36" s="4" t="e">
        <v>#N/A</v>
      </c>
      <c r="AB36" s="4" t="str">
        <f>IFERROR(_xll.qlRateHelperQuoteName(Z36,Trigger),"")</f>
        <v/>
      </c>
      <c r="AC36" s="70" t="str">
        <f>IFERROR(_xll.qlRateHelperRate(Z36,Trigger),"")</f>
        <v/>
      </c>
      <c r="AD36" s="104" t="str">
        <f>IF(ISERROR(_xll.qlSwapRateHelperSpread($Z36)),IF(ISERROR(_xll.qlFuturesRateHelperConvexityAdjustment($Z36)),"",_xll.qlFuturesRateHelperConvexityAdjustment($Z36)),_xll.qlSwapRateHelperSpread($Z36))</f>
        <v/>
      </c>
      <c r="AE36" s="5" t="str">
        <f>IFERROR(_xll.qlRateHelperEarliestDate(Z36,Trigger),"")</f>
        <v/>
      </c>
      <c r="AF36" s="5" t="str">
        <f>IFERROR(_xll.qlRateHelperPillarDate(Z36,Trigger),"")</f>
        <v/>
      </c>
      <c r="AG36" s="70" t="e">
        <v>#N/A</v>
      </c>
      <c r="AH36" s="77" t="e">
        <v>#N/A</v>
      </c>
      <c r="AI36" s="169" t="e">
        <v>#N/A</v>
      </c>
      <c r="AJ36" s="170" t="e">
        <v>#N/A</v>
      </c>
      <c r="AK36" s="172" t="e">
        <f t="shared" si="4"/>
        <v>#N/A</v>
      </c>
      <c r="AL36" s="80" t="e">
        <v>#N/A</v>
      </c>
      <c r="AM36" s="161" t="e">
        <f t="shared" si="5"/>
        <v>#N/A</v>
      </c>
    </row>
    <row r="37" spans="1:40" ht="11.25" customHeight="1" x14ac:dyDescent="0.2">
      <c r="A37" s="59" t="s">
        <v>115</v>
      </c>
      <c r="B37" s="60" t="s">
        <v>97</v>
      </c>
      <c r="C37" s="61" t="s">
        <v>6</v>
      </c>
      <c r="D37" s="61" t="s">
        <v>154</v>
      </c>
      <c r="E37" s="61" t="s">
        <v>7</v>
      </c>
      <c r="F37" s="61" t="s">
        <v>155</v>
      </c>
      <c r="G37" s="61" t="str">
        <f t="shared" si="20"/>
        <v>GbpLibor1Y</v>
      </c>
      <c r="H37" s="59" t="str">
        <f>IF(ReportQuoteOverwrite,Currency&amp;$J$18&amp;$I$18&amp;$B37&amp;ReportQuoteSuffix,Currency&amp;$H$18&amp;$J$18&amp;B37&amp;"_S"&amp;$I$18&amp;$J$18&amp;LCHlinear&amp;QuoteSuffix)</f>
        <v>GBPSB6L14Y_S12L6L_linearLCH_LCHQuote</v>
      </c>
      <c r="I37" s="59" t="str">
        <f>IF(ReportQuoteOverwrite,Currency&amp;$J$18&amp;$I$18&amp;$B37&amp;ReportQuoteSuffix,Currency&amp;$H$18&amp;$J$18&amp;B37&amp;"_S"&amp;$I$18&amp;$J$18&amp;LCHcubic&amp;QuoteSuffix)</f>
        <v>GBPSB6L14Y_S12L6L_cubicLCH_LCHQuote</v>
      </c>
      <c r="J37" s="127">
        <v>0</v>
      </c>
      <c r="K37" s="64"/>
      <c r="L37" s="64"/>
      <c r="M37" s="48"/>
      <c r="N37" s="10" t="str">
        <f t="shared" si="15"/>
        <v>BasSw</v>
      </c>
      <c r="O37" s="94" t="str">
        <f t="shared" ref="O37:P37" si="38">IF(ISBLANK(K41),"--",K41)</f>
        <v>--</v>
      </c>
      <c r="P37" s="94" t="str">
        <f t="shared" si="38"/>
        <v>--</v>
      </c>
      <c r="Q37" s="146" t="str">
        <f>IFERROR(_xll.qlRateHelperQuoteName(O37,Trigger),"--")</f>
        <v>--</v>
      </c>
      <c r="R37" s="98" t="str">
        <f>IFERROR(_xll.qlRateHelperQuoteValue($O37,Trigger),"--")</f>
        <v>--</v>
      </c>
      <c r="S37" s="97" t="b">
        <v>0</v>
      </c>
      <c r="T37" s="94">
        <v>20</v>
      </c>
      <c r="U37" s="94">
        <v>1</v>
      </c>
      <c r="V37" s="99" t="str">
        <f>IFERROR(_xll.qlRateHelperEarliestDate(O37,Trigger),"--")</f>
        <v>--</v>
      </c>
      <c r="W37" s="99" t="str">
        <f>IFERROR(_xll.qlRateHelperPillarDate(O37,Trigger),"--")</f>
        <v>--</v>
      </c>
      <c r="Y37" s="4" t="str">
        <f t="shared" si="17"/>
        <v/>
      </c>
      <c r="Z37" s="4" t="e">
        <v>#N/A</v>
      </c>
      <c r="AA37" s="4" t="e">
        <v>#N/A</v>
      </c>
      <c r="AB37" s="4" t="str">
        <f>IFERROR(_xll.qlRateHelperQuoteName(Z37,Trigger),"")</f>
        <v/>
      </c>
      <c r="AC37" s="70" t="str">
        <f>IFERROR(_xll.qlRateHelperRate(Z37,Trigger),"")</f>
        <v/>
      </c>
      <c r="AD37" s="104" t="str">
        <f>IF(ISERROR(_xll.qlSwapRateHelperSpread($Z37)),IF(ISERROR(_xll.qlFuturesRateHelperConvexityAdjustment($Z37)),"",_xll.qlFuturesRateHelperConvexityAdjustment($Z37)),_xll.qlSwapRateHelperSpread($Z37))</f>
        <v/>
      </c>
      <c r="AE37" s="5" t="str">
        <f>IFERROR(_xll.qlRateHelperEarliestDate(Z37,Trigger),"")</f>
        <v/>
      </c>
      <c r="AF37" s="5" t="str">
        <f>IFERROR(_xll.qlRateHelperPillarDate(Z37,Trigger),"")</f>
        <v/>
      </c>
      <c r="AG37" s="70" t="e">
        <v>#N/A</v>
      </c>
      <c r="AH37" s="77" t="e">
        <v>#N/A</v>
      </c>
      <c r="AI37" s="169" t="e">
        <v>#N/A</v>
      </c>
      <c r="AJ37" s="170" t="e">
        <v>#N/A</v>
      </c>
      <c r="AK37" s="172" t="e">
        <f t="shared" si="4"/>
        <v>#N/A</v>
      </c>
      <c r="AL37" s="80" t="e">
        <v>#N/A</v>
      </c>
      <c r="AM37" s="161" t="e">
        <f t="shared" si="5"/>
        <v>#N/A</v>
      </c>
    </row>
    <row r="38" spans="1:40" ht="11.25" customHeight="1" x14ac:dyDescent="0.2">
      <c r="A38" s="59" t="s">
        <v>115</v>
      </c>
      <c r="B38" s="60" t="s">
        <v>61</v>
      </c>
      <c r="C38" s="61" t="s">
        <v>6</v>
      </c>
      <c r="D38" s="61" t="s">
        <v>154</v>
      </c>
      <c r="E38" s="61" t="s">
        <v>7</v>
      </c>
      <c r="F38" s="61" t="s">
        <v>155</v>
      </c>
      <c r="G38" s="61" t="str">
        <f t="shared" si="20"/>
        <v>GbpLibor1Y</v>
      </c>
      <c r="H38" s="59" t="str">
        <f>IF(ReportQuoteOverwrite,Currency&amp;$J$18&amp;$I$18&amp;$B38&amp;ReportQuoteSuffix,Currency&amp;$H$18&amp;$J$18&amp;B38&amp;"_S"&amp;$I$18&amp;$J$18&amp;LCHlinear&amp;QuoteSuffix)</f>
        <v>GBPSB6L15Y_S12L6L_linearLCH_LCHQuote</v>
      </c>
      <c r="I38" s="59" t="str">
        <f>IF(ReportQuoteOverwrite,Currency&amp;$J$18&amp;$I$18&amp;$B38&amp;ReportQuoteSuffix,Currency&amp;$H$18&amp;$J$18&amp;B38&amp;"_S"&amp;$I$18&amp;$J$18&amp;LCHcubic&amp;QuoteSuffix)</f>
        <v>GBPSB6L15Y_S12L6L_cubicLCH_LCHQuote</v>
      </c>
      <c r="J38" s="127">
        <v>0</v>
      </c>
      <c r="K38" s="64" t="str">
        <f>_xll.qlSwapRateHelper2(,$H38,0,$B38,Calendar,$D38,$E38,$F38,$G38,$J38,$C38,Discounting1,PillarDate,,Permanent,Trigger,ObjectOverwrite)</f>
        <v>obj_004a7#0001</v>
      </c>
      <c r="L38" s="64" t="str">
        <f>_xll.qlSwapRateHelper2(,$I38,0,$B38,Calendar,$D38,$E38,$F38,$G38,$J38,$C38,Discounting2,PillarDate,,Permanent,Trigger,ObjectOverwrite)</f>
        <v>obj_0048b#0001</v>
      </c>
      <c r="M38" s="48"/>
      <c r="N38" s="10" t="str">
        <f t="shared" si="15"/>
        <v>BasSw</v>
      </c>
      <c r="O38" s="94" t="str">
        <f t="shared" ref="O38:P38" si="39">IF(ISBLANK(K42),"--",K42)</f>
        <v>--</v>
      </c>
      <c r="P38" s="94" t="str">
        <f t="shared" si="39"/>
        <v>--</v>
      </c>
      <c r="Q38" s="146" t="str">
        <f>IFERROR(_xll.qlRateHelperQuoteName(O38,Trigger),"--")</f>
        <v>--</v>
      </c>
      <c r="R38" s="98" t="str">
        <f>IFERROR(_xll.qlRateHelperQuoteValue($O38,Trigger),"--")</f>
        <v>--</v>
      </c>
      <c r="S38" s="97" t="b">
        <v>0</v>
      </c>
      <c r="T38" s="94">
        <v>20</v>
      </c>
      <c r="U38" s="94">
        <v>1</v>
      </c>
      <c r="V38" s="99" t="str">
        <f>IFERROR(_xll.qlRateHelperEarliestDate(O38,Trigger),"--")</f>
        <v>--</v>
      </c>
      <c r="W38" s="99" t="str">
        <f>IFERROR(_xll.qlRateHelperPillarDate(O38,Trigger),"--")</f>
        <v>--</v>
      </c>
      <c r="Y38" s="4" t="str">
        <f t="shared" si="17"/>
        <v/>
      </c>
      <c r="Z38" s="4" t="e">
        <v>#N/A</v>
      </c>
      <c r="AA38" s="4" t="e">
        <v>#N/A</v>
      </c>
      <c r="AB38" s="4" t="str">
        <f>IFERROR(_xll.qlRateHelperQuoteName(Z38,Trigger),"")</f>
        <v/>
      </c>
      <c r="AC38" s="70" t="str">
        <f>IFERROR(_xll.qlRateHelperRate(Z38,Trigger),"")</f>
        <v/>
      </c>
      <c r="AD38" s="104" t="str">
        <f>IF(ISERROR(_xll.qlSwapRateHelperSpread($Z38)),IF(ISERROR(_xll.qlFuturesRateHelperConvexityAdjustment($Z38)),"",_xll.qlFuturesRateHelperConvexityAdjustment($Z38)),_xll.qlSwapRateHelperSpread($Z38))</f>
        <v/>
      </c>
      <c r="AE38" s="5" t="str">
        <f>IFERROR(_xll.qlRateHelperEarliestDate(Z38,Trigger),"")</f>
        <v/>
      </c>
      <c r="AF38" s="5" t="str">
        <f>IFERROR(_xll.qlRateHelperPillarDate(Z38,Trigger),"")</f>
        <v/>
      </c>
      <c r="AG38" s="70" t="e">
        <v>#N/A</v>
      </c>
      <c r="AH38" s="77" t="e">
        <v>#N/A</v>
      </c>
      <c r="AI38" s="169" t="e">
        <v>#N/A</v>
      </c>
      <c r="AJ38" s="170" t="e">
        <v>#N/A</v>
      </c>
      <c r="AK38" s="172" t="e">
        <f t="shared" si="4"/>
        <v>#N/A</v>
      </c>
      <c r="AL38" s="80" t="e">
        <v>#N/A</v>
      </c>
      <c r="AM38" s="161" t="e">
        <f t="shared" si="5"/>
        <v>#N/A</v>
      </c>
    </row>
    <row r="39" spans="1:40" ht="11.25" customHeight="1" x14ac:dyDescent="0.2">
      <c r="A39" s="59" t="s">
        <v>115</v>
      </c>
      <c r="B39" s="60" t="s">
        <v>98</v>
      </c>
      <c r="C39" s="61" t="s">
        <v>6</v>
      </c>
      <c r="D39" s="61" t="s">
        <v>154</v>
      </c>
      <c r="E39" s="61" t="s">
        <v>7</v>
      </c>
      <c r="F39" s="61" t="s">
        <v>155</v>
      </c>
      <c r="G39" s="61" t="str">
        <f t="shared" si="20"/>
        <v>GbpLibor1Y</v>
      </c>
      <c r="H39" s="59" t="str">
        <f>IF(ReportQuoteOverwrite,Currency&amp;$J$18&amp;$I$18&amp;$B39&amp;ReportQuoteSuffix,Currency&amp;$H$18&amp;$J$18&amp;B39&amp;"_S"&amp;$I$18&amp;$J$18&amp;LCHlinear&amp;QuoteSuffix)</f>
        <v>GBPSB6L16Y_S12L6L_linearLCH_LCHQuote</v>
      </c>
      <c r="I39" s="59" t="str">
        <f>IF(ReportQuoteOverwrite,Currency&amp;$J$18&amp;$I$18&amp;$B39&amp;ReportQuoteSuffix,Currency&amp;$H$18&amp;$J$18&amp;B39&amp;"_S"&amp;$I$18&amp;$J$18&amp;LCHcubic&amp;QuoteSuffix)</f>
        <v>GBPSB6L16Y_S12L6L_cubicLCH_LCHQuote</v>
      </c>
      <c r="J39" s="127">
        <v>0</v>
      </c>
      <c r="K39" s="64"/>
      <c r="L39" s="64"/>
      <c r="M39" s="48"/>
      <c r="N39" s="10" t="str">
        <f t="shared" si="15"/>
        <v>BasSw</v>
      </c>
      <c r="O39" s="94" t="str">
        <f t="shared" ref="O39:P39" si="40">IF(ISBLANK(K43),"--",K43)</f>
        <v>obj_004a1#0001</v>
      </c>
      <c r="P39" s="94" t="str">
        <f t="shared" si="40"/>
        <v>obj_00496#0001</v>
      </c>
      <c r="Q39" s="146" t="str">
        <f>IFERROR(_xll.qlRateHelperQuoteName(O39,Trigger),"--")</f>
        <v>GBPSB6L20Y_S12L6L_linearLCH_LCHQuote</v>
      </c>
      <c r="R39" s="98">
        <f>IFERROR(_xll.qlRateHelperQuoteValue($O39,Trigger),"--")</f>
        <v>2.2794999999892054E-2</v>
      </c>
      <c r="S39" s="97" t="b">
        <v>1</v>
      </c>
      <c r="T39" s="94">
        <v>20</v>
      </c>
      <c r="U39" s="94">
        <v>1</v>
      </c>
      <c r="V39" s="99">
        <f>IFERROR(_xll.qlRateHelperEarliestDate(O39,Trigger),"--")</f>
        <v>42321</v>
      </c>
      <c r="W39" s="99">
        <f>IFERROR(_xll.qlRateHelperPillarDate(O39,Trigger),"--")</f>
        <v>49626</v>
      </c>
      <c r="Y39" s="4" t="str">
        <f t="shared" si="17"/>
        <v/>
      </c>
      <c r="Z39" s="4" t="e">
        <v>#N/A</v>
      </c>
      <c r="AA39" s="4" t="e">
        <v>#N/A</v>
      </c>
      <c r="AB39" s="4" t="str">
        <f>IFERROR(_xll.qlRateHelperQuoteName(Z39,Trigger),"")</f>
        <v/>
      </c>
      <c r="AC39" s="70" t="str">
        <f>IFERROR(_xll.qlRateHelperRate(Z39,Trigger),"")</f>
        <v/>
      </c>
      <c r="AD39" s="104" t="str">
        <f>IF(ISERROR(_xll.qlSwapRateHelperSpread($Z39)),IF(ISERROR(_xll.qlFuturesRateHelperConvexityAdjustment($Z39)),"",_xll.qlFuturesRateHelperConvexityAdjustment($Z39)),_xll.qlSwapRateHelperSpread($Z39))</f>
        <v/>
      </c>
      <c r="AE39" s="5" t="str">
        <f>IFERROR(_xll.qlRateHelperEarliestDate(Z39,Trigger),"")</f>
        <v/>
      </c>
      <c r="AF39" s="5" t="str">
        <f>IFERROR(_xll.qlRateHelperPillarDate(Z39,Trigger),"")</f>
        <v/>
      </c>
      <c r="AG39" s="70" t="e">
        <v>#N/A</v>
      </c>
      <c r="AH39" s="77" t="e">
        <v>#N/A</v>
      </c>
      <c r="AI39" s="169" t="e">
        <v>#N/A</v>
      </c>
      <c r="AJ39" s="170" t="e">
        <v>#N/A</v>
      </c>
      <c r="AK39" s="172" t="e">
        <f t="shared" si="4"/>
        <v>#N/A</v>
      </c>
      <c r="AL39" s="80" t="e">
        <v>#N/A</v>
      </c>
      <c r="AM39" s="161" t="e">
        <f t="shared" si="5"/>
        <v>#N/A</v>
      </c>
    </row>
    <row r="40" spans="1:40" ht="11.25" customHeight="1" x14ac:dyDescent="0.2">
      <c r="A40" s="59" t="s">
        <v>115</v>
      </c>
      <c r="B40" s="60" t="s">
        <v>99</v>
      </c>
      <c r="C40" s="61" t="s">
        <v>6</v>
      </c>
      <c r="D40" s="61" t="s">
        <v>154</v>
      </c>
      <c r="E40" s="61" t="s">
        <v>7</v>
      </c>
      <c r="F40" s="61" t="s">
        <v>155</v>
      </c>
      <c r="G40" s="61" t="str">
        <f t="shared" si="20"/>
        <v>GbpLibor1Y</v>
      </c>
      <c r="H40" s="59" t="str">
        <f>IF(ReportQuoteOverwrite,Currency&amp;$J$18&amp;$I$18&amp;$B40&amp;ReportQuoteSuffix,Currency&amp;$H$18&amp;$J$18&amp;B40&amp;"_S"&amp;$I$18&amp;$J$18&amp;LCHlinear&amp;QuoteSuffix)</f>
        <v>GBPSB6L17Y_S12L6L_linearLCH_LCHQuote</v>
      </c>
      <c r="I40" s="59" t="str">
        <f>IF(ReportQuoteOverwrite,Currency&amp;$J$18&amp;$I$18&amp;$B40&amp;ReportQuoteSuffix,Currency&amp;$H$18&amp;$J$18&amp;B40&amp;"_S"&amp;$I$18&amp;$J$18&amp;LCHcubic&amp;QuoteSuffix)</f>
        <v>GBPSB6L17Y_S12L6L_cubicLCH_LCHQuote</v>
      </c>
      <c r="J40" s="127">
        <v>0</v>
      </c>
      <c r="K40" s="64"/>
      <c r="L40" s="64"/>
      <c r="M40" s="48"/>
      <c r="N40" s="10" t="str">
        <f t="shared" si="15"/>
        <v>BasSw</v>
      </c>
      <c r="O40" s="94" t="str">
        <f t="shared" ref="O40:P40" si="41">IF(ISBLANK(K44),"--",K44)</f>
        <v>--</v>
      </c>
      <c r="P40" s="94" t="str">
        <f t="shared" si="41"/>
        <v>--</v>
      </c>
      <c r="Q40" s="146" t="str">
        <f>IFERROR(_xll.qlRateHelperQuoteName(O40,Trigger),"--")</f>
        <v>--</v>
      </c>
      <c r="R40" s="98" t="str">
        <f>IFERROR(_xll.qlRateHelperQuoteValue($O40,Trigger),"--")</f>
        <v>--</v>
      </c>
      <c r="S40" s="97" t="b">
        <v>0</v>
      </c>
      <c r="T40" s="94">
        <v>20</v>
      </c>
      <c r="U40" s="94">
        <v>1</v>
      </c>
      <c r="V40" s="99" t="str">
        <f>IFERROR(_xll.qlRateHelperEarliestDate(O40,Trigger),"--")</f>
        <v>--</v>
      </c>
      <c r="W40" s="99" t="str">
        <f>IFERROR(_xll.qlRateHelperPillarDate(O40,Trigger),"--")</f>
        <v>--</v>
      </c>
      <c r="Y40" s="4" t="str">
        <f t="shared" si="17"/>
        <v/>
      </c>
      <c r="Z40" s="4" t="e">
        <v>#N/A</v>
      </c>
      <c r="AA40" s="4" t="e">
        <v>#N/A</v>
      </c>
      <c r="AB40" s="4" t="str">
        <f>IFERROR(_xll.qlRateHelperQuoteName(Z40,Trigger),"")</f>
        <v/>
      </c>
      <c r="AC40" s="70" t="str">
        <f>IFERROR(_xll.qlRateHelperRate(Z40,Trigger),"")</f>
        <v/>
      </c>
      <c r="AD40" s="104" t="str">
        <f>IF(ISERROR(_xll.qlSwapRateHelperSpread($Z40)),IF(ISERROR(_xll.qlFuturesRateHelperConvexityAdjustment($Z40)),"",_xll.qlFuturesRateHelperConvexityAdjustment($Z40)),_xll.qlSwapRateHelperSpread($Z40))</f>
        <v/>
      </c>
      <c r="AE40" s="5" t="str">
        <f>IFERROR(_xll.qlRateHelperEarliestDate(Z40,Trigger),"")</f>
        <v/>
      </c>
      <c r="AF40" s="5" t="str">
        <f>IFERROR(_xll.qlRateHelperPillarDate(Z40,Trigger),"")</f>
        <v/>
      </c>
      <c r="AG40" s="70" t="e">
        <v>#N/A</v>
      </c>
      <c r="AH40" s="77" t="e">
        <v>#N/A</v>
      </c>
      <c r="AI40" s="169" t="e">
        <v>#N/A</v>
      </c>
      <c r="AJ40" s="170" t="e">
        <v>#N/A</v>
      </c>
      <c r="AK40" s="172" t="e">
        <f t="shared" si="4"/>
        <v>#N/A</v>
      </c>
      <c r="AL40" s="80" t="e">
        <v>#N/A</v>
      </c>
      <c r="AM40" s="161" t="e">
        <f t="shared" si="5"/>
        <v>#N/A</v>
      </c>
    </row>
    <row r="41" spans="1:40" ht="11.25" customHeight="1" x14ac:dyDescent="0.2">
      <c r="A41" s="59" t="s">
        <v>115</v>
      </c>
      <c r="B41" s="60" t="s">
        <v>100</v>
      </c>
      <c r="C41" s="61" t="s">
        <v>6</v>
      </c>
      <c r="D41" s="61" t="s">
        <v>154</v>
      </c>
      <c r="E41" s="61" t="s">
        <v>7</v>
      </c>
      <c r="F41" s="61" t="s">
        <v>155</v>
      </c>
      <c r="G41" s="61" t="str">
        <f t="shared" si="20"/>
        <v>GbpLibor1Y</v>
      </c>
      <c r="H41" s="59" t="str">
        <f>IF(ReportQuoteOverwrite,Currency&amp;$J$18&amp;$I$18&amp;$B41&amp;ReportQuoteSuffix,Currency&amp;$H$18&amp;$J$18&amp;B41&amp;"_S"&amp;$I$18&amp;$J$18&amp;LCHlinear&amp;QuoteSuffix)</f>
        <v>GBPSB6L18Y_S12L6L_linearLCH_LCHQuote</v>
      </c>
      <c r="I41" s="59" t="str">
        <f>IF(ReportQuoteOverwrite,Currency&amp;$J$18&amp;$I$18&amp;$B41&amp;ReportQuoteSuffix,Currency&amp;$H$18&amp;$J$18&amp;B41&amp;"_S"&amp;$I$18&amp;$J$18&amp;LCHcubic&amp;QuoteSuffix)</f>
        <v>GBPSB6L18Y_S12L6L_cubicLCH_LCHQuote</v>
      </c>
      <c r="J41" s="127">
        <v>0</v>
      </c>
      <c r="K41" s="64"/>
      <c r="L41" s="64"/>
      <c r="N41" s="10" t="str">
        <f t="shared" si="15"/>
        <v>BasSw</v>
      </c>
      <c r="O41" s="94" t="str">
        <f t="shared" ref="O41:P41" si="42">IF(ISBLANK(K45),"--",K45)</f>
        <v>--</v>
      </c>
      <c r="P41" s="94" t="str">
        <f t="shared" si="42"/>
        <v>--</v>
      </c>
      <c r="Q41" s="146" t="str">
        <f>IFERROR(_xll.qlRateHelperQuoteName(O41,Trigger),"--")</f>
        <v>--</v>
      </c>
      <c r="R41" s="98" t="str">
        <f>IFERROR(_xll.qlRateHelperQuoteValue($O41,Trigger),"--")</f>
        <v>--</v>
      </c>
      <c r="S41" s="97" t="b">
        <v>0</v>
      </c>
      <c r="T41" s="94">
        <v>20</v>
      </c>
      <c r="U41" s="94">
        <v>1</v>
      </c>
      <c r="V41" s="99" t="str">
        <f>IFERROR(_xll.qlRateHelperEarliestDate(O41,Trigger),"--")</f>
        <v>--</v>
      </c>
      <c r="W41" s="99" t="str">
        <f>IFERROR(_xll.qlRateHelperPillarDate(O41,Trigger),"--")</f>
        <v>--</v>
      </c>
      <c r="Y41" s="4" t="str">
        <f t="shared" si="17"/>
        <v/>
      </c>
      <c r="Z41" s="4" t="e">
        <v>#N/A</v>
      </c>
      <c r="AA41" s="4" t="e">
        <v>#N/A</v>
      </c>
      <c r="AB41" s="4" t="str">
        <f>IFERROR(_xll.qlRateHelperQuoteName(Z41,Trigger),"")</f>
        <v/>
      </c>
      <c r="AC41" s="70" t="str">
        <f>IFERROR(_xll.qlRateHelperRate(Z41,Trigger),"")</f>
        <v/>
      </c>
      <c r="AD41" s="104" t="str">
        <f>IF(ISERROR(_xll.qlSwapRateHelperSpread($Z41)),IF(ISERROR(_xll.qlFuturesRateHelperConvexityAdjustment($Z41)),"",_xll.qlFuturesRateHelperConvexityAdjustment($Z41)),_xll.qlSwapRateHelperSpread($Z41))</f>
        <v/>
      </c>
      <c r="AE41" s="5" t="str">
        <f>IFERROR(_xll.qlRateHelperEarliestDate(Z41,Trigger),"")</f>
        <v/>
      </c>
      <c r="AF41" s="5" t="str">
        <f>IFERROR(_xll.qlRateHelperPillarDate(Z41,Trigger),"")</f>
        <v/>
      </c>
      <c r="AG41" s="70" t="e">
        <v>#N/A</v>
      </c>
      <c r="AH41" s="77" t="e">
        <v>#N/A</v>
      </c>
      <c r="AI41" s="169" t="e">
        <v>#N/A</v>
      </c>
      <c r="AJ41" s="170" t="e">
        <v>#N/A</v>
      </c>
      <c r="AK41" s="172" t="e">
        <f t="shared" si="4"/>
        <v>#N/A</v>
      </c>
      <c r="AL41" s="80" t="e">
        <v>#N/A</v>
      </c>
      <c r="AM41" s="161" t="e">
        <f t="shared" si="5"/>
        <v>#N/A</v>
      </c>
    </row>
    <row r="42" spans="1:40" ht="11.25" customHeight="1" x14ac:dyDescent="0.2">
      <c r="A42" s="59" t="s">
        <v>115</v>
      </c>
      <c r="B42" s="60" t="s">
        <v>101</v>
      </c>
      <c r="C42" s="61" t="s">
        <v>6</v>
      </c>
      <c r="D42" s="61" t="s">
        <v>154</v>
      </c>
      <c r="E42" s="61" t="s">
        <v>7</v>
      </c>
      <c r="F42" s="61" t="s">
        <v>155</v>
      </c>
      <c r="G42" s="61" t="str">
        <f t="shared" si="20"/>
        <v>GbpLibor1Y</v>
      </c>
      <c r="H42" s="59" t="str">
        <f>IF(ReportQuoteOverwrite,Currency&amp;$J$18&amp;$I$18&amp;$B42&amp;ReportQuoteSuffix,Currency&amp;$H$18&amp;$J$18&amp;B42&amp;"_S"&amp;$I$18&amp;$J$18&amp;LCHlinear&amp;QuoteSuffix)</f>
        <v>GBPSB6L19Y_S12L6L_linearLCH_LCHQuote</v>
      </c>
      <c r="I42" s="59" t="str">
        <f>IF(ReportQuoteOverwrite,Currency&amp;$J$18&amp;$I$18&amp;$B42&amp;ReportQuoteSuffix,Currency&amp;$H$18&amp;$J$18&amp;B42&amp;"_S"&amp;$I$18&amp;$J$18&amp;LCHcubic&amp;QuoteSuffix)</f>
        <v>GBPSB6L19Y_S12L6L_cubicLCH_LCHQuote</v>
      </c>
      <c r="J42" s="127">
        <v>0</v>
      </c>
      <c r="K42" s="64"/>
      <c r="L42" s="64"/>
      <c r="N42" s="10" t="str">
        <f t="shared" si="15"/>
        <v>BasSw</v>
      </c>
      <c r="O42" s="94" t="str">
        <f t="shared" ref="O42:P42" si="43">IF(ISBLANK(K46),"--",K46)</f>
        <v>--</v>
      </c>
      <c r="P42" s="94" t="str">
        <f t="shared" si="43"/>
        <v>--</v>
      </c>
      <c r="Q42" s="146" t="str">
        <f>IFERROR(_xll.qlRateHelperQuoteName(O42,Trigger),"--")</f>
        <v>--</v>
      </c>
      <c r="R42" s="98" t="str">
        <f>IFERROR(_xll.qlRateHelperQuoteValue($O42,Trigger),"--")</f>
        <v>--</v>
      </c>
      <c r="S42" s="97" t="b">
        <v>0</v>
      </c>
      <c r="T42" s="94">
        <v>20</v>
      </c>
      <c r="U42" s="94">
        <v>1</v>
      </c>
      <c r="V42" s="99" t="str">
        <f>IFERROR(_xll.qlRateHelperEarliestDate(O42,Trigger),"--")</f>
        <v>--</v>
      </c>
      <c r="W42" s="99" t="str">
        <f>IFERROR(_xll.qlRateHelperPillarDate(O42,Trigger),"--")</f>
        <v>--</v>
      </c>
      <c r="Y42" s="4" t="str">
        <f t="shared" si="17"/>
        <v/>
      </c>
      <c r="Z42" s="4" t="e">
        <v>#N/A</v>
      </c>
      <c r="AA42" s="4" t="e">
        <v>#N/A</v>
      </c>
      <c r="AB42" s="4" t="str">
        <f>IFERROR(_xll.qlRateHelperQuoteName(Z42,Trigger),"")</f>
        <v/>
      </c>
      <c r="AC42" s="70" t="str">
        <f>IFERROR(_xll.qlRateHelperRate(Z42,Trigger),"")</f>
        <v/>
      </c>
      <c r="AD42" s="104" t="str">
        <f>IF(ISERROR(_xll.qlSwapRateHelperSpread($Z42)),IF(ISERROR(_xll.qlFuturesRateHelperConvexityAdjustment($Z42)),"",_xll.qlFuturesRateHelperConvexityAdjustment($Z42)),_xll.qlSwapRateHelperSpread($Z42))</f>
        <v/>
      </c>
      <c r="AE42" s="5" t="str">
        <f>IFERROR(_xll.qlRateHelperEarliestDate(Z42,Trigger),"")</f>
        <v/>
      </c>
      <c r="AF42" s="5" t="str">
        <f>IFERROR(_xll.qlRateHelperPillarDate(Z42,Trigger),"")</f>
        <v/>
      </c>
      <c r="AG42" s="70" t="e">
        <v>#N/A</v>
      </c>
      <c r="AH42" s="77" t="e">
        <v>#N/A</v>
      </c>
      <c r="AI42" s="169" t="e">
        <v>#N/A</v>
      </c>
      <c r="AJ42" s="170" t="e">
        <v>#N/A</v>
      </c>
      <c r="AK42" s="172" t="e">
        <f t="shared" si="4"/>
        <v>#N/A</v>
      </c>
      <c r="AL42" s="80" t="e">
        <v>#N/A</v>
      </c>
      <c r="AM42" s="161" t="e">
        <f t="shared" si="5"/>
        <v>#N/A</v>
      </c>
    </row>
    <row r="43" spans="1:40" ht="11.25" customHeight="1" x14ac:dyDescent="0.2">
      <c r="A43" s="59" t="s">
        <v>115</v>
      </c>
      <c r="B43" s="60" t="s">
        <v>62</v>
      </c>
      <c r="C43" s="61" t="s">
        <v>6</v>
      </c>
      <c r="D43" s="61" t="s">
        <v>154</v>
      </c>
      <c r="E43" s="61" t="s">
        <v>7</v>
      </c>
      <c r="F43" s="61" t="s">
        <v>155</v>
      </c>
      <c r="G43" s="61" t="str">
        <f t="shared" si="20"/>
        <v>GbpLibor1Y</v>
      </c>
      <c r="H43" s="59" t="str">
        <f>IF(ReportQuoteOverwrite,Currency&amp;$J$18&amp;$I$18&amp;$B43&amp;ReportQuoteSuffix,Currency&amp;$H$18&amp;$J$18&amp;B43&amp;"_S"&amp;$I$18&amp;$J$18&amp;LCHlinear&amp;QuoteSuffix)</f>
        <v>GBPSB6L20Y_S12L6L_linearLCH_LCHQuote</v>
      </c>
      <c r="I43" s="59" t="str">
        <f>IF(ReportQuoteOverwrite,Currency&amp;$J$18&amp;$I$18&amp;$B43&amp;ReportQuoteSuffix,Currency&amp;$H$18&amp;$J$18&amp;B43&amp;"_S"&amp;$I$18&amp;$J$18&amp;LCHcubic&amp;QuoteSuffix)</f>
        <v>GBPSB6L20Y_S12L6L_cubicLCH_LCHQuote</v>
      </c>
      <c r="J43" s="127">
        <v>0</v>
      </c>
      <c r="K43" s="64" t="str">
        <f>_xll.qlSwapRateHelper2(,$H43,0,$B43,Calendar,$D43,$E43,$F43,$G43,$J43,$C43,Discounting1,PillarDate,,Permanent,Trigger,ObjectOverwrite)</f>
        <v>obj_004a1#0001</v>
      </c>
      <c r="L43" s="64" t="str">
        <f>_xll.qlSwapRateHelper2(,$I43,0,$B43,Calendar,$D43,$E43,$F43,$G43,$J43,$C43,Discounting2,PillarDate,,Permanent,Trigger,ObjectOverwrite)</f>
        <v>obj_00496#0001</v>
      </c>
      <c r="N43" s="10" t="str">
        <f t="shared" si="15"/>
        <v>BasSw</v>
      </c>
      <c r="O43" s="94" t="str">
        <f t="shared" ref="O43:P43" si="44">IF(ISBLANK(K47),"--",K47)</f>
        <v>--</v>
      </c>
      <c r="P43" s="94" t="str">
        <f t="shared" si="44"/>
        <v>--</v>
      </c>
      <c r="Q43" s="146" t="str">
        <f>IFERROR(_xll.qlRateHelperQuoteName(O43,Trigger),"--")</f>
        <v>--</v>
      </c>
      <c r="R43" s="98" t="str">
        <f>IFERROR(_xll.qlRateHelperQuoteValue($O43,Trigger),"--")</f>
        <v>--</v>
      </c>
      <c r="S43" s="97" t="b">
        <v>0</v>
      </c>
      <c r="T43" s="94">
        <v>20</v>
      </c>
      <c r="U43" s="94">
        <v>1</v>
      </c>
      <c r="V43" s="99" t="str">
        <f>IFERROR(_xll.qlRateHelperEarliestDate(O43,Trigger),"--")</f>
        <v>--</v>
      </c>
      <c r="W43" s="99" t="str">
        <f>IFERROR(_xll.qlRateHelperPillarDate(O43,Trigger),"--")</f>
        <v>--</v>
      </c>
      <c r="Y43" s="4" t="str">
        <f t="shared" si="17"/>
        <v/>
      </c>
      <c r="Z43" s="4" t="e">
        <v>#N/A</v>
      </c>
      <c r="AA43" s="4" t="e">
        <v>#N/A</v>
      </c>
      <c r="AB43" s="4" t="str">
        <f>IFERROR(_xll.qlRateHelperQuoteName(Z43,Trigger),"")</f>
        <v/>
      </c>
      <c r="AC43" s="70" t="str">
        <f>IFERROR(_xll.qlRateHelperRate(Z43,Trigger),"")</f>
        <v/>
      </c>
      <c r="AD43" s="104" t="str">
        <f>IF(ISERROR(_xll.qlSwapRateHelperSpread($Z43)),IF(ISERROR(_xll.qlFuturesRateHelperConvexityAdjustment($Z43)),"",_xll.qlFuturesRateHelperConvexityAdjustment($Z43)),_xll.qlSwapRateHelperSpread($Z43))</f>
        <v/>
      </c>
      <c r="AE43" s="5" t="str">
        <f>IFERROR(_xll.qlRateHelperEarliestDate(Z43,Trigger),"")</f>
        <v/>
      </c>
      <c r="AF43" s="5" t="str">
        <f>IFERROR(_xll.qlRateHelperPillarDate(Z43,Trigger),"")</f>
        <v/>
      </c>
      <c r="AG43" s="70" t="e">
        <v>#N/A</v>
      </c>
      <c r="AH43" s="77" t="e">
        <v>#N/A</v>
      </c>
      <c r="AI43" s="169" t="e">
        <v>#N/A</v>
      </c>
      <c r="AJ43" s="170" t="e">
        <v>#N/A</v>
      </c>
      <c r="AK43" s="172" t="e">
        <f t="shared" si="4"/>
        <v>#N/A</v>
      </c>
      <c r="AL43" s="80" t="e">
        <v>#N/A</v>
      </c>
      <c r="AM43" s="161" t="e">
        <f t="shared" si="5"/>
        <v>#N/A</v>
      </c>
    </row>
    <row r="44" spans="1:40" ht="11.25" customHeight="1" x14ac:dyDescent="0.2">
      <c r="A44" s="59" t="s">
        <v>115</v>
      </c>
      <c r="B44" s="60" t="s">
        <v>102</v>
      </c>
      <c r="C44" s="61" t="s">
        <v>6</v>
      </c>
      <c r="D44" s="61" t="s">
        <v>154</v>
      </c>
      <c r="E44" s="61" t="s">
        <v>7</v>
      </c>
      <c r="F44" s="61" t="s">
        <v>155</v>
      </c>
      <c r="G44" s="61" t="str">
        <f t="shared" si="20"/>
        <v>GbpLibor1Y</v>
      </c>
      <c r="H44" s="59" t="str">
        <f>IF(ReportQuoteOverwrite,Currency&amp;$J$18&amp;$I$18&amp;$B44&amp;ReportQuoteSuffix,Currency&amp;$H$18&amp;$J$18&amp;B44&amp;"_S"&amp;$I$18&amp;$J$18&amp;LCHlinear&amp;QuoteSuffix)</f>
        <v>GBPSB6L21Y_S12L6L_linearLCH_LCHQuote</v>
      </c>
      <c r="I44" s="59" t="str">
        <f>IF(ReportQuoteOverwrite,Currency&amp;$J$18&amp;$I$18&amp;$B44&amp;ReportQuoteSuffix,Currency&amp;$H$18&amp;$J$18&amp;B44&amp;"_S"&amp;$I$18&amp;$J$18&amp;LCHcubic&amp;QuoteSuffix)</f>
        <v>GBPSB6L21Y_S12L6L_cubicLCH_LCHQuote</v>
      </c>
      <c r="J44" s="127">
        <v>0</v>
      </c>
      <c r="K44" s="64"/>
      <c r="L44" s="64"/>
      <c r="N44" s="10" t="str">
        <f t="shared" si="15"/>
        <v>BasSw</v>
      </c>
      <c r="O44" s="94" t="str">
        <f t="shared" ref="O44:P44" si="45">IF(ISBLANK(K48),"--",K48)</f>
        <v>obj_004aa#0001</v>
      </c>
      <c r="P44" s="94" t="str">
        <f t="shared" si="45"/>
        <v>obj_00482#0001</v>
      </c>
      <c r="Q44" s="146" t="str">
        <f>IFERROR(_xll.qlRateHelperQuoteName(O44,Trigger),"--")</f>
        <v>GBPSB6L25Y_S12L6L_linearLCH_LCHQuote</v>
      </c>
      <c r="R44" s="98">
        <f>IFERROR(_xll.qlRateHelperQuoteValue($O44,Trigger),"--")</f>
        <v>2.2513000000023511E-2</v>
      </c>
      <c r="S44" s="97" t="b">
        <v>1</v>
      </c>
      <c r="T44" s="94">
        <v>20</v>
      </c>
      <c r="U44" s="94">
        <v>1</v>
      </c>
      <c r="V44" s="99">
        <f>IFERROR(_xll.qlRateHelperEarliestDate(O44,Trigger),"--")</f>
        <v>42321</v>
      </c>
      <c r="W44" s="99">
        <f>IFERROR(_xll.qlRateHelperPillarDate(O44,Trigger),"--")</f>
        <v>51453</v>
      </c>
      <c r="Y44" s="4" t="str">
        <f t="shared" si="17"/>
        <v/>
      </c>
      <c r="Z44" s="4" t="e">
        <v>#N/A</v>
      </c>
      <c r="AA44" s="4" t="e">
        <v>#N/A</v>
      </c>
      <c r="AB44" s="4" t="str">
        <f>IFERROR(_xll.qlRateHelperQuoteName(Z44,Trigger),"")</f>
        <v/>
      </c>
      <c r="AC44" s="70" t="str">
        <f>IFERROR(_xll.qlRateHelperRate(Z44,Trigger),"")</f>
        <v/>
      </c>
      <c r="AD44" s="104" t="str">
        <f>IF(ISERROR(_xll.qlSwapRateHelperSpread($Z44)),IF(ISERROR(_xll.qlFuturesRateHelperConvexityAdjustment($Z44)),"",_xll.qlFuturesRateHelperConvexityAdjustment($Z44)),_xll.qlSwapRateHelperSpread($Z44))</f>
        <v/>
      </c>
      <c r="AE44" s="5" t="str">
        <f>IFERROR(_xll.qlRateHelperEarliestDate(Z44,Trigger),"")</f>
        <v/>
      </c>
      <c r="AF44" s="5" t="str">
        <f>IFERROR(_xll.qlRateHelperPillarDate(Z44,Trigger),"")</f>
        <v/>
      </c>
      <c r="AG44" s="70" t="e">
        <v>#N/A</v>
      </c>
      <c r="AH44" s="77" t="e">
        <v>#N/A</v>
      </c>
      <c r="AI44" s="169" t="e">
        <v>#N/A</v>
      </c>
      <c r="AJ44" s="170" t="e">
        <v>#N/A</v>
      </c>
      <c r="AK44" s="172" t="e">
        <f t="shared" si="4"/>
        <v>#N/A</v>
      </c>
      <c r="AL44" s="80" t="e">
        <v>#N/A</v>
      </c>
      <c r="AM44" s="161" t="e">
        <f t="shared" si="5"/>
        <v>#N/A</v>
      </c>
    </row>
    <row r="45" spans="1:40" ht="11.25" customHeight="1" x14ac:dyDescent="0.2">
      <c r="A45" s="59" t="s">
        <v>115</v>
      </c>
      <c r="B45" s="60" t="s">
        <v>103</v>
      </c>
      <c r="C45" s="61" t="s">
        <v>6</v>
      </c>
      <c r="D45" s="61" t="s">
        <v>154</v>
      </c>
      <c r="E45" s="61" t="s">
        <v>7</v>
      </c>
      <c r="F45" s="61" t="s">
        <v>155</v>
      </c>
      <c r="G45" s="61" t="str">
        <f t="shared" si="20"/>
        <v>GbpLibor1Y</v>
      </c>
      <c r="H45" s="59" t="str">
        <f>IF(ReportQuoteOverwrite,Currency&amp;$J$18&amp;$I$18&amp;$B45&amp;ReportQuoteSuffix,Currency&amp;$H$18&amp;$J$18&amp;B45&amp;"_S"&amp;$I$18&amp;$J$18&amp;LCHlinear&amp;QuoteSuffix)</f>
        <v>GBPSB6L22Y_S12L6L_linearLCH_LCHQuote</v>
      </c>
      <c r="I45" s="59" t="str">
        <f>IF(ReportQuoteOverwrite,Currency&amp;$J$18&amp;$I$18&amp;$B45&amp;ReportQuoteSuffix,Currency&amp;$H$18&amp;$J$18&amp;B45&amp;"_S"&amp;$I$18&amp;$J$18&amp;LCHcubic&amp;QuoteSuffix)</f>
        <v>GBPSB6L22Y_S12L6L_cubicLCH_LCHQuote</v>
      </c>
      <c r="J45" s="127">
        <v>0</v>
      </c>
      <c r="K45" s="64"/>
      <c r="L45" s="64"/>
      <c r="N45" s="10" t="str">
        <f t="shared" si="15"/>
        <v>BasSw</v>
      </c>
      <c r="O45" s="94" t="str">
        <f t="shared" ref="O45:P45" si="46">IF(ISBLANK(K49),"--",K49)</f>
        <v>--</v>
      </c>
      <c r="P45" s="94" t="str">
        <f t="shared" si="46"/>
        <v>--</v>
      </c>
      <c r="Q45" s="146" t="str">
        <f>IFERROR(_xll.qlRateHelperQuoteName(O45,Trigger),"--")</f>
        <v>--</v>
      </c>
      <c r="R45" s="98" t="str">
        <f>IFERROR(_xll.qlRateHelperQuoteValue($O45,Trigger),"--")</f>
        <v>--</v>
      </c>
      <c r="S45" s="97" t="b">
        <v>0</v>
      </c>
      <c r="T45" s="94">
        <v>20</v>
      </c>
      <c r="U45" s="94">
        <v>1</v>
      </c>
      <c r="V45" s="99" t="str">
        <f>IFERROR(_xll.qlRateHelperEarliestDate(O45,Trigger),"--")</f>
        <v>--</v>
      </c>
      <c r="W45" s="99" t="str">
        <f>IFERROR(_xll.qlRateHelperPillarDate(O45,Trigger),"--")</f>
        <v>--</v>
      </c>
      <c r="Y45" s="4" t="str">
        <f t="shared" si="17"/>
        <v/>
      </c>
      <c r="Z45" s="4" t="e">
        <v>#N/A</v>
      </c>
      <c r="AA45" s="4" t="e">
        <v>#N/A</v>
      </c>
      <c r="AB45" s="4" t="str">
        <f>IFERROR(_xll.qlRateHelperQuoteName(Z45,Trigger),"")</f>
        <v/>
      </c>
      <c r="AC45" s="70" t="str">
        <f>IFERROR(_xll.qlRateHelperRate(Z45,Trigger),"")</f>
        <v/>
      </c>
      <c r="AD45" s="104" t="str">
        <f>IF(ISERROR(_xll.qlSwapRateHelperSpread($Z45)),IF(ISERROR(_xll.qlFuturesRateHelperConvexityAdjustment($Z45)),"",_xll.qlFuturesRateHelperConvexityAdjustment($Z45)),_xll.qlSwapRateHelperSpread($Z45))</f>
        <v/>
      </c>
      <c r="AE45" s="5" t="str">
        <f>IFERROR(_xll.qlRateHelperEarliestDate(Z45,Trigger),"")</f>
        <v/>
      </c>
      <c r="AF45" s="5" t="str">
        <f>IFERROR(_xll.qlRateHelperPillarDate(Z45,Trigger),"")</f>
        <v/>
      </c>
      <c r="AG45" s="70" t="e">
        <v>#N/A</v>
      </c>
      <c r="AH45" s="77" t="e">
        <v>#N/A</v>
      </c>
      <c r="AI45" s="169" t="e">
        <v>#N/A</v>
      </c>
      <c r="AJ45" s="170" t="e">
        <v>#N/A</v>
      </c>
      <c r="AK45" s="172" t="e">
        <f t="shared" si="4"/>
        <v>#N/A</v>
      </c>
      <c r="AL45" s="80" t="e">
        <v>#N/A</v>
      </c>
      <c r="AM45" s="161" t="e">
        <f t="shared" si="5"/>
        <v>#N/A</v>
      </c>
    </row>
    <row r="46" spans="1:40" ht="11.25" customHeight="1" x14ac:dyDescent="0.2">
      <c r="A46" s="59" t="s">
        <v>115</v>
      </c>
      <c r="B46" s="60" t="s">
        <v>104</v>
      </c>
      <c r="C46" s="61" t="s">
        <v>6</v>
      </c>
      <c r="D46" s="61" t="s">
        <v>154</v>
      </c>
      <c r="E46" s="61" t="s">
        <v>7</v>
      </c>
      <c r="F46" s="61" t="s">
        <v>155</v>
      </c>
      <c r="G46" s="61" t="str">
        <f t="shared" si="20"/>
        <v>GbpLibor1Y</v>
      </c>
      <c r="H46" s="59" t="str">
        <f>IF(ReportQuoteOverwrite,Currency&amp;$J$18&amp;$I$18&amp;$B46&amp;ReportQuoteSuffix,Currency&amp;$H$18&amp;$J$18&amp;B46&amp;"_S"&amp;$I$18&amp;$J$18&amp;LCHlinear&amp;QuoteSuffix)</f>
        <v>GBPSB6L23Y_S12L6L_linearLCH_LCHQuote</v>
      </c>
      <c r="I46" s="59" t="str">
        <f>IF(ReportQuoteOverwrite,Currency&amp;$J$18&amp;$I$18&amp;$B46&amp;ReportQuoteSuffix,Currency&amp;$H$18&amp;$J$18&amp;B46&amp;"_S"&amp;$I$18&amp;$J$18&amp;LCHcubic&amp;QuoteSuffix)</f>
        <v>GBPSB6L23Y_S12L6L_cubicLCH_LCHQuote</v>
      </c>
      <c r="J46" s="127">
        <v>0</v>
      </c>
      <c r="K46" s="64"/>
      <c r="L46" s="64"/>
      <c r="N46" s="10" t="str">
        <f t="shared" si="15"/>
        <v>BasSw</v>
      </c>
      <c r="O46" s="94" t="str">
        <f t="shared" ref="O46:P46" si="47">IF(ISBLANK(K50),"--",K50)</f>
        <v>--</v>
      </c>
      <c r="P46" s="94" t="str">
        <f t="shared" si="47"/>
        <v>--</v>
      </c>
      <c r="Q46" s="146" t="str">
        <f>IFERROR(_xll.qlRateHelperQuoteName(O46,Trigger),"--")</f>
        <v>--</v>
      </c>
      <c r="R46" s="98" t="str">
        <f>IFERROR(_xll.qlRateHelperQuoteValue($O46,Trigger),"--")</f>
        <v>--</v>
      </c>
      <c r="S46" s="97" t="b">
        <v>0</v>
      </c>
      <c r="T46" s="94">
        <v>20</v>
      </c>
      <c r="U46" s="94">
        <v>1</v>
      </c>
      <c r="V46" s="99" t="str">
        <f>IFERROR(_xll.qlRateHelperEarliestDate(O46,Trigger),"--")</f>
        <v>--</v>
      </c>
      <c r="W46" s="99" t="str">
        <f>IFERROR(_xll.qlRateHelperPillarDate(O46,Trigger),"--")</f>
        <v>--</v>
      </c>
      <c r="Y46" s="4" t="str">
        <f t="shared" si="17"/>
        <v/>
      </c>
      <c r="Z46" s="4" t="e">
        <v>#N/A</v>
      </c>
      <c r="AA46" s="4" t="e">
        <v>#N/A</v>
      </c>
      <c r="AB46" s="4" t="str">
        <f>IFERROR(_xll.qlRateHelperQuoteName(Z46,Trigger),"")</f>
        <v/>
      </c>
      <c r="AC46" s="70" t="str">
        <f>IFERROR(_xll.qlRateHelperRate(Z46,Trigger),"")</f>
        <v/>
      </c>
      <c r="AD46" s="104" t="str">
        <f>IF(ISERROR(_xll.qlSwapRateHelperSpread($Z46)),IF(ISERROR(_xll.qlFuturesRateHelperConvexityAdjustment($Z46)),"",_xll.qlFuturesRateHelperConvexityAdjustment($Z46)),_xll.qlSwapRateHelperSpread($Z46))</f>
        <v/>
      </c>
      <c r="AE46" s="5" t="str">
        <f>IFERROR(_xll.qlRateHelperEarliestDate(Z46,Trigger),"")</f>
        <v/>
      </c>
      <c r="AF46" s="5" t="str">
        <f>IFERROR(_xll.qlRateHelperPillarDate(Z46,Trigger),"")</f>
        <v/>
      </c>
      <c r="AG46" s="70" t="e">
        <v>#N/A</v>
      </c>
      <c r="AH46" s="77" t="e">
        <v>#N/A</v>
      </c>
      <c r="AI46" s="169" t="e">
        <v>#N/A</v>
      </c>
      <c r="AJ46" s="170" t="e">
        <v>#N/A</v>
      </c>
      <c r="AK46" s="172" t="e">
        <f t="shared" si="4"/>
        <v>#N/A</v>
      </c>
      <c r="AL46" s="80" t="e">
        <v>#N/A</v>
      </c>
      <c r="AM46" s="161" t="e">
        <f t="shared" si="5"/>
        <v>#N/A</v>
      </c>
    </row>
    <row r="47" spans="1:40" ht="11.25" customHeight="1" x14ac:dyDescent="0.2">
      <c r="A47" s="59" t="s">
        <v>115</v>
      </c>
      <c r="B47" s="60" t="s">
        <v>105</v>
      </c>
      <c r="C47" s="61" t="s">
        <v>6</v>
      </c>
      <c r="D47" s="61" t="s">
        <v>154</v>
      </c>
      <c r="E47" s="61" t="s">
        <v>7</v>
      </c>
      <c r="F47" s="61" t="s">
        <v>155</v>
      </c>
      <c r="G47" s="61" t="str">
        <f t="shared" si="20"/>
        <v>GbpLibor1Y</v>
      </c>
      <c r="H47" s="59" t="str">
        <f>IF(ReportQuoteOverwrite,Currency&amp;$J$18&amp;$I$18&amp;$B47&amp;ReportQuoteSuffix,Currency&amp;$H$18&amp;$J$18&amp;B47&amp;"_S"&amp;$I$18&amp;$J$18&amp;LCHlinear&amp;QuoteSuffix)</f>
        <v>GBPSB6L24Y_S12L6L_linearLCH_LCHQuote</v>
      </c>
      <c r="I47" s="59" t="str">
        <f>IF(ReportQuoteOverwrite,Currency&amp;$J$18&amp;$I$18&amp;$B47&amp;ReportQuoteSuffix,Currency&amp;$H$18&amp;$J$18&amp;B47&amp;"_S"&amp;$I$18&amp;$J$18&amp;LCHcubic&amp;QuoteSuffix)</f>
        <v>GBPSB6L24Y_S12L6L_cubicLCH_LCHQuote</v>
      </c>
      <c r="J47" s="127">
        <v>0</v>
      </c>
      <c r="K47" s="64"/>
      <c r="L47" s="64"/>
      <c r="N47" s="10" t="str">
        <f t="shared" si="15"/>
        <v>BasSw</v>
      </c>
      <c r="O47" s="94" t="str">
        <f t="shared" ref="O47:P47" si="48">IF(ISBLANK(K51),"--",K51)</f>
        <v>--</v>
      </c>
      <c r="P47" s="94" t="str">
        <f t="shared" si="48"/>
        <v>--</v>
      </c>
      <c r="Q47" s="146" t="str">
        <f>IFERROR(_xll.qlRateHelperQuoteName(O47,Trigger),"--")</f>
        <v>--</v>
      </c>
      <c r="R47" s="98" t="str">
        <f>IFERROR(_xll.qlRateHelperQuoteValue($O47,Trigger),"--")</f>
        <v>--</v>
      </c>
      <c r="S47" s="97" t="b">
        <v>0</v>
      </c>
      <c r="T47" s="94">
        <v>20</v>
      </c>
      <c r="U47" s="94">
        <v>1</v>
      </c>
      <c r="V47" s="99" t="str">
        <f>IFERROR(_xll.qlRateHelperEarliestDate(O47,Trigger),"--")</f>
        <v>--</v>
      </c>
      <c r="W47" s="99" t="str">
        <f>IFERROR(_xll.qlRateHelperPillarDate(O47,Trigger),"--")</f>
        <v>--</v>
      </c>
      <c r="Y47" s="4" t="str">
        <f t="shared" si="17"/>
        <v/>
      </c>
      <c r="Z47" s="4" t="e">
        <v>#N/A</v>
      </c>
      <c r="AA47" s="4" t="e">
        <v>#N/A</v>
      </c>
      <c r="AB47" s="4" t="str">
        <f>IFERROR(_xll.qlRateHelperQuoteName(Z47,Trigger),"")</f>
        <v/>
      </c>
      <c r="AC47" s="70" t="str">
        <f>IFERROR(_xll.qlRateHelperRate(Z47,Trigger),"")</f>
        <v/>
      </c>
      <c r="AD47" s="104" t="str">
        <f>IF(ISERROR(_xll.qlSwapRateHelperSpread($Z47)),IF(ISERROR(_xll.qlFuturesRateHelperConvexityAdjustment($Z47)),"",_xll.qlFuturesRateHelperConvexityAdjustment($Z47)),_xll.qlSwapRateHelperSpread($Z47))</f>
        <v/>
      </c>
      <c r="AE47" s="5" t="str">
        <f>IFERROR(_xll.qlRateHelperEarliestDate(Z47,Trigger),"")</f>
        <v/>
      </c>
      <c r="AF47" s="5" t="str">
        <f>IFERROR(_xll.qlRateHelperPillarDate(Z47,Trigger),"")</f>
        <v/>
      </c>
      <c r="AG47" s="70" t="e">
        <v>#N/A</v>
      </c>
      <c r="AH47" s="77" t="e">
        <v>#N/A</v>
      </c>
      <c r="AI47" s="169" t="e">
        <v>#N/A</v>
      </c>
      <c r="AJ47" s="170" t="e">
        <v>#N/A</v>
      </c>
      <c r="AK47" s="172" t="e">
        <f t="shared" si="4"/>
        <v>#N/A</v>
      </c>
      <c r="AL47" s="80" t="e">
        <v>#N/A</v>
      </c>
      <c r="AM47" s="161" t="e">
        <f t="shared" si="5"/>
        <v>#N/A</v>
      </c>
    </row>
    <row r="48" spans="1:40" ht="11.25" customHeight="1" x14ac:dyDescent="0.2">
      <c r="A48" s="59" t="s">
        <v>115</v>
      </c>
      <c r="B48" s="60" t="s">
        <v>63</v>
      </c>
      <c r="C48" s="61" t="s">
        <v>6</v>
      </c>
      <c r="D48" s="61" t="s">
        <v>154</v>
      </c>
      <c r="E48" s="61" t="s">
        <v>7</v>
      </c>
      <c r="F48" s="61" t="s">
        <v>155</v>
      </c>
      <c r="G48" s="61" t="str">
        <f t="shared" si="20"/>
        <v>GbpLibor1Y</v>
      </c>
      <c r="H48" s="59" t="str">
        <f>IF(ReportQuoteOverwrite,Currency&amp;$J$18&amp;$I$18&amp;$B48&amp;ReportQuoteSuffix,Currency&amp;$H$18&amp;$J$18&amp;B48&amp;"_S"&amp;$I$18&amp;$J$18&amp;LCHlinear&amp;QuoteSuffix)</f>
        <v>GBPSB6L25Y_S12L6L_linearLCH_LCHQuote</v>
      </c>
      <c r="I48" s="59" t="str">
        <f>IF(ReportQuoteOverwrite,Currency&amp;$J$18&amp;$I$18&amp;$B48&amp;ReportQuoteSuffix,Currency&amp;$H$18&amp;$J$18&amp;B48&amp;"_S"&amp;$I$18&amp;$J$18&amp;LCHcubic&amp;QuoteSuffix)</f>
        <v>GBPSB6L25Y_S12L6L_cubicLCH_LCHQuote</v>
      </c>
      <c r="J48" s="127">
        <v>0</v>
      </c>
      <c r="K48" s="64" t="str">
        <f>_xll.qlSwapRateHelper2(,$H48,0,$B48,Calendar,$D48,$E48,$F48,$G48,$J48,$C48,Discounting1,PillarDate,,Permanent,Trigger,ObjectOverwrite)</f>
        <v>obj_004aa#0001</v>
      </c>
      <c r="L48" s="64" t="str">
        <f>_xll.qlSwapRateHelper2(,$I48,0,$B48,Calendar,$D48,$E48,$F48,$G48,$J48,$C48,Discounting2,PillarDate,,Permanent,Trigger,ObjectOverwrite)</f>
        <v>obj_00482#0001</v>
      </c>
      <c r="N48" s="10" t="str">
        <f t="shared" si="15"/>
        <v>BasSw</v>
      </c>
      <c r="O48" s="94" t="str">
        <f t="shared" ref="O48:P48" si="49">IF(ISBLANK(K52),"--",K52)</f>
        <v>--</v>
      </c>
      <c r="P48" s="94" t="str">
        <f t="shared" si="49"/>
        <v>--</v>
      </c>
      <c r="Q48" s="146" t="str">
        <f>IFERROR(_xll.qlRateHelperQuoteName(O48,Trigger),"--")</f>
        <v>--</v>
      </c>
      <c r="R48" s="98" t="str">
        <f>IFERROR(_xll.qlRateHelperQuoteValue($O48,Trigger),"--")</f>
        <v>--</v>
      </c>
      <c r="S48" s="97" t="b">
        <v>0</v>
      </c>
      <c r="T48" s="94">
        <v>20</v>
      </c>
      <c r="U48" s="94">
        <v>1</v>
      </c>
      <c r="V48" s="99" t="str">
        <f>IFERROR(_xll.qlRateHelperEarliestDate(O48,Trigger),"--")</f>
        <v>--</v>
      </c>
      <c r="W48" s="99" t="str">
        <f>IFERROR(_xll.qlRateHelperPillarDate(O48,Trigger),"--")</f>
        <v>--</v>
      </c>
      <c r="Y48" s="4" t="str">
        <f t="shared" si="17"/>
        <v/>
      </c>
      <c r="Z48" s="4" t="e">
        <v>#N/A</v>
      </c>
      <c r="AA48" s="4" t="e">
        <v>#N/A</v>
      </c>
      <c r="AB48" s="4" t="str">
        <f>IFERROR(_xll.qlRateHelperQuoteName(Z48,Trigger),"")</f>
        <v/>
      </c>
      <c r="AC48" s="70" t="str">
        <f>IFERROR(_xll.qlRateHelperRate(Z48,Trigger),"")</f>
        <v/>
      </c>
      <c r="AD48" s="104" t="str">
        <f>IF(ISERROR(_xll.qlSwapRateHelperSpread($Z48)),IF(ISERROR(_xll.qlFuturesRateHelperConvexityAdjustment($Z48)),"",_xll.qlFuturesRateHelperConvexityAdjustment($Z48)),_xll.qlSwapRateHelperSpread($Z48))</f>
        <v/>
      </c>
      <c r="AE48" s="5" t="str">
        <f>IFERROR(_xll.qlRateHelperEarliestDate(Z48,Trigger),"")</f>
        <v/>
      </c>
      <c r="AF48" s="5" t="str">
        <f>IFERROR(_xll.qlRateHelperPillarDate(Z48,Trigger),"")</f>
        <v/>
      </c>
      <c r="AG48" s="70" t="e">
        <v>#N/A</v>
      </c>
      <c r="AH48" s="77" t="e">
        <v>#N/A</v>
      </c>
      <c r="AI48" s="169" t="e">
        <v>#N/A</v>
      </c>
      <c r="AJ48" s="170" t="e">
        <v>#N/A</v>
      </c>
      <c r="AK48" s="172" t="e">
        <f t="shared" si="4"/>
        <v>#N/A</v>
      </c>
      <c r="AL48" s="80" t="e">
        <v>#N/A</v>
      </c>
      <c r="AM48" s="161" t="e">
        <f t="shared" si="5"/>
        <v>#N/A</v>
      </c>
    </row>
    <row r="49" spans="1:39" ht="11.25" customHeight="1" x14ac:dyDescent="0.2">
      <c r="A49" s="59" t="s">
        <v>115</v>
      </c>
      <c r="B49" s="60" t="s">
        <v>106</v>
      </c>
      <c r="C49" s="61" t="s">
        <v>6</v>
      </c>
      <c r="D49" s="61" t="s">
        <v>154</v>
      </c>
      <c r="E49" s="61" t="s">
        <v>7</v>
      </c>
      <c r="F49" s="61" t="s">
        <v>155</v>
      </c>
      <c r="G49" s="61" t="str">
        <f t="shared" si="20"/>
        <v>GbpLibor1Y</v>
      </c>
      <c r="H49" s="59" t="str">
        <f>IF(ReportQuoteOverwrite,Currency&amp;$J$18&amp;$I$18&amp;$B49&amp;ReportQuoteSuffix,Currency&amp;$H$18&amp;$J$18&amp;B49&amp;"_S"&amp;$I$18&amp;$J$18&amp;LCHlinear&amp;QuoteSuffix)</f>
        <v>GBPSB6L26Y_S12L6L_linearLCH_LCHQuote</v>
      </c>
      <c r="I49" s="59" t="str">
        <f>IF(ReportQuoteOverwrite,Currency&amp;$J$18&amp;$I$18&amp;$B49&amp;ReportQuoteSuffix,Currency&amp;$H$18&amp;$J$18&amp;B49&amp;"_S"&amp;$I$18&amp;$J$18&amp;LCHcubic&amp;QuoteSuffix)</f>
        <v>GBPSB6L26Y_S12L6L_cubicLCH_LCHQuote</v>
      </c>
      <c r="J49" s="127">
        <v>0</v>
      </c>
      <c r="K49" s="64"/>
      <c r="L49" s="64"/>
      <c r="N49" s="10" t="str">
        <f t="shared" si="15"/>
        <v>BasSw</v>
      </c>
      <c r="O49" s="94" t="str">
        <f t="shared" ref="O49:P49" si="50">IF(ISBLANK(K53),"--",K53)</f>
        <v>obj_004bd#0001</v>
      </c>
      <c r="P49" s="94" t="str">
        <f t="shared" si="50"/>
        <v>obj_0048d#0001</v>
      </c>
      <c r="Q49" s="146" t="str">
        <f>IFERROR(_xll.qlRateHelperQuoteName(O49,Trigger),"--")</f>
        <v>GBPSB6L30Y_S12L6L_linearLCH_LCHQuote</v>
      </c>
      <c r="R49" s="98">
        <f>IFERROR(_xll.qlRateHelperQuoteValue($O49,Trigger),"--")</f>
        <v>2.2258000000040985E-2</v>
      </c>
      <c r="S49" s="97" t="b">
        <v>1</v>
      </c>
      <c r="T49" s="94">
        <v>20</v>
      </c>
      <c r="U49" s="94">
        <v>1</v>
      </c>
      <c r="V49" s="99">
        <f>IFERROR(_xll.qlRateHelperEarliestDate(O49,Trigger),"--")</f>
        <v>42321</v>
      </c>
      <c r="W49" s="99">
        <f>IFERROR(_xll.qlRateHelperPillarDate(O49,Trigger),"--")</f>
        <v>53279</v>
      </c>
      <c r="Y49" s="4" t="str">
        <f t="shared" si="17"/>
        <v/>
      </c>
      <c r="Z49" s="4" t="e">
        <v>#N/A</v>
      </c>
      <c r="AA49" s="4" t="e">
        <v>#N/A</v>
      </c>
      <c r="AB49" s="4" t="str">
        <f>IFERROR(_xll.qlRateHelperQuoteName(Z49,Trigger),"")</f>
        <v/>
      </c>
      <c r="AC49" s="70" t="str">
        <f>IFERROR(_xll.qlRateHelperRate(Z49,Trigger),"")</f>
        <v/>
      </c>
      <c r="AD49" s="104" t="str">
        <f>IF(ISERROR(_xll.qlSwapRateHelperSpread($Z49)),IF(ISERROR(_xll.qlFuturesRateHelperConvexityAdjustment($Z49)),"",_xll.qlFuturesRateHelperConvexityAdjustment($Z49)),_xll.qlSwapRateHelperSpread($Z49))</f>
        <v/>
      </c>
      <c r="AE49" s="5" t="str">
        <f>IFERROR(_xll.qlRateHelperEarliestDate(Z49,Trigger),"")</f>
        <v/>
      </c>
      <c r="AF49" s="5" t="str">
        <f>IFERROR(_xll.qlRateHelperPillarDate(Z49,Trigger),"")</f>
        <v/>
      </c>
      <c r="AG49" s="70" t="e">
        <v>#N/A</v>
      </c>
      <c r="AH49" s="77" t="e">
        <v>#N/A</v>
      </c>
      <c r="AI49" s="169" t="e">
        <v>#N/A</v>
      </c>
      <c r="AJ49" s="170" t="e">
        <v>#N/A</v>
      </c>
      <c r="AK49" s="172" t="e">
        <f t="shared" si="4"/>
        <v>#N/A</v>
      </c>
      <c r="AL49" s="80" t="e">
        <v>#N/A</v>
      </c>
      <c r="AM49" s="161" t="e">
        <f t="shared" si="5"/>
        <v>#N/A</v>
      </c>
    </row>
    <row r="50" spans="1:39" ht="11.25" customHeight="1" x14ac:dyDescent="0.2">
      <c r="A50" s="59" t="s">
        <v>115</v>
      </c>
      <c r="B50" s="60" t="s">
        <v>64</v>
      </c>
      <c r="C50" s="61" t="s">
        <v>6</v>
      </c>
      <c r="D50" s="61" t="s">
        <v>154</v>
      </c>
      <c r="E50" s="61" t="s">
        <v>7</v>
      </c>
      <c r="F50" s="61" t="s">
        <v>155</v>
      </c>
      <c r="G50" s="61" t="str">
        <f t="shared" si="20"/>
        <v>GbpLibor1Y</v>
      </c>
      <c r="H50" s="59" t="str">
        <f>IF(ReportQuoteOverwrite,Currency&amp;$J$18&amp;$I$18&amp;$B50&amp;ReportQuoteSuffix,Currency&amp;$H$18&amp;$J$18&amp;B50&amp;"_S"&amp;$I$18&amp;$J$18&amp;LCHlinear&amp;QuoteSuffix)</f>
        <v>GBPSB6L27Y_S12L6L_linearLCH_LCHQuote</v>
      </c>
      <c r="I50" s="59" t="str">
        <f>IF(ReportQuoteOverwrite,Currency&amp;$J$18&amp;$I$18&amp;$B50&amp;ReportQuoteSuffix,Currency&amp;$H$18&amp;$J$18&amp;B50&amp;"_S"&amp;$I$18&amp;$J$18&amp;LCHcubic&amp;QuoteSuffix)</f>
        <v>GBPSB6L27Y_S12L6L_cubicLCH_LCHQuote</v>
      </c>
      <c r="J50" s="127">
        <v>0</v>
      </c>
      <c r="K50" s="64"/>
      <c r="L50" s="64"/>
      <c r="N50" s="10" t="str">
        <f t="shared" si="15"/>
        <v>BasSw</v>
      </c>
      <c r="O50" s="94" t="str">
        <f t="shared" ref="O50:P50" si="51">IF(ISBLANK(K54),"--",K54)</f>
        <v>--</v>
      </c>
      <c r="P50" s="94" t="str">
        <f t="shared" si="51"/>
        <v>--</v>
      </c>
      <c r="Q50" s="146" t="str">
        <f>IFERROR(_xll.qlRateHelperQuoteName(O50,Trigger),"--")</f>
        <v>--</v>
      </c>
      <c r="R50" s="98" t="str">
        <f>IFERROR(_xll.qlRateHelperQuoteValue($O50,Trigger),"--")</f>
        <v>--</v>
      </c>
      <c r="S50" s="97" t="b">
        <v>0</v>
      </c>
      <c r="T50" s="94">
        <v>20</v>
      </c>
      <c r="U50" s="94">
        <v>1</v>
      </c>
      <c r="V50" s="99" t="str">
        <f>IFERROR(_xll.qlRateHelperEarliestDate(O50,Trigger),"--")</f>
        <v>--</v>
      </c>
      <c r="W50" s="99" t="str">
        <f>IFERROR(_xll.qlRateHelperPillarDate(O50,Trigger),"--")</f>
        <v>--</v>
      </c>
      <c r="Y50" s="4" t="str">
        <f t="shared" si="17"/>
        <v/>
      </c>
      <c r="Z50" s="4" t="e">
        <v>#N/A</v>
      </c>
      <c r="AA50" s="4" t="e">
        <v>#N/A</v>
      </c>
      <c r="AB50" s="4" t="str">
        <f>IFERROR(_xll.qlRateHelperQuoteName(Z50,Trigger),"")</f>
        <v/>
      </c>
      <c r="AC50" s="70" t="str">
        <f>IFERROR(_xll.qlRateHelperRate(Z50,Trigger),"")</f>
        <v/>
      </c>
      <c r="AD50" s="104" t="str">
        <f>IF(ISERROR(_xll.qlSwapRateHelperSpread($Z50)),IF(ISERROR(_xll.qlFuturesRateHelperConvexityAdjustment($Z50)),"",_xll.qlFuturesRateHelperConvexityAdjustment($Z50)),_xll.qlSwapRateHelperSpread($Z50))</f>
        <v/>
      </c>
      <c r="AE50" s="5" t="str">
        <f>IFERROR(_xll.qlRateHelperEarliestDate(Z50,Trigger),"")</f>
        <v/>
      </c>
      <c r="AF50" s="5" t="str">
        <f>IFERROR(_xll.qlRateHelperPillarDate(Z50,Trigger),"")</f>
        <v/>
      </c>
      <c r="AG50" s="70" t="e">
        <v>#N/A</v>
      </c>
      <c r="AH50" s="77" t="e">
        <v>#N/A</v>
      </c>
      <c r="AI50" s="169" t="e">
        <v>#N/A</v>
      </c>
      <c r="AJ50" s="170" t="e">
        <v>#N/A</v>
      </c>
      <c r="AK50" s="172" t="e">
        <f t="shared" si="4"/>
        <v>#N/A</v>
      </c>
      <c r="AL50" s="80" t="e">
        <v>#N/A</v>
      </c>
      <c r="AM50" s="161" t="e">
        <f t="shared" si="5"/>
        <v>#N/A</v>
      </c>
    </row>
    <row r="51" spans="1:39" ht="11.25" customHeight="1" x14ac:dyDescent="0.2">
      <c r="A51" s="59" t="s">
        <v>115</v>
      </c>
      <c r="B51" s="60" t="s">
        <v>107</v>
      </c>
      <c r="C51" s="61" t="s">
        <v>6</v>
      </c>
      <c r="D51" s="61" t="s">
        <v>154</v>
      </c>
      <c r="E51" s="61" t="s">
        <v>7</v>
      </c>
      <c r="F51" s="61" t="s">
        <v>155</v>
      </c>
      <c r="G51" s="61" t="str">
        <f t="shared" si="20"/>
        <v>GbpLibor1Y</v>
      </c>
      <c r="H51" s="59" t="str">
        <f>IF(ReportQuoteOverwrite,Currency&amp;$J$18&amp;$I$18&amp;$B51&amp;ReportQuoteSuffix,Currency&amp;$H$18&amp;$J$18&amp;B51&amp;"_S"&amp;$I$18&amp;$J$18&amp;LCHlinear&amp;QuoteSuffix)</f>
        <v>GBPSB6L28Y_S12L6L_linearLCH_LCHQuote</v>
      </c>
      <c r="I51" s="59" t="str">
        <f>IF(ReportQuoteOverwrite,Currency&amp;$J$18&amp;$I$18&amp;$B51&amp;ReportQuoteSuffix,Currency&amp;$H$18&amp;$J$18&amp;B51&amp;"_S"&amp;$I$18&amp;$J$18&amp;LCHcubic&amp;QuoteSuffix)</f>
        <v>GBPSB6L28Y_S12L6L_cubicLCH_LCHQuote</v>
      </c>
      <c r="J51" s="127">
        <v>0</v>
      </c>
      <c r="K51" s="64"/>
      <c r="L51" s="64"/>
      <c r="N51" s="10" t="str">
        <f t="shared" si="15"/>
        <v>BasSw</v>
      </c>
      <c r="O51" s="94" t="str">
        <f t="shared" ref="O51:P51" si="52">IF(ISBLANK(K55),"--",K55)</f>
        <v>obj_004af#0001</v>
      </c>
      <c r="P51" s="94" t="str">
        <f t="shared" si="52"/>
        <v>obj_00485#0001</v>
      </c>
      <c r="Q51" s="146" t="str">
        <f>IFERROR(_xll.qlRateHelperQuoteName(O51,Trigger),"--")</f>
        <v>GBPSB6L40Y_S12L6L_linearLCH_LCHQuote</v>
      </c>
      <c r="R51" s="98">
        <f>IFERROR(_xll.qlRateHelperQuoteValue($O51,Trigger),"--")</f>
        <v>2.1537999999948716E-2</v>
      </c>
      <c r="S51" s="97" t="b">
        <v>1</v>
      </c>
      <c r="T51" s="94">
        <v>20</v>
      </c>
      <c r="U51" s="94">
        <v>1</v>
      </c>
      <c r="V51" s="99">
        <f>IFERROR(_xll.qlRateHelperEarliestDate(O51,Trigger),"--")</f>
        <v>42321</v>
      </c>
      <c r="W51" s="99">
        <f>IFERROR(_xll.qlRateHelperPillarDate(O51,Trigger),"--")</f>
        <v>56933</v>
      </c>
      <c r="Y51" s="4" t="str">
        <f t="shared" si="17"/>
        <v/>
      </c>
      <c r="Z51" s="4" t="e">
        <v>#N/A</v>
      </c>
      <c r="AA51" s="4" t="e">
        <v>#N/A</v>
      </c>
      <c r="AB51" s="4" t="str">
        <f>IFERROR(_xll.qlRateHelperQuoteName(Z51,Trigger),"")</f>
        <v/>
      </c>
      <c r="AC51" s="70" t="str">
        <f>IFERROR(_xll.qlRateHelperRate(Z51,Trigger),"")</f>
        <v/>
      </c>
      <c r="AD51" s="104" t="str">
        <f>IF(ISERROR(_xll.qlSwapRateHelperSpread($Z51)),IF(ISERROR(_xll.qlFuturesRateHelperConvexityAdjustment($Z51)),"",_xll.qlFuturesRateHelperConvexityAdjustment($Z51)),_xll.qlSwapRateHelperSpread($Z51))</f>
        <v/>
      </c>
      <c r="AE51" s="5" t="str">
        <f>IFERROR(_xll.qlRateHelperEarliestDate(Z51,Trigger),"")</f>
        <v/>
      </c>
      <c r="AF51" s="5" t="str">
        <f>IFERROR(_xll.qlRateHelperPillarDate(Z51,Trigger),"")</f>
        <v/>
      </c>
      <c r="AG51" s="70" t="e">
        <v>#N/A</v>
      </c>
      <c r="AH51" s="77" t="e">
        <v>#N/A</v>
      </c>
      <c r="AI51" s="169" t="e">
        <v>#N/A</v>
      </c>
      <c r="AJ51" s="170" t="e">
        <v>#N/A</v>
      </c>
      <c r="AK51" s="172" t="e">
        <f t="shared" si="4"/>
        <v>#N/A</v>
      </c>
      <c r="AL51" s="80" t="e">
        <v>#N/A</v>
      </c>
      <c r="AM51" s="161" t="e">
        <f t="shared" si="5"/>
        <v>#N/A</v>
      </c>
    </row>
    <row r="52" spans="1:39" ht="11.25" customHeight="1" x14ac:dyDescent="0.2">
      <c r="A52" s="59" t="s">
        <v>115</v>
      </c>
      <c r="B52" s="60" t="s">
        <v>108</v>
      </c>
      <c r="C52" s="61" t="s">
        <v>6</v>
      </c>
      <c r="D52" s="61" t="s">
        <v>154</v>
      </c>
      <c r="E52" s="61" t="s">
        <v>7</v>
      </c>
      <c r="F52" s="61" t="s">
        <v>155</v>
      </c>
      <c r="G52" s="61" t="str">
        <f t="shared" si="20"/>
        <v>GbpLibor1Y</v>
      </c>
      <c r="H52" s="59" t="str">
        <f>IF(ReportQuoteOverwrite,Currency&amp;$J$18&amp;$I$18&amp;$B52&amp;ReportQuoteSuffix,Currency&amp;$H$18&amp;$J$18&amp;B52&amp;"_S"&amp;$I$18&amp;$J$18&amp;LCHlinear&amp;QuoteSuffix)</f>
        <v>GBPSB6L29Y_S12L6L_linearLCH_LCHQuote</v>
      </c>
      <c r="I52" s="59" t="str">
        <f>IF(ReportQuoteOverwrite,Currency&amp;$J$18&amp;$I$18&amp;$B52&amp;ReportQuoteSuffix,Currency&amp;$H$18&amp;$J$18&amp;B52&amp;"_S"&amp;$I$18&amp;$J$18&amp;LCHcubic&amp;QuoteSuffix)</f>
        <v>GBPSB6L29Y_S12L6L_cubicLCH_LCHQuote</v>
      </c>
      <c r="J52" s="127">
        <v>0</v>
      </c>
      <c r="K52" s="64"/>
      <c r="L52" s="64"/>
      <c r="N52" s="10" t="str">
        <f t="shared" si="15"/>
        <v>BasSw</v>
      </c>
      <c r="O52" s="94" t="str">
        <f t="shared" ref="O52:P52" si="53">IF(ISBLANK(K56),"--",K56)</f>
        <v>obj_004b2#0001</v>
      </c>
      <c r="P52" s="94" t="str">
        <f t="shared" si="53"/>
        <v>obj_00481#0001</v>
      </c>
      <c r="Q52" s="146" t="str">
        <f>IFERROR(_xll.qlRateHelperQuoteName(O52,Trigger),"--")</f>
        <v>GBPSB6L50Y_S12L6L_linearLCH_LCHQuote</v>
      </c>
      <c r="R52" s="98">
        <f>IFERROR(_xll.qlRateHelperQuoteValue($O52,Trigger),"--")</f>
        <v>2.1032999999955476E-2</v>
      </c>
      <c r="S52" s="97" t="b">
        <v>1</v>
      </c>
      <c r="T52" s="94">
        <v>20</v>
      </c>
      <c r="U52" s="94">
        <v>1</v>
      </c>
      <c r="V52" s="99">
        <f>IFERROR(_xll.qlRateHelperEarliestDate(O52,Trigger),"--")</f>
        <v>42321</v>
      </c>
      <c r="W52" s="99">
        <f>IFERROR(_xll.qlRateHelperPillarDate(O52,Trigger),"--")</f>
        <v>60584</v>
      </c>
      <c r="Y52" s="4" t="str">
        <f t="shared" si="17"/>
        <v/>
      </c>
      <c r="Z52" s="4" t="e">
        <v>#N/A</v>
      </c>
      <c r="AA52" s="4" t="e">
        <v>#N/A</v>
      </c>
      <c r="AB52" s="4" t="str">
        <f>IFERROR(_xll.qlRateHelperQuoteName(Z52,Trigger),"")</f>
        <v/>
      </c>
      <c r="AC52" s="70" t="str">
        <f>IFERROR(_xll.qlRateHelperRate(Z52,Trigger),"")</f>
        <v/>
      </c>
      <c r="AD52" s="104" t="str">
        <f>IF(ISERROR(_xll.qlSwapRateHelperSpread($Z52)),IF(ISERROR(_xll.qlFuturesRateHelperConvexityAdjustment($Z52)),"",_xll.qlFuturesRateHelperConvexityAdjustment($Z52)),_xll.qlSwapRateHelperSpread($Z52))</f>
        <v/>
      </c>
      <c r="AE52" s="5" t="str">
        <f>IFERROR(_xll.qlRateHelperEarliestDate(Z52,Trigger),"")</f>
        <v/>
      </c>
      <c r="AF52" s="5" t="str">
        <f>IFERROR(_xll.qlRateHelperPillarDate(Z52,Trigger),"")</f>
        <v/>
      </c>
      <c r="AG52" s="70" t="e">
        <v>#N/A</v>
      </c>
      <c r="AH52" s="77" t="e">
        <v>#N/A</v>
      </c>
      <c r="AI52" s="46" t="e">
        <v>#N/A</v>
      </c>
      <c r="AJ52" s="46" t="e">
        <v>#N/A</v>
      </c>
      <c r="AK52" s="172" t="e">
        <f t="shared" si="4"/>
        <v>#N/A</v>
      </c>
      <c r="AL52" s="46" t="e">
        <v>#N/A</v>
      </c>
      <c r="AM52" s="161" t="e">
        <f t="shared" si="5"/>
        <v>#N/A</v>
      </c>
    </row>
    <row r="53" spans="1:39" ht="11.25" customHeight="1" x14ac:dyDescent="0.2">
      <c r="A53" s="59" t="s">
        <v>115</v>
      </c>
      <c r="B53" s="60" t="s">
        <v>65</v>
      </c>
      <c r="C53" s="61" t="s">
        <v>6</v>
      </c>
      <c r="D53" s="61" t="s">
        <v>154</v>
      </c>
      <c r="E53" s="61" t="s">
        <v>7</v>
      </c>
      <c r="F53" s="61" t="s">
        <v>155</v>
      </c>
      <c r="G53" s="61" t="str">
        <f t="shared" si="20"/>
        <v>GbpLibor1Y</v>
      </c>
      <c r="H53" s="59" t="str">
        <f>IF(ReportQuoteOverwrite,Currency&amp;$J$18&amp;$I$18&amp;$B53&amp;ReportQuoteSuffix,Currency&amp;$H$18&amp;$J$18&amp;B53&amp;"_S"&amp;$I$18&amp;$J$18&amp;LCHlinear&amp;QuoteSuffix)</f>
        <v>GBPSB6L30Y_S12L6L_linearLCH_LCHQuote</v>
      </c>
      <c r="I53" s="59" t="str">
        <f>IF(ReportQuoteOverwrite,Currency&amp;$J$18&amp;$I$18&amp;$B53&amp;ReportQuoteSuffix,Currency&amp;$H$18&amp;$J$18&amp;B53&amp;"_S"&amp;$I$18&amp;$J$18&amp;LCHcubic&amp;QuoteSuffix)</f>
        <v>GBPSB6L30Y_S12L6L_cubicLCH_LCHQuote</v>
      </c>
      <c r="J53" s="127">
        <v>0</v>
      </c>
      <c r="K53" s="64" t="str">
        <f>_xll.qlSwapRateHelper2(,$H53,0,$B53,Calendar,$D53,$E53,$F53,$G53,$J53,$C53,Discounting1,PillarDate,,Permanent,Trigger,ObjectOverwrite)</f>
        <v>obj_004bd#0001</v>
      </c>
      <c r="L53" s="64" t="str">
        <f>_xll.qlSwapRateHelper2(,$I53,0,$B53,Calendar,$D53,$E53,$F53,$G53,$J53,$C53,Discounting2,PillarDate,,Permanent,Trigger,ObjectOverwrite)</f>
        <v>obj_0048d#0001</v>
      </c>
      <c r="N53" s="11" t="str">
        <f t="shared" si="15"/>
        <v>BasSw</v>
      </c>
      <c r="O53" s="95" t="str">
        <f t="shared" ref="O53:P53" si="54">IF(ISBLANK(K57),"--",K57)</f>
        <v>obj_004be#0001</v>
      </c>
      <c r="P53" s="95" t="str">
        <f t="shared" si="54"/>
        <v>obj_0047d#0001</v>
      </c>
      <c r="Q53" s="147" t="str">
        <f>IFERROR(_xll.qlRateHelperQuoteName(O53,Trigger),"--")</f>
        <v>GBPSB6L60Y_S12L6L_linearLCH_LCHQuote</v>
      </c>
      <c r="R53" s="101">
        <f>IFERROR(_xll.qlRateHelperQuoteValue($O53,Trigger),"--")</f>
        <v>2.0952999999959941E-2</v>
      </c>
      <c r="S53" s="100" t="b">
        <v>1</v>
      </c>
      <c r="T53" s="95">
        <v>20</v>
      </c>
      <c r="U53" s="95">
        <v>1</v>
      </c>
      <c r="V53" s="102">
        <f>IFERROR(_xll.qlRateHelperEarliestDate(O53,Trigger),"--")</f>
        <v>42321</v>
      </c>
      <c r="W53" s="102">
        <f>IFERROR(_xll.qlRateHelperPillarDate(O53,Trigger),"--")</f>
        <v>64236</v>
      </c>
      <c r="Y53" s="6" t="str">
        <f t="shared" si="17"/>
        <v/>
      </c>
      <c r="Z53" s="6" t="e">
        <v>#N/A</v>
      </c>
      <c r="AA53" s="6" t="e">
        <v>#N/A</v>
      </c>
      <c r="AB53" s="6" t="str">
        <f>IFERROR(_xll.qlRateHelperQuoteName(Z53,Trigger),"")</f>
        <v/>
      </c>
      <c r="AC53" s="79" t="str">
        <f>IFERROR(_xll.qlRateHelperRate(Z53,Trigger),"")</f>
        <v/>
      </c>
      <c r="AD53" s="105" t="str">
        <f>IF(ISERROR(_xll.qlSwapRateHelperSpread($Z53)),IF(ISERROR(_xll.qlFuturesRateHelperConvexityAdjustment($Z53)),"",_xll.qlFuturesRateHelperConvexityAdjustment($Z53)),_xll.qlSwapRateHelperSpread($Z53))</f>
        <v/>
      </c>
      <c r="AE53" s="12" t="str">
        <f>IFERROR(_xll.qlRateHelperEarliestDate(Z53,Trigger),"")</f>
        <v/>
      </c>
      <c r="AF53" s="12" t="str">
        <f>IFERROR(_xll.qlRateHelperPillarDate(Z53,Trigger),"")</f>
        <v/>
      </c>
      <c r="AG53" s="79" t="e">
        <v>#N/A</v>
      </c>
      <c r="AH53" s="78" t="e">
        <v>#N/A</v>
      </c>
      <c r="AI53" s="46" t="e">
        <v>#N/A</v>
      </c>
      <c r="AJ53" s="46" t="e">
        <v>#N/A</v>
      </c>
      <c r="AK53" s="172" t="e">
        <f t="shared" si="4"/>
        <v>#N/A</v>
      </c>
      <c r="AL53" s="46" t="e">
        <v>#N/A</v>
      </c>
      <c r="AM53" s="161" t="e">
        <f t="shared" si="5"/>
        <v>#N/A</v>
      </c>
    </row>
    <row r="54" spans="1:39" ht="11.25" customHeight="1" x14ac:dyDescent="0.2">
      <c r="A54" s="59" t="s">
        <v>115</v>
      </c>
      <c r="B54" s="60" t="s">
        <v>66</v>
      </c>
      <c r="C54" s="61" t="s">
        <v>6</v>
      </c>
      <c r="D54" s="61" t="s">
        <v>154</v>
      </c>
      <c r="E54" s="61" t="s">
        <v>7</v>
      </c>
      <c r="F54" s="61" t="s">
        <v>155</v>
      </c>
      <c r="G54" s="61" t="str">
        <f t="shared" si="20"/>
        <v>GbpLibor1Y</v>
      </c>
      <c r="H54" s="59" t="str">
        <f>IF(ReportQuoteOverwrite,Currency&amp;$J$18&amp;$I$18&amp;$B54&amp;ReportQuoteSuffix,Currency&amp;$H$18&amp;$J$18&amp;B54&amp;"_S"&amp;$I$18&amp;$J$18&amp;LCHlinear&amp;QuoteSuffix)</f>
        <v>GBPSB6L35Y_S12L6L_linearLCH_LCHQuote</v>
      </c>
      <c r="I54" s="59" t="str">
        <f>IF(ReportQuoteOverwrite,Currency&amp;$J$18&amp;$I$18&amp;$B54&amp;ReportQuoteSuffix,Currency&amp;$H$18&amp;$J$18&amp;B54&amp;"_S"&amp;$I$18&amp;$J$18&amp;LCHcubic&amp;QuoteSuffix)</f>
        <v>GBPSB6L35Y_S12L6L_cubicLCH_LCHQuote</v>
      </c>
      <c r="J54" s="127">
        <v>0</v>
      </c>
      <c r="K54" s="64"/>
      <c r="L54" s="64"/>
    </row>
    <row r="55" spans="1:39" ht="11.25" customHeight="1" x14ac:dyDescent="0.2">
      <c r="A55" s="59" t="s">
        <v>115</v>
      </c>
      <c r="B55" s="60" t="s">
        <v>67</v>
      </c>
      <c r="C55" s="61" t="s">
        <v>6</v>
      </c>
      <c r="D55" s="61" t="s">
        <v>154</v>
      </c>
      <c r="E55" s="61" t="s">
        <v>7</v>
      </c>
      <c r="F55" s="61" t="s">
        <v>155</v>
      </c>
      <c r="G55" s="61" t="str">
        <f t="shared" si="20"/>
        <v>GbpLibor1Y</v>
      </c>
      <c r="H55" s="59" t="str">
        <f>IF(ReportQuoteOverwrite,Currency&amp;$J$18&amp;$I$18&amp;$B55&amp;ReportQuoteSuffix,Currency&amp;$H$18&amp;$J$18&amp;B55&amp;"_S"&amp;$I$18&amp;$J$18&amp;LCHlinear&amp;QuoteSuffix)</f>
        <v>GBPSB6L40Y_S12L6L_linearLCH_LCHQuote</v>
      </c>
      <c r="I55" s="59" t="str">
        <f>IF(ReportQuoteOverwrite,Currency&amp;$J$18&amp;$I$18&amp;$B55&amp;ReportQuoteSuffix,Currency&amp;$H$18&amp;$J$18&amp;B55&amp;"_S"&amp;$I$18&amp;$J$18&amp;LCHcubic&amp;QuoteSuffix)</f>
        <v>GBPSB6L40Y_S12L6L_cubicLCH_LCHQuote</v>
      </c>
      <c r="J55" s="125">
        <v>0</v>
      </c>
      <c r="K55" s="64" t="str">
        <f>_xll.qlSwapRateHelper2(,$H55,0,$B55,Calendar,$D55,$E55,$F55,$G55,$J55,$C55,Discounting1,PillarDate,,Permanent,Trigger,ObjectOverwrite)</f>
        <v>obj_004af#0001</v>
      </c>
      <c r="L55" s="64" t="str">
        <f>_xll.qlSwapRateHelper2(,$I55,0,$B55,Calendar,$D55,$E55,$F55,$G55,$J55,$C55,Discounting2,PillarDate,,Permanent,Trigger,ObjectOverwrite)</f>
        <v>obj_00485#0001</v>
      </c>
    </row>
    <row r="56" spans="1:39" ht="11.25" customHeight="1" x14ac:dyDescent="0.2">
      <c r="A56" s="59" t="s">
        <v>115</v>
      </c>
      <c r="B56" s="60" t="s">
        <v>68</v>
      </c>
      <c r="C56" s="61" t="s">
        <v>6</v>
      </c>
      <c r="D56" s="61" t="s">
        <v>154</v>
      </c>
      <c r="E56" s="61" t="s">
        <v>7</v>
      </c>
      <c r="F56" s="61" t="s">
        <v>155</v>
      </c>
      <c r="G56" s="61" t="str">
        <f t="shared" si="20"/>
        <v>GbpLibor1Y</v>
      </c>
      <c r="H56" s="59" t="str">
        <f>IF(ReportQuoteOverwrite,Currency&amp;$J$18&amp;$I$18&amp;$B56&amp;ReportQuoteSuffix,Currency&amp;$H$18&amp;$J$18&amp;B56&amp;"_S"&amp;$I$18&amp;$J$18&amp;LCHlinear&amp;QuoteSuffix)</f>
        <v>GBPSB6L50Y_S12L6L_linearLCH_LCHQuote</v>
      </c>
      <c r="I56" s="59" t="str">
        <f>IF(ReportQuoteOverwrite,Currency&amp;$J$18&amp;$I$18&amp;$B56&amp;ReportQuoteSuffix,Currency&amp;$H$18&amp;$J$18&amp;B56&amp;"_S"&amp;$I$18&amp;$J$18&amp;LCHcubic&amp;QuoteSuffix)</f>
        <v>GBPSB6L50Y_S12L6L_cubicLCH_LCHQuote</v>
      </c>
      <c r="J56" s="125">
        <v>0</v>
      </c>
      <c r="K56" s="64" t="str">
        <f>_xll.qlSwapRateHelper2(,$H56,0,$B56,Calendar,$D56,$E56,$F56,$G56,$J56,$C56,Discounting1,PillarDate,,Permanent,Trigger,ObjectOverwrite)</f>
        <v>obj_004b2#0001</v>
      </c>
      <c r="L56" s="64" t="str">
        <f>_xll.qlSwapRateHelper2(,$I56,0,$B56,Calendar,$D56,$E56,$F56,$G56,$J56,$C56,Discounting2,PillarDate,,Permanent,Trigger,ObjectOverwrite)</f>
        <v>obj_00481#0001</v>
      </c>
    </row>
    <row r="57" spans="1:39" ht="11.25" customHeight="1" x14ac:dyDescent="0.2">
      <c r="A57" s="1" t="s">
        <v>115</v>
      </c>
      <c r="B57" s="8" t="s">
        <v>109</v>
      </c>
      <c r="C57" s="7" t="s">
        <v>6</v>
      </c>
      <c r="D57" s="7" t="s">
        <v>154</v>
      </c>
      <c r="E57" s="7" t="s">
        <v>7</v>
      </c>
      <c r="F57" s="7" t="s">
        <v>155</v>
      </c>
      <c r="G57" s="7" t="str">
        <f t="shared" si="20"/>
        <v>GbpLibor1Y</v>
      </c>
      <c r="H57" s="1" t="str">
        <f>IF(ReportQuoteOverwrite,Currency&amp;$J$18&amp;$I$18&amp;$B57&amp;ReportQuoteSuffix,Currency&amp;$H$18&amp;$J$18&amp;B57&amp;"_S"&amp;$I$18&amp;$J$18&amp;LCHlinear&amp;QuoteSuffix)</f>
        <v>GBPSB6L60Y_S12L6L_linearLCH_LCHQuote</v>
      </c>
      <c r="I57" s="1" t="str">
        <f>IF(ReportQuoteOverwrite,Currency&amp;$J$18&amp;$I$18&amp;$B57&amp;ReportQuoteSuffix,Currency&amp;$H$18&amp;$J$18&amp;B57&amp;"_S"&amp;$I$18&amp;$J$18&amp;LCHcubic&amp;QuoteSuffix)</f>
        <v>GBPSB6L60Y_S12L6L_cubicLCH_LCHQuote</v>
      </c>
      <c r="J57" s="128">
        <v>0</v>
      </c>
      <c r="K57" s="3" t="str">
        <f>_xll.qlSwapRateHelper2(,$H57,0,$B57,Calendar,$D57,$E57,$F57,$G57,$J57,$C57,Discounting1,PillarDate,,Permanent,Trigger,ObjectOverwrite)</f>
        <v>obj_004be#0001</v>
      </c>
      <c r="L57" s="3" t="str">
        <f>_xll.qlSwapRateHelper2(,$I57,0,$B57,Calendar,$D57,$E57,$F57,$G57,$J57,$C57,Discounting2,PillarDate,,Permanent,Trigger,ObjectOverwrite)</f>
        <v>obj_0047d#0001</v>
      </c>
    </row>
    <row r="58" spans="1:39" ht="11.25" customHeight="1" x14ac:dyDescent="0.2"/>
    <row r="59" spans="1:39" ht="11.25" customHeight="1" x14ac:dyDescent="0.2"/>
    <row r="60" spans="1:39" ht="11.25" customHeight="1" x14ac:dyDescent="0.2"/>
    <row r="61" spans="1:39" ht="11.25" customHeight="1" x14ac:dyDescent="0.2"/>
    <row r="62" spans="1:39" ht="11.25" customHeight="1" x14ac:dyDescent="0.2"/>
    <row r="63" spans="1:39" ht="11.25" customHeight="1" x14ac:dyDescent="0.2"/>
    <row r="64" spans="1:39" ht="11.25" customHeight="1" x14ac:dyDescent="0.2"/>
    <row r="65" spans="2:24" ht="11.25" customHeight="1" x14ac:dyDescent="0.2">
      <c r="X65" s="46"/>
    </row>
    <row r="66" spans="2:24" ht="11.25" customHeight="1" x14ac:dyDescent="0.2">
      <c r="X66" s="46"/>
    </row>
    <row r="67" spans="2:24" ht="11.25" customHeight="1" x14ac:dyDescent="0.2">
      <c r="B67" s="46"/>
      <c r="C67" s="46"/>
      <c r="D67" s="46"/>
      <c r="E67" s="46"/>
      <c r="F67" s="46"/>
      <c r="G67" s="46"/>
      <c r="H67" s="46"/>
      <c r="I67" s="46"/>
      <c r="O67" s="46"/>
      <c r="P67" s="46"/>
      <c r="Q67" s="46"/>
      <c r="R67" s="46"/>
      <c r="S67" s="46"/>
      <c r="T67" s="46"/>
      <c r="U67" s="46"/>
      <c r="V67" s="46"/>
      <c r="W67" s="46"/>
      <c r="X67" s="46"/>
    </row>
    <row r="68" spans="2:24" ht="11.25" customHeight="1" x14ac:dyDescent="0.2">
      <c r="B68" s="46"/>
      <c r="C68" s="46"/>
      <c r="D68" s="46"/>
      <c r="E68" s="46"/>
      <c r="F68" s="46"/>
      <c r="G68" s="46"/>
      <c r="H68" s="46"/>
      <c r="I68" s="46"/>
      <c r="O68" s="46"/>
      <c r="P68" s="46"/>
      <c r="Q68" s="46"/>
      <c r="R68" s="46"/>
      <c r="S68" s="46"/>
      <c r="T68" s="46"/>
      <c r="U68" s="46"/>
      <c r="V68" s="46"/>
      <c r="W68" s="46"/>
      <c r="X68" s="46"/>
    </row>
    <row r="69" spans="2:24" ht="11.25" customHeight="1" x14ac:dyDescent="0.2">
      <c r="B69" s="46"/>
      <c r="C69" s="46"/>
      <c r="D69" s="46"/>
      <c r="E69" s="46"/>
      <c r="F69" s="46"/>
      <c r="G69" s="46"/>
      <c r="H69" s="46"/>
      <c r="I69" s="46"/>
      <c r="O69" s="46"/>
      <c r="P69" s="46"/>
      <c r="Q69" s="46"/>
      <c r="R69" s="46"/>
      <c r="S69" s="46"/>
      <c r="T69" s="46"/>
      <c r="U69" s="46"/>
      <c r="V69" s="46"/>
      <c r="W69" s="46"/>
      <c r="X69" s="46"/>
    </row>
    <row r="70" spans="2:24" ht="11.25" customHeight="1" x14ac:dyDescent="0.2">
      <c r="B70" s="46"/>
      <c r="C70" s="46"/>
      <c r="D70" s="46"/>
      <c r="E70" s="46"/>
      <c r="F70" s="46"/>
      <c r="G70" s="46"/>
      <c r="H70" s="46"/>
      <c r="I70" s="46"/>
      <c r="O70" s="46"/>
      <c r="P70" s="46"/>
      <c r="Q70" s="46"/>
      <c r="R70" s="46"/>
      <c r="S70" s="46"/>
      <c r="T70" s="46"/>
      <c r="U70" s="46"/>
      <c r="V70" s="46"/>
      <c r="W70" s="46"/>
      <c r="X70" s="46"/>
    </row>
    <row r="71" spans="2:24" ht="11.25" customHeight="1" x14ac:dyDescent="0.2">
      <c r="B71" s="46"/>
      <c r="C71" s="46"/>
      <c r="D71" s="46"/>
      <c r="E71" s="46"/>
      <c r="F71" s="46"/>
      <c r="G71" s="46"/>
      <c r="H71" s="46"/>
      <c r="I71" s="46"/>
      <c r="O71" s="46"/>
      <c r="P71" s="46"/>
      <c r="Q71" s="46"/>
      <c r="R71" s="46"/>
      <c r="S71" s="46"/>
      <c r="T71" s="46"/>
      <c r="U71" s="46"/>
      <c r="V71" s="46"/>
      <c r="W71" s="46"/>
      <c r="X71" s="46"/>
    </row>
    <row r="72" spans="2:24" ht="11.25" customHeight="1" x14ac:dyDescent="0.2">
      <c r="B72" s="46"/>
      <c r="C72" s="46"/>
      <c r="D72" s="46"/>
      <c r="E72" s="46"/>
      <c r="F72" s="46"/>
      <c r="G72" s="46"/>
      <c r="H72" s="46"/>
      <c r="I72" s="46"/>
      <c r="O72" s="46"/>
      <c r="P72" s="46"/>
      <c r="Q72" s="46"/>
      <c r="R72" s="46"/>
      <c r="S72" s="46"/>
      <c r="T72" s="46"/>
      <c r="U72" s="46"/>
      <c r="V72" s="46"/>
      <c r="W72" s="46"/>
      <c r="X72" s="46"/>
    </row>
    <row r="73" spans="2:24" ht="11.25" customHeight="1" x14ac:dyDescent="0.2">
      <c r="B73" s="46"/>
      <c r="C73" s="46"/>
      <c r="D73" s="46"/>
      <c r="E73" s="46"/>
      <c r="F73" s="46"/>
      <c r="G73" s="46"/>
      <c r="H73" s="46"/>
      <c r="I73" s="46"/>
      <c r="O73" s="46"/>
      <c r="P73" s="46"/>
      <c r="Q73" s="46"/>
      <c r="R73" s="46"/>
      <c r="S73" s="46"/>
      <c r="T73" s="46"/>
      <c r="U73" s="46"/>
      <c r="V73" s="46"/>
      <c r="W73" s="46"/>
      <c r="X73" s="46"/>
    </row>
    <row r="74" spans="2:24" ht="11.25" customHeight="1" x14ac:dyDescent="0.2">
      <c r="B74" s="46"/>
      <c r="C74" s="46"/>
      <c r="D74" s="46"/>
      <c r="E74" s="46"/>
      <c r="F74" s="46"/>
      <c r="G74" s="46"/>
      <c r="H74" s="46"/>
      <c r="I74" s="46"/>
      <c r="O74" s="46"/>
      <c r="P74" s="46"/>
      <c r="Q74" s="46"/>
      <c r="R74" s="46"/>
      <c r="S74" s="46"/>
      <c r="T74" s="46"/>
      <c r="U74" s="46"/>
      <c r="V74" s="46"/>
      <c r="W74" s="46"/>
      <c r="X74" s="46"/>
    </row>
    <row r="75" spans="2:24" ht="11.25" customHeight="1" x14ac:dyDescent="0.2">
      <c r="B75" s="46"/>
      <c r="C75" s="46"/>
      <c r="D75" s="46"/>
      <c r="E75" s="46"/>
      <c r="F75" s="46"/>
      <c r="G75" s="46"/>
      <c r="H75" s="46"/>
      <c r="I75" s="46"/>
      <c r="O75" s="46"/>
      <c r="P75" s="46"/>
      <c r="Q75" s="46"/>
      <c r="R75" s="46"/>
      <c r="S75" s="46"/>
      <c r="T75" s="46"/>
      <c r="U75" s="46"/>
      <c r="V75" s="46"/>
      <c r="W75" s="46"/>
      <c r="X75" s="46"/>
    </row>
    <row r="76" spans="2:24" ht="11.25" customHeight="1" x14ac:dyDescent="0.2">
      <c r="B76" s="46"/>
      <c r="C76" s="46"/>
      <c r="D76" s="46"/>
      <c r="E76" s="46"/>
      <c r="F76" s="46"/>
      <c r="G76" s="46"/>
      <c r="H76" s="46"/>
      <c r="I76" s="46"/>
      <c r="O76" s="46"/>
      <c r="P76" s="46"/>
      <c r="Q76" s="46"/>
      <c r="R76" s="46"/>
      <c r="S76" s="46"/>
      <c r="T76" s="46"/>
      <c r="U76" s="46"/>
      <c r="V76" s="46"/>
      <c r="W76" s="46"/>
      <c r="X76" s="46"/>
    </row>
    <row r="77" spans="2:24" ht="11.25" customHeight="1" x14ac:dyDescent="0.2">
      <c r="B77" s="46"/>
      <c r="C77" s="46"/>
      <c r="D77" s="46"/>
      <c r="E77" s="46"/>
      <c r="F77" s="46"/>
      <c r="G77" s="46"/>
      <c r="H77" s="46"/>
      <c r="I77" s="46"/>
      <c r="O77" s="46"/>
      <c r="P77" s="46"/>
      <c r="Q77" s="46"/>
      <c r="R77" s="46"/>
      <c r="S77" s="46"/>
      <c r="T77" s="46"/>
      <c r="U77" s="46"/>
      <c r="V77" s="46"/>
      <c r="W77" s="46"/>
      <c r="X77" s="46"/>
    </row>
    <row r="78" spans="2:24" ht="11.25" customHeight="1" x14ac:dyDescent="0.2">
      <c r="B78" s="46"/>
      <c r="C78" s="46"/>
      <c r="D78" s="46"/>
      <c r="E78" s="46"/>
      <c r="F78" s="46"/>
      <c r="G78" s="46"/>
      <c r="H78" s="46"/>
      <c r="I78" s="46"/>
      <c r="O78" s="46"/>
      <c r="P78" s="46"/>
      <c r="Q78" s="46"/>
      <c r="R78" s="46"/>
      <c r="S78" s="46"/>
      <c r="T78" s="46"/>
      <c r="U78" s="46"/>
      <c r="V78" s="46"/>
      <c r="W78" s="46"/>
      <c r="X78" s="46"/>
    </row>
    <row r="79" spans="2:24" ht="11.25" customHeight="1" x14ac:dyDescent="0.2">
      <c r="B79" s="46"/>
      <c r="C79" s="46"/>
      <c r="D79" s="46"/>
      <c r="E79" s="46"/>
      <c r="F79" s="46"/>
      <c r="G79" s="46"/>
      <c r="H79" s="46"/>
      <c r="I79" s="46"/>
      <c r="O79" s="46"/>
      <c r="P79" s="46"/>
      <c r="Q79" s="46"/>
      <c r="R79" s="46"/>
      <c r="S79" s="46"/>
      <c r="T79" s="46"/>
      <c r="U79" s="46"/>
      <c r="V79" s="46"/>
      <c r="W79" s="46"/>
      <c r="X79" s="46"/>
    </row>
    <row r="80" spans="2:24" ht="11.25" customHeight="1" x14ac:dyDescent="0.2">
      <c r="B80" s="46"/>
      <c r="C80" s="46"/>
      <c r="D80" s="46"/>
      <c r="E80" s="46"/>
      <c r="F80" s="46"/>
      <c r="G80" s="46"/>
      <c r="H80" s="46"/>
      <c r="I80" s="46"/>
      <c r="O80" s="46"/>
      <c r="P80" s="46"/>
      <c r="Q80" s="46"/>
      <c r="R80" s="46"/>
      <c r="S80" s="46"/>
      <c r="T80" s="46"/>
      <c r="U80" s="46"/>
      <c r="V80" s="46"/>
      <c r="W80" s="46"/>
      <c r="X80" s="46"/>
    </row>
    <row r="81" spans="2:24" x14ac:dyDescent="0.2">
      <c r="B81" s="46"/>
      <c r="C81" s="46"/>
      <c r="D81" s="46"/>
      <c r="E81" s="46"/>
      <c r="F81" s="46"/>
      <c r="G81" s="46"/>
      <c r="H81" s="46"/>
      <c r="I81" s="46"/>
      <c r="O81" s="46"/>
      <c r="P81" s="46"/>
      <c r="Q81" s="46"/>
      <c r="R81" s="46"/>
      <c r="S81" s="46"/>
      <c r="T81" s="46"/>
      <c r="U81" s="46"/>
      <c r="V81" s="46"/>
      <c r="W81" s="46"/>
    </row>
    <row r="82" spans="2:24" x14ac:dyDescent="0.2">
      <c r="B82" s="46"/>
      <c r="C82" s="46"/>
      <c r="D82" s="46"/>
      <c r="E82" s="46"/>
      <c r="F82" s="46"/>
      <c r="G82" s="46"/>
      <c r="H82" s="46"/>
      <c r="I82" s="46"/>
      <c r="O82" s="46"/>
      <c r="P82" s="46"/>
      <c r="Q82" s="46"/>
      <c r="R82" s="46"/>
      <c r="S82" s="46"/>
      <c r="T82" s="46"/>
      <c r="U82" s="46"/>
      <c r="V82" s="46"/>
      <c r="W82" s="46"/>
    </row>
    <row r="90" spans="2:24" x14ac:dyDescent="0.2">
      <c r="M90" s="46" t="s">
        <v>35</v>
      </c>
      <c r="X90" s="46"/>
    </row>
    <row r="92" spans="2:24" x14ac:dyDescent="0.2">
      <c r="B92" s="46"/>
      <c r="C92" s="46"/>
      <c r="D92" s="46"/>
      <c r="E92" s="46"/>
      <c r="F92" s="46"/>
      <c r="G92" s="46"/>
      <c r="H92" s="46"/>
      <c r="I92" s="46"/>
      <c r="O92" s="46"/>
      <c r="P92" s="46"/>
      <c r="Q92" s="46"/>
      <c r="R92" s="46"/>
      <c r="S92" s="46"/>
      <c r="T92" s="46"/>
      <c r="U92" s="46"/>
      <c r="V92" s="46"/>
      <c r="W92" s="46"/>
    </row>
  </sheetData>
  <mergeCells count="1">
    <mergeCell ref="AO2:AP2"/>
  </mergeCells>
  <dataValidations count="4">
    <dataValidation type="list" allowBlank="1" showInputMessage="1" showErrorMessage="1" sqref="AP6">
      <formula1>"AllDepos,DeposBeforeFirstFuturesStartDate,DeposBeforeFirstFuturesStartDatePlusOne,DeposBeforeFirstFuturesExpiryDate"</formula1>
    </dataValidation>
    <dataValidation type="list" allowBlank="1" showInputMessage="1" showErrorMessage="1" sqref="D20:D57">
      <formula1>"Annual,Semiannual,EveryFourthMonth,Quarterly,Bimonthly,Monthly,Biweekly,Weekly,Daily,Once,NoFrequency"</formula1>
    </dataValidation>
    <dataValidation type="list" allowBlank="1" showInputMessage="1" showErrorMessage="1" sqref="E20:E57">
      <formula1>"Following,Modified Following,Preceding,Modified Preceding,Unadjusted,Half-Month Modified Following"</formula1>
    </dataValidation>
    <dataValidation type="list" allowBlank="1" showInputMessage="1" showErrorMessage="1" sqref="F20:F57">
      <formula1>"Actual/Actual (ISDA),Actual/360,30/360 (Bond Basis),30E/360 (Eurobond Basis),Actual/365 (Fixed),Actual/Actual (ISMA),Actual/Actual (AFB),1/1,30/360 (Italian),Simple"</formula1>
    </dataValidation>
  </dataValidations>
  <pageMargins left="0.7" right="0.7" top="0.75" bottom="0.75" header="0.3" footer="0.3"/>
  <legacy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I115"/>
  <sheetViews>
    <sheetView topLeftCell="K1" workbookViewId="0">
      <selection activeCell="K1" sqref="K1"/>
    </sheetView>
  </sheetViews>
  <sheetFormatPr defaultRowHeight="11.25" outlineLevelCol="1" x14ac:dyDescent="0.2"/>
  <cols>
    <col min="1" max="1" width="6" style="46" hidden="1" customWidth="1" outlineLevel="1"/>
    <col min="2" max="2" width="9" style="51" hidden="1" customWidth="1" outlineLevel="1"/>
    <col min="3" max="3" width="6.7109375" style="50" hidden="1" customWidth="1" outlineLevel="1"/>
    <col min="4" max="4" width="11" style="50" hidden="1" customWidth="1" outlineLevel="1"/>
    <col min="5" max="5" width="19.28515625" style="50" hidden="1" customWidth="1" outlineLevel="1"/>
    <col min="6" max="6" width="20.28515625" style="50" hidden="1" customWidth="1" outlineLevel="1"/>
    <col min="7" max="7" width="15.140625" style="50" hidden="1" customWidth="1" outlineLevel="1"/>
    <col min="8" max="8" width="24.42578125" style="52" hidden="1" customWidth="1" outlineLevel="1"/>
    <col min="9" max="9" width="18.28515625" style="46" hidden="1" customWidth="1" outlineLevel="1"/>
    <col min="10" max="10" width="15.140625" style="46" hidden="1" customWidth="1" outlineLevel="1"/>
    <col min="11" max="11" width="2.7109375" style="46" customWidth="1" collapsed="1"/>
    <col min="12" max="12" width="6" style="46" hidden="1" customWidth="1" outlineLevel="1"/>
    <col min="13" max="13" width="15.140625" style="103" hidden="1" customWidth="1" outlineLevel="1"/>
    <col min="14" max="14" width="22.42578125" style="103" hidden="1" customWidth="1" outlineLevel="1"/>
    <col min="15" max="15" width="12" style="103" hidden="1" customWidth="1" outlineLevel="1"/>
    <col min="16" max="16" width="7.85546875" style="103" hidden="1" customWidth="1" outlineLevel="1"/>
    <col min="17" max="17" width="9" style="103" hidden="1" customWidth="1" outlineLevel="1"/>
    <col min="18" max="18" width="5.85546875" style="103" hidden="1" customWidth="1" outlineLevel="1"/>
    <col min="19" max="20" width="10.7109375" style="103" hidden="1" customWidth="1" outlineLevel="1"/>
    <col min="21" max="21" width="2.7109375" style="48" hidden="1" customWidth="1" outlineLevel="1"/>
    <col min="22" max="22" width="6" style="46" bestFit="1" customWidth="1" collapsed="1"/>
    <col min="23" max="23" width="10.140625" style="46" hidden="1" customWidth="1" outlineLevel="1"/>
    <col min="24" max="24" width="24.7109375" style="46" customWidth="1" collapsed="1"/>
    <col min="25" max="25" width="11" style="46" bestFit="1" customWidth="1"/>
    <col min="26" max="26" width="9.7109375" style="46" customWidth="1"/>
    <col min="27" max="28" width="17.28515625" style="46" bestFit="1" customWidth="1"/>
    <col min="29" max="29" width="12" style="46" bestFit="1" customWidth="1"/>
    <col min="30" max="31" width="10.85546875" style="46" hidden="1" customWidth="1" outlineLevel="1"/>
    <col min="32" max="32" width="10" style="46" hidden="1" customWidth="1" outlineLevel="1"/>
    <col min="33" max="33" width="3.28515625" style="46" customWidth="1" collapsed="1"/>
    <col min="34" max="34" width="24.42578125" style="46" bestFit="1" customWidth="1"/>
    <col min="35" max="35" width="9" style="46" bestFit="1" customWidth="1"/>
    <col min="36" max="16384" width="9.140625" style="46"/>
  </cols>
  <sheetData>
    <row r="1" spans="1:35" ht="18" customHeight="1" x14ac:dyDescent="0.2">
      <c r="H1" s="50"/>
      <c r="L1" s="67" t="s">
        <v>24</v>
      </c>
      <c r="M1" s="106"/>
      <c r="N1" s="106"/>
      <c r="O1" s="106"/>
      <c r="P1" s="106"/>
      <c r="Q1" s="106"/>
      <c r="R1" s="106"/>
      <c r="S1" s="106"/>
      <c r="T1" s="96"/>
      <c r="U1" s="93"/>
      <c r="V1" s="74" t="str">
        <f>Currency&amp;"STD"</f>
        <v>GBPSTD</v>
      </c>
      <c r="W1" s="66"/>
      <c r="X1" s="66"/>
      <c r="Y1" s="69"/>
      <c r="Z1" s="69"/>
      <c r="AA1" s="66"/>
      <c r="AB1" s="66"/>
      <c r="AC1" s="73" t="s">
        <v>128</v>
      </c>
    </row>
    <row r="2" spans="1:35" ht="21.75" customHeight="1" x14ac:dyDescent="0.2">
      <c r="A2" s="65" t="s">
        <v>9</v>
      </c>
      <c r="B2" s="65" t="s">
        <v>28</v>
      </c>
      <c r="C2" s="65"/>
      <c r="D2" s="65" t="s">
        <v>140</v>
      </c>
      <c r="E2" s="65" t="s">
        <v>141</v>
      </c>
      <c r="F2" s="65" t="s">
        <v>112</v>
      </c>
      <c r="G2" s="65" t="s">
        <v>4</v>
      </c>
      <c r="H2" s="65" t="s">
        <v>1</v>
      </c>
      <c r="I2" s="65"/>
      <c r="J2" s="65" t="s">
        <v>24</v>
      </c>
      <c r="L2" s="73" t="s">
        <v>9</v>
      </c>
      <c r="M2" s="73" t="s">
        <v>132</v>
      </c>
      <c r="N2" s="73" t="s">
        <v>77</v>
      </c>
      <c r="O2" s="73" t="s">
        <v>80</v>
      </c>
      <c r="P2" s="73" t="s">
        <v>78</v>
      </c>
      <c r="Q2" s="73" t="s">
        <v>79</v>
      </c>
      <c r="R2" s="73" t="s">
        <v>81</v>
      </c>
      <c r="S2" s="73" t="s">
        <v>22</v>
      </c>
      <c r="T2" s="73" t="s">
        <v>74</v>
      </c>
      <c r="U2" s="93"/>
      <c r="V2" s="73" t="s">
        <v>9</v>
      </c>
      <c r="W2" s="73" t="s">
        <v>24</v>
      </c>
      <c r="X2" s="73" t="s">
        <v>77</v>
      </c>
      <c r="Y2" s="75" t="s">
        <v>23</v>
      </c>
      <c r="Z2" s="75" t="s">
        <v>82</v>
      </c>
      <c r="AA2" s="73" t="s">
        <v>22</v>
      </c>
      <c r="AB2" s="73" t="s">
        <v>74</v>
      </c>
      <c r="AC2" s="171">
        <f t="array" ref="AC2:AC72">_xll.qlPiecewiseYieldCurveData(yieldcurve1_STD,Trigger)</f>
        <v>4.8187045744519375E-3</v>
      </c>
      <c r="AH2" s="213" t="s">
        <v>83</v>
      </c>
      <c r="AI2" s="214"/>
    </row>
    <row r="3" spans="1:35" ht="11.25" customHeight="1" x14ac:dyDescent="0.2">
      <c r="A3" s="180" t="s">
        <v>26</v>
      </c>
      <c r="B3" s="181" t="s">
        <v>36</v>
      </c>
      <c r="C3" s="181" t="s">
        <v>72</v>
      </c>
      <c r="D3" s="204" t="b">
        <v>0</v>
      </c>
      <c r="E3" s="204" t="s">
        <v>7</v>
      </c>
      <c r="F3" s="204" t="s">
        <v>155</v>
      </c>
      <c r="G3" s="183" t="str">
        <f>_xll.qlIborIndex(,FamilyName,"1D",,Currency,Calendar,$E3,$D3,$F3,,Permanent,Trigger,ObjectOverwrite)</f>
        <v>obj_003b9#0007</v>
      </c>
      <c r="H3" s="184" t="str">
        <f>IF(ReportQuoteOverwrite,Currency&amp;B3&amp;"D"&amp;ReportQuoteSuffix,Currency&amp;B3&amp;"D"&amp;QuoteSuffix)</f>
        <v>GBPOND_LCHQuote</v>
      </c>
      <c r="I3" s="182"/>
      <c r="J3" s="185" t="str">
        <f>_xll.qlDepositRateHelper(,$H3,$G3,Permanent,Trigger,ObjectOverwrite)</f>
        <v>obj_003c3#0007</v>
      </c>
      <c r="K3" s="49"/>
      <c r="L3" s="68" t="str">
        <f>A3</f>
        <v>Dp</v>
      </c>
      <c r="M3" s="131" t="str">
        <f>IF(ISBLANK(J3),"--",J3)</f>
        <v>obj_003c3#0007</v>
      </c>
      <c r="N3" s="145" t="str">
        <f>IFERROR(_xll.qlRateHelperQuoteName(M3,Trigger),"--")</f>
        <v>GBPOND_LCHQuote</v>
      </c>
      <c r="O3" s="133">
        <f>IFERROR(_xll.qlRateHelperQuoteValue($M3,Trigger),"--")</f>
        <v>4.8188000000000007E-3</v>
      </c>
      <c r="P3" s="132" t="b">
        <v>1</v>
      </c>
      <c r="Q3" s="131">
        <v>30</v>
      </c>
      <c r="R3" s="131">
        <v>1</v>
      </c>
      <c r="S3" s="134">
        <f>IFERROR(_xll.qlRateHelperEarliestDate(M3,Trigger),"--")</f>
        <v>42321</v>
      </c>
      <c r="T3" s="134">
        <f>IFERROR(_xll.qlRateHelperPillarDate(M3,Trigger),"--")</f>
        <v>42324</v>
      </c>
      <c r="V3" s="4" t="str">
        <f t="shared" ref="V3:V34" si="0">IFERROR(INDEX($L$3:$L$72,MATCH(X3,$N$3:$N$72,0),1),"")</f>
        <v>Dp</v>
      </c>
      <c r="W3" s="4" t="str">
        <f t="array" ref="W3:W72">_xll.qlRateHelperSelection(_xll.ohFilter(RateHelpers,IncludeFlag),_xll.ohFilter(Priority,IncludeFlag),$AI$3,$AI$4,$AI$5,$AI$6,_xll.ohFilter(MinDistance,IncludeFlag),Trigger)</f>
        <v>obj_003c3</v>
      </c>
      <c r="X3" s="4" t="str">
        <f>IFERROR(_xll.qlRateHelperQuoteName(W3,Trigger),"")</f>
        <v>GBPOND_LCHQuote</v>
      </c>
      <c r="Y3" s="70">
        <f>IFERROR(_xll.qlRateHelperRate(W3,Trigger),"")</f>
        <v>4.8188000000000007E-3</v>
      </c>
      <c r="Z3" s="104" t="str">
        <f>IF(ISERROR(_xll.qlSwapRateHelperSpread($W3)),IF(ISERROR(_xll.qlFuturesRateHelperConvexityAdjustment($W3)),"",_xll.qlFuturesRateHelperConvexityAdjustment($W3)),_xll.qlSwapRateHelperSpread($W3))</f>
        <v/>
      </c>
      <c r="AA3" s="5">
        <f>IFERROR(_xll.qlRateHelperEarliestDate(W3,Trigger),"")</f>
        <v>42321</v>
      </c>
      <c r="AB3" s="5">
        <f>IFERROR(_xll.qlRateHelperPillarDate(W3,Trigger),"")</f>
        <v>42324</v>
      </c>
      <c r="AC3" s="70">
        <v>4.8187045744519375E-3</v>
      </c>
      <c r="AD3" s="169">
        <f t="array" ref="AD3:AD72">_xll.ohFilter([1]REP00079!$C$2:$C$2000,([1]REP00079!$A$2:$A$2000="GBP_LIBOR_EOD"))</f>
        <v>42321</v>
      </c>
      <c r="AE3" s="170">
        <f t="array" ref="AE3:AE72">_xll.ohFilter([1]REP00079!$E$2:$E$2000,([1]REP00079!$A$2:$A$2000="GBP_LIBOR_EOD"))</f>
        <v>4.82496810900557E-3</v>
      </c>
      <c r="AF3" s="172">
        <f>_xll.qlYieldTSZeroRate(yieldcurve1_STD,$AD3,"ACTUAL/365 (FIXED)",,,TRUE,Trigger)-AE3</f>
        <v>-6.2635355685628641E-6</v>
      </c>
      <c r="AG3" s="161"/>
      <c r="AH3" s="107" t="s">
        <v>84</v>
      </c>
      <c r="AI3" s="108">
        <v>8</v>
      </c>
    </row>
    <row r="4" spans="1:35" ht="11.25" customHeight="1" x14ac:dyDescent="0.2">
      <c r="A4" s="186" t="s">
        <v>26</v>
      </c>
      <c r="B4" s="187" t="s">
        <v>71</v>
      </c>
      <c r="C4" s="187" t="s">
        <v>138</v>
      </c>
      <c r="D4" s="205" t="b">
        <v>0</v>
      </c>
      <c r="E4" s="205" t="s">
        <v>7</v>
      </c>
      <c r="F4" s="205" t="s">
        <v>155</v>
      </c>
      <c r="G4" s="189" t="str">
        <f>_xll.qlIborIndex(,FamilyName,"1D",,Currency,Calendar,$E4,$D4,$F4,,Permanent,Trigger,ObjectOverwrite)</f>
        <v>obj_003b8#0007</v>
      </c>
      <c r="H4" s="190" t="str">
        <f>IF(ReportQuoteOverwrite,Currency&amp;B4&amp;"D"&amp;ReportQuoteSuffix,Currency&amp;B4&amp;"D"&amp;QuoteSuffix)</f>
        <v>GBPTND_LCHQuote</v>
      </c>
      <c r="I4" s="188"/>
      <c r="J4" s="191" t="s">
        <v>167</v>
      </c>
      <c r="K4" s="49"/>
      <c r="L4" s="10" t="str">
        <f t="shared" ref="L4:L11" si="1">A4</f>
        <v>Dp</v>
      </c>
      <c r="M4" s="94" t="str">
        <f t="shared" ref="M4:M11" si="2">IF(ISBLANK(J4),"--",J4)</f>
        <v>qlFraRateHelper(,$H4,"1D",$G4,PillarDate,,Permanent,Trigger,ObjectOverwrite)</v>
      </c>
      <c r="N4" s="146" t="str">
        <f>IFERROR(_xll.qlRateHelperQuoteName(M4,Trigger),"--")</f>
        <v>--</v>
      </c>
      <c r="O4" s="98" t="str">
        <f>IFERROR(_xll.qlRateHelperQuoteValue($M4,Trigger),"--")</f>
        <v>--</v>
      </c>
      <c r="P4" s="97" t="b">
        <v>0</v>
      </c>
      <c r="Q4" s="94">
        <v>30</v>
      </c>
      <c r="R4" s="94">
        <v>1</v>
      </c>
      <c r="S4" s="99" t="str">
        <f>IFERROR(_xll.qlRateHelperEarliestDate(M4,Trigger),"--")</f>
        <v>--</v>
      </c>
      <c r="T4" s="99" t="str">
        <f>IFERROR(_xll.qlRateHelperPillarDate(M4,Trigger),"--")</f>
        <v>--</v>
      </c>
      <c r="V4" s="4" t="str">
        <f t="shared" si="0"/>
        <v>Dp</v>
      </c>
      <c r="W4" s="4" t="str">
        <v>obj_003b6</v>
      </c>
      <c r="X4" s="4" t="str">
        <f>IFERROR(_xll.qlRateHelperQuoteName(W4,Trigger),"")</f>
        <v>GBPSWD_LCHQuote</v>
      </c>
      <c r="Y4" s="70">
        <f>IFERROR(_xll.qlRateHelperRate(W4,Trigger),"")</f>
        <v>4.8593999999999998E-3</v>
      </c>
      <c r="Z4" s="104" t="str">
        <f>IF(ISERROR(_xll.qlSwapRateHelperSpread($W4)),IF(ISERROR(_xll.qlFuturesRateHelperConvexityAdjustment($W4)),"",_xll.qlFuturesRateHelperConvexityAdjustment($W4)),_xll.qlSwapRateHelperSpread($W4))</f>
        <v/>
      </c>
      <c r="AA4" s="5">
        <f>IFERROR(_xll.qlRateHelperEarliestDate(W4,Trigger),"")</f>
        <v>42321</v>
      </c>
      <c r="AB4" s="5">
        <f>IFERROR(_xll.qlRateHelperPillarDate(W4,Trigger),"")</f>
        <v>42328</v>
      </c>
      <c r="AC4" s="70">
        <v>4.8591735806728402E-3</v>
      </c>
      <c r="AD4" s="169">
        <v>42327</v>
      </c>
      <c r="AE4" s="170">
        <v>4.8622732917089498E-3</v>
      </c>
      <c r="AF4" s="172">
        <f>_xll.qlYieldTSZeroRate(yieldcurve1_STD,$AD4,"ACTUAL/365 (FIXED)",,,TRUE,Trigger)-AE4</f>
        <v>-1.3216962585735001E-5</v>
      </c>
      <c r="AG4" s="161"/>
      <c r="AH4" s="107" t="s">
        <v>85</v>
      </c>
      <c r="AI4" s="108">
        <v>0</v>
      </c>
    </row>
    <row r="5" spans="1:35" ht="11.25" customHeight="1" x14ac:dyDescent="0.2">
      <c r="A5" s="59" t="s">
        <v>26</v>
      </c>
      <c r="B5" s="60" t="s">
        <v>139</v>
      </c>
      <c r="C5" s="60" t="s">
        <v>37</v>
      </c>
      <c r="D5" s="123"/>
      <c r="E5" s="123"/>
      <c r="F5" s="123"/>
      <c r="G5" s="61" t="str">
        <f>PROPER(Currency)&amp;FamilyName&amp;B5</f>
        <v>GbpLiborSW</v>
      </c>
      <c r="H5" s="179" t="str">
        <f>IF(ReportQuoteOverwrite,Currency&amp;C5&amp;"D"&amp;ReportQuoteSuffix,Currency&amp;B5&amp;"D"&amp;QuoteSuffix)</f>
        <v>GBPSWD_LCHQuote</v>
      </c>
      <c r="I5" s="123"/>
      <c r="J5" s="64" t="str">
        <f>_xll.qlDepositRateHelper(,$H5,$G5,Permanent,Trigger,ObjectOverwrite)</f>
        <v>obj_003b6#0007</v>
      </c>
      <c r="K5" s="49"/>
      <c r="L5" s="10" t="str">
        <f t="shared" si="1"/>
        <v>Dp</v>
      </c>
      <c r="M5" s="94" t="str">
        <f t="shared" si="2"/>
        <v>obj_003b6#0007</v>
      </c>
      <c r="N5" s="146" t="str">
        <f>IFERROR(_xll.qlRateHelperQuoteName(M5,Trigger),"--")</f>
        <v>GBPSWD_LCHQuote</v>
      </c>
      <c r="O5" s="98">
        <f>IFERROR(_xll.qlRateHelperQuoteValue($M5,Trigger),"--")</f>
        <v>4.8593999999999998E-3</v>
      </c>
      <c r="P5" s="97" t="b">
        <v>1</v>
      </c>
      <c r="Q5" s="94">
        <v>30</v>
      </c>
      <c r="R5" s="94">
        <v>1</v>
      </c>
      <c r="S5" s="99">
        <f>IFERROR(_xll.qlRateHelperEarliestDate(M5,Trigger),"--")</f>
        <v>42321</v>
      </c>
      <c r="T5" s="99">
        <f>IFERROR(_xll.qlRateHelperPillarDate(M5,Trigger),"--")</f>
        <v>42328</v>
      </c>
      <c r="V5" s="4" t="str">
        <f t="shared" si="0"/>
        <v>Dp</v>
      </c>
      <c r="W5" s="4" t="str">
        <v>obj_003b4</v>
      </c>
      <c r="X5" s="4" t="str">
        <f>IFERROR(_xll.qlRateHelperQuoteName(W5,Trigger),"")</f>
        <v>GBP1MD_LCHQuote</v>
      </c>
      <c r="Y5" s="70">
        <f>IFERROR(_xll.qlRateHelperRate(W5,Trigger),"")</f>
        <v>5.1005999999999994E-3</v>
      </c>
      <c r="Z5" s="104" t="str">
        <f>IF(ISERROR(_xll.qlSwapRateHelperSpread($W5)),IF(ISERROR(_xll.qlFuturesRateHelperConvexityAdjustment($W5)),"",_xll.qlFuturesRateHelperConvexityAdjustment($W5)),_xll.qlSwapRateHelperSpread($W5))</f>
        <v/>
      </c>
      <c r="AA5" s="5">
        <f>IFERROR(_xll.qlRateHelperEarliestDate(W5,Trigger),"")</f>
        <v>42321</v>
      </c>
      <c r="AB5" s="5">
        <f>IFERROR(_xll.qlRateHelperPillarDate(W5,Trigger),"")</f>
        <v>42352</v>
      </c>
      <c r="AC5" s="70">
        <v>5.0994955247995744E-3</v>
      </c>
      <c r="AD5" s="169">
        <v>42350</v>
      </c>
      <c r="AE5" s="170">
        <v>5.0804849779567699E-3</v>
      </c>
      <c r="AF5" s="172">
        <f>_xll.qlYieldTSZeroRate(yieldcurve1_STD,$AD5,"ACTUAL/365 (FIXED)",,,TRUE,Trigger)-AE5</f>
        <v>-1.0162818331509518E-6</v>
      </c>
      <c r="AG5" s="161"/>
      <c r="AH5" s="107" t="s">
        <v>86</v>
      </c>
      <c r="AI5" s="108">
        <f>AI7+AI8</f>
        <v>8</v>
      </c>
    </row>
    <row r="6" spans="1:35" ht="11.25" customHeight="1" x14ac:dyDescent="0.2">
      <c r="A6" s="59" t="s">
        <v>26</v>
      </c>
      <c r="B6" s="60" t="s">
        <v>2</v>
      </c>
      <c r="C6" s="60" t="s">
        <v>2</v>
      </c>
      <c r="D6" s="123"/>
      <c r="E6" s="123"/>
      <c r="F6" s="123"/>
      <c r="G6" s="61" t="str">
        <f>PROPER(Currency)&amp;FamilyName&amp;B6</f>
        <v>GbpLibor1M</v>
      </c>
      <c r="H6" s="179" t="str">
        <f t="shared" ref="H6:H11" si="3">IF(ReportQuoteOverwrite,Currency&amp;B6&amp;"D"&amp;ReportQuoteSuffix,Currency&amp;B6&amp;"D"&amp;QuoteSuffix)</f>
        <v>GBP1MD_LCHQuote</v>
      </c>
      <c r="I6" s="123"/>
      <c r="J6" s="64" t="str">
        <f>_xll.qlDepositRateHelper(,$H6,$G6,Permanent,Trigger,ObjectOverwrite)</f>
        <v>obj_003b4#0007</v>
      </c>
      <c r="K6" s="49"/>
      <c r="L6" s="10" t="str">
        <f t="shared" si="1"/>
        <v>Dp</v>
      </c>
      <c r="M6" s="94" t="str">
        <f t="shared" si="2"/>
        <v>obj_003b4#0007</v>
      </c>
      <c r="N6" s="146" t="str">
        <f>IFERROR(_xll.qlRateHelperQuoteName(M6,Trigger),"--")</f>
        <v>GBP1MD_LCHQuote</v>
      </c>
      <c r="O6" s="98">
        <f>IFERROR(_xll.qlRateHelperQuoteValue($M6,Trigger),"--")</f>
        <v>5.1005999999999994E-3</v>
      </c>
      <c r="P6" s="97" t="b">
        <v>1</v>
      </c>
      <c r="Q6" s="94">
        <v>30</v>
      </c>
      <c r="R6" s="94">
        <v>1</v>
      </c>
      <c r="S6" s="99">
        <f>IFERROR(_xll.qlRateHelperEarliestDate(M6,Trigger),"--")</f>
        <v>42321</v>
      </c>
      <c r="T6" s="99">
        <f>IFERROR(_xll.qlRateHelperPillarDate(M6,Trigger),"--")</f>
        <v>42352</v>
      </c>
      <c r="V6" s="4" t="str">
        <f t="shared" si="0"/>
        <v>FUT</v>
      </c>
      <c r="W6" s="4" t="str">
        <v>obj_00420</v>
      </c>
      <c r="X6" s="4" t="str">
        <f>IFERROR(_xll.qlRateHelperQuoteName(W6,Trigger),"")</f>
        <v>GBPFUT3MZ5_LCHQuote</v>
      </c>
      <c r="Y6" s="70">
        <f>IFERROR(_xll.qlRateHelperRate(W6,Trigger),"")</f>
        <v>5.8486098226905184E-3</v>
      </c>
      <c r="Z6" s="104">
        <f>IF(ISERROR(_xll.qlSwapRateHelperSpread($W6)),IF(ISERROR(_xll.qlFuturesRateHelperConvexityAdjustment($W6)),"",_xll.qlFuturesRateHelperConvexityAdjustment($W6)),_xll.qlSwapRateHelperSpread($W6))</f>
        <v>1.3901773096148644E-6</v>
      </c>
      <c r="AA6" s="5">
        <f>IFERROR(_xll.qlRateHelperEarliestDate(W6,Trigger),"")</f>
        <v>42354</v>
      </c>
      <c r="AB6" s="5">
        <f>IFERROR(_xll.qlRateHelperPillarDate(W6,Trigger),"")</f>
        <v>42445</v>
      </c>
      <c r="AC6" s="70">
        <v>5.6492689908126245E-3</v>
      </c>
      <c r="AD6" s="169">
        <v>42380</v>
      </c>
      <c r="AE6" s="170">
        <v>5.25254572680562E-3</v>
      </c>
      <c r="AF6" s="172">
        <f>_xll.qlYieldTSZeroRate(yieldcurve1_STD,$AD6,"ACTUAL/365 (FIXED)",,,TRUE,Trigger)-AE6</f>
        <v>1.2472992062643323E-5</v>
      </c>
      <c r="AG6" s="161"/>
      <c r="AH6" s="107" t="s">
        <v>87</v>
      </c>
      <c r="AI6" s="109" t="s">
        <v>88</v>
      </c>
    </row>
    <row r="7" spans="1:35" ht="11.25" customHeight="1" x14ac:dyDescent="0.2">
      <c r="A7" s="59" t="s">
        <v>26</v>
      </c>
      <c r="B7" s="60" t="s">
        <v>40</v>
      </c>
      <c r="C7" s="60" t="s">
        <v>40</v>
      </c>
      <c r="D7" s="123"/>
      <c r="E7" s="123"/>
      <c r="F7" s="123"/>
      <c r="G7" s="61" t="str">
        <f>PROPER(Currency)&amp;FamilyName&amp;B7</f>
        <v>GbpLibor2M</v>
      </c>
      <c r="H7" s="179" t="str">
        <f t="shared" si="3"/>
        <v>GBP2MD_LCHQuote</v>
      </c>
      <c r="I7" s="123"/>
      <c r="J7" s="64"/>
      <c r="K7" s="49"/>
      <c r="L7" s="10" t="str">
        <f t="shared" si="1"/>
        <v>Dp</v>
      </c>
      <c r="M7" s="94" t="str">
        <f t="shared" si="2"/>
        <v>--</v>
      </c>
      <c r="N7" s="146" t="str">
        <f>IFERROR(_xll.qlRateHelperQuoteName(M7,Trigger),"--")</f>
        <v>--</v>
      </c>
      <c r="O7" s="98" t="str">
        <f>IFERROR(_xll.qlRateHelperQuoteValue($M7,Trigger),"--")</f>
        <v>--</v>
      </c>
      <c r="P7" s="97" t="b">
        <v>0</v>
      </c>
      <c r="Q7" s="94">
        <v>30</v>
      </c>
      <c r="R7" s="94">
        <v>1</v>
      </c>
      <c r="S7" s="99" t="str">
        <f>IFERROR(_xll.qlRateHelperEarliestDate(M7,Trigger),"--")</f>
        <v>--</v>
      </c>
      <c r="T7" s="99" t="str">
        <f>IFERROR(_xll.qlRateHelperPillarDate(M7,Trigger),"--")</f>
        <v>--</v>
      </c>
      <c r="V7" s="4" t="str">
        <f t="shared" si="0"/>
        <v>FUT</v>
      </c>
      <c r="W7" s="4" t="str">
        <v>obj_00422</v>
      </c>
      <c r="X7" s="4" t="str">
        <f>IFERROR(_xll.qlRateHelperQuoteName(W7,Trigger),"")</f>
        <v>GBPFUT3MH6_LCHQuote</v>
      </c>
      <c r="Y7" s="70">
        <f>IFERROR(_xll.qlRateHelperRate(W7,Trigger),"")</f>
        <v>6.3425649326892229E-3</v>
      </c>
      <c r="Z7" s="104">
        <f>IF(ISERROR(_xll.qlSwapRateHelperSpread($W7)),IF(ISERROR(_xll.qlFuturesRateHelperConvexityAdjustment($W7)),"",_xll.qlFuturesRateHelperConvexityAdjustment($W7)),_xll.qlSwapRateHelperSpread($W7))</f>
        <v>7.4350673106329661E-6</v>
      </c>
      <c r="AA7" s="5">
        <f>IFERROR(_xll.qlRateHelperEarliestDate(W7,Trigger),"")</f>
        <v>42445</v>
      </c>
      <c r="AB7" s="5">
        <f>IFERROR(_xll.qlRateHelperPillarDate(W7,Trigger),"")</f>
        <v>42536</v>
      </c>
      <c r="AC7" s="70">
        <v>5.9405669712531278E-3</v>
      </c>
      <c r="AD7" s="169">
        <v>42411</v>
      </c>
      <c r="AE7" s="170">
        <v>5.4220335985165902E-3</v>
      </c>
      <c r="AF7" s="172">
        <f>_xll.qlYieldTSZeroRate(yieldcurve1_STD,$AD7,"ACTUAL/365 (FIXED)",,,TRUE,Trigger)-AE7</f>
        <v>2.6242942355865322E-5</v>
      </c>
      <c r="AG7" s="161"/>
      <c r="AH7" s="107" t="s">
        <v>144</v>
      </c>
      <c r="AI7" s="109">
        <v>0</v>
      </c>
    </row>
    <row r="8" spans="1:35" ht="11.25" customHeight="1" x14ac:dyDescent="0.2">
      <c r="A8" s="59" t="s">
        <v>26</v>
      </c>
      <c r="B8" s="60" t="s">
        <v>0</v>
      </c>
      <c r="C8" s="60" t="s">
        <v>0</v>
      </c>
      <c r="D8" s="123"/>
      <c r="E8" s="123"/>
      <c r="F8" s="123"/>
      <c r="G8" s="61" t="str">
        <f>PROPER(Currency)&amp;FamilyName&amp;B8</f>
        <v>GbpLibor3M</v>
      </c>
      <c r="H8" s="179" t="str">
        <f t="shared" si="3"/>
        <v>GBP3MD_LCHQuote</v>
      </c>
      <c r="I8" s="123"/>
      <c r="J8" s="64"/>
      <c r="K8" s="49"/>
      <c r="L8" s="10" t="str">
        <f t="shared" si="1"/>
        <v>Dp</v>
      </c>
      <c r="M8" s="94" t="str">
        <f t="shared" si="2"/>
        <v>--</v>
      </c>
      <c r="N8" s="146" t="str">
        <f>IFERROR(_xll.qlRateHelperQuoteName(M8,Trigger),"--")</f>
        <v>--</v>
      </c>
      <c r="O8" s="98" t="str">
        <f>IFERROR(_xll.qlRateHelperQuoteValue($M8,Trigger),"--")</f>
        <v>--</v>
      </c>
      <c r="P8" s="97" t="b">
        <v>0</v>
      </c>
      <c r="Q8" s="94">
        <v>30</v>
      </c>
      <c r="R8" s="94">
        <v>1</v>
      </c>
      <c r="S8" s="99" t="str">
        <f>IFERROR(_xll.qlRateHelperEarliestDate(M8,Trigger),"--")</f>
        <v>--</v>
      </c>
      <c r="T8" s="99" t="str">
        <f>IFERROR(_xll.qlRateHelperPillarDate(M8,Trigger),"--")</f>
        <v>--</v>
      </c>
      <c r="V8" s="4" t="str">
        <f t="shared" si="0"/>
        <v>FUT</v>
      </c>
      <c r="W8" s="4" t="str">
        <v>obj_00421</v>
      </c>
      <c r="X8" s="4" t="str">
        <f>IFERROR(_xll.qlRateHelperQuoteName(W8,Trigger),"")</f>
        <v>GBPFUT3MM6_LCHQuote</v>
      </c>
      <c r="Y8" s="70">
        <f>IFERROR(_xll.qlRateHelperRate(W8,Trigger),"")</f>
        <v>7.13341190159797E-3</v>
      </c>
      <c r="Z8" s="104">
        <f>IF(ISERROR(_xll.qlSwapRateHelperSpread($W8)),IF(ISERROR(_xll.qlFuturesRateHelperConvexityAdjustment($W8)),"",_xll.qlFuturesRateHelperConvexityAdjustment($W8)),_xll.qlSwapRateHelperSpread($W8))</f>
        <v>1.6588098402019898E-5</v>
      </c>
      <c r="AA8" s="5">
        <f>IFERROR(_xll.qlRateHelperEarliestDate(W8,Trigger),"")</f>
        <v>42536</v>
      </c>
      <c r="AB8" s="5">
        <f>IFERROR(_xll.qlRateHelperPillarDate(W8,Trigger),"")</f>
        <v>42634</v>
      </c>
      <c r="AC8" s="70">
        <v>6.3120400827738178E-3</v>
      </c>
      <c r="AD8" s="169">
        <v>42502</v>
      </c>
      <c r="AE8" s="170">
        <v>5.8129479916598E-3</v>
      </c>
      <c r="AF8" s="172">
        <f>_xll.qlYieldTSZeroRate(yieldcurve1_STD,$AD8,"ACTUAL/365 (FIXED)",,,TRUE,Trigger)-AE8</f>
        <v>1.8782371516638807E-5</v>
      </c>
      <c r="AG8" s="161"/>
      <c r="AH8" s="107" t="s">
        <v>145</v>
      </c>
      <c r="AI8" s="109">
        <v>8</v>
      </c>
    </row>
    <row r="9" spans="1:35" ht="11.25" customHeight="1" x14ac:dyDescent="0.2">
      <c r="A9" s="192" t="s">
        <v>26</v>
      </c>
      <c r="B9" s="193" t="s">
        <v>41</v>
      </c>
      <c r="C9" s="193" t="s">
        <v>41</v>
      </c>
      <c r="D9" s="194"/>
      <c r="E9" s="194"/>
      <c r="F9" s="194"/>
      <c r="G9" s="195" t="str">
        <f>_xll.qlEuribor(,$C9,,Permanent,Trigger,ObjectOverwrite)</f>
        <v>obj_003be#0007</v>
      </c>
      <c r="H9" s="196" t="str">
        <f t="shared" si="3"/>
        <v>GBP4MD_LCHQuote</v>
      </c>
      <c r="I9" s="194"/>
      <c r="J9" s="197"/>
      <c r="K9" s="48"/>
      <c r="L9" s="10" t="str">
        <f t="shared" si="1"/>
        <v>Dp</v>
      </c>
      <c r="M9" s="94" t="str">
        <f t="shared" si="2"/>
        <v>--</v>
      </c>
      <c r="N9" s="146" t="str">
        <f>IFERROR(_xll.qlRateHelperQuoteName(M9,Trigger),"--")</f>
        <v>--</v>
      </c>
      <c r="O9" s="98" t="str">
        <f>IFERROR(_xll.qlRateHelperQuoteValue($M9,Trigger),"--")</f>
        <v>--</v>
      </c>
      <c r="P9" s="97" t="b">
        <v>0</v>
      </c>
      <c r="Q9" s="94">
        <v>30</v>
      </c>
      <c r="R9" s="94">
        <v>1</v>
      </c>
      <c r="S9" s="99" t="str">
        <f>IFERROR(_xll.qlRateHelperEarliestDate(M9,Trigger),"--")</f>
        <v>--</v>
      </c>
      <c r="T9" s="99" t="str">
        <f>IFERROR(_xll.qlRateHelperPillarDate(M9,Trigger),"--")</f>
        <v>--</v>
      </c>
      <c r="V9" s="4" t="str">
        <f t="shared" si="0"/>
        <v>FUT</v>
      </c>
      <c r="W9" s="4" t="str">
        <v>obj_00423</v>
      </c>
      <c r="X9" s="4" t="str">
        <f>IFERROR(_xll.qlRateHelperQuoteName(W9,Trigger),"")</f>
        <v>GBPFUT3MU6_LCHQuote</v>
      </c>
      <c r="Y9" s="70">
        <f>IFERROR(_xll.qlRateHelperRate(W9,Trigger),"")</f>
        <v>8.120260788608006E-3</v>
      </c>
      <c r="Z9" s="104">
        <f>IF(ISERROR(_xll.qlSwapRateHelperSpread($W9)),IF(ISERROR(_xll.qlFuturesRateHelperConvexityAdjustment($W9)),"",_xll.qlFuturesRateHelperConvexityAdjustment($W9)),_xll.qlSwapRateHelperSpread($W9))</f>
        <v>2.9739211391984166E-5</v>
      </c>
      <c r="AA9" s="5">
        <f>IFERROR(_xll.qlRateHelperEarliestDate(W9,Trigger),"")</f>
        <v>42634</v>
      </c>
      <c r="AB9" s="5">
        <f>IFERROR(_xll.qlRateHelperPillarDate(W9,Trigger),"")</f>
        <v>42725</v>
      </c>
      <c r="AC9" s="70">
        <v>6.7174883382352954E-3</v>
      </c>
      <c r="AD9" s="169">
        <v>42593</v>
      </c>
      <c r="AE9" s="170">
        <v>6.1957190457399801E-3</v>
      </c>
      <c r="AF9" s="172">
        <f>_xll.qlYieldTSZeroRate(yieldcurve1_STD,$AD9,"ACTUAL/365 (FIXED)",,,TRUE,Trigger)-AE9</f>
        <v>-3.9091183092023092E-5</v>
      </c>
      <c r="AG9" s="161"/>
    </row>
    <row r="10" spans="1:35" ht="11.25" customHeight="1" x14ac:dyDescent="0.2">
      <c r="A10" s="198" t="s">
        <v>26</v>
      </c>
      <c r="B10" s="199" t="s">
        <v>42</v>
      </c>
      <c r="C10" s="199" t="s">
        <v>42</v>
      </c>
      <c r="D10" s="200"/>
      <c r="E10" s="200"/>
      <c r="F10" s="200"/>
      <c r="G10" s="201" t="str">
        <f>_xll.qlEuribor(,$C10,,Permanent,Trigger,ObjectOverwrite)</f>
        <v>obj_003bc#0007</v>
      </c>
      <c r="H10" s="202" t="str">
        <f t="shared" si="3"/>
        <v>GBP5MD_LCHQuote</v>
      </c>
      <c r="I10" s="200"/>
      <c r="J10" s="203"/>
      <c r="K10" s="48"/>
      <c r="L10" s="10" t="str">
        <f t="shared" si="1"/>
        <v>Dp</v>
      </c>
      <c r="M10" s="94" t="str">
        <f t="shared" si="2"/>
        <v>--</v>
      </c>
      <c r="N10" s="146" t="str">
        <f>IFERROR(_xll.qlRateHelperQuoteName(M10,Trigger),"--")</f>
        <v>--</v>
      </c>
      <c r="O10" s="98" t="str">
        <f>IFERROR(_xll.qlRateHelperQuoteValue($M10,Trigger),"--")</f>
        <v>--</v>
      </c>
      <c r="P10" s="97" t="b">
        <v>0</v>
      </c>
      <c r="Q10" s="94">
        <v>30</v>
      </c>
      <c r="R10" s="94">
        <v>1</v>
      </c>
      <c r="S10" s="99" t="str">
        <f>IFERROR(_xll.qlRateHelperEarliestDate(M10,Trigger),"--")</f>
        <v>--</v>
      </c>
      <c r="T10" s="99" t="str">
        <f>IFERROR(_xll.qlRateHelperPillarDate(M10,Trigger),"--")</f>
        <v>--</v>
      </c>
      <c r="V10" s="4" t="str">
        <f t="shared" si="0"/>
        <v>FUT</v>
      </c>
      <c r="W10" s="4" t="str">
        <v>obj_00428</v>
      </c>
      <c r="X10" s="4" t="str">
        <f>IFERROR(_xll.qlRateHelperQuoteName(W10,Trigger),"")</f>
        <v>GBPFUT3MZ6_LCHQuote</v>
      </c>
      <c r="Y10" s="70">
        <f>IFERROR(_xll.qlRateHelperRate(W10,Trigger),"")</f>
        <v>9.4050226913656269E-3</v>
      </c>
      <c r="Z10" s="104">
        <f>IF(ISERROR(_xll.qlSwapRateHelperSpread($W10)),IF(ISERROR(_xll.qlFuturesRateHelperConvexityAdjustment($W10)),"",_xll.qlFuturesRateHelperConvexityAdjustment($W10)),_xll.qlSwapRateHelperSpread($W10))</f>
        <v>4.4977308634331572E-5</v>
      </c>
      <c r="AA10" s="5">
        <f>IFERROR(_xll.qlRateHelperEarliestDate(W10,Trigger),"")</f>
        <v>42725</v>
      </c>
      <c r="AB10" s="5">
        <f>IFERROR(_xll.qlRateHelperPillarDate(W10,Trigger),"")</f>
        <v>42809</v>
      </c>
      <c r="AC10" s="70">
        <v>7.178222458253899E-3</v>
      </c>
      <c r="AD10" s="169">
        <v>42685</v>
      </c>
      <c r="AE10" s="170">
        <v>6.6436207603198299E-3</v>
      </c>
      <c r="AF10" s="172">
        <f>_xll.qlYieldTSZeroRate(yieldcurve1_STD,$AD10,"ACTUAL/365 (FIXED)",,,TRUE,Trigger)-AE10</f>
        <v>-1.0435143547432146E-4</v>
      </c>
      <c r="AG10" s="161"/>
    </row>
    <row r="11" spans="1:35" ht="11.25" customHeight="1" x14ac:dyDescent="0.2">
      <c r="A11" s="1" t="s">
        <v>26</v>
      </c>
      <c r="B11" s="8" t="s">
        <v>3</v>
      </c>
      <c r="C11" s="8" t="s">
        <v>3</v>
      </c>
      <c r="D11" s="124"/>
      <c r="E11" s="124"/>
      <c r="F11" s="124"/>
      <c r="G11" s="7" t="str">
        <f>PROPER(Currency)&amp;FamilyName&amp;B11</f>
        <v>GbpLibor6M</v>
      </c>
      <c r="H11" s="121" t="str">
        <f t="shared" si="3"/>
        <v>GBP6MD_LCHQuote</v>
      </c>
      <c r="I11" s="124"/>
      <c r="J11" s="3"/>
      <c r="K11" s="48"/>
      <c r="L11" s="11" t="str">
        <f t="shared" si="1"/>
        <v>Dp</v>
      </c>
      <c r="M11" s="95" t="str">
        <f t="shared" si="2"/>
        <v>--</v>
      </c>
      <c r="N11" s="147" t="str">
        <f>IFERROR(_xll.qlRateHelperQuoteName(M11,Trigger),"--")</f>
        <v>--</v>
      </c>
      <c r="O11" s="101" t="str">
        <f>IFERROR(_xll.qlRateHelperQuoteValue($M11,Trigger),"--")</f>
        <v>--</v>
      </c>
      <c r="P11" s="100" t="b">
        <v>0</v>
      </c>
      <c r="Q11" s="95">
        <v>30</v>
      </c>
      <c r="R11" s="95">
        <v>1</v>
      </c>
      <c r="S11" s="102" t="str">
        <f>IFERROR(_xll.qlRateHelperEarliestDate(M11,Trigger),"--")</f>
        <v>--</v>
      </c>
      <c r="T11" s="102" t="str">
        <f>IFERROR(_xll.qlRateHelperPillarDate(M11,Trigger),"--")</f>
        <v>--</v>
      </c>
      <c r="V11" s="4" t="str">
        <f t="shared" si="0"/>
        <v>FUT</v>
      </c>
      <c r="W11" s="4" t="str">
        <v>obj_00427</v>
      </c>
      <c r="X11" s="4" t="str">
        <f>IFERROR(_xll.qlRateHelperQuoteName(W11,Trigger),"")</f>
        <v>GBPFUT3MH7_LCHQuote</v>
      </c>
      <c r="Y11" s="70">
        <f>IFERROR(_xll.qlRateHelperRate(W11,Trigger),"")</f>
        <v>1.068788663174527E-2</v>
      </c>
      <c r="Z11" s="104">
        <f>IF(ISERROR(_xll.qlSwapRateHelperSpread($W11)),IF(ISERROR(_xll.qlFuturesRateHelperConvexityAdjustment($W11)),"",_xll.qlFuturesRateHelperConvexityAdjustment($W11)),_xll.qlSwapRateHelperSpread($W11))</f>
        <v>6.2113368254657379E-5</v>
      </c>
      <c r="AA11" s="5">
        <f>IFERROR(_xll.qlRateHelperEarliestDate(W11,Trigger),"")</f>
        <v>42809</v>
      </c>
      <c r="AB11" s="5">
        <f>IFERROR(_xll.qlRateHelperPillarDate(W11,Trigger),"")</f>
        <v>42907</v>
      </c>
      <c r="AC11" s="70">
        <v>7.7627596383968728E-3</v>
      </c>
      <c r="AD11" s="169">
        <v>42867</v>
      </c>
      <c r="AE11" s="170">
        <v>7.70987535103648E-3</v>
      </c>
      <c r="AF11" s="172">
        <f>_xll.qlYieldTSZeroRate(yieldcurve1_STD,$AD11,"ACTUAL/365 (FIXED)",,,TRUE,Trigger)-AE11</f>
        <v>-1.8570231677955337E-4</v>
      </c>
      <c r="AG11" s="161"/>
    </row>
    <row r="12" spans="1:35" ht="11.25" customHeight="1" x14ac:dyDescent="0.2">
      <c r="B12" s="46"/>
      <c r="C12" s="46"/>
      <c r="D12" s="46"/>
      <c r="E12" s="46"/>
      <c r="F12" s="103" t="s">
        <v>0</v>
      </c>
      <c r="G12" s="103" t="s">
        <v>166</v>
      </c>
      <c r="H12" s="103" t="s">
        <v>92</v>
      </c>
      <c r="K12" s="48"/>
      <c r="L12" s="68" t="str">
        <f>A14</f>
        <v>FUT</v>
      </c>
      <c r="M12" s="131" t="str">
        <f t="shared" ref="M12" si="4">IF(ISBLANK(J14),"--",J14)</f>
        <v>obj_00420#0007</v>
      </c>
      <c r="N12" s="145" t="str">
        <f>IFERROR(_xll.qlRateHelperQuoteName(M12,Trigger),"--")</f>
        <v>GBPFUT3MZ5_LCHQuote</v>
      </c>
      <c r="O12" s="209">
        <f>IFERROR(_xll.qlRateHelperQuoteValue($M12,Trigger),"--")</f>
        <v>99.414999999999992</v>
      </c>
      <c r="P12" s="132" t="b">
        <v>1</v>
      </c>
      <c r="Q12" s="131">
        <v>20</v>
      </c>
      <c r="R12" s="131">
        <v>1</v>
      </c>
      <c r="S12" s="134">
        <f>IFERROR(_xll.qlRateHelperEarliestDate(M12,Trigger),"--")</f>
        <v>42354</v>
      </c>
      <c r="T12" s="134">
        <f>IFERROR(_xll.qlRateHelperPillarDate(M12,Trigger),"--")</f>
        <v>42445</v>
      </c>
      <c r="V12" s="4" t="str">
        <f t="shared" si="0"/>
        <v>FUT</v>
      </c>
      <c r="W12" s="4" t="str">
        <v>obj_00426</v>
      </c>
      <c r="X12" s="4" t="str">
        <f>IFERROR(_xll.qlRateHelperQuoteName(W12,Trigger),"")</f>
        <v>GBPFUT3MM7_LCHQuote</v>
      </c>
      <c r="Y12" s="70">
        <f>IFERROR(_xll.qlRateHelperRate(W12,Trigger),"")</f>
        <v>1.1965176965724265E-2</v>
      </c>
      <c r="Z12" s="104">
        <f>IF(ISERROR(_xll.qlSwapRateHelperSpread($W12)),IF(ISERROR(_xll.qlFuturesRateHelperConvexityAdjustment($W12)),"",_xll.qlFuturesRateHelperConvexityAdjustment($W12)),_xll.qlSwapRateHelperSpread($W12))</f>
        <v>8.482303427574004E-5</v>
      </c>
      <c r="AA12" s="5">
        <f>IFERROR(_xll.qlRateHelperEarliestDate(W12,Trigger),"")</f>
        <v>42907</v>
      </c>
      <c r="AB12" s="5">
        <f>IFERROR(_xll.qlRateHelperPillarDate(W12,Trigger),"")</f>
        <v>42998</v>
      </c>
      <c r="AC12" s="70">
        <v>8.3252136685410538E-3</v>
      </c>
      <c r="AD12" s="169">
        <v>43050</v>
      </c>
      <c r="AE12" s="170">
        <v>8.8752470359293699E-3</v>
      </c>
      <c r="AF12" s="172">
        <f>_xll.qlYieldTSZeroRate(yieldcurve1_STD,$AD12,"ACTUAL/365 (FIXED)",,,TRUE,Trigger)-AE12</f>
        <v>-2.3213780070900809E-4</v>
      </c>
      <c r="AG12" s="161"/>
    </row>
    <row r="13" spans="1:35" ht="11.25" customHeight="1" x14ac:dyDescent="0.2">
      <c r="A13" s="65" t="s">
        <v>9</v>
      </c>
      <c r="B13" s="65" t="s">
        <v>142</v>
      </c>
      <c r="C13" s="65" t="s">
        <v>32</v>
      </c>
      <c r="D13" s="65"/>
      <c r="E13" s="65" t="s">
        <v>130</v>
      </c>
      <c r="F13" s="65" t="s">
        <v>131</v>
      </c>
      <c r="G13" s="65" t="s">
        <v>4</v>
      </c>
      <c r="H13" s="65" t="s">
        <v>1</v>
      </c>
      <c r="I13" s="65" t="s">
        <v>143</v>
      </c>
      <c r="J13" s="65" t="s">
        <v>24</v>
      </c>
      <c r="K13" s="48"/>
      <c r="L13" s="10" t="str">
        <f t="shared" ref="L13:L35" si="5">A15</f>
        <v>FUT</v>
      </c>
      <c r="M13" s="94" t="str">
        <f t="shared" ref="M13:M35" si="6">IF(ISBLANK(J15),"--",J15)</f>
        <v>obj_00422#0007</v>
      </c>
      <c r="N13" s="146" t="str">
        <f>IFERROR(_xll.qlRateHelperQuoteName(M13,Trigger),"--")</f>
        <v>GBPFUT3MH6_LCHQuote</v>
      </c>
      <c r="O13" s="210">
        <f>IFERROR(_xll.qlRateHelperQuoteValue($M13,Trigger),"--")</f>
        <v>99.365000000000009</v>
      </c>
      <c r="P13" s="97" t="b">
        <v>1</v>
      </c>
      <c r="Q13" s="94">
        <v>20</v>
      </c>
      <c r="R13" s="94">
        <v>1</v>
      </c>
      <c r="S13" s="99">
        <f>IFERROR(_xll.qlRateHelperEarliestDate(M13,Trigger),"--")</f>
        <v>42445</v>
      </c>
      <c r="T13" s="99">
        <f>IFERROR(_xll.qlRateHelperPillarDate(M13,Trigger),"--")</f>
        <v>42536</v>
      </c>
      <c r="V13" s="4" t="str">
        <f t="shared" si="0"/>
        <v>FUT</v>
      </c>
      <c r="W13" s="4" t="str">
        <v>obj_00429</v>
      </c>
      <c r="X13" s="4" t="str">
        <f>IFERROR(_xll.qlRateHelperQuoteName(W13,Trigger),"")</f>
        <v>GBPFUT3MU7_LCHQuote</v>
      </c>
      <c r="Y13" s="70">
        <f>IFERROR(_xll.qlRateHelperRate(W13,Trigger),"")</f>
        <v>1.3041442464401993E-2</v>
      </c>
      <c r="Z13" s="104">
        <f>IF(ISERROR(_xll.qlSwapRateHelperSpread($W13)),IF(ISERROR(_xll.qlFuturesRateHelperConvexityAdjustment($W13)),"",_xll.qlFuturesRateHelperConvexityAdjustment($W13)),_xll.qlSwapRateHelperSpread($W13))</f>
        <v>1.0855753559800158E-4</v>
      </c>
      <c r="AA13" s="5">
        <f>IFERROR(_xll.qlRateHelperEarliestDate(W13,Trigger),"")</f>
        <v>42998</v>
      </c>
      <c r="AB13" s="5">
        <f>IFERROR(_xll.qlRateHelperPillarDate(W13,Trigger),"")</f>
        <v>43089</v>
      </c>
      <c r="AC13" s="70">
        <v>8.8815309102297842E-3</v>
      </c>
      <c r="AD13" s="169">
        <v>43415</v>
      </c>
      <c r="AE13" s="170">
        <v>1.22827820275136E-2</v>
      </c>
      <c r="AF13" s="172">
        <f>_xll.qlYieldTSZeroRate(yieldcurve1_STD,$AD13,"ACTUAL/365 (FIXED)",,,TRUE,Trigger)-AE13</f>
        <v>-3.3267490814103268E-4</v>
      </c>
      <c r="AG13" s="161"/>
    </row>
    <row r="14" spans="1:35" ht="11.25" customHeight="1" x14ac:dyDescent="0.2">
      <c r="A14" s="53" t="s">
        <v>92</v>
      </c>
      <c r="B14" s="115" t="b">
        <v>1</v>
      </c>
      <c r="C14" s="56" t="str">
        <f>_xll.qlIMMNextCode(EvaluationDate-1,$B14,Trigger)</f>
        <v>Z5</v>
      </c>
      <c r="D14" s="129"/>
      <c r="E14" s="206">
        <f>_xll.qlIMMdate($C14,,Trigger)</f>
        <v>42354</v>
      </c>
      <c r="F14" s="206">
        <f>_xll.qlIMMNextDate($E14,,Trigger)</f>
        <v>42445</v>
      </c>
      <c r="G14" s="55" t="str">
        <f t="shared" ref="G14:G37" si="7">PROPER(Currency)&amp;FamilyName&amp;"3M"</f>
        <v>GbpLibor3M</v>
      </c>
      <c r="H14" s="118" t="str">
        <f t="shared" ref="H14:H37" si="8">IF(ReportQuoteOverwrite,$G$12&amp;$C14&amp;ReportQuoteSuffix,Currency&amp;$H$12&amp;$F$12&amp;$C14&amp;QuoteSuffix)</f>
        <v>GBPFUT3MZ5_LCHQuote</v>
      </c>
      <c r="I14" s="118" t="str">
        <f t="shared" ref="I14:I37" si="9">IF(ReportQuoteOverwrite,0,Currency&amp;$H$12&amp;$F$12&amp;C14&amp;"ConvAdj"&amp;QuoteSuffix)</f>
        <v>GBPFUT3MZ5ConvAdj_LCHQuote</v>
      </c>
      <c r="J14" s="58" t="str">
        <f>_xll.qlFuturesRateHelper(,$H14,,$E14,$G14,$I14,FALSE,"customdate",$F14,Permanent,Trigger,ObjectOverwrite)</f>
        <v>obj_00420#0007</v>
      </c>
      <c r="K14" s="48"/>
      <c r="L14" s="10" t="str">
        <f t="shared" si="5"/>
        <v>FUT</v>
      </c>
      <c r="M14" s="94" t="str">
        <f t="shared" si="6"/>
        <v>obj_00421#0007</v>
      </c>
      <c r="N14" s="146" t="str">
        <f>IFERROR(_xll.qlRateHelperQuoteName(M14,Trigger),"--")</f>
        <v>GBPFUT3MM6_LCHQuote</v>
      </c>
      <c r="O14" s="210">
        <f>IFERROR(_xll.qlRateHelperQuoteValue($M14,Trigger),"--")</f>
        <v>99.284999999999997</v>
      </c>
      <c r="P14" s="97" t="b">
        <v>1</v>
      </c>
      <c r="Q14" s="94">
        <v>20</v>
      </c>
      <c r="R14" s="94">
        <v>1</v>
      </c>
      <c r="S14" s="99">
        <f>IFERROR(_xll.qlRateHelperEarliestDate(M14,Trigger),"--")</f>
        <v>42536</v>
      </c>
      <c r="T14" s="99">
        <f>IFERROR(_xll.qlRateHelperPillarDate(M14,Trigger),"--")</f>
        <v>42634</v>
      </c>
      <c r="V14" s="4" t="str">
        <f t="shared" si="0"/>
        <v>Sw</v>
      </c>
      <c r="W14" s="4" t="str">
        <v>obj_003bf</v>
      </c>
      <c r="X14" s="4" t="str">
        <f>IFERROR(_xll.qlRateHelperQuoteName(W14,Trigger),"")</f>
        <v>GBPSB6L3Y_LCHQuote</v>
      </c>
      <c r="Y14" s="70">
        <f>IFERROR(_xll.qlRateHelperRate(W14,Trigger),"")</f>
        <v>1.1979999999999999E-2</v>
      </c>
      <c r="Z14" s="104">
        <f>IF(ISERROR(_xll.qlSwapRateHelperSpread($W14)),IF(ISERROR(_xll.qlFuturesRateHelperConvexityAdjustment($W14)),"",_xll.qlFuturesRateHelperConvexityAdjustment($W14)),_xll.qlSwapRateHelperSpread($W14))</f>
        <v>0</v>
      </c>
      <c r="AA14" s="5">
        <f>IFERROR(_xll.qlRateHelperEarliestDate(W14,Trigger),"")</f>
        <v>42321</v>
      </c>
      <c r="AB14" s="5">
        <f>IFERROR(_xll.qlRateHelperPillarDate(W14,Trigger),"")</f>
        <v>43417</v>
      </c>
      <c r="AC14" s="70">
        <v>1.1968932740287588E-2</v>
      </c>
      <c r="AD14" s="169">
        <v>43780</v>
      </c>
      <c r="AE14" s="170">
        <v>1.40498933214281E-2</v>
      </c>
      <c r="AF14" s="172">
        <f>_xll.qlYieldTSZeroRate(yieldcurve1_STD,$AD14,"ACTUAL/365 (FIXED)",,,TRUE,Trigger)-AE14</f>
        <v>-3.1499329661894247E-4</v>
      </c>
      <c r="AG14" s="161"/>
    </row>
    <row r="15" spans="1:35" ht="11.25" customHeight="1" x14ac:dyDescent="0.2">
      <c r="A15" s="59" t="s">
        <v>92</v>
      </c>
      <c r="B15" s="116" t="b">
        <v>1</v>
      </c>
      <c r="C15" s="62" t="str">
        <f>_xll.qlIMMNextCode($C14,$B15,Trigger)</f>
        <v>H6</v>
      </c>
      <c r="D15" s="123"/>
      <c r="E15" s="207">
        <f>_xll.qlIMMdate($C15,,Trigger)</f>
        <v>42445</v>
      </c>
      <c r="F15" s="207">
        <f>_xll.qlIMMNextDate($E15,,Trigger)</f>
        <v>42536</v>
      </c>
      <c r="G15" s="61" t="str">
        <f t="shared" si="7"/>
        <v>GbpLibor3M</v>
      </c>
      <c r="H15" s="119" t="str">
        <f t="shared" si="8"/>
        <v>GBPFUT3MH6_LCHQuote</v>
      </c>
      <c r="I15" s="119" t="str">
        <f t="shared" si="9"/>
        <v>GBPFUT3MH6ConvAdj_LCHQuote</v>
      </c>
      <c r="J15" s="64" t="str">
        <f>_xll.qlFuturesRateHelper(,$H15,,$E15,$G15,$I15,FALSE,"customdate",$F15,Permanent,Trigger,ObjectOverwrite)</f>
        <v>obj_00422#0007</v>
      </c>
      <c r="K15" s="48"/>
      <c r="L15" s="10" t="str">
        <f t="shared" si="5"/>
        <v>FUT</v>
      </c>
      <c r="M15" s="94" t="str">
        <f t="shared" si="6"/>
        <v>obj_00423#0007</v>
      </c>
      <c r="N15" s="146" t="str">
        <f>IFERROR(_xll.qlRateHelperQuoteName(M15,Trigger),"--")</f>
        <v>GBPFUT3MU6_LCHQuote</v>
      </c>
      <c r="O15" s="210">
        <f>IFERROR(_xll.qlRateHelperQuoteValue($M15,Trigger),"--")</f>
        <v>99.185000000000002</v>
      </c>
      <c r="P15" s="97" t="b">
        <v>1</v>
      </c>
      <c r="Q15" s="94">
        <v>20</v>
      </c>
      <c r="R15" s="94">
        <v>1</v>
      </c>
      <c r="S15" s="99">
        <f>IFERROR(_xll.qlRateHelperEarliestDate(M15,Trigger),"--")</f>
        <v>42634</v>
      </c>
      <c r="T15" s="99">
        <f>IFERROR(_xll.qlRateHelperPillarDate(M15,Trigger),"--")</f>
        <v>42725</v>
      </c>
      <c r="V15" s="4" t="str">
        <f t="shared" si="0"/>
        <v>Sw</v>
      </c>
      <c r="W15" s="4" t="str">
        <v>obj_003af</v>
      </c>
      <c r="X15" s="4" t="str">
        <f>IFERROR(_xll.qlRateHelperQuoteName(W15,Trigger),"")</f>
        <v>GBPSB6L4Y_LCHQuote</v>
      </c>
      <c r="Y15" s="70">
        <f>IFERROR(_xll.qlRateHelperRate(W15,Trigger),"")</f>
        <v>1.3729999999999999E-2</v>
      </c>
      <c r="Z15" s="104">
        <f>IF(ISERROR(_xll.qlSwapRateHelperSpread($W15)),IF(ISERROR(_xll.qlFuturesRateHelperConvexityAdjustment($W15)),"",_xll.qlFuturesRateHelperConvexityAdjustment($W15)),_xll.qlSwapRateHelperSpread($W15))</f>
        <v>0</v>
      </c>
      <c r="AA15" s="5">
        <f>IFERROR(_xll.qlRateHelperEarliestDate(W15,Trigger),"")</f>
        <v>42321</v>
      </c>
      <c r="AB15" s="5">
        <f>IFERROR(_xll.qlRateHelperPillarDate(W15,Trigger),"")</f>
        <v>43782</v>
      </c>
      <c r="AC15" s="70">
        <v>1.3744629872106801E-2</v>
      </c>
      <c r="AD15" s="169">
        <v>44145</v>
      </c>
      <c r="AE15" s="170">
        <v>1.5513811248416399E-2</v>
      </c>
      <c r="AF15" s="172">
        <f>_xll.qlYieldTSZeroRate(yieldcurve1_STD,$AD15,"ACTUAL/365 (FIXED)",,,TRUE,Trigger)-AE15</f>
        <v>-2.9125743463525623E-4</v>
      </c>
      <c r="AG15" s="161"/>
    </row>
    <row r="16" spans="1:35" ht="11.25" customHeight="1" x14ac:dyDescent="0.2">
      <c r="A16" s="59" t="s">
        <v>92</v>
      </c>
      <c r="B16" s="116" t="b">
        <v>1</v>
      </c>
      <c r="C16" s="62" t="str">
        <f>_xll.qlIMMNextCode($C15,$B16,Trigger)</f>
        <v>M6</v>
      </c>
      <c r="D16" s="123"/>
      <c r="E16" s="207">
        <f>_xll.qlIMMdate($C16,,Trigger)</f>
        <v>42536</v>
      </c>
      <c r="F16" s="207">
        <f>_xll.qlIMMNextDate($E16,,Trigger)</f>
        <v>42634</v>
      </c>
      <c r="G16" s="61" t="str">
        <f t="shared" si="7"/>
        <v>GbpLibor3M</v>
      </c>
      <c r="H16" s="119" t="str">
        <f t="shared" si="8"/>
        <v>GBPFUT3MM6_LCHQuote</v>
      </c>
      <c r="I16" s="119" t="str">
        <f t="shared" si="9"/>
        <v>GBPFUT3MM6ConvAdj_LCHQuote</v>
      </c>
      <c r="J16" s="64" t="str">
        <f>_xll.qlFuturesRateHelper(,$H16,,$E16,$G16,$I16,FALSE,"customdate",$F16,Permanent,Trigger,ObjectOverwrite)</f>
        <v>obj_00421#0007</v>
      </c>
      <c r="K16" s="48"/>
      <c r="L16" s="10" t="str">
        <f t="shared" si="5"/>
        <v>FUT</v>
      </c>
      <c r="M16" s="94" t="str">
        <f t="shared" si="6"/>
        <v>obj_00428#0007</v>
      </c>
      <c r="N16" s="146" t="str">
        <f>IFERROR(_xll.qlRateHelperQuoteName(M16,Trigger),"--")</f>
        <v>GBPFUT3MZ6_LCHQuote</v>
      </c>
      <c r="O16" s="210">
        <f>IFERROR(_xll.qlRateHelperQuoteValue($M16,Trigger),"--")</f>
        <v>99.055000000000007</v>
      </c>
      <c r="P16" s="97" t="b">
        <v>1</v>
      </c>
      <c r="Q16" s="94">
        <v>20</v>
      </c>
      <c r="R16" s="94">
        <v>1</v>
      </c>
      <c r="S16" s="99">
        <f>IFERROR(_xll.qlRateHelperEarliestDate(M16,Trigger),"--")</f>
        <v>42725</v>
      </c>
      <c r="T16" s="99">
        <f>IFERROR(_xll.qlRateHelperPillarDate(M16,Trigger),"--")</f>
        <v>42809</v>
      </c>
      <c r="V16" s="4" t="str">
        <f t="shared" si="0"/>
        <v>Sw</v>
      </c>
      <c r="W16" s="4" t="str">
        <v>obj_003bb</v>
      </c>
      <c r="X16" s="4" t="str">
        <f>IFERROR(_xll.qlRateHelperQuoteName(W16,Trigger),"")</f>
        <v>GBPSB6L5Y_LCHQuote</v>
      </c>
      <c r="Y16" s="70">
        <f>IFERROR(_xll.qlRateHelperRate(W16,Trigger),"")</f>
        <v>1.5190000000000002E-2</v>
      </c>
      <c r="Z16" s="104">
        <f>IF(ISERROR(_xll.qlSwapRateHelperSpread($W16)),IF(ISERROR(_xll.qlFuturesRateHelperConvexityAdjustment($W16)),"",_xll.qlFuturesRateHelperConvexityAdjustment($W16)),_xll.qlSwapRateHelperSpread($W16))</f>
        <v>0</v>
      </c>
      <c r="AA16" s="5">
        <f>IFERROR(_xll.qlRateHelperEarliestDate(W16,Trigger),"")</f>
        <v>42321</v>
      </c>
      <c r="AB16" s="5">
        <f>IFERROR(_xll.qlRateHelperPillarDate(W16,Trigger),"")</f>
        <v>44148</v>
      </c>
      <c r="AC16" s="70">
        <v>1.5234768061233013E-2</v>
      </c>
      <c r="AD16" s="169">
        <v>44510</v>
      </c>
      <c r="AE16" s="170">
        <v>1.6755512877023399E-2</v>
      </c>
      <c r="AF16" s="172">
        <f>_xll.qlYieldTSZeroRate(yieldcurve1_STD,$AD16,"ACTUAL/365 (FIXED)",,,TRUE,Trigger)-AE16</f>
        <v>-2.8500792916493281E-4</v>
      </c>
      <c r="AG16" s="161"/>
    </row>
    <row r="17" spans="1:33" ht="11.25" customHeight="1" x14ac:dyDescent="0.2">
      <c r="A17" s="59" t="s">
        <v>92</v>
      </c>
      <c r="B17" s="116" t="b">
        <v>1</v>
      </c>
      <c r="C17" s="62" t="str">
        <f>_xll.qlIMMNextCode($C16,$B17,Trigger)</f>
        <v>U6</v>
      </c>
      <c r="D17" s="123"/>
      <c r="E17" s="207">
        <f>_xll.qlIMMdate($C17,,Trigger)</f>
        <v>42634</v>
      </c>
      <c r="F17" s="207">
        <f>_xll.qlIMMNextDate($E17,,Trigger)</f>
        <v>42725</v>
      </c>
      <c r="G17" s="61" t="str">
        <f t="shared" si="7"/>
        <v>GbpLibor3M</v>
      </c>
      <c r="H17" s="119" t="str">
        <f t="shared" si="8"/>
        <v>GBPFUT3MU6_LCHQuote</v>
      </c>
      <c r="I17" s="119" t="str">
        <f t="shared" si="9"/>
        <v>GBPFUT3MU6ConvAdj_LCHQuote</v>
      </c>
      <c r="J17" s="64" t="str">
        <f>_xll.qlFuturesRateHelper(,$H17,,$E17,$G17,$I17,FALSE,"customdate",$F17,Permanent,Trigger,ObjectOverwrite)</f>
        <v>obj_00423#0007</v>
      </c>
      <c r="K17" s="48"/>
      <c r="L17" s="10" t="str">
        <f t="shared" si="5"/>
        <v>FUT</v>
      </c>
      <c r="M17" s="94" t="str">
        <f t="shared" si="6"/>
        <v>obj_00427#0007</v>
      </c>
      <c r="N17" s="146" t="str">
        <f>IFERROR(_xll.qlRateHelperQuoteName(M17,Trigger),"--")</f>
        <v>GBPFUT3MH7_LCHQuote</v>
      </c>
      <c r="O17" s="210">
        <f>IFERROR(_xll.qlRateHelperQuoteValue($M17,Trigger),"--")</f>
        <v>98.925000000000011</v>
      </c>
      <c r="P17" s="97" t="b">
        <v>1</v>
      </c>
      <c r="Q17" s="94">
        <v>20</v>
      </c>
      <c r="R17" s="94">
        <v>1</v>
      </c>
      <c r="S17" s="99">
        <f>IFERROR(_xll.qlRateHelperEarliestDate(M17,Trigger),"--")</f>
        <v>42809</v>
      </c>
      <c r="T17" s="99">
        <f>IFERROR(_xll.qlRateHelperPillarDate(M17,Trigger),"--")</f>
        <v>42907</v>
      </c>
      <c r="V17" s="4" t="str">
        <f t="shared" si="0"/>
        <v>Sw</v>
      </c>
      <c r="W17" s="4" t="str">
        <v>obj_003bd</v>
      </c>
      <c r="X17" s="4" t="str">
        <f>IFERROR(_xll.qlRateHelperQuoteName(W17,Trigger),"")</f>
        <v>GBPSB6L6Y_LCHQuote</v>
      </c>
      <c r="Y17" s="70">
        <f>IFERROR(_xll.qlRateHelperRate(W17,Trigger),"")</f>
        <v>1.6410000000000001E-2</v>
      </c>
      <c r="Z17" s="104">
        <f>IF(ISERROR(_xll.qlSwapRateHelperSpread($W17)),IF(ISERROR(_xll.qlFuturesRateHelperConvexityAdjustment($W17)),"",_xll.qlFuturesRateHelperConvexityAdjustment($W17)),_xll.qlSwapRateHelperSpread($W17))</f>
        <v>0</v>
      </c>
      <c r="AA17" s="5">
        <f>IFERROR(_xll.qlRateHelperEarliestDate(W17,Trigger),"")</f>
        <v>42321</v>
      </c>
      <c r="AB17" s="5">
        <f>IFERROR(_xll.qlRateHelperPillarDate(W17,Trigger),"")</f>
        <v>44515</v>
      </c>
      <c r="AC17" s="70">
        <v>1.648757313690025E-2</v>
      </c>
      <c r="AD17" s="169">
        <v>44875</v>
      </c>
      <c r="AE17" s="170">
        <v>1.7782890483596998E-2</v>
      </c>
      <c r="AF17" s="172">
        <f>_xll.qlYieldTSZeroRate(yieldcurve1_STD,$AD17,"ACTUAL/365 (FIXED)",,,TRUE,Trigger)-AE17</f>
        <v>-2.6193965800229771E-4</v>
      </c>
      <c r="AG17" s="161"/>
    </row>
    <row r="18" spans="1:33" ht="11.25" customHeight="1" x14ac:dyDescent="0.2">
      <c r="A18" s="59" t="s">
        <v>92</v>
      </c>
      <c r="B18" s="116" t="b">
        <v>1</v>
      </c>
      <c r="C18" s="62" t="str">
        <f>_xll.qlIMMNextCode($C17,$B18,Trigger)</f>
        <v>Z6</v>
      </c>
      <c r="D18" s="123"/>
      <c r="E18" s="207">
        <f>_xll.qlIMMdate($C18,,Trigger)</f>
        <v>42725</v>
      </c>
      <c r="F18" s="207">
        <f>_xll.qlIMMNextDate($E18,,Trigger)</f>
        <v>42809</v>
      </c>
      <c r="G18" s="61" t="str">
        <f t="shared" si="7"/>
        <v>GbpLibor3M</v>
      </c>
      <c r="H18" s="119" t="str">
        <f t="shared" si="8"/>
        <v>GBPFUT3MZ6_LCHQuote</v>
      </c>
      <c r="I18" s="119" t="str">
        <f t="shared" si="9"/>
        <v>GBPFUT3MZ6ConvAdj_LCHQuote</v>
      </c>
      <c r="J18" s="64" t="str">
        <f>_xll.qlFuturesRateHelper(,$H18,,$E18,$G18,$I18,FALSE,"customdate",$F18,Permanent,Trigger,ObjectOverwrite)</f>
        <v>obj_00428#0007</v>
      </c>
      <c r="K18" s="48"/>
      <c r="L18" s="10" t="str">
        <f t="shared" si="5"/>
        <v>FUT</v>
      </c>
      <c r="M18" s="94" t="str">
        <f t="shared" si="6"/>
        <v>obj_00426#0007</v>
      </c>
      <c r="N18" s="146" t="str">
        <f>IFERROR(_xll.qlRateHelperQuoteName(M18,Trigger),"--")</f>
        <v>GBPFUT3MM7_LCHQuote</v>
      </c>
      <c r="O18" s="210">
        <f>IFERROR(_xll.qlRateHelperQuoteValue($M18,Trigger),"--")</f>
        <v>98.795000000000002</v>
      </c>
      <c r="P18" s="97" t="b">
        <v>1</v>
      </c>
      <c r="Q18" s="94">
        <v>20</v>
      </c>
      <c r="R18" s="94">
        <v>1</v>
      </c>
      <c r="S18" s="99">
        <f>IFERROR(_xll.qlRateHelperEarliestDate(M18,Trigger),"--")</f>
        <v>42907</v>
      </c>
      <c r="T18" s="99">
        <f>IFERROR(_xll.qlRateHelperPillarDate(M18,Trigger),"--")</f>
        <v>42998</v>
      </c>
      <c r="V18" s="4" t="str">
        <f t="shared" si="0"/>
        <v>Sw</v>
      </c>
      <c r="W18" s="4" t="str">
        <v>obj_003c2</v>
      </c>
      <c r="X18" s="4" t="str">
        <f>IFERROR(_xll.qlRateHelperQuoteName(W18,Trigger),"")</f>
        <v>GBPSB6L7Y_LCHQuote</v>
      </c>
      <c r="Y18" s="70">
        <f>IFERROR(_xll.qlRateHelperRate(W18,Trigger),"")</f>
        <v>1.7420000000000001E-2</v>
      </c>
      <c r="Z18" s="104">
        <f>IF(ISERROR(_xll.qlSwapRateHelperSpread($W18)),IF(ISERROR(_xll.qlFuturesRateHelperConvexityAdjustment($W18)),"",_xll.qlFuturesRateHelperConvexityAdjustment($W18)),_xll.qlSwapRateHelperSpread($W18))</f>
        <v>0</v>
      </c>
      <c r="AA18" s="5">
        <f>IFERROR(_xll.qlRateHelperEarliestDate(W18,Trigger),"")</f>
        <v>42321</v>
      </c>
      <c r="AB18" s="5">
        <f>IFERROR(_xll.qlRateHelperPillarDate(W18,Trigger),"")</f>
        <v>44879</v>
      </c>
      <c r="AC18" s="70">
        <v>1.7532432799913532E-2</v>
      </c>
      <c r="AD18" s="169">
        <v>45240</v>
      </c>
      <c r="AE18" s="170">
        <v>1.8633415770140899E-2</v>
      </c>
      <c r="AF18" s="172">
        <f>_xll.qlYieldTSZeroRate(yieldcurve1_STD,$AD18,"ACTUAL/365 (FIXED)",,,TRUE,Trigger)-AE18</f>
        <v>-2.4398239604309438E-4</v>
      </c>
      <c r="AG18" s="161"/>
    </row>
    <row r="19" spans="1:33" ht="11.25" customHeight="1" x14ac:dyDescent="0.2">
      <c r="A19" s="59" t="s">
        <v>92</v>
      </c>
      <c r="B19" s="116" t="b">
        <v>1</v>
      </c>
      <c r="C19" s="62" t="str">
        <f>_xll.qlIMMNextCode($C18,$B19,Trigger)</f>
        <v>H7</v>
      </c>
      <c r="D19" s="123"/>
      <c r="E19" s="207">
        <f>_xll.qlIMMdate($C19,,Trigger)</f>
        <v>42809</v>
      </c>
      <c r="F19" s="207">
        <f>_xll.qlIMMNextDate($E19,,Trigger)</f>
        <v>42907</v>
      </c>
      <c r="G19" s="61" t="str">
        <f t="shared" si="7"/>
        <v>GbpLibor3M</v>
      </c>
      <c r="H19" s="119" t="str">
        <f t="shared" si="8"/>
        <v>GBPFUT3MH7_LCHQuote</v>
      </c>
      <c r="I19" s="119" t="str">
        <f t="shared" si="9"/>
        <v>GBPFUT3MH7ConvAdj_LCHQuote</v>
      </c>
      <c r="J19" s="64" t="str">
        <f>_xll.qlFuturesRateHelper(,$H19,,$E19,$G19,$I19,FALSE,"customdate",$F19,Permanent,Trigger,ObjectOverwrite)</f>
        <v>obj_00427#0007</v>
      </c>
      <c r="K19" s="48"/>
      <c r="L19" s="10" t="str">
        <f t="shared" si="5"/>
        <v>FUT</v>
      </c>
      <c r="M19" s="94" t="str">
        <f t="shared" si="6"/>
        <v>obj_00429#0007</v>
      </c>
      <c r="N19" s="146" t="str">
        <f>IFERROR(_xll.qlRateHelperQuoteName(M19,Trigger),"--")</f>
        <v>GBPFUT3MU7_LCHQuote</v>
      </c>
      <c r="O19" s="210">
        <f>IFERROR(_xll.qlRateHelperQuoteValue($M19,Trigger),"--")</f>
        <v>98.685000000000002</v>
      </c>
      <c r="P19" s="97" t="b">
        <v>1</v>
      </c>
      <c r="Q19" s="94">
        <v>20</v>
      </c>
      <c r="R19" s="94">
        <v>1</v>
      </c>
      <c r="S19" s="99">
        <f>IFERROR(_xll.qlRateHelperEarliestDate(M19,Trigger),"--")</f>
        <v>42998</v>
      </c>
      <c r="T19" s="99">
        <f>IFERROR(_xll.qlRateHelperPillarDate(M19,Trigger),"--")</f>
        <v>43089</v>
      </c>
      <c r="V19" s="4" t="str">
        <f t="shared" si="0"/>
        <v>Sw</v>
      </c>
      <c r="W19" s="4" t="str">
        <v>obj_003b2</v>
      </c>
      <c r="X19" s="4" t="str">
        <f>IFERROR(_xll.qlRateHelperQuoteName(W19,Trigger),"")</f>
        <v>GBPSB6L8Y_LCHQuote</v>
      </c>
      <c r="Y19" s="70">
        <f>IFERROR(_xll.qlRateHelperRate(W19,Trigger),"")</f>
        <v>1.8250000000000002E-2</v>
      </c>
      <c r="Z19" s="104">
        <f>IF(ISERROR(_xll.qlSwapRateHelperSpread($W19)),IF(ISERROR(_xll.qlFuturesRateHelperConvexityAdjustment($W19)),"",_xll.qlFuturesRateHelperConvexityAdjustment($W19)),_xll.qlSwapRateHelperSpread($W19))</f>
        <v>0</v>
      </c>
      <c r="AA19" s="5">
        <f>IFERROR(_xll.qlRateHelperEarliestDate(W19,Trigger),"")</f>
        <v>42321</v>
      </c>
      <c r="AB19" s="5">
        <f>IFERROR(_xll.qlRateHelperPillarDate(W19,Trigger),"")</f>
        <v>45243</v>
      </c>
      <c r="AC19" s="70">
        <v>1.8396555262525923E-2</v>
      </c>
      <c r="AD19" s="169">
        <v>45605</v>
      </c>
      <c r="AE19" s="170">
        <v>1.9337731154965999E-2</v>
      </c>
      <c r="AF19" s="172">
        <f>_xll.qlYieldTSZeroRate(yieldcurve1_STD,$AD19,"ACTUAL/365 (FIXED)",,,TRUE,Trigger)-AE19</f>
        <v>-2.2679765403864002E-4</v>
      </c>
      <c r="AG19" s="161"/>
    </row>
    <row r="20" spans="1:33" ht="11.25" customHeight="1" x14ac:dyDescent="0.2">
      <c r="A20" s="59" t="s">
        <v>92</v>
      </c>
      <c r="B20" s="116" t="b">
        <v>1</v>
      </c>
      <c r="C20" s="62" t="str">
        <f>_xll.qlIMMNextCode($C19,$B20,Trigger)</f>
        <v>M7</v>
      </c>
      <c r="D20" s="123"/>
      <c r="E20" s="207">
        <f>_xll.qlIMMdate($C20,,Trigger)</f>
        <v>42907</v>
      </c>
      <c r="F20" s="207">
        <f>_xll.qlIMMNextDate($E20,,Trigger)</f>
        <v>42998</v>
      </c>
      <c r="G20" s="61" t="str">
        <f t="shared" si="7"/>
        <v>GbpLibor3M</v>
      </c>
      <c r="H20" s="119" t="str">
        <f t="shared" si="8"/>
        <v>GBPFUT3MM7_LCHQuote</v>
      </c>
      <c r="I20" s="119" t="str">
        <f t="shared" si="9"/>
        <v>GBPFUT3MM7ConvAdj_LCHQuote</v>
      </c>
      <c r="J20" s="64" t="str">
        <f>_xll.qlFuturesRateHelper(,$H20,,$E20,$G20,$I20,FALSE,"customdate",$F20,Permanent,Trigger,ObjectOverwrite)</f>
        <v>obj_00426#0007</v>
      </c>
      <c r="K20" s="48"/>
      <c r="L20" s="10" t="str">
        <f t="shared" si="5"/>
        <v>FUT</v>
      </c>
      <c r="M20" s="94" t="str">
        <f t="shared" si="6"/>
        <v>obj_0042e#0007</v>
      </c>
      <c r="N20" s="146" t="str">
        <f>IFERROR(_xll.qlRateHelperQuoteName(M20,Trigger),"--")</f>
        <v>GBPFUT3MZ7_LCHQuote</v>
      </c>
      <c r="O20" s="210">
        <f>IFERROR(_xll.qlRateHelperQuoteValue($M20,Trigger),"--")</f>
        <v>98.585000000000008</v>
      </c>
      <c r="P20" s="97" t="b">
        <v>1</v>
      </c>
      <c r="Q20" s="94">
        <v>20</v>
      </c>
      <c r="R20" s="94">
        <v>1</v>
      </c>
      <c r="S20" s="99">
        <f>IFERROR(_xll.qlRateHelperEarliestDate(M20,Trigger),"--")</f>
        <v>43089</v>
      </c>
      <c r="T20" s="99">
        <f>IFERROR(_xll.qlRateHelperPillarDate(M20,Trigger),"--")</f>
        <v>43180</v>
      </c>
      <c r="V20" s="4" t="str">
        <f t="shared" si="0"/>
        <v>Sw</v>
      </c>
      <c r="W20" s="4" t="str">
        <v>obj_003b7</v>
      </c>
      <c r="X20" s="4" t="str">
        <f>IFERROR(_xll.qlRateHelperQuoteName(W20,Trigger),"")</f>
        <v>GBPSB6L9Y_LCHQuote</v>
      </c>
      <c r="Y20" s="70">
        <f>IFERROR(_xll.qlRateHelperRate(W20,Trigger),"")</f>
        <v>1.8940000000000002E-2</v>
      </c>
      <c r="Z20" s="104">
        <f>IF(ISERROR(_xll.qlSwapRateHelperSpread($W20)),IF(ISERROR(_xll.qlFuturesRateHelperConvexityAdjustment($W20)),"",_xll.qlFuturesRateHelperConvexityAdjustment($W20)),_xll.qlSwapRateHelperSpread($W20))</f>
        <v>0</v>
      </c>
      <c r="AA20" s="5">
        <f>IFERROR(_xll.qlRateHelperEarliestDate(W20,Trigger),"")</f>
        <v>42321</v>
      </c>
      <c r="AB20" s="5">
        <f>IFERROR(_xll.qlRateHelperPillarDate(W20,Trigger),"")</f>
        <v>45609</v>
      </c>
      <c r="AC20" s="70">
        <v>1.9118827183119642E-2</v>
      </c>
      <c r="AD20" s="169">
        <v>45970</v>
      </c>
      <c r="AE20" s="170">
        <v>1.9943140356344501E-2</v>
      </c>
      <c r="AF20" s="172">
        <f>_xll.qlYieldTSZeroRate(yieldcurve1_STD,$AD20,"ACTUAL/365 (FIXED)",,,TRUE,Trigger)-AE20</f>
        <v>-2.2037450026759706E-4</v>
      </c>
      <c r="AG20" s="161"/>
    </row>
    <row r="21" spans="1:33" ht="11.25" customHeight="1" x14ac:dyDescent="0.2">
      <c r="A21" s="59" t="s">
        <v>92</v>
      </c>
      <c r="B21" s="116" t="b">
        <v>1</v>
      </c>
      <c r="C21" s="62" t="str">
        <f>_xll.qlIMMNextCode($C20,$B21,Trigger)</f>
        <v>U7</v>
      </c>
      <c r="D21" s="123"/>
      <c r="E21" s="207">
        <f>_xll.qlIMMdate($C21,,Trigger)</f>
        <v>42998</v>
      </c>
      <c r="F21" s="207">
        <f>_xll.qlIMMNextDate($E21,,Trigger)</f>
        <v>43089</v>
      </c>
      <c r="G21" s="61" t="str">
        <f t="shared" si="7"/>
        <v>GbpLibor3M</v>
      </c>
      <c r="H21" s="119" t="str">
        <f t="shared" si="8"/>
        <v>GBPFUT3MU7_LCHQuote</v>
      </c>
      <c r="I21" s="119" t="str">
        <f t="shared" si="9"/>
        <v>GBPFUT3MU7ConvAdj_LCHQuote</v>
      </c>
      <c r="J21" s="64" t="str">
        <f>_xll.qlFuturesRateHelper(,$H21,,$E21,$G21,$I21,FALSE,"customdate",$F21,Permanent,Trigger,ObjectOverwrite)</f>
        <v>obj_00429#0007</v>
      </c>
      <c r="K21" s="48"/>
      <c r="L21" s="10" t="str">
        <f t="shared" si="5"/>
        <v>FUT</v>
      </c>
      <c r="M21" s="94" t="str">
        <f t="shared" si="6"/>
        <v>obj_0042c#0007</v>
      </c>
      <c r="N21" s="146" t="str">
        <f>IFERROR(_xll.qlRateHelperQuoteName(M21,Trigger),"--")</f>
        <v>GBPFUT3MH8_LCHQuote</v>
      </c>
      <c r="O21" s="210">
        <f>IFERROR(_xll.qlRateHelperQuoteValue($M21,Trigger),"--")</f>
        <v>98.495000000000005</v>
      </c>
      <c r="P21" s="97" t="b">
        <v>1</v>
      </c>
      <c r="Q21" s="94">
        <v>20</v>
      </c>
      <c r="R21" s="94">
        <v>1</v>
      </c>
      <c r="S21" s="99">
        <f>IFERROR(_xll.qlRateHelperEarliestDate(M21,Trigger),"--")</f>
        <v>43180</v>
      </c>
      <c r="T21" s="99">
        <f>IFERROR(_xll.qlRateHelperPillarDate(M21,Trigger),"--")</f>
        <v>43271</v>
      </c>
      <c r="V21" s="4" t="str">
        <f t="shared" si="0"/>
        <v>Sw</v>
      </c>
      <c r="W21" s="4" t="str">
        <v>obj_003ba</v>
      </c>
      <c r="X21" s="4" t="str">
        <f>IFERROR(_xll.qlRateHelperQuoteName(W21,Trigger),"")</f>
        <v>GBPSB6L10Y_LCHQuote</v>
      </c>
      <c r="Y21" s="70">
        <f>IFERROR(_xll.qlRateHelperRate(W21,Trigger),"")</f>
        <v>1.9519999999999999E-2</v>
      </c>
      <c r="Z21" s="104">
        <f>IF(ISERROR(_xll.qlSwapRateHelperSpread($W21)),IF(ISERROR(_xll.qlFuturesRateHelperConvexityAdjustment($W21)),"",_xll.qlFuturesRateHelperConvexityAdjustment($W21)),_xll.qlSwapRateHelperSpread($W21))</f>
        <v>0</v>
      </c>
      <c r="AA21" s="5">
        <f>IFERROR(_xll.qlRateHelperEarliestDate(W21,Trigger),"")</f>
        <v>42321</v>
      </c>
      <c r="AB21" s="5">
        <f>IFERROR(_xll.qlRateHelperPillarDate(W21,Trigger),"")</f>
        <v>45974</v>
      </c>
      <c r="AC21" s="70">
        <v>1.9729457697328503E-2</v>
      </c>
      <c r="AD21" s="169">
        <v>46700</v>
      </c>
      <c r="AE21" s="170">
        <v>2.0899771772707101E-2</v>
      </c>
      <c r="AF21" s="172">
        <f>_xll.qlYieldTSZeroRate(yieldcurve1_STD,$AD21,"ACTUAL/365 (FIXED)",,,TRUE,Trigger)-AE21</f>
        <v>-2.1282132531003431E-4</v>
      </c>
      <c r="AG21" s="161"/>
    </row>
    <row r="22" spans="1:33" ht="11.25" customHeight="1" x14ac:dyDescent="0.2">
      <c r="A22" s="59" t="s">
        <v>92</v>
      </c>
      <c r="B22" s="116" t="b">
        <v>1</v>
      </c>
      <c r="C22" s="62" t="str">
        <f>_xll.qlIMMNextCode($C21,$B22,Trigger)</f>
        <v>Z7</v>
      </c>
      <c r="D22" s="123"/>
      <c r="E22" s="207">
        <f>_xll.qlIMMdate($C22,,Trigger)</f>
        <v>43089</v>
      </c>
      <c r="F22" s="207">
        <f>_xll.qlIMMNextDate($E22,,Trigger)</f>
        <v>43180</v>
      </c>
      <c r="G22" s="61" t="str">
        <f t="shared" si="7"/>
        <v>GbpLibor3M</v>
      </c>
      <c r="H22" s="119" t="str">
        <f t="shared" si="8"/>
        <v>GBPFUT3MZ7_LCHQuote</v>
      </c>
      <c r="I22" s="119" t="str">
        <f t="shared" si="9"/>
        <v>GBPFUT3MZ7ConvAdj_LCHQuote</v>
      </c>
      <c r="J22" s="64" t="str">
        <f>_xll.qlFuturesRateHelper(,$H22,,$E22,$G22,$I22,FALSE,"customdate",$F22,Permanent,Trigger,ObjectOverwrite)</f>
        <v>obj_0042e#0007</v>
      </c>
      <c r="K22" s="48"/>
      <c r="L22" s="10" t="str">
        <f t="shared" si="5"/>
        <v>FUT</v>
      </c>
      <c r="M22" s="94" t="str">
        <f t="shared" si="6"/>
        <v>obj_00434#0007</v>
      </c>
      <c r="N22" s="146" t="str">
        <f>IFERROR(_xll.qlRateHelperQuoteName(M22,Trigger),"--")</f>
        <v>GBPFUT3MM8_LCHQuote</v>
      </c>
      <c r="O22" s="210">
        <f>IFERROR(_xll.qlRateHelperQuoteValue($M22,Trigger),"--")</f>
        <v>98.405000000000001</v>
      </c>
      <c r="P22" s="97" t="b">
        <v>1</v>
      </c>
      <c r="Q22" s="94">
        <v>20</v>
      </c>
      <c r="R22" s="94">
        <v>1</v>
      </c>
      <c r="S22" s="99">
        <f>IFERROR(_xll.qlRateHelperEarliestDate(M22,Trigger),"--")</f>
        <v>43271</v>
      </c>
      <c r="T22" s="99">
        <f>IFERROR(_xll.qlRateHelperPillarDate(M22,Trigger),"--")</f>
        <v>43362</v>
      </c>
      <c r="V22" s="4" t="str">
        <f t="shared" si="0"/>
        <v>Sw</v>
      </c>
      <c r="W22" s="4" t="str">
        <v>obj_003ae</v>
      </c>
      <c r="X22" s="4" t="str">
        <f>IFERROR(_xll.qlRateHelperQuoteName(W22,Trigger),"")</f>
        <v>GBPSB6L12Y_LCHQuote</v>
      </c>
      <c r="Y22" s="70">
        <f>IFERROR(_xll.qlRateHelperRate(W22,Trigger),"")</f>
        <v>2.043E-2</v>
      </c>
      <c r="Z22" s="104">
        <f>IF(ISERROR(_xll.qlSwapRateHelperSpread($W22)),IF(ISERROR(_xll.qlFuturesRateHelperConvexityAdjustment($W22)),"",_xll.qlFuturesRateHelperConvexityAdjustment($W22)),_xll.qlSwapRateHelperSpread($W22))</f>
        <v>0</v>
      </c>
      <c r="AA22" s="5">
        <f>IFERROR(_xll.qlRateHelperEarliestDate(W22,Trigger),"")</f>
        <v>42321</v>
      </c>
      <c r="AB22" s="5">
        <f>IFERROR(_xll.qlRateHelperPillarDate(W22,Trigger),"")</f>
        <v>46706</v>
      </c>
      <c r="AC22" s="70">
        <v>2.069486361062077E-2</v>
      </c>
      <c r="AD22" s="169">
        <v>47795</v>
      </c>
      <c r="AE22" s="170">
        <v>2.1803357105225699E-2</v>
      </c>
      <c r="AF22" s="172">
        <f>_xll.qlYieldTSZeroRate(yieldcurve1_STD,$AD22,"ACTUAL/365 (FIXED)",,,TRUE,Trigger)-AE22</f>
        <v>-1.9663919021468274E-4</v>
      </c>
      <c r="AG22" s="161"/>
    </row>
    <row r="23" spans="1:33" ht="11.25" customHeight="1" x14ac:dyDescent="0.2">
      <c r="A23" s="59" t="s">
        <v>92</v>
      </c>
      <c r="B23" s="116" t="b">
        <v>1</v>
      </c>
      <c r="C23" s="62" t="str">
        <f>_xll.qlIMMNextCode($C22,$B23,Trigger)</f>
        <v>H8</v>
      </c>
      <c r="D23" s="123"/>
      <c r="E23" s="207">
        <f>_xll.qlIMMdate($C23,,Trigger)</f>
        <v>43180</v>
      </c>
      <c r="F23" s="207">
        <f>_xll.qlIMMNextDate($E23,,Trigger)</f>
        <v>43271</v>
      </c>
      <c r="G23" s="61" t="str">
        <f t="shared" si="7"/>
        <v>GbpLibor3M</v>
      </c>
      <c r="H23" s="119" t="str">
        <f t="shared" si="8"/>
        <v>GBPFUT3MH8_LCHQuote</v>
      </c>
      <c r="I23" s="119" t="str">
        <f t="shared" si="9"/>
        <v>GBPFUT3MH8ConvAdj_LCHQuote</v>
      </c>
      <c r="J23" s="64" t="str">
        <f>_xll.qlFuturesRateHelper(,$H23,,$E23,$G23,$I23,FALSE,"customdate",$F23,Permanent,Trigger,ObjectOverwrite)</f>
        <v>obj_0042c#0007</v>
      </c>
      <c r="K23" s="48"/>
      <c r="L23" s="10" t="str">
        <f t="shared" si="5"/>
        <v>FUT</v>
      </c>
      <c r="M23" s="94" t="str">
        <f t="shared" si="6"/>
        <v>obj_0042f#0007</v>
      </c>
      <c r="N23" s="146" t="str">
        <f>IFERROR(_xll.qlRateHelperQuoteName(M23,Trigger),"--")</f>
        <v>GBPFUT3MU8_LCHQuote</v>
      </c>
      <c r="O23" s="210">
        <f>IFERROR(_xll.qlRateHelperQuoteValue($M23,Trigger),"--")</f>
        <v>98.314999999999998</v>
      </c>
      <c r="P23" s="97" t="b">
        <v>1</v>
      </c>
      <c r="Q23" s="94">
        <v>20</v>
      </c>
      <c r="R23" s="94">
        <v>1</v>
      </c>
      <c r="S23" s="99">
        <f>IFERROR(_xll.qlRateHelperEarliestDate(M23,Trigger),"--")</f>
        <v>43362</v>
      </c>
      <c r="T23" s="99">
        <f>IFERROR(_xll.qlRateHelperPillarDate(M23,Trigger),"--")</f>
        <v>43453</v>
      </c>
      <c r="V23" s="4" t="str">
        <f t="shared" si="0"/>
        <v>Sw</v>
      </c>
      <c r="W23" s="4" t="str">
        <v>obj_003b0</v>
      </c>
      <c r="X23" s="4" t="str">
        <f>IFERROR(_xll.qlRateHelperQuoteName(W23,Trigger),"")</f>
        <v>GBPSB6L15Y_LCHQuote</v>
      </c>
      <c r="Y23" s="70">
        <f>IFERROR(_xll.qlRateHelperRate(W23,Trigger),"")</f>
        <v>2.129E-2</v>
      </c>
      <c r="Z23" s="104">
        <f>IF(ISERROR(_xll.qlSwapRateHelperSpread($W23)),IF(ISERROR(_xll.qlFuturesRateHelperConvexityAdjustment($W23)),"",_xll.qlFuturesRateHelperConvexityAdjustment($W23)),_xll.qlSwapRateHelperSpread($W23))</f>
        <v>0</v>
      </c>
      <c r="AA23" s="5">
        <f>IFERROR(_xll.qlRateHelperEarliestDate(W23,Trigger),"")</f>
        <v>42321</v>
      </c>
      <c r="AB23" s="5">
        <f>IFERROR(_xll.qlRateHelperPillarDate(W23,Trigger),"")</f>
        <v>47800</v>
      </c>
      <c r="AC23" s="70">
        <v>2.1610904573892514E-2</v>
      </c>
      <c r="AD23" s="169">
        <v>49620</v>
      </c>
      <c r="AE23" s="170">
        <v>2.2213703967249299E-2</v>
      </c>
      <c r="AF23" s="172">
        <f>_xll.qlYieldTSZeroRate(yieldcurve1_STD,$AD23,"ACTUAL/365 (FIXED)",,,TRUE,Trigger)-AE23</f>
        <v>-1.368028590740325E-4</v>
      </c>
      <c r="AG23" s="161"/>
    </row>
    <row r="24" spans="1:33" ht="11.25" customHeight="1" x14ac:dyDescent="0.2">
      <c r="A24" s="59" t="s">
        <v>92</v>
      </c>
      <c r="B24" s="116" t="b">
        <v>1</v>
      </c>
      <c r="C24" s="62" t="str">
        <f>_xll.qlIMMNextCode($C23,$B24,Trigger)</f>
        <v>M8</v>
      </c>
      <c r="D24" s="123"/>
      <c r="E24" s="207">
        <f>_xll.qlIMMdate($C24,,Trigger)</f>
        <v>43271</v>
      </c>
      <c r="F24" s="207">
        <f>_xll.qlIMMNextDate($E24,,Trigger)</f>
        <v>43362</v>
      </c>
      <c r="G24" s="61" t="str">
        <f t="shared" si="7"/>
        <v>GbpLibor3M</v>
      </c>
      <c r="H24" s="119" t="str">
        <f t="shared" si="8"/>
        <v>GBPFUT3MM8_LCHQuote</v>
      </c>
      <c r="I24" s="119" t="str">
        <f t="shared" si="9"/>
        <v>GBPFUT3MM8ConvAdj_LCHQuote</v>
      </c>
      <c r="J24" s="64" t="str">
        <f>_xll.qlFuturesRateHelper(,$H24,,$E24,$G24,$I24,FALSE,"customdate",$F24,Permanent,Trigger,ObjectOverwrite)</f>
        <v>obj_00434#0007</v>
      </c>
      <c r="K24" s="48"/>
      <c r="L24" s="10" t="str">
        <f t="shared" si="5"/>
        <v>FUT</v>
      </c>
      <c r="M24" s="94" t="str">
        <f t="shared" si="6"/>
        <v>obj_00432#0007</v>
      </c>
      <c r="N24" s="146" t="str">
        <f>IFERROR(_xll.qlRateHelperQuoteName(M24,Trigger),"--")</f>
        <v>GBPFUT3MZ8_LCHQuote</v>
      </c>
      <c r="O24" s="210">
        <f>IFERROR(_xll.qlRateHelperQuoteValue($M24,Trigger),"--")</f>
        <v>98.234999999999999</v>
      </c>
      <c r="P24" s="97" t="b">
        <v>1</v>
      </c>
      <c r="Q24" s="94">
        <v>20</v>
      </c>
      <c r="R24" s="94">
        <v>1</v>
      </c>
      <c r="S24" s="99">
        <f>IFERROR(_xll.qlRateHelperEarliestDate(M24,Trigger),"--")</f>
        <v>43453</v>
      </c>
      <c r="T24" s="99">
        <f>IFERROR(_xll.qlRateHelperPillarDate(M24,Trigger),"--")</f>
        <v>43544</v>
      </c>
      <c r="V24" s="4" t="str">
        <f t="shared" si="0"/>
        <v>Sw</v>
      </c>
      <c r="W24" s="4" t="str">
        <v>obj_003b3</v>
      </c>
      <c r="X24" s="4" t="str">
        <f>IFERROR(_xll.qlRateHelperQuoteName(W24,Trigger),"")</f>
        <v>GBPSB6L20Y_LCHQuote</v>
      </c>
      <c r="Y24" s="70">
        <f>IFERROR(_xll.qlRateHelperRate(W24,Trigger),"")</f>
        <v>2.1770000000000001E-2</v>
      </c>
      <c r="Z24" s="104">
        <f>IF(ISERROR(_xll.qlSwapRateHelperSpread($W24)),IF(ISERROR(_xll.qlFuturesRateHelperConvexityAdjustment($W24)),"",_xll.qlFuturesRateHelperConvexityAdjustment($W24)),_xll.qlSwapRateHelperSpread($W24))</f>
        <v>0</v>
      </c>
      <c r="AA24" s="5">
        <f>IFERROR(_xll.qlRateHelperEarliestDate(W24,Trigger),"")</f>
        <v>42321</v>
      </c>
      <c r="AB24" s="5">
        <f>IFERROR(_xll.qlRateHelperPillarDate(W24,Trigger),"")</f>
        <v>49626</v>
      </c>
      <c r="AC24" s="70">
        <v>2.2078437360486088E-2</v>
      </c>
      <c r="AD24" s="169">
        <v>51445</v>
      </c>
      <c r="AE24" s="170">
        <v>2.1927341349193798E-2</v>
      </c>
      <c r="AF24" s="172">
        <f>_xll.qlYieldTSZeroRate(yieldcurve1_STD,$AD24,"ACTUAL/365 (FIXED)",,,TRUE,Trigger)-AE24</f>
        <v>-8.6038552010506836E-5</v>
      </c>
      <c r="AG24" s="161"/>
    </row>
    <row r="25" spans="1:33" ht="11.25" customHeight="1" x14ac:dyDescent="0.2">
      <c r="A25" s="59" t="s">
        <v>92</v>
      </c>
      <c r="B25" s="116" t="b">
        <v>1</v>
      </c>
      <c r="C25" s="62" t="str">
        <f>_xll.qlIMMNextCode($C24,$B25,Trigger)</f>
        <v>U8</v>
      </c>
      <c r="D25" s="123"/>
      <c r="E25" s="207">
        <f>_xll.qlIMMdate($C25,,Trigger)</f>
        <v>43362</v>
      </c>
      <c r="F25" s="207">
        <f>_xll.qlIMMNextDate($E25,,Trigger)</f>
        <v>43453</v>
      </c>
      <c r="G25" s="61" t="str">
        <f t="shared" si="7"/>
        <v>GbpLibor3M</v>
      </c>
      <c r="H25" s="119" t="str">
        <f t="shared" si="8"/>
        <v>GBPFUT3MU8_LCHQuote</v>
      </c>
      <c r="I25" s="119" t="str">
        <f t="shared" si="9"/>
        <v>GBPFUT3MU8ConvAdj_LCHQuote</v>
      </c>
      <c r="J25" s="64" t="str">
        <f>_xll.qlFuturesRateHelper(,$H25,,$E25,$G25,$I25,FALSE,"customdate",$F25,Permanent,Trigger,ObjectOverwrite)</f>
        <v>obj_0042f#0007</v>
      </c>
      <c r="K25" s="48"/>
      <c r="L25" s="10" t="str">
        <f t="shared" si="5"/>
        <v>FUT</v>
      </c>
      <c r="M25" s="94" t="str">
        <f t="shared" si="6"/>
        <v>obj_0042d#0007</v>
      </c>
      <c r="N25" s="146" t="str">
        <f>IFERROR(_xll.qlRateHelperQuoteName(M25,Trigger),"--")</f>
        <v>GBPFUT3MH9_LCHQuote</v>
      </c>
      <c r="O25" s="210">
        <f>IFERROR(_xll.qlRateHelperQuoteValue($M25,Trigger),"--")</f>
        <v>98.164999999999992</v>
      </c>
      <c r="P25" s="97" t="b">
        <v>1</v>
      </c>
      <c r="Q25" s="94">
        <v>20</v>
      </c>
      <c r="R25" s="94">
        <v>1</v>
      </c>
      <c r="S25" s="99">
        <f>IFERROR(_xll.qlRateHelperEarliestDate(M25,Trigger),"--")</f>
        <v>43544</v>
      </c>
      <c r="T25" s="99">
        <f>IFERROR(_xll.qlRateHelperPillarDate(M25,Trigger),"--")</f>
        <v>43635</v>
      </c>
      <c r="V25" s="4" t="str">
        <f t="shared" si="0"/>
        <v>Sw</v>
      </c>
      <c r="W25" s="4" t="str">
        <v>obj_00365</v>
      </c>
      <c r="X25" s="4" t="str">
        <f>IFERROR(_xll.qlRateHelperQuoteName(W25,Trigger),"")</f>
        <v>GBPSB6L25Y_LCHQuote</v>
      </c>
      <c r="Y25" s="70">
        <f>IFERROR(_xll.qlRateHelperRate(W25,Trigger),"")</f>
        <v>2.1649999999999999E-2</v>
      </c>
      <c r="Z25" s="104">
        <f>IF(ISERROR(_xll.qlSwapRateHelperSpread($W25)),IF(ISERROR(_xll.qlFuturesRateHelperConvexityAdjustment($W25)),"",_xll.qlFuturesRateHelperConvexityAdjustment($W25)),_xll.qlSwapRateHelperSpread($W25))</f>
        <v>0</v>
      </c>
      <c r="AA25" s="5">
        <f>IFERROR(_xll.qlRateHelperEarliestDate(W25,Trigger),"")</f>
        <v>42321</v>
      </c>
      <c r="AB25" s="5">
        <f>IFERROR(_xll.qlRateHelperPillarDate(W25,Trigger),"")</f>
        <v>51453</v>
      </c>
      <c r="AC25" s="70">
        <v>2.1840259874420002E-2</v>
      </c>
      <c r="AD25" s="169">
        <v>53270</v>
      </c>
      <c r="AE25" s="170">
        <v>2.1574316544732599E-2</v>
      </c>
      <c r="AF25" s="172">
        <f>_xll.qlYieldTSZeroRate(yieldcurve1_STD,$AD25,"ACTUAL/365 (FIXED)",,,TRUE,Trigger)-AE25</f>
        <v>-2.4739849046540724E-5</v>
      </c>
      <c r="AG25" s="161"/>
    </row>
    <row r="26" spans="1:33" ht="11.25" customHeight="1" x14ac:dyDescent="0.2">
      <c r="A26" s="59" t="s">
        <v>92</v>
      </c>
      <c r="B26" s="116" t="b">
        <v>1</v>
      </c>
      <c r="C26" s="62" t="str">
        <f>_xll.qlIMMNextCode($C25,$B26,Trigger)</f>
        <v>Z8</v>
      </c>
      <c r="D26" s="123"/>
      <c r="E26" s="207">
        <f>_xll.qlIMMdate($C26,,Trigger)</f>
        <v>43453</v>
      </c>
      <c r="F26" s="207">
        <f>_xll.qlIMMNextDate($E26,,Trigger)</f>
        <v>43544</v>
      </c>
      <c r="G26" s="61" t="str">
        <f t="shared" si="7"/>
        <v>GbpLibor3M</v>
      </c>
      <c r="H26" s="119" t="str">
        <f t="shared" si="8"/>
        <v>GBPFUT3MZ8_LCHQuote</v>
      </c>
      <c r="I26" s="119" t="str">
        <f t="shared" si="9"/>
        <v>GBPFUT3MZ8ConvAdj_LCHQuote</v>
      </c>
      <c r="J26" s="64" t="str">
        <f>_xll.qlFuturesRateHelper(,$H26,,$E26,$G26,$I26,FALSE,"customdate",$F26,Permanent,Trigger,ObjectOverwrite)</f>
        <v>obj_00432#0007</v>
      </c>
      <c r="K26" s="48"/>
      <c r="L26" s="10" t="str">
        <f t="shared" si="5"/>
        <v>FUT</v>
      </c>
      <c r="M26" s="94" t="str">
        <f t="shared" si="6"/>
        <v>obj_00436#0007</v>
      </c>
      <c r="N26" s="146" t="str">
        <f>IFERROR(_xll.qlRateHelperQuoteName(M26,Trigger),"--")</f>
        <v>GBPFUT3MM9_LCHQuote</v>
      </c>
      <c r="O26" s="210">
        <f>IFERROR(_xll.qlRateHelperQuoteValue($M26,Trigger),"--")</f>
        <v>98.09</v>
      </c>
      <c r="P26" s="97" t="b">
        <v>1</v>
      </c>
      <c r="Q26" s="94">
        <v>20</v>
      </c>
      <c r="R26" s="94">
        <v>1</v>
      </c>
      <c r="S26" s="99">
        <f>IFERROR(_xll.qlRateHelperEarliestDate(M26,Trigger),"--")</f>
        <v>43635</v>
      </c>
      <c r="T26" s="99">
        <f>IFERROR(_xll.qlRateHelperPillarDate(M26,Trigger),"--")</f>
        <v>43726</v>
      </c>
      <c r="V26" s="4" t="str">
        <f t="shared" si="0"/>
        <v>Sw</v>
      </c>
      <c r="W26" s="4" t="str">
        <v>obj_003b1</v>
      </c>
      <c r="X26" s="4" t="str">
        <f>IFERROR(_xll.qlRateHelperQuoteName(W26,Trigger),"")</f>
        <v>GBPSB6L30Y_LCHQuote</v>
      </c>
      <c r="Y26" s="70">
        <f>IFERROR(_xll.qlRateHelperRate(W26,Trigger),"")</f>
        <v>2.1470000000000003E-2</v>
      </c>
      <c r="Z26" s="104">
        <f>IF(ISERROR(_xll.qlSwapRateHelperSpread($W26)),IF(ISERROR(_xll.qlFuturesRateHelperConvexityAdjustment($W26)),"",_xll.qlFuturesRateHelperConvexityAdjustment($W26)),_xll.qlSwapRateHelperSpread($W26))</f>
        <v>0</v>
      </c>
      <c r="AA26" s="5">
        <f>IFERROR(_xll.qlRateHelperEarliestDate(W26,Trigger),"")</f>
        <v>42321</v>
      </c>
      <c r="AB26" s="5">
        <f>IFERROR(_xll.qlRateHelperPillarDate(W26,Trigger),"")</f>
        <v>53279</v>
      </c>
      <c r="AC26" s="70">
        <v>2.1548136878069876E-2</v>
      </c>
      <c r="AD26" s="169">
        <v>55095</v>
      </c>
      <c r="AE26" s="170">
        <v>2.1098130227402801E-2</v>
      </c>
      <c r="AF26" s="172">
        <f>_xll.qlYieldTSZeroRate(yieldcurve1_STD,$AD26,"ACTUAL/365 (FIXED)",,,TRUE,Trigger)-AE26</f>
        <v>-8.4997665313821247E-6</v>
      </c>
      <c r="AG26" s="161"/>
    </row>
    <row r="27" spans="1:33" ht="11.25" customHeight="1" x14ac:dyDescent="0.2">
      <c r="A27" s="59" t="s">
        <v>92</v>
      </c>
      <c r="B27" s="116" t="b">
        <v>1</v>
      </c>
      <c r="C27" s="62" t="str">
        <f>_xll.qlIMMNextCode($C26,$B27,Trigger)</f>
        <v>H9</v>
      </c>
      <c r="D27" s="123"/>
      <c r="E27" s="207">
        <f>_xll.qlIMMdate($C27,,Trigger)</f>
        <v>43544</v>
      </c>
      <c r="F27" s="207">
        <f>_xll.qlIMMNextDate($E27,,Trigger)</f>
        <v>43635</v>
      </c>
      <c r="G27" s="61" t="str">
        <f t="shared" si="7"/>
        <v>GbpLibor3M</v>
      </c>
      <c r="H27" s="119" t="str">
        <f t="shared" si="8"/>
        <v>GBPFUT3MH9_LCHQuote</v>
      </c>
      <c r="I27" s="119" t="str">
        <f t="shared" si="9"/>
        <v>GBPFUT3MH9ConvAdj_LCHQuote</v>
      </c>
      <c r="J27" s="64" t="str">
        <f>_xll.qlFuturesRateHelper(,$H27,,$E27,$G27,$I27,FALSE,"customdate",$F27,Permanent,Trigger,ObjectOverwrite)</f>
        <v>obj_0042d#0007</v>
      </c>
      <c r="K27" s="48"/>
      <c r="L27" s="10" t="str">
        <f t="shared" si="5"/>
        <v>FUT</v>
      </c>
      <c r="M27" s="94" t="str">
        <f t="shared" si="6"/>
        <v>obj_00438#0007</v>
      </c>
      <c r="N27" s="146" t="str">
        <f>IFERROR(_xll.qlRateHelperQuoteName(M27,Trigger),"--")</f>
        <v>GBPFUT3MU9_LCHQuote</v>
      </c>
      <c r="O27" s="210">
        <f>IFERROR(_xll.qlRateHelperQuoteValue($M27,Trigger),"--")</f>
        <v>98.03</v>
      </c>
      <c r="P27" s="97" t="b">
        <v>1</v>
      </c>
      <c r="Q27" s="94">
        <v>20</v>
      </c>
      <c r="R27" s="94">
        <v>1</v>
      </c>
      <c r="S27" s="99">
        <f>IFERROR(_xll.qlRateHelperEarliestDate(M27,Trigger),"--")</f>
        <v>43726</v>
      </c>
      <c r="T27" s="99">
        <f>IFERROR(_xll.qlRateHelperPillarDate(M27,Trigger),"--")</f>
        <v>43817</v>
      </c>
      <c r="V27" s="4" t="str">
        <f t="shared" si="0"/>
        <v>Sw</v>
      </c>
      <c r="W27" s="4" t="str">
        <v>obj_003c0</v>
      </c>
      <c r="X27" s="4" t="str">
        <f>IFERROR(_xll.qlRateHelperQuoteName(W27,Trigger),"")</f>
        <v>GBPSB6L40Y_LCHQuote</v>
      </c>
      <c r="Y27" s="70">
        <f>IFERROR(_xll.qlRateHelperRate(W27,Trigger),"")</f>
        <v>2.085E-2</v>
      </c>
      <c r="Z27" s="104">
        <f>IF(ISERROR(_xll.qlSwapRateHelperSpread($W27)),IF(ISERROR(_xll.qlFuturesRateHelperConvexityAdjustment($W27)),"",_xll.qlFuturesRateHelperConvexityAdjustment($W27)),_xll.qlSwapRateHelperSpread($W27))</f>
        <v>0</v>
      </c>
      <c r="AA27" s="5">
        <f>IFERROR(_xll.qlRateHelperEarliestDate(W27,Trigger),"")</f>
        <v>42321</v>
      </c>
      <c r="AB27" s="5">
        <f>IFERROR(_xll.qlRateHelperPillarDate(W27,Trigger),"")</f>
        <v>56933</v>
      </c>
      <c r="AC27" s="70">
        <v>2.0625569450513078E-2</v>
      </c>
      <c r="AD27" s="169">
        <v>56920</v>
      </c>
      <c r="AE27" s="170">
        <v>2.0621334763795698E-2</v>
      </c>
      <c r="AF27" s="172">
        <f>_xll.qlYieldTSZeroRate(yieldcurve1_STD,$AD27,"ACTUAL/365 (FIXED)",,,TRUE,Trigger)-AE27</f>
        <v>7.5169463118612834E-6</v>
      </c>
      <c r="AG27" s="161"/>
    </row>
    <row r="28" spans="1:33" ht="11.25" customHeight="1" x14ac:dyDescent="0.2">
      <c r="A28" s="59" t="s">
        <v>92</v>
      </c>
      <c r="B28" s="116" t="b">
        <v>1</v>
      </c>
      <c r="C28" s="62" t="str">
        <f>_xll.qlIMMNextCode($C27,$B28,Trigger)</f>
        <v>M9</v>
      </c>
      <c r="D28" s="123"/>
      <c r="E28" s="207">
        <f>_xll.qlIMMdate($C28,,Trigger)</f>
        <v>43635</v>
      </c>
      <c r="F28" s="207">
        <f>_xll.qlIMMNextDate($E28,,Trigger)</f>
        <v>43726</v>
      </c>
      <c r="G28" s="61" t="str">
        <f t="shared" si="7"/>
        <v>GbpLibor3M</v>
      </c>
      <c r="H28" s="119" t="str">
        <f t="shared" si="8"/>
        <v>GBPFUT3MM9_LCHQuote</v>
      </c>
      <c r="I28" s="119" t="str">
        <f t="shared" si="9"/>
        <v>GBPFUT3MM9ConvAdj_LCHQuote</v>
      </c>
      <c r="J28" s="64" t="str">
        <f>_xll.qlFuturesRateHelper(,$H28,,$E28,$G28,$I28,FALSE,"customdate",$F28,Permanent,Trigger,ObjectOverwrite)</f>
        <v>obj_00436#0007</v>
      </c>
      <c r="K28" s="48"/>
      <c r="L28" s="10" t="str">
        <f t="shared" si="5"/>
        <v>FUT</v>
      </c>
      <c r="M28" s="94" t="str">
        <f t="shared" si="6"/>
        <v>obj_00437#0007</v>
      </c>
      <c r="N28" s="146" t="str">
        <f>IFERROR(_xll.qlRateHelperQuoteName(M28,Trigger),"--")</f>
        <v>GBPFUT3MZ9_LCHQuote</v>
      </c>
      <c r="O28" s="210">
        <f>IFERROR(_xll.qlRateHelperQuoteValue($M28,Trigger),"--")</f>
        <v>97.960000000000008</v>
      </c>
      <c r="P28" s="97" t="b">
        <v>1</v>
      </c>
      <c r="Q28" s="94">
        <v>20</v>
      </c>
      <c r="R28" s="94">
        <v>1</v>
      </c>
      <c r="S28" s="99">
        <f>IFERROR(_xll.qlRateHelperEarliestDate(M28,Trigger),"--")</f>
        <v>43817</v>
      </c>
      <c r="T28" s="99">
        <f>IFERROR(_xll.qlRateHelperPillarDate(M28,Trigger),"--")</f>
        <v>43908</v>
      </c>
      <c r="V28" s="4" t="str">
        <f t="shared" si="0"/>
        <v>Sw</v>
      </c>
      <c r="W28" s="4" t="str">
        <v>obj_003b5</v>
      </c>
      <c r="X28" s="4" t="str">
        <f>IFERROR(_xll.qlRateHelperQuoteName(W28,Trigger),"")</f>
        <v>GBPSB6L50Y_LCHQuote</v>
      </c>
      <c r="Y28" s="70">
        <f>IFERROR(_xll.qlRateHelperRate(W28,Trigger),"")</f>
        <v>2.0419999999999997E-2</v>
      </c>
      <c r="Z28" s="104">
        <f>IF(ISERROR(_xll.qlSwapRateHelperSpread($W28)),IF(ISERROR(_xll.qlFuturesRateHelperConvexityAdjustment($W28)),"",_xll.qlFuturesRateHelperConvexityAdjustment($W28)),_xll.qlSwapRateHelperSpread($W28))</f>
        <v>0</v>
      </c>
      <c r="AA28" s="5">
        <f>IFERROR(_xll.qlRateHelperEarliestDate(W28,Trigger),"")</f>
        <v>42321</v>
      </c>
      <c r="AB28" s="5">
        <f>IFERROR(_xll.qlRateHelperPillarDate(W28,Trigger),"")</f>
        <v>60584</v>
      </c>
      <c r="AC28" s="70">
        <v>1.9985801941200729E-2</v>
      </c>
      <c r="AD28" s="169">
        <v>58745</v>
      </c>
      <c r="AE28" s="170">
        <v>2.0305446149536398E-2</v>
      </c>
      <c r="AF28" s="172">
        <f>_xll.qlYieldTSZeroRate(yieldcurve1_STD,$AD28,"ACTUAL/365 (FIXED)",,,TRUE,Trigger)-AE28</f>
        <v>2.6051615973389508E-6</v>
      </c>
      <c r="AG28" s="161"/>
    </row>
    <row r="29" spans="1:33" ht="11.25" customHeight="1" x14ac:dyDescent="0.2">
      <c r="A29" s="59" t="s">
        <v>92</v>
      </c>
      <c r="B29" s="116" t="b">
        <v>1</v>
      </c>
      <c r="C29" s="62" t="str">
        <f>_xll.qlIMMNextCode($C28,$B29,Trigger)</f>
        <v>U9</v>
      </c>
      <c r="D29" s="123"/>
      <c r="E29" s="207">
        <f>_xll.qlIMMdate($C29,,Trigger)</f>
        <v>43726</v>
      </c>
      <c r="F29" s="207">
        <f>_xll.qlIMMNextDate($E29,,Trigger)</f>
        <v>43817</v>
      </c>
      <c r="G29" s="61" t="str">
        <f t="shared" si="7"/>
        <v>GbpLibor3M</v>
      </c>
      <c r="H29" s="119" t="str">
        <f t="shared" si="8"/>
        <v>GBPFUT3MU9_LCHQuote</v>
      </c>
      <c r="I29" s="119" t="str">
        <f t="shared" si="9"/>
        <v>GBPFUT3MU9ConvAdj_LCHQuote</v>
      </c>
      <c r="J29" s="64" t="str">
        <f>_xll.qlFuturesRateHelper(,$H29,,$E29,$G29,$I29,FALSE,"customdate",$F29,Permanent,Trigger,ObjectOverwrite)</f>
        <v>obj_00438#0007</v>
      </c>
      <c r="K29" s="48"/>
      <c r="L29" s="10" t="str">
        <f t="shared" si="5"/>
        <v>FUT</v>
      </c>
      <c r="M29" s="94" t="str">
        <f t="shared" si="6"/>
        <v>obj_00435#0007</v>
      </c>
      <c r="N29" s="146" t="str">
        <f>IFERROR(_xll.qlRateHelperQuoteName(M29,Trigger),"--")</f>
        <v>GBPFUT3MH0_LCHQuote</v>
      </c>
      <c r="O29" s="210">
        <f>IFERROR(_xll.qlRateHelperQuoteValue($M29,Trigger),"--")</f>
        <v>97.905000000000001</v>
      </c>
      <c r="P29" s="97" t="b">
        <v>1</v>
      </c>
      <c r="Q29" s="94">
        <v>20</v>
      </c>
      <c r="R29" s="94">
        <v>1</v>
      </c>
      <c r="S29" s="99">
        <f>IFERROR(_xll.qlRateHelperEarliestDate(M29,Trigger),"--")</f>
        <v>43908</v>
      </c>
      <c r="T29" s="99">
        <f>IFERROR(_xll.qlRateHelperPillarDate(M29,Trigger),"--")</f>
        <v>43999</v>
      </c>
      <c r="V29" s="4" t="str">
        <f t="shared" si="0"/>
        <v>Sw</v>
      </c>
      <c r="W29" s="4" t="str">
        <v>obj_003c1</v>
      </c>
      <c r="X29" s="4" t="str">
        <f>IFERROR(_xll.qlRateHelperQuoteName(W29,Trigger),"")</f>
        <v>GBPSB6L60Y_LCHQuote</v>
      </c>
      <c r="Y29" s="70">
        <f>IFERROR(_xll.qlRateHelperRate(W29,Trigger),"")</f>
        <v>2.0390000000000002E-2</v>
      </c>
      <c r="Z29" s="104">
        <f>IF(ISERROR(_xll.qlSwapRateHelperSpread($W29)),IF(ISERROR(_xll.qlFuturesRateHelperConvexityAdjustment($W29)),"",_xll.qlFuturesRateHelperConvexityAdjustment($W29)),_xll.qlSwapRateHelperSpread($W29))</f>
        <v>0</v>
      </c>
      <c r="AA29" s="5">
        <f>IFERROR(_xll.qlRateHelperEarliestDate(W29,Trigger),"")</f>
        <v>42321</v>
      </c>
      <c r="AB29" s="5">
        <f>IFERROR(_xll.qlRateHelperPillarDate(W29,Trigger),"")</f>
        <v>64236</v>
      </c>
      <c r="AC29" s="70">
        <v>1.9989757496422383E-2</v>
      </c>
      <c r="AD29" s="169">
        <v>60570</v>
      </c>
      <c r="AE29" s="170">
        <v>1.9990444074391898E-2</v>
      </c>
      <c r="AF29" s="172">
        <f>_xll.qlYieldTSZeroRate(yieldcurve1_STD,$AD29,"ACTUAL/365 (FIXED)",,,TRUE,Trigger)-AE29</f>
        <v>-2.1889025337111512E-6</v>
      </c>
      <c r="AG29" s="161"/>
    </row>
    <row r="30" spans="1:33" ht="11.25" customHeight="1" x14ac:dyDescent="0.2">
      <c r="A30" s="59" t="s">
        <v>92</v>
      </c>
      <c r="B30" s="116" t="b">
        <v>1</v>
      </c>
      <c r="C30" s="62" t="str">
        <f>_xll.qlIMMNextCode($C29,$B30,Trigger)</f>
        <v>Z9</v>
      </c>
      <c r="D30" s="123"/>
      <c r="E30" s="207">
        <f>_xll.qlIMMdate($C30,,Trigger)</f>
        <v>43817</v>
      </c>
      <c r="F30" s="207">
        <f>_xll.qlIMMNextDate($E30,,Trigger)</f>
        <v>43908</v>
      </c>
      <c r="G30" s="61" t="str">
        <f t="shared" si="7"/>
        <v>GbpLibor3M</v>
      </c>
      <c r="H30" s="119" t="str">
        <f t="shared" si="8"/>
        <v>GBPFUT3MZ9_LCHQuote</v>
      </c>
      <c r="I30" s="119" t="str">
        <f t="shared" si="9"/>
        <v>GBPFUT3MZ9ConvAdj_LCHQuote</v>
      </c>
      <c r="J30" s="64" t="str">
        <f>_xll.qlFuturesRateHelper(,$H30,,$E30,$G30,$I30,FALSE,"customdate",$F30,Permanent,Trigger,ObjectOverwrite)</f>
        <v>obj_00437#0007</v>
      </c>
      <c r="K30" s="48"/>
      <c r="L30" s="10" t="str">
        <f t="shared" si="5"/>
        <v>FUT</v>
      </c>
      <c r="M30" s="94" t="str">
        <f t="shared" si="6"/>
        <v>obj_00431#0007</v>
      </c>
      <c r="N30" s="146" t="str">
        <f>IFERROR(_xll.qlRateHelperQuoteName(M30,Trigger),"--")</f>
        <v>GBPFUT3MM0_LCHQuote</v>
      </c>
      <c r="O30" s="210">
        <f>IFERROR(_xll.qlRateHelperQuoteValue($M30,Trigger),"--")</f>
        <v>97.84</v>
      </c>
      <c r="P30" s="97" t="b">
        <v>1</v>
      </c>
      <c r="Q30" s="94">
        <v>20</v>
      </c>
      <c r="R30" s="94">
        <v>1</v>
      </c>
      <c r="S30" s="99">
        <f>IFERROR(_xll.qlRateHelperEarliestDate(M30,Trigger),"--")</f>
        <v>43999</v>
      </c>
      <c r="T30" s="99">
        <f>IFERROR(_xll.qlRateHelperPillarDate(M30,Trigger),"--")</f>
        <v>44090</v>
      </c>
      <c r="V30" s="4" t="str">
        <f t="shared" si="0"/>
        <v/>
      </c>
      <c r="W30" s="4" t="e">
        <v>#N/A</v>
      </c>
      <c r="X30" s="4" t="str">
        <f>IFERROR(_xll.qlRateHelperQuoteName(W30,Trigger),"")</f>
        <v/>
      </c>
      <c r="Y30" s="70" t="str">
        <f>IFERROR(_xll.qlRateHelperRate(W30,Trigger),"")</f>
        <v/>
      </c>
      <c r="Z30" s="104" t="str">
        <f>IF(ISERROR(_xll.qlSwapRateHelperSpread($W30)),IF(ISERROR(_xll.qlFuturesRateHelperConvexityAdjustment($W30)),"",_xll.qlFuturesRateHelperConvexityAdjustment($W30)),_xll.qlSwapRateHelperSpread($W30))</f>
        <v/>
      </c>
      <c r="AA30" s="5" t="str">
        <f>IFERROR(_xll.qlRateHelperEarliestDate(W30,Trigger),"")</f>
        <v/>
      </c>
      <c r="AB30" s="5" t="str">
        <f>IFERROR(_xll.qlRateHelperPillarDate(W30,Trigger),"")</f>
        <v/>
      </c>
      <c r="AC30" s="70" t="e">
        <v>#N/A</v>
      </c>
      <c r="AD30" s="169">
        <v>62395</v>
      </c>
      <c r="AE30" s="170">
        <v>1.99846453929001E-2</v>
      </c>
      <c r="AF30" s="172">
        <f>_xll.qlYieldTSZeroRate(yieldcurve1_STD,$AD30,"ACTUAL/365 (FIXED)",,,TRUE,Trigger)-AE30</f>
        <v>3.1180791074253422E-6</v>
      </c>
      <c r="AG30" s="161"/>
    </row>
    <row r="31" spans="1:33" ht="11.25" customHeight="1" x14ac:dyDescent="0.2">
      <c r="A31" s="59" t="s">
        <v>92</v>
      </c>
      <c r="B31" s="116" t="b">
        <v>1</v>
      </c>
      <c r="C31" s="62" t="str">
        <f>_xll.qlIMMNextCode($C30,$B31,Trigger)</f>
        <v>H0</v>
      </c>
      <c r="D31" s="123"/>
      <c r="E31" s="207">
        <f>_xll.qlIMMdate($C31,,Trigger)</f>
        <v>43908</v>
      </c>
      <c r="F31" s="207">
        <f>_xll.qlIMMNextDate($E31,,Trigger)</f>
        <v>43999</v>
      </c>
      <c r="G31" s="61" t="str">
        <f t="shared" si="7"/>
        <v>GbpLibor3M</v>
      </c>
      <c r="H31" s="119" t="str">
        <f t="shared" si="8"/>
        <v>GBPFUT3MH0_LCHQuote</v>
      </c>
      <c r="I31" s="119" t="str">
        <f t="shared" si="9"/>
        <v>GBPFUT3MH0ConvAdj_LCHQuote</v>
      </c>
      <c r="J31" s="64" t="str">
        <f>_xll.qlFuturesRateHelper(,$H31,,$E31,$G31,$I31,FALSE,"customdate",$F31,Permanent,Trigger,ObjectOverwrite)</f>
        <v>obj_00435#0007</v>
      </c>
      <c r="K31" s="48"/>
      <c r="L31" s="10" t="str">
        <f t="shared" si="5"/>
        <v>FUT</v>
      </c>
      <c r="M31" s="94" t="str">
        <f t="shared" si="6"/>
        <v>obj_0042b#0007</v>
      </c>
      <c r="N31" s="146" t="str">
        <f>IFERROR(_xll.qlRateHelperQuoteName(M31,Trigger),"--")</f>
        <v>GBPFUT3MU0_LCHQuote</v>
      </c>
      <c r="O31" s="210">
        <f>IFERROR(_xll.qlRateHelperQuoteValue($M31,Trigger),"--")</f>
        <v>97.8</v>
      </c>
      <c r="P31" s="97" t="b">
        <v>1</v>
      </c>
      <c r="Q31" s="94">
        <v>20</v>
      </c>
      <c r="R31" s="94">
        <v>1</v>
      </c>
      <c r="S31" s="99">
        <f>IFERROR(_xll.qlRateHelperEarliestDate(M31,Trigger),"--")</f>
        <v>44090</v>
      </c>
      <c r="T31" s="99">
        <f>IFERROR(_xll.qlRateHelperPillarDate(M31,Trigger),"--")</f>
        <v>44181</v>
      </c>
      <c r="V31" s="4" t="str">
        <f t="shared" si="0"/>
        <v/>
      </c>
      <c r="W31" s="4" t="e">
        <v>#N/A</v>
      </c>
      <c r="X31" s="4" t="str">
        <f>IFERROR(_xll.qlRateHelperQuoteName(W31,Trigger),"")</f>
        <v/>
      </c>
      <c r="Y31" s="70" t="str">
        <f>IFERROR(_xll.qlRateHelperRate(W31,Trigger),"")</f>
        <v/>
      </c>
      <c r="Z31" s="104" t="str">
        <f>IF(ISERROR(_xll.qlSwapRateHelperSpread($W31)),IF(ISERROR(_xll.qlFuturesRateHelperConvexityAdjustment($W31)),"",_xll.qlFuturesRateHelperConvexityAdjustment($W31)),_xll.qlSwapRateHelperSpread($W31))</f>
        <v/>
      </c>
      <c r="AA31" s="5" t="str">
        <f>IFERROR(_xll.qlRateHelperEarliestDate(W31,Trigger),"")</f>
        <v/>
      </c>
      <c r="AB31" s="5" t="str">
        <f>IFERROR(_xll.qlRateHelperPillarDate(W31,Trigger),"")</f>
        <v/>
      </c>
      <c r="AC31" s="70" t="e">
        <v>#N/A</v>
      </c>
      <c r="AD31" s="169">
        <v>64220</v>
      </c>
      <c r="AE31" s="170">
        <v>1.99810650580515E-2</v>
      </c>
      <c r="AF31" s="172">
        <f>_xll.qlYieldTSZeroRate(yieldcurve1_STD,$AD31,"ACTUAL/365 (FIXED)",,,TRUE,Trigger)-AE31</f>
        <v>8.6751084465812311E-6</v>
      </c>
      <c r="AG31" s="161"/>
    </row>
    <row r="32" spans="1:33" ht="11.25" customHeight="1" x14ac:dyDescent="0.2">
      <c r="A32" s="59" t="s">
        <v>92</v>
      </c>
      <c r="B32" s="116" t="b">
        <v>1</v>
      </c>
      <c r="C32" s="62" t="str">
        <f>_xll.qlIMMNextCode($C31,$B32,Trigger)</f>
        <v>M0</v>
      </c>
      <c r="D32" s="123"/>
      <c r="E32" s="207">
        <f>_xll.qlIMMdate($C32,,Trigger)</f>
        <v>43999</v>
      </c>
      <c r="F32" s="207">
        <f>_xll.qlIMMNextDate($E32,,Trigger)</f>
        <v>44090</v>
      </c>
      <c r="G32" s="61" t="str">
        <f t="shared" si="7"/>
        <v>GbpLibor3M</v>
      </c>
      <c r="H32" s="119" t="str">
        <f t="shared" si="8"/>
        <v>GBPFUT3MM0_LCHQuote</v>
      </c>
      <c r="I32" s="119" t="str">
        <f t="shared" si="9"/>
        <v>GBPFUT3MM0ConvAdj_LCHQuote</v>
      </c>
      <c r="J32" s="64" t="str">
        <f>_xll.qlFuturesRateHelper(,$H32,,$E32,$G32,$I32,FALSE,"customdate",$F32,Permanent,Trigger,ObjectOverwrite)</f>
        <v>obj_00431#0007</v>
      </c>
      <c r="K32" s="48"/>
      <c r="L32" s="10" t="str">
        <f t="shared" si="5"/>
        <v>FUT</v>
      </c>
      <c r="M32" s="94" t="str">
        <f t="shared" si="6"/>
        <v>obj_00433#0007</v>
      </c>
      <c r="N32" s="146" t="str">
        <f>IFERROR(_xll.qlRateHelperQuoteName(M32,Trigger),"--")</f>
        <v>GBPFUT3MZ0_LCHQuote</v>
      </c>
      <c r="O32" s="210">
        <f>IFERROR(_xll.qlRateHelperQuoteValue($M32,Trigger),"--")</f>
        <v>97.75</v>
      </c>
      <c r="P32" s="97" t="b">
        <v>1</v>
      </c>
      <c r="Q32" s="94">
        <v>20</v>
      </c>
      <c r="R32" s="94">
        <v>1</v>
      </c>
      <c r="S32" s="99">
        <f>IFERROR(_xll.qlRateHelperEarliestDate(M32,Trigger),"--")</f>
        <v>44181</v>
      </c>
      <c r="T32" s="99">
        <f>IFERROR(_xll.qlRateHelperPillarDate(M32,Trigger),"--")</f>
        <v>44272</v>
      </c>
      <c r="V32" s="4" t="str">
        <f t="shared" si="0"/>
        <v/>
      </c>
      <c r="W32" s="4" t="e">
        <v>#N/A</v>
      </c>
      <c r="X32" s="4" t="str">
        <f>IFERROR(_xll.qlRateHelperQuoteName(W32,Trigger),"")</f>
        <v/>
      </c>
      <c r="Y32" s="70" t="str">
        <f>IFERROR(_xll.qlRateHelperRate(W32,Trigger),"")</f>
        <v/>
      </c>
      <c r="Z32" s="104" t="str">
        <f>IF(ISERROR(_xll.qlSwapRateHelperSpread($W32)),IF(ISERROR(_xll.qlFuturesRateHelperConvexityAdjustment($W32)),"",_xll.qlFuturesRateHelperConvexityAdjustment($W32)),_xll.qlSwapRateHelperSpread($W32))</f>
        <v/>
      </c>
      <c r="AA32" s="5" t="str">
        <f>IFERROR(_xll.qlRateHelperEarliestDate(W32,Trigger),"")</f>
        <v/>
      </c>
      <c r="AB32" s="5" t="str">
        <f>IFERROR(_xll.qlRateHelperPillarDate(W32,Trigger),"")</f>
        <v/>
      </c>
      <c r="AC32" s="70" t="e">
        <v>#N/A</v>
      </c>
      <c r="AD32" s="169" t="e">
        <v>#N/A</v>
      </c>
      <c r="AE32" s="170" t="e">
        <v>#N/A</v>
      </c>
      <c r="AF32" s="172" t="e">
        <f>_xll.qlYieldTSZeroRate(yieldcurve1_STD,$AD32,"ACTUAL/365 (FIXED)",,,TRUE,Trigger)-AE32</f>
        <v>#NUM!</v>
      </c>
      <c r="AG32" s="161"/>
    </row>
    <row r="33" spans="1:33" ht="11.25" customHeight="1" x14ac:dyDescent="0.2">
      <c r="A33" s="59" t="s">
        <v>92</v>
      </c>
      <c r="B33" s="116" t="b">
        <v>1</v>
      </c>
      <c r="C33" s="62" t="str">
        <f>_xll.qlIMMNextCode($C32,$B33,Trigger)</f>
        <v>U0</v>
      </c>
      <c r="D33" s="123"/>
      <c r="E33" s="207">
        <f>_xll.qlIMMdate($C33,,Trigger)</f>
        <v>44090</v>
      </c>
      <c r="F33" s="207">
        <f>_xll.qlIMMNextDate($E33,,Trigger)</f>
        <v>44181</v>
      </c>
      <c r="G33" s="61" t="str">
        <f t="shared" si="7"/>
        <v>GbpLibor3M</v>
      </c>
      <c r="H33" s="119" t="str">
        <f t="shared" si="8"/>
        <v>GBPFUT3MU0_LCHQuote</v>
      </c>
      <c r="I33" s="119" t="str">
        <f t="shared" si="9"/>
        <v>GBPFUT3MU0ConvAdj_LCHQuote</v>
      </c>
      <c r="J33" s="64" t="str">
        <f>_xll.qlFuturesRateHelper(,$H33,,$E33,$G33,$I33,FALSE,"customdate",$F33,Permanent,Trigger,ObjectOverwrite)</f>
        <v>obj_0042b#0007</v>
      </c>
      <c r="K33" s="48"/>
      <c r="L33" s="10" t="str">
        <f t="shared" si="5"/>
        <v>FUT</v>
      </c>
      <c r="M33" s="94" t="str">
        <f t="shared" si="6"/>
        <v>obj_00430#0007</v>
      </c>
      <c r="N33" s="146" t="str">
        <f>IFERROR(_xll.qlRateHelperQuoteName(M33,Trigger),"--")</f>
        <v>GBPFUT3MH1_LCHQuote</v>
      </c>
      <c r="O33" s="210">
        <f>IFERROR(_xll.qlRateHelperQuoteValue($M33,Trigger),"--")</f>
        <v>97.694999999999993</v>
      </c>
      <c r="P33" s="97" t="b">
        <v>1</v>
      </c>
      <c r="Q33" s="94">
        <v>20</v>
      </c>
      <c r="R33" s="94">
        <v>1</v>
      </c>
      <c r="S33" s="99">
        <f>IFERROR(_xll.qlRateHelperEarliestDate(M33,Trigger),"--")</f>
        <v>44272</v>
      </c>
      <c r="T33" s="99">
        <f>IFERROR(_xll.qlRateHelperPillarDate(M33,Trigger),"--")</f>
        <v>44363</v>
      </c>
      <c r="V33" s="4" t="str">
        <f t="shared" si="0"/>
        <v/>
      </c>
      <c r="W33" s="4" t="e">
        <v>#N/A</v>
      </c>
      <c r="X33" s="4" t="str">
        <f>IFERROR(_xll.qlRateHelperQuoteName(W33,Trigger),"")</f>
        <v/>
      </c>
      <c r="Y33" s="70" t="str">
        <f>IFERROR(_xll.qlRateHelperRate(W33,Trigger),"")</f>
        <v/>
      </c>
      <c r="Z33" s="104" t="str">
        <f>IF(ISERROR(_xll.qlSwapRateHelperSpread($W33)),IF(ISERROR(_xll.qlFuturesRateHelperConvexityAdjustment($W33)),"",_xll.qlFuturesRateHelperConvexityAdjustment($W33)),_xll.qlSwapRateHelperSpread($W33))</f>
        <v/>
      </c>
      <c r="AA33" s="5" t="str">
        <f>IFERROR(_xll.qlRateHelperEarliestDate(W33,Trigger),"")</f>
        <v/>
      </c>
      <c r="AB33" s="5" t="str">
        <f>IFERROR(_xll.qlRateHelperPillarDate(W33,Trigger),"")</f>
        <v/>
      </c>
      <c r="AC33" s="70" t="e">
        <v>#N/A</v>
      </c>
      <c r="AD33" s="169" t="e">
        <v>#N/A</v>
      </c>
      <c r="AE33" s="170" t="e">
        <v>#N/A</v>
      </c>
      <c r="AF33" s="172" t="e">
        <f>_xll.qlYieldTSZeroRate(yieldcurve1_STD,$AD33,"ACTUAL/365 (FIXED)",,,TRUE,Trigger)-AE33</f>
        <v>#NUM!</v>
      </c>
      <c r="AG33" s="161"/>
    </row>
    <row r="34" spans="1:33" ht="11.25" customHeight="1" x14ac:dyDescent="0.2">
      <c r="A34" s="59" t="s">
        <v>92</v>
      </c>
      <c r="B34" s="116" t="b">
        <v>1</v>
      </c>
      <c r="C34" s="62" t="str">
        <f>_xll.qlIMMNextCode($C33,$B34,Trigger)</f>
        <v>Z0</v>
      </c>
      <c r="D34" s="123"/>
      <c r="E34" s="207">
        <f>_xll.qlIMMdate($C34,,Trigger)</f>
        <v>44181</v>
      </c>
      <c r="F34" s="207">
        <f>_xll.qlIMMNextDate($E34,,Trigger)</f>
        <v>44272</v>
      </c>
      <c r="G34" s="61" t="str">
        <f t="shared" si="7"/>
        <v>GbpLibor3M</v>
      </c>
      <c r="H34" s="119" t="str">
        <f t="shared" si="8"/>
        <v>GBPFUT3MZ0_LCHQuote</v>
      </c>
      <c r="I34" s="119" t="str">
        <f t="shared" si="9"/>
        <v>GBPFUT3MZ0ConvAdj_LCHQuote</v>
      </c>
      <c r="J34" s="64" t="str">
        <f>_xll.qlFuturesRateHelper(,$H34,,$E34,$G34,$I34,FALSE,"customdate",$F34,Permanent,Trigger,ObjectOverwrite)</f>
        <v>obj_00433#0007</v>
      </c>
      <c r="K34" s="48"/>
      <c r="L34" s="10" t="str">
        <f t="shared" si="5"/>
        <v>FUT</v>
      </c>
      <c r="M34" s="94" t="str">
        <f t="shared" si="6"/>
        <v>obj_0043a#0007</v>
      </c>
      <c r="N34" s="146" t="str">
        <f>IFERROR(_xll.qlRateHelperQuoteName(M34,Trigger),"--")</f>
        <v>GBPFUT3MM1_LCHQuote</v>
      </c>
      <c r="O34" s="210">
        <f>IFERROR(_xll.qlRateHelperQuoteValue($M34,Trigger),"--")</f>
        <v>97.644999999999996</v>
      </c>
      <c r="P34" s="97" t="b">
        <v>1</v>
      </c>
      <c r="Q34" s="94">
        <v>20</v>
      </c>
      <c r="R34" s="94">
        <v>1</v>
      </c>
      <c r="S34" s="99">
        <f>IFERROR(_xll.qlRateHelperEarliestDate(M34,Trigger),"--")</f>
        <v>44363</v>
      </c>
      <c r="T34" s="99">
        <f>IFERROR(_xll.qlRateHelperPillarDate(M34,Trigger),"--")</f>
        <v>44454</v>
      </c>
      <c r="V34" s="4" t="str">
        <f t="shared" si="0"/>
        <v/>
      </c>
      <c r="W34" s="4" t="e">
        <v>#N/A</v>
      </c>
      <c r="X34" s="4" t="str">
        <f>IFERROR(_xll.qlRateHelperQuoteName(W34,Trigger),"")</f>
        <v/>
      </c>
      <c r="Y34" s="70" t="str">
        <f>IFERROR(_xll.qlRateHelperRate(W34,Trigger),"")</f>
        <v/>
      </c>
      <c r="Z34" s="104" t="str">
        <f>IF(ISERROR(_xll.qlSwapRateHelperSpread($W34)),IF(ISERROR(_xll.qlFuturesRateHelperConvexityAdjustment($W34)),"",_xll.qlFuturesRateHelperConvexityAdjustment($W34)),_xll.qlSwapRateHelperSpread($W34))</f>
        <v/>
      </c>
      <c r="AA34" s="5" t="str">
        <f>IFERROR(_xll.qlRateHelperEarliestDate(W34,Trigger),"")</f>
        <v/>
      </c>
      <c r="AB34" s="5" t="str">
        <f>IFERROR(_xll.qlRateHelperPillarDate(W34,Trigger),"")</f>
        <v/>
      </c>
      <c r="AC34" s="70" t="e">
        <v>#N/A</v>
      </c>
      <c r="AD34" s="169" t="e">
        <v>#N/A</v>
      </c>
      <c r="AE34" s="170" t="e">
        <v>#N/A</v>
      </c>
      <c r="AF34" s="172" t="e">
        <f>_xll.qlYieldTSZeroRate(yieldcurve1_STD,$AD34,"ACTUAL/365 (FIXED)",,,TRUE,Trigger)-AE34</f>
        <v>#NUM!</v>
      </c>
      <c r="AG34" s="161"/>
    </row>
    <row r="35" spans="1:33" ht="11.25" customHeight="1" x14ac:dyDescent="0.2">
      <c r="A35" s="59" t="s">
        <v>92</v>
      </c>
      <c r="B35" s="116" t="b">
        <v>1</v>
      </c>
      <c r="C35" s="62" t="str">
        <f>_xll.qlIMMNextCode($C34,$B35,Trigger)</f>
        <v>H1</v>
      </c>
      <c r="D35" s="123"/>
      <c r="E35" s="207">
        <f>_xll.qlIMMdate($C35,,Trigger)</f>
        <v>44272</v>
      </c>
      <c r="F35" s="207">
        <f>_xll.qlIMMNextDate($E35,,Trigger)</f>
        <v>44363</v>
      </c>
      <c r="G35" s="61" t="str">
        <f t="shared" si="7"/>
        <v>GbpLibor3M</v>
      </c>
      <c r="H35" s="119" t="str">
        <f t="shared" si="8"/>
        <v>GBPFUT3MH1_LCHQuote</v>
      </c>
      <c r="I35" s="119" t="str">
        <f t="shared" si="9"/>
        <v>GBPFUT3MH1ConvAdj_LCHQuote</v>
      </c>
      <c r="J35" s="64" t="str">
        <f>_xll.qlFuturesRateHelper(,$H35,,$E35,$G35,$I35,FALSE,"customdate",$F35,Permanent,Trigger,ObjectOverwrite)</f>
        <v>obj_00430#0007</v>
      </c>
      <c r="K35" s="48"/>
      <c r="L35" s="10" t="str">
        <f t="shared" si="5"/>
        <v>FUT</v>
      </c>
      <c r="M35" s="94" t="str">
        <f t="shared" si="6"/>
        <v>obj_00439#0007</v>
      </c>
      <c r="N35" s="146" t="str">
        <f>IFERROR(_xll.qlRateHelperQuoteName(M35,Trigger),"--")</f>
        <v>GBPFUT3MU1_LCHQuote</v>
      </c>
      <c r="O35" s="210">
        <f>IFERROR(_xll.qlRateHelperQuoteValue($M35,Trigger),"--")</f>
        <v>97.59</v>
      </c>
      <c r="P35" s="97" t="b">
        <v>1</v>
      </c>
      <c r="Q35" s="94">
        <v>20</v>
      </c>
      <c r="R35" s="94">
        <v>1</v>
      </c>
      <c r="S35" s="99">
        <f>IFERROR(_xll.qlRateHelperEarliestDate(M35,Trigger),"--")</f>
        <v>44454</v>
      </c>
      <c r="T35" s="99">
        <f>IFERROR(_xll.qlRateHelperPillarDate(M35,Trigger),"--")</f>
        <v>44545</v>
      </c>
      <c r="V35" s="4" t="str">
        <f t="shared" ref="V35:V66" si="10">IFERROR(INDEX($L$3:$L$72,MATCH(X35,$N$3:$N$72,0),1),"")</f>
        <v/>
      </c>
      <c r="W35" s="4" t="e">
        <v>#N/A</v>
      </c>
      <c r="X35" s="4" t="str">
        <f>IFERROR(_xll.qlRateHelperQuoteName(W35,Trigger),"")</f>
        <v/>
      </c>
      <c r="Y35" s="70" t="str">
        <f>IFERROR(_xll.qlRateHelperRate(W35,Trigger),"")</f>
        <v/>
      </c>
      <c r="Z35" s="104" t="str">
        <f>IF(ISERROR(_xll.qlSwapRateHelperSpread($W35)),IF(ISERROR(_xll.qlFuturesRateHelperConvexityAdjustment($W35)),"",_xll.qlFuturesRateHelperConvexityAdjustment($W35)),_xll.qlSwapRateHelperSpread($W35))</f>
        <v/>
      </c>
      <c r="AA35" s="5" t="str">
        <f>IFERROR(_xll.qlRateHelperEarliestDate(W35,Trigger),"")</f>
        <v/>
      </c>
      <c r="AB35" s="5" t="str">
        <f>IFERROR(_xll.qlRateHelperPillarDate(W35,Trigger),"")</f>
        <v/>
      </c>
      <c r="AC35" s="70" t="e">
        <v>#N/A</v>
      </c>
      <c r="AD35" s="169" t="e">
        <v>#N/A</v>
      </c>
      <c r="AE35" s="170" t="e">
        <v>#N/A</v>
      </c>
      <c r="AF35" s="172" t="e">
        <f>_xll.qlYieldTSZeroRate(yieldcurve1_STD,$AD35,"ACTUAL/365 (FIXED)",,,TRUE,Trigger)-AE35</f>
        <v>#NUM!</v>
      </c>
      <c r="AG35" s="161"/>
    </row>
    <row r="36" spans="1:33" ht="11.25" customHeight="1" x14ac:dyDescent="0.2">
      <c r="A36" s="59" t="s">
        <v>92</v>
      </c>
      <c r="B36" s="116" t="b">
        <v>1</v>
      </c>
      <c r="C36" s="62" t="str">
        <f>_xll.qlIMMNextCode($C35,$B36,Trigger)</f>
        <v>M1</v>
      </c>
      <c r="D36" s="123"/>
      <c r="E36" s="207">
        <f>_xll.qlIMMdate($C36,,Trigger)</f>
        <v>44363</v>
      </c>
      <c r="F36" s="207">
        <f>_xll.qlIMMNextDate($E36,,Trigger)</f>
        <v>44454</v>
      </c>
      <c r="G36" s="61" t="str">
        <f t="shared" si="7"/>
        <v>GbpLibor3M</v>
      </c>
      <c r="H36" s="119" t="str">
        <f t="shared" si="8"/>
        <v>GBPFUT3MM1_LCHQuote</v>
      </c>
      <c r="I36" s="119" t="str">
        <f t="shared" si="9"/>
        <v>GBPFUT3MM1ConvAdj_LCHQuote</v>
      </c>
      <c r="J36" s="64" t="str">
        <f>_xll.qlFuturesRateHelper(,$H36,,$E36,$G36,$I36,FALSE,"customdate",$F36,Permanent,Trigger,ObjectOverwrite)</f>
        <v>obj_0043a#0007</v>
      </c>
      <c r="K36" s="48"/>
      <c r="L36" s="68" t="str">
        <f t="shared" ref="L36:L72" si="11">A40</f>
        <v>Sw</v>
      </c>
      <c r="M36" s="131" t="str">
        <f t="shared" ref="M36" si="12">IF(ISBLANK(J40),"--",J40)</f>
        <v>--</v>
      </c>
      <c r="N36" s="145" t="str">
        <f>IFERROR(_xll.qlRateHelperQuoteName(M36,Trigger),"--")</f>
        <v>--</v>
      </c>
      <c r="O36" s="133" t="str">
        <f>IFERROR(_xll.qlRateHelperQuoteValue($M36,Trigger),"--")</f>
        <v>--</v>
      </c>
      <c r="P36" s="132" t="b">
        <v>0</v>
      </c>
      <c r="Q36" s="131">
        <v>10</v>
      </c>
      <c r="R36" s="131">
        <v>1</v>
      </c>
      <c r="S36" s="134" t="str">
        <f>IFERROR(_xll.qlRateHelperEarliestDate(M36,Trigger),"--")</f>
        <v>--</v>
      </c>
      <c r="T36" s="134" t="str">
        <f>IFERROR(_xll.qlRateHelperPillarDate(M36,Trigger),"--")</f>
        <v>--</v>
      </c>
      <c r="V36" s="4" t="str">
        <f t="shared" si="10"/>
        <v/>
      </c>
      <c r="W36" s="4" t="e">
        <v>#N/A</v>
      </c>
      <c r="X36" s="4" t="str">
        <f>IFERROR(_xll.qlRateHelperQuoteName(W36,Trigger),"")</f>
        <v/>
      </c>
      <c r="Y36" s="70" t="str">
        <f>IFERROR(_xll.qlRateHelperRate(W36,Trigger),"")</f>
        <v/>
      </c>
      <c r="Z36" s="104" t="str">
        <f>IF(ISERROR(_xll.qlSwapRateHelperSpread($W36)),IF(ISERROR(_xll.qlFuturesRateHelperConvexityAdjustment($W36)),"",_xll.qlFuturesRateHelperConvexityAdjustment($W36)),_xll.qlSwapRateHelperSpread($W36))</f>
        <v/>
      </c>
      <c r="AA36" s="5" t="str">
        <f>IFERROR(_xll.qlRateHelperEarliestDate(W36,Trigger),"")</f>
        <v/>
      </c>
      <c r="AB36" s="5" t="str">
        <f>IFERROR(_xll.qlRateHelperPillarDate(W36,Trigger),"")</f>
        <v/>
      </c>
      <c r="AC36" s="70" t="e">
        <v>#N/A</v>
      </c>
      <c r="AD36" s="169" t="e">
        <v>#N/A</v>
      </c>
      <c r="AE36" s="170" t="e">
        <v>#N/A</v>
      </c>
      <c r="AF36" s="172" t="e">
        <f>_xll.qlYieldTSZeroRate(yieldcurve1_STD,$AD36,"ACTUAL/365 (FIXED)",,,TRUE,Trigger)-AE36</f>
        <v>#NUM!</v>
      </c>
      <c r="AG36" s="161"/>
    </row>
    <row r="37" spans="1:33" ht="11.25" customHeight="1" x14ac:dyDescent="0.2">
      <c r="A37" s="1" t="s">
        <v>92</v>
      </c>
      <c r="B37" s="117" t="b">
        <v>1</v>
      </c>
      <c r="C37" s="9" t="str">
        <f>_xll.qlIMMNextCode($C36,$B37,Trigger)</f>
        <v>U1</v>
      </c>
      <c r="D37" s="124"/>
      <c r="E37" s="208">
        <f>_xll.qlIMMdate($C37,,Trigger)</f>
        <v>44454</v>
      </c>
      <c r="F37" s="208">
        <f>_xll.qlIMMNextDate($E37,,Trigger)</f>
        <v>44545</v>
      </c>
      <c r="G37" s="7" t="str">
        <f t="shared" si="7"/>
        <v>GbpLibor3M</v>
      </c>
      <c r="H37" s="120" t="str">
        <f t="shared" si="8"/>
        <v>GBPFUT3MU1_LCHQuote</v>
      </c>
      <c r="I37" s="120" t="str">
        <f t="shared" si="9"/>
        <v>GBPFUT3MU1ConvAdj_LCHQuote</v>
      </c>
      <c r="J37" s="3" t="str">
        <f>_xll.qlFuturesRateHelper(,$H37,,$E37,$G37,$I37,FALSE,"customdate",$F37,Permanent,Trigger,ObjectOverwrite)</f>
        <v>obj_00439#0007</v>
      </c>
      <c r="K37" s="48"/>
      <c r="L37" s="10" t="str">
        <f t="shared" si="11"/>
        <v>Sw</v>
      </c>
      <c r="M37" s="94" t="str">
        <f t="shared" ref="M37:M72" si="13">IF(ISBLANK(J41),"--",J41)</f>
        <v>--</v>
      </c>
      <c r="N37" s="146" t="str">
        <f>IFERROR(_xll.qlRateHelperQuoteName(M37,Trigger),"--")</f>
        <v>--</v>
      </c>
      <c r="O37" s="98" t="str">
        <f>IFERROR(_xll.qlRateHelperQuoteValue($M37,Trigger),"--")</f>
        <v>--</v>
      </c>
      <c r="P37" s="97" t="b">
        <v>0</v>
      </c>
      <c r="Q37" s="94">
        <v>10</v>
      </c>
      <c r="R37" s="94">
        <v>1</v>
      </c>
      <c r="S37" s="99" t="str">
        <f>IFERROR(_xll.qlRateHelperEarliestDate(M37,Trigger),"--")</f>
        <v>--</v>
      </c>
      <c r="T37" s="99" t="str">
        <f>IFERROR(_xll.qlRateHelperPillarDate(M37,Trigger),"--")</f>
        <v>--</v>
      </c>
      <c r="V37" s="4" t="str">
        <f t="shared" si="10"/>
        <v/>
      </c>
      <c r="W37" s="4" t="e">
        <v>#N/A</v>
      </c>
      <c r="X37" s="4" t="str">
        <f>IFERROR(_xll.qlRateHelperQuoteName(W37,Trigger),"")</f>
        <v/>
      </c>
      <c r="Y37" s="70" t="str">
        <f>IFERROR(_xll.qlRateHelperRate(W37,Trigger),"")</f>
        <v/>
      </c>
      <c r="Z37" s="104" t="str">
        <f>IF(ISERROR(_xll.qlSwapRateHelperSpread($W37)),IF(ISERROR(_xll.qlFuturesRateHelperConvexityAdjustment($W37)),"",_xll.qlFuturesRateHelperConvexityAdjustment($W37)),_xll.qlSwapRateHelperSpread($W37))</f>
        <v/>
      </c>
      <c r="AA37" s="5" t="str">
        <f>IFERROR(_xll.qlRateHelperEarliestDate(W37,Trigger),"")</f>
        <v/>
      </c>
      <c r="AB37" s="5" t="str">
        <f>IFERROR(_xll.qlRateHelperPillarDate(W37,Trigger),"")</f>
        <v/>
      </c>
      <c r="AC37" s="70" t="e">
        <v>#N/A</v>
      </c>
      <c r="AD37" s="169" t="e">
        <v>#N/A</v>
      </c>
      <c r="AE37" s="170" t="e">
        <v>#N/A</v>
      </c>
      <c r="AF37" s="172" t="e">
        <f>_xll.qlYieldTSZeroRate(yieldcurve1_STD,$AD37,"ACTUAL/365 (FIXED)",,,TRUE,Trigger)-AE37</f>
        <v>#NUM!</v>
      </c>
      <c r="AG37" s="161"/>
    </row>
    <row r="38" spans="1:33" ht="11.25" customHeight="1" x14ac:dyDescent="0.2">
      <c r="B38" s="46"/>
      <c r="C38" s="46"/>
      <c r="D38" s="46"/>
      <c r="E38" s="46"/>
      <c r="G38" s="50" t="s">
        <v>156</v>
      </c>
      <c r="H38" s="50" t="s">
        <v>148</v>
      </c>
      <c r="K38" s="48"/>
      <c r="L38" s="10" t="str">
        <f t="shared" si="11"/>
        <v>Sw</v>
      </c>
      <c r="M38" s="94" t="str">
        <f t="shared" si="13"/>
        <v>--</v>
      </c>
      <c r="N38" s="146" t="str">
        <f>IFERROR(_xll.qlRateHelperQuoteName(M38,Trigger),"--")</f>
        <v>--</v>
      </c>
      <c r="O38" s="98" t="str">
        <f>IFERROR(_xll.qlRateHelperQuoteValue($M38,Trigger),"--")</f>
        <v>--</v>
      </c>
      <c r="P38" s="97" t="b">
        <v>0</v>
      </c>
      <c r="Q38" s="94">
        <v>10</v>
      </c>
      <c r="R38" s="94">
        <v>1</v>
      </c>
      <c r="S38" s="99" t="str">
        <f>IFERROR(_xll.qlRateHelperEarliestDate(M38,Trigger),"--")</f>
        <v>--</v>
      </c>
      <c r="T38" s="99" t="str">
        <f>IFERROR(_xll.qlRateHelperPillarDate(M38,Trigger),"--")</f>
        <v>--</v>
      </c>
      <c r="V38" s="4" t="str">
        <f t="shared" si="10"/>
        <v/>
      </c>
      <c r="W38" s="4" t="e">
        <v>#N/A</v>
      </c>
      <c r="X38" s="4" t="str">
        <f>IFERROR(_xll.qlRateHelperQuoteName(W38,Trigger),"")</f>
        <v/>
      </c>
      <c r="Y38" s="70" t="str">
        <f>IFERROR(_xll.qlRateHelperRate(W38,Trigger),"")</f>
        <v/>
      </c>
      <c r="Z38" s="104" t="str">
        <f>IF(ISERROR(_xll.qlSwapRateHelperSpread($W38)),IF(ISERROR(_xll.qlFuturesRateHelperConvexityAdjustment($W38)),"",_xll.qlFuturesRateHelperConvexityAdjustment($W38)),_xll.qlSwapRateHelperSpread($W38))</f>
        <v/>
      </c>
      <c r="AA38" s="5" t="str">
        <f>IFERROR(_xll.qlRateHelperEarliestDate(W38,Trigger),"")</f>
        <v/>
      </c>
      <c r="AB38" s="5" t="str">
        <f>IFERROR(_xll.qlRateHelperPillarDate(W38,Trigger),"")</f>
        <v/>
      </c>
      <c r="AC38" s="70" t="e">
        <v>#N/A</v>
      </c>
      <c r="AD38" s="169" t="e">
        <v>#N/A</v>
      </c>
      <c r="AE38" s="170" t="e">
        <v>#N/A</v>
      </c>
      <c r="AF38" s="172" t="e">
        <f>_xll.qlYieldTSZeroRate(yieldcurve1_STD,$AD38,"ACTUAL/365 (FIXED)",,,TRUE,Trigger)-AE38</f>
        <v>#NUM!</v>
      </c>
      <c r="AG38" s="161"/>
    </row>
    <row r="39" spans="1:33" ht="11.25" customHeight="1" x14ac:dyDescent="0.2">
      <c r="A39" s="65" t="s">
        <v>9</v>
      </c>
      <c r="B39" s="65" t="s">
        <v>28</v>
      </c>
      <c r="C39" s="65" t="s">
        <v>111</v>
      </c>
      <c r="D39" s="65" t="s">
        <v>5</v>
      </c>
      <c r="E39" s="65" t="s">
        <v>33</v>
      </c>
      <c r="F39" s="65" t="s">
        <v>112</v>
      </c>
      <c r="G39" s="65" t="s">
        <v>4</v>
      </c>
      <c r="H39" s="65" t="s">
        <v>1</v>
      </c>
      <c r="I39" s="65" t="s">
        <v>110</v>
      </c>
      <c r="J39" s="65" t="s">
        <v>24</v>
      </c>
      <c r="K39" s="48"/>
      <c r="L39" s="10" t="str">
        <f t="shared" si="11"/>
        <v>Sw</v>
      </c>
      <c r="M39" s="94" t="str">
        <f t="shared" si="13"/>
        <v>--</v>
      </c>
      <c r="N39" s="146" t="str">
        <f>IFERROR(_xll.qlRateHelperQuoteName(M39,Trigger),"--")</f>
        <v>--</v>
      </c>
      <c r="O39" s="98" t="str">
        <f>IFERROR(_xll.qlRateHelperQuoteValue($M39,Trigger),"--")</f>
        <v>--</v>
      </c>
      <c r="P39" s="97" t="b">
        <v>0</v>
      </c>
      <c r="Q39" s="94">
        <v>10</v>
      </c>
      <c r="R39" s="94">
        <v>1</v>
      </c>
      <c r="S39" s="99" t="str">
        <f>IFERROR(_xll.qlRateHelperEarliestDate(M39,Trigger),"--")</f>
        <v>--</v>
      </c>
      <c r="T39" s="99" t="str">
        <f>IFERROR(_xll.qlRateHelperPillarDate(M39,Trigger),"--")</f>
        <v>--</v>
      </c>
      <c r="V39" s="4" t="str">
        <f t="shared" si="10"/>
        <v/>
      </c>
      <c r="W39" s="4" t="e">
        <v>#N/A</v>
      </c>
      <c r="X39" s="4" t="str">
        <f>IFERROR(_xll.qlRateHelperQuoteName(W39,Trigger),"")</f>
        <v/>
      </c>
      <c r="Y39" s="70" t="str">
        <f>IFERROR(_xll.qlRateHelperRate(W39,Trigger),"")</f>
        <v/>
      </c>
      <c r="Z39" s="104" t="str">
        <f>IF(ISERROR(_xll.qlSwapRateHelperSpread($W39)),IF(ISERROR(_xll.qlFuturesRateHelperConvexityAdjustment($W39)),"",_xll.qlFuturesRateHelperConvexityAdjustment($W39)),_xll.qlSwapRateHelperSpread($W39))</f>
        <v/>
      </c>
      <c r="AA39" s="5" t="str">
        <f>IFERROR(_xll.qlRateHelperEarliestDate(W39,Trigger),"")</f>
        <v/>
      </c>
      <c r="AB39" s="5" t="str">
        <f>IFERROR(_xll.qlRateHelperPillarDate(W39,Trigger),"")</f>
        <v/>
      </c>
      <c r="AC39" s="70" t="e">
        <v>#N/A</v>
      </c>
      <c r="AD39" s="169" t="e">
        <v>#N/A</v>
      </c>
      <c r="AE39" s="170" t="e">
        <v>#N/A</v>
      </c>
      <c r="AF39" s="172" t="e">
        <f>_xll.qlYieldTSZeroRate(yieldcurve1_STD,$AD39,"ACTUAL/365 (FIXED)",,,TRUE,Trigger)-AE39</f>
        <v>#NUM!</v>
      </c>
      <c r="AG39" s="161"/>
    </row>
    <row r="40" spans="1:33" ht="11.25" customHeight="1" x14ac:dyDescent="0.2">
      <c r="A40" s="53" t="s">
        <v>25</v>
      </c>
      <c r="B40" s="54" t="s">
        <v>27</v>
      </c>
      <c r="C40" s="55" t="s">
        <v>6</v>
      </c>
      <c r="D40" s="55" t="s">
        <v>154</v>
      </c>
      <c r="E40" s="55" t="s">
        <v>7</v>
      </c>
      <c r="F40" s="55" t="s">
        <v>155</v>
      </c>
      <c r="G40" s="55" t="str">
        <f t="shared" ref="G40:G76" si="14">PROPER(Currency)&amp;FamilyName&amp;"3M"</f>
        <v>GbpLibor3M</v>
      </c>
      <c r="H40" s="53" t="str">
        <f t="shared" ref="H40:H76" si="15">IF(ReportQuoteOverwrite,Currency&amp;$G$38&amp;$H$38&amp;$B40&amp;ReportQuoteSuffix,Currency&amp;$G$38&amp;$H$38&amp;$B40&amp;QuoteSuffix)</f>
        <v>GBPSB6L1Y_LCHQuote</v>
      </c>
      <c r="I40" s="126">
        <v>0</v>
      </c>
      <c r="J40" s="64"/>
      <c r="K40" s="48"/>
      <c r="L40" s="10" t="str">
        <f t="shared" si="11"/>
        <v>Sw</v>
      </c>
      <c r="M40" s="94" t="str">
        <f t="shared" si="13"/>
        <v>--</v>
      </c>
      <c r="N40" s="146" t="str">
        <f>IFERROR(_xll.qlRateHelperQuoteName(M40,Trigger),"--")</f>
        <v>--</v>
      </c>
      <c r="O40" s="98" t="str">
        <f>IFERROR(_xll.qlRateHelperQuoteValue($M40,Trigger),"--")</f>
        <v>--</v>
      </c>
      <c r="P40" s="97" t="b">
        <v>0</v>
      </c>
      <c r="Q40" s="94">
        <v>10</v>
      </c>
      <c r="R40" s="94">
        <v>1</v>
      </c>
      <c r="S40" s="99" t="str">
        <f>IFERROR(_xll.qlRateHelperEarliestDate(M40,Trigger),"--")</f>
        <v>--</v>
      </c>
      <c r="T40" s="99" t="str">
        <f>IFERROR(_xll.qlRateHelperPillarDate(M40,Trigger),"--")</f>
        <v>--</v>
      </c>
      <c r="V40" s="4" t="str">
        <f t="shared" si="10"/>
        <v/>
      </c>
      <c r="W40" s="4" t="e">
        <v>#N/A</v>
      </c>
      <c r="X40" s="4" t="str">
        <f>IFERROR(_xll.qlRateHelperQuoteName(W40,Trigger),"")</f>
        <v/>
      </c>
      <c r="Y40" s="70" t="str">
        <f>IFERROR(_xll.qlRateHelperRate(W40,Trigger),"")</f>
        <v/>
      </c>
      <c r="Z40" s="104" t="str">
        <f>IF(ISERROR(_xll.qlSwapRateHelperSpread($W40)),IF(ISERROR(_xll.qlFuturesRateHelperConvexityAdjustment($W40)),"",_xll.qlFuturesRateHelperConvexityAdjustment($W40)),_xll.qlSwapRateHelperSpread($W40))</f>
        <v/>
      </c>
      <c r="AA40" s="5" t="str">
        <f>IFERROR(_xll.qlRateHelperEarliestDate(W40,Trigger),"")</f>
        <v/>
      </c>
      <c r="AB40" s="5" t="str">
        <f>IFERROR(_xll.qlRateHelperPillarDate(W40,Trigger),"")</f>
        <v/>
      </c>
      <c r="AC40" s="70" t="e">
        <v>#N/A</v>
      </c>
      <c r="AD40" s="169" t="e">
        <v>#N/A</v>
      </c>
      <c r="AE40" s="170" t="e">
        <v>#N/A</v>
      </c>
      <c r="AF40" s="172" t="e">
        <f>_xll.qlYieldTSZeroRate(yieldcurve1_STD,$AD40,"ACTUAL/365 (FIXED)",,,TRUE,Trigger)-AE40</f>
        <v>#NUM!</v>
      </c>
    </row>
    <row r="41" spans="1:33" ht="11.25" customHeight="1" x14ac:dyDescent="0.2">
      <c r="A41" s="59" t="s">
        <v>25</v>
      </c>
      <c r="B41" s="60" t="s">
        <v>48</v>
      </c>
      <c r="C41" s="61" t="s">
        <v>6</v>
      </c>
      <c r="D41" s="61" t="s">
        <v>154</v>
      </c>
      <c r="E41" s="61" t="s">
        <v>7</v>
      </c>
      <c r="F41" s="61" t="s">
        <v>155</v>
      </c>
      <c r="G41" s="61" t="str">
        <f t="shared" si="14"/>
        <v>GbpLibor3M</v>
      </c>
      <c r="H41" s="59" t="str">
        <f t="shared" si="15"/>
        <v>GBPSB6L15M_LCHQuote</v>
      </c>
      <c r="I41" s="127">
        <v>0</v>
      </c>
      <c r="J41" s="64"/>
      <c r="K41" s="48"/>
      <c r="L41" s="10" t="str">
        <f t="shared" si="11"/>
        <v>Sw</v>
      </c>
      <c r="M41" s="94" t="str">
        <f t="shared" si="13"/>
        <v>obj_003bf#0007</v>
      </c>
      <c r="N41" s="146" t="str">
        <f>IFERROR(_xll.qlRateHelperQuoteName(M41,Trigger),"--")</f>
        <v>GBPSB6L3Y_LCHQuote</v>
      </c>
      <c r="O41" s="98">
        <f>IFERROR(_xll.qlRateHelperQuoteValue($M41,Trigger),"--")</f>
        <v>1.1979999999999999E-2</v>
      </c>
      <c r="P41" s="97" t="b">
        <v>1</v>
      </c>
      <c r="Q41" s="94">
        <v>10</v>
      </c>
      <c r="R41" s="94">
        <v>1</v>
      </c>
      <c r="S41" s="99">
        <f>IFERROR(_xll.qlRateHelperEarliestDate(M41,Trigger),"--")</f>
        <v>42321</v>
      </c>
      <c r="T41" s="99">
        <f>IFERROR(_xll.qlRateHelperPillarDate(M41,Trigger),"--")</f>
        <v>43417</v>
      </c>
      <c r="V41" s="4" t="str">
        <f t="shared" si="10"/>
        <v/>
      </c>
      <c r="W41" s="4" t="e">
        <v>#N/A</v>
      </c>
      <c r="X41" s="4" t="str">
        <f>IFERROR(_xll.qlRateHelperQuoteName(W41,Trigger),"")</f>
        <v/>
      </c>
      <c r="Y41" s="70" t="str">
        <f>IFERROR(_xll.qlRateHelperRate(W41,Trigger),"")</f>
        <v/>
      </c>
      <c r="Z41" s="104" t="str">
        <f>IF(ISERROR(_xll.qlSwapRateHelperSpread($W41)),IF(ISERROR(_xll.qlFuturesRateHelperConvexityAdjustment($W41)),"",_xll.qlFuturesRateHelperConvexityAdjustment($W41)),_xll.qlSwapRateHelperSpread($W41))</f>
        <v/>
      </c>
      <c r="AA41" s="5" t="str">
        <f>IFERROR(_xll.qlRateHelperEarliestDate(W41,Trigger),"")</f>
        <v/>
      </c>
      <c r="AB41" s="5" t="str">
        <f>IFERROR(_xll.qlRateHelperPillarDate(W41,Trigger),"")</f>
        <v/>
      </c>
      <c r="AC41" s="70" t="e">
        <v>#N/A</v>
      </c>
      <c r="AD41" s="169" t="e">
        <v>#N/A</v>
      </c>
      <c r="AE41" s="170" t="e">
        <v>#N/A</v>
      </c>
      <c r="AF41" s="172" t="e">
        <f>_xll.qlYieldTSZeroRate(yieldcurve1_STD,$AD41,"ACTUAL/365 (FIXED)",,,TRUE,Trigger)-AE41</f>
        <v>#NUM!</v>
      </c>
    </row>
    <row r="42" spans="1:33" ht="11.25" customHeight="1" x14ac:dyDescent="0.2">
      <c r="A42" s="59" t="s">
        <v>25</v>
      </c>
      <c r="B42" s="60" t="s">
        <v>49</v>
      </c>
      <c r="C42" s="61" t="s">
        <v>6</v>
      </c>
      <c r="D42" s="61" t="s">
        <v>154</v>
      </c>
      <c r="E42" s="61" t="s">
        <v>7</v>
      </c>
      <c r="F42" s="61" t="s">
        <v>155</v>
      </c>
      <c r="G42" s="61" t="str">
        <f t="shared" si="14"/>
        <v>GbpLibor3M</v>
      </c>
      <c r="H42" s="59" t="str">
        <f t="shared" si="15"/>
        <v>GBPSB6L18M_LCHQuote</v>
      </c>
      <c r="I42" s="127">
        <v>0</v>
      </c>
      <c r="J42" s="64"/>
      <c r="K42" s="48"/>
      <c r="L42" s="10" t="str">
        <f t="shared" si="11"/>
        <v>Sw</v>
      </c>
      <c r="M42" s="94" t="str">
        <f t="shared" si="13"/>
        <v>obj_003af#0007</v>
      </c>
      <c r="N42" s="146" t="str">
        <f>IFERROR(_xll.qlRateHelperQuoteName(M42,Trigger),"--")</f>
        <v>GBPSB6L4Y_LCHQuote</v>
      </c>
      <c r="O42" s="98">
        <f>IFERROR(_xll.qlRateHelperQuoteValue($M42,Trigger),"--")</f>
        <v>1.3729999999999999E-2</v>
      </c>
      <c r="P42" s="97" t="b">
        <v>1</v>
      </c>
      <c r="Q42" s="94">
        <v>10</v>
      </c>
      <c r="R42" s="94">
        <v>1</v>
      </c>
      <c r="S42" s="99">
        <f>IFERROR(_xll.qlRateHelperEarliestDate(M42,Trigger),"--")</f>
        <v>42321</v>
      </c>
      <c r="T42" s="99">
        <f>IFERROR(_xll.qlRateHelperPillarDate(M42,Trigger),"--")</f>
        <v>43782</v>
      </c>
      <c r="V42" s="4" t="str">
        <f t="shared" si="10"/>
        <v/>
      </c>
      <c r="W42" s="4" t="e">
        <v>#N/A</v>
      </c>
      <c r="X42" s="4" t="str">
        <f>IFERROR(_xll.qlRateHelperQuoteName(W42,Trigger),"")</f>
        <v/>
      </c>
      <c r="Y42" s="70" t="str">
        <f>IFERROR(_xll.qlRateHelperRate(W42,Trigger),"")</f>
        <v/>
      </c>
      <c r="Z42" s="104" t="str">
        <f>IF(ISERROR(_xll.qlSwapRateHelperSpread($W42)),IF(ISERROR(_xll.qlFuturesRateHelperConvexityAdjustment($W42)),"",_xll.qlFuturesRateHelperConvexityAdjustment($W42)),_xll.qlSwapRateHelperSpread($W42))</f>
        <v/>
      </c>
      <c r="AA42" s="5" t="str">
        <f>IFERROR(_xll.qlRateHelperEarliestDate(W42,Trigger),"")</f>
        <v/>
      </c>
      <c r="AB42" s="5" t="str">
        <f>IFERROR(_xll.qlRateHelperPillarDate(W42,Trigger),"")</f>
        <v/>
      </c>
      <c r="AC42" s="70" t="e">
        <v>#N/A</v>
      </c>
      <c r="AD42" s="169" t="e">
        <v>#N/A</v>
      </c>
      <c r="AE42" s="170" t="e">
        <v>#N/A</v>
      </c>
      <c r="AF42" s="172" t="e">
        <f>_xll.qlYieldTSZeroRate(yieldcurve1_STD,$AD42,"ACTUAL/365 (FIXED)",,,TRUE,Trigger)-AE42</f>
        <v>#NUM!</v>
      </c>
    </row>
    <row r="43" spans="1:33" ht="11.25" customHeight="1" x14ac:dyDescent="0.2">
      <c r="A43" s="59" t="s">
        <v>25</v>
      </c>
      <c r="B43" s="60" t="s">
        <v>50</v>
      </c>
      <c r="C43" s="61" t="s">
        <v>6</v>
      </c>
      <c r="D43" s="61" t="s">
        <v>154</v>
      </c>
      <c r="E43" s="61" t="s">
        <v>7</v>
      </c>
      <c r="F43" s="61" t="s">
        <v>155</v>
      </c>
      <c r="G43" s="61" t="str">
        <f t="shared" si="14"/>
        <v>GbpLibor3M</v>
      </c>
      <c r="H43" s="59" t="str">
        <f t="shared" si="15"/>
        <v>GBPSB6L21M_LCHQuote</v>
      </c>
      <c r="I43" s="127">
        <v>0</v>
      </c>
      <c r="J43" s="64"/>
      <c r="K43" s="48"/>
      <c r="L43" s="10" t="str">
        <f t="shared" si="11"/>
        <v>Sw</v>
      </c>
      <c r="M43" s="94" t="str">
        <f t="shared" si="13"/>
        <v>obj_003bb#0007</v>
      </c>
      <c r="N43" s="146" t="str">
        <f>IFERROR(_xll.qlRateHelperQuoteName(M43,Trigger),"--")</f>
        <v>GBPSB6L5Y_LCHQuote</v>
      </c>
      <c r="O43" s="98">
        <f>IFERROR(_xll.qlRateHelperQuoteValue($M43,Trigger),"--")</f>
        <v>1.5190000000000002E-2</v>
      </c>
      <c r="P43" s="97" t="b">
        <v>1</v>
      </c>
      <c r="Q43" s="94">
        <v>10</v>
      </c>
      <c r="R43" s="94">
        <v>1</v>
      </c>
      <c r="S43" s="99">
        <f>IFERROR(_xll.qlRateHelperEarliestDate(M43,Trigger),"--")</f>
        <v>42321</v>
      </c>
      <c r="T43" s="99">
        <f>IFERROR(_xll.qlRateHelperPillarDate(M43,Trigger),"--")</f>
        <v>44148</v>
      </c>
      <c r="V43" s="4" t="str">
        <f t="shared" si="10"/>
        <v/>
      </c>
      <c r="W43" s="4" t="e">
        <v>#N/A</v>
      </c>
      <c r="X43" s="4" t="str">
        <f>IFERROR(_xll.qlRateHelperQuoteName(W43,Trigger),"")</f>
        <v/>
      </c>
      <c r="Y43" s="70" t="str">
        <f>IFERROR(_xll.qlRateHelperRate(W43,Trigger),"")</f>
        <v/>
      </c>
      <c r="Z43" s="104" t="str">
        <f>IF(ISERROR(_xll.qlSwapRateHelperSpread($W43)),IF(ISERROR(_xll.qlFuturesRateHelperConvexityAdjustment($W43)),"",_xll.qlFuturesRateHelperConvexityAdjustment($W43)),_xll.qlSwapRateHelperSpread($W43))</f>
        <v/>
      </c>
      <c r="AA43" s="5" t="str">
        <f>IFERROR(_xll.qlRateHelperEarliestDate(W43,Trigger),"")</f>
        <v/>
      </c>
      <c r="AB43" s="5" t="str">
        <f>IFERROR(_xll.qlRateHelperPillarDate(W43,Trigger),"")</f>
        <v/>
      </c>
      <c r="AC43" s="70" t="e">
        <v>#N/A</v>
      </c>
      <c r="AD43" s="169" t="e">
        <v>#N/A</v>
      </c>
      <c r="AE43" s="170" t="e">
        <v>#N/A</v>
      </c>
      <c r="AF43" s="172" t="e">
        <f>_xll.qlYieldTSZeroRate(yieldcurve1_STD,$AD43,"ACTUAL/365 (FIXED)",,,TRUE,Trigger)-AE43</f>
        <v>#NUM!</v>
      </c>
    </row>
    <row r="44" spans="1:33" ht="11.25" customHeight="1" x14ac:dyDescent="0.2">
      <c r="A44" s="59" t="s">
        <v>25</v>
      </c>
      <c r="B44" s="60" t="s">
        <v>51</v>
      </c>
      <c r="C44" s="61" t="s">
        <v>6</v>
      </c>
      <c r="D44" s="61" t="s">
        <v>154</v>
      </c>
      <c r="E44" s="61" t="s">
        <v>7</v>
      </c>
      <c r="F44" s="61" t="s">
        <v>155</v>
      </c>
      <c r="G44" s="61" t="str">
        <f t="shared" si="14"/>
        <v>GbpLibor3M</v>
      </c>
      <c r="H44" s="59" t="str">
        <f t="shared" si="15"/>
        <v>GBPSB6L2Y_LCHQuote</v>
      </c>
      <c r="I44" s="127">
        <v>0</v>
      </c>
      <c r="J44" s="64"/>
      <c r="K44" s="48"/>
      <c r="L44" s="10" t="str">
        <f t="shared" si="11"/>
        <v>Sw</v>
      </c>
      <c r="M44" s="94" t="str">
        <f t="shared" si="13"/>
        <v>obj_003bd#0007</v>
      </c>
      <c r="N44" s="146" t="str">
        <f>IFERROR(_xll.qlRateHelperQuoteName(M44,Trigger),"--")</f>
        <v>GBPSB6L6Y_LCHQuote</v>
      </c>
      <c r="O44" s="98">
        <f>IFERROR(_xll.qlRateHelperQuoteValue($M44,Trigger),"--")</f>
        <v>1.6410000000000001E-2</v>
      </c>
      <c r="P44" s="97" t="b">
        <v>1</v>
      </c>
      <c r="Q44" s="94">
        <v>10</v>
      </c>
      <c r="R44" s="94">
        <v>1</v>
      </c>
      <c r="S44" s="99">
        <f>IFERROR(_xll.qlRateHelperEarliestDate(M44,Trigger),"--")</f>
        <v>42321</v>
      </c>
      <c r="T44" s="99">
        <f>IFERROR(_xll.qlRateHelperPillarDate(M44,Trigger),"--")</f>
        <v>44515</v>
      </c>
      <c r="V44" s="4" t="str">
        <f t="shared" si="10"/>
        <v/>
      </c>
      <c r="W44" s="4" t="e">
        <v>#N/A</v>
      </c>
      <c r="X44" s="4" t="str">
        <f>IFERROR(_xll.qlRateHelperQuoteName(W44,Trigger),"")</f>
        <v/>
      </c>
      <c r="Y44" s="70" t="str">
        <f>IFERROR(_xll.qlRateHelperRate(W44,Trigger),"")</f>
        <v/>
      </c>
      <c r="Z44" s="104" t="str">
        <f>IF(ISERROR(_xll.qlSwapRateHelperSpread($W44)),IF(ISERROR(_xll.qlFuturesRateHelperConvexityAdjustment($W44)),"",_xll.qlFuturesRateHelperConvexityAdjustment($W44)),_xll.qlSwapRateHelperSpread($W44))</f>
        <v/>
      </c>
      <c r="AA44" s="5" t="str">
        <f>IFERROR(_xll.qlRateHelperEarliestDate(W44,Trigger),"")</f>
        <v/>
      </c>
      <c r="AB44" s="5" t="str">
        <f>IFERROR(_xll.qlRateHelperPillarDate(W44,Trigger),"")</f>
        <v/>
      </c>
      <c r="AC44" s="70" t="e">
        <v>#N/A</v>
      </c>
      <c r="AD44" s="169" t="e">
        <v>#N/A</v>
      </c>
      <c r="AE44" s="170" t="e">
        <v>#N/A</v>
      </c>
      <c r="AF44" s="172" t="e">
        <f>_xll.qlYieldTSZeroRate(yieldcurve1_STD,$AD44,"ACTUAL/365 (FIXED)",,,TRUE,Trigger)-AE44</f>
        <v>#NUM!</v>
      </c>
    </row>
    <row r="45" spans="1:33" ht="11.25" customHeight="1" x14ac:dyDescent="0.2">
      <c r="A45" s="59" t="s">
        <v>25</v>
      </c>
      <c r="B45" s="60" t="s">
        <v>52</v>
      </c>
      <c r="C45" s="61" t="s">
        <v>6</v>
      </c>
      <c r="D45" s="61" t="s">
        <v>154</v>
      </c>
      <c r="E45" s="61" t="s">
        <v>7</v>
      </c>
      <c r="F45" s="61" t="s">
        <v>155</v>
      </c>
      <c r="G45" s="61" t="str">
        <f t="shared" si="14"/>
        <v>GbpLibor3M</v>
      </c>
      <c r="H45" s="59" t="str">
        <f t="shared" si="15"/>
        <v>GBPSB6L3Y_LCHQuote</v>
      </c>
      <c r="I45" s="127">
        <v>0</v>
      </c>
      <c r="J45" s="64" t="str">
        <f>_xll.qlSwapRateHelper2(,$H45,0,$B45,Calendar,$D45,$E45,$F45,$G45,$I45,$C45,,PillarDate,,Permanent,Trigger,ObjectOverwrite)</f>
        <v>obj_003bf#0007</v>
      </c>
      <c r="K45" s="48"/>
      <c r="L45" s="10" t="str">
        <f t="shared" si="11"/>
        <v>Sw</v>
      </c>
      <c r="M45" s="94" t="str">
        <f t="shared" si="13"/>
        <v>obj_003c2#0007</v>
      </c>
      <c r="N45" s="146" t="str">
        <f>IFERROR(_xll.qlRateHelperQuoteName(M45,Trigger),"--")</f>
        <v>GBPSB6L7Y_LCHQuote</v>
      </c>
      <c r="O45" s="98">
        <f>IFERROR(_xll.qlRateHelperQuoteValue($M45,Trigger),"--")</f>
        <v>1.7420000000000001E-2</v>
      </c>
      <c r="P45" s="97" t="b">
        <v>1</v>
      </c>
      <c r="Q45" s="94">
        <v>10</v>
      </c>
      <c r="R45" s="94">
        <v>1</v>
      </c>
      <c r="S45" s="99">
        <f>IFERROR(_xll.qlRateHelperEarliestDate(M45,Trigger),"--")</f>
        <v>42321</v>
      </c>
      <c r="T45" s="99">
        <f>IFERROR(_xll.qlRateHelperPillarDate(M45,Trigger),"--")</f>
        <v>44879</v>
      </c>
      <c r="V45" s="4" t="str">
        <f t="shared" si="10"/>
        <v/>
      </c>
      <c r="W45" s="4" t="e">
        <v>#N/A</v>
      </c>
      <c r="X45" s="4" t="str">
        <f>IFERROR(_xll.qlRateHelperQuoteName(W45,Trigger),"")</f>
        <v/>
      </c>
      <c r="Y45" s="70" t="str">
        <f>IFERROR(_xll.qlRateHelperRate(W45,Trigger),"")</f>
        <v/>
      </c>
      <c r="Z45" s="104" t="str">
        <f>IF(ISERROR(_xll.qlSwapRateHelperSpread($W45)),IF(ISERROR(_xll.qlFuturesRateHelperConvexityAdjustment($W45)),"",_xll.qlFuturesRateHelperConvexityAdjustment($W45)),_xll.qlSwapRateHelperSpread($W45))</f>
        <v/>
      </c>
      <c r="AA45" s="5" t="str">
        <f>IFERROR(_xll.qlRateHelperEarliestDate(W45,Trigger),"")</f>
        <v/>
      </c>
      <c r="AB45" s="5" t="str">
        <f>IFERROR(_xll.qlRateHelperPillarDate(W45,Trigger),"")</f>
        <v/>
      </c>
      <c r="AC45" s="70" t="e">
        <v>#N/A</v>
      </c>
      <c r="AD45" s="169" t="e">
        <v>#N/A</v>
      </c>
      <c r="AE45" s="170" t="e">
        <v>#N/A</v>
      </c>
      <c r="AF45" s="172" t="e">
        <f>_xll.qlYieldTSZeroRate(yieldcurve1_STD,$AD45,"ACTUAL/365 (FIXED)",,,TRUE,Trigger)-AE45</f>
        <v>#NUM!</v>
      </c>
    </row>
    <row r="46" spans="1:33" ht="11.25" customHeight="1" x14ac:dyDescent="0.2">
      <c r="A46" s="59" t="s">
        <v>25</v>
      </c>
      <c r="B46" s="60" t="s">
        <v>53</v>
      </c>
      <c r="C46" s="61" t="s">
        <v>6</v>
      </c>
      <c r="D46" s="61" t="s">
        <v>154</v>
      </c>
      <c r="E46" s="61" t="s">
        <v>7</v>
      </c>
      <c r="F46" s="61" t="s">
        <v>155</v>
      </c>
      <c r="G46" s="61" t="str">
        <f t="shared" si="14"/>
        <v>GbpLibor3M</v>
      </c>
      <c r="H46" s="59" t="str">
        <f t="shared" si="15"/>
        <v>GBPSB6L4Y_LCHQuote</v>
      </c>
      <c r="I46" s="127">
        <v>0</v>
      </c>
      <c r="J46" s="64" t="str">
        <f>_xll.qlSwapRateHelper2(,$H46,0,$B46,Calendar,$D46,$E46,$F46,$G46,$I46,$C46,,PillarDate,,Permanent,Trigger,ObjectOverwrite)</f>
        <v>obj_003af#0007</v>
      </c>
      <c r="L46" s="10" t="str">
        <f t="shared" si="11"/>
        <v>Sw</v>
      </c>
      <c r="M46" s="94" t="str">
        <f t="shared" si="13"/>
        <v>obj_003b2#0007</v>
      </c>
      <c r="N46" s="146" t="str">
        <f>IFERROR(_xll.qlRateHelperQuoteName(M46,Trigger),"--")</f>
        <v>GBPSB6L8Y_LCHQuote</v>
      </c>
      <c r="O46" s="98">
        <f>IFERROR(_xll.qlRateHelperQuoteValue($M46,Trigger),"--")</f>
        <v>1.8250000000000002E-2</v>
      </c>
      <c r="P46" s="97" t="b">
        <v>1</v>
      </c>
      <c r="Q46" s="94">
        <v>10</v>
      </c>
      <c r="R46" s="94">
        <v>1</v>
      </c>
      <c r="S46" s="99">
        <f>IFERROR(_xll.qlRateHelperEarliestDate(M46,Trigger),"--")</f>
        <v>42321</v>
      </c>
      <c r="T46" s="99">
        <f>IFERROR(_xll.qlRateHelperPillarDate(M46,Trigger),"--")</f>
        <v>45243</v>
      </c>
      <c r="V46" s="4" t="str">
        <f t="shared" si="10"/>
        <v/>
      </c>
      <c r="W46" s="4" t="e">
        <v>#N/A</v>
      </c>
      <c r="X46" s="4" t="str">
        <f>IFERROR(_xll.qlRateHelperQuoteName(W46,Trigger),"")</f>
        <v/>
      </c>
      <c r="Y46" s="70" t="str">
        <f>IFERROR(_xll.qlRateHelperRate(W46,Trigger),"")</f>
        <v/>
      </c>
      <c r="Z46" s="104" t="str">
        <f>IF(ISERROR(_xll.qlSwapRateHelperSpread($W46)),IF(ISERROR(_xll.qlFuturesRateHelperConvexityAdjustment($W46)),"",_xll.qlFuturesRateHelperConvexityAdjustment($W46)),_xll.qlSwapRateHelperSpread($W46))</f>
        <v/>
      </c>
      <c r="AA46" s="5" t="str">
        <f>IFERROR(_xll.qlRateHelperEarliestDate(W46,Trigger),"")</f>
        <v/>
      </c>
      <c r="AB46" s="5" t="str">
        <f>IFERROR(_xll.qlRateHelperPillarDate(W46,Trigger),"")</f>
        <v/>
      </c>
      <c r="AC46" s="70" t="e">
        <v>#N/A</v>
      </c>
      <c r="AD46" s="169" t="e">
        <v>#N/A</v>
      </c>
      <c r="AE46" s="170" t="e">
        <v>#N/A</v>
      </c>
      <c r="AF46" s="172" t="e">
        <f>_xll.qlYieldTSZeroRate(yieldcurve1_STD,$AD46,"ACTUAL/365 (FIXED)",,,TRUE,Trigger)-AE46</f>
        <v>#NUM!</v>
      </c>
    </row>
    <row r="47" spans="1:33" ht="11.25" customHeight="1" x14ac:dyDescent="0.2">
      <c r="A47" s="59" t="s">
        <v>25</v>
      </c>
      <c r="B47" s="60" t="s">
        <v>54</v>
      </c>
      <c r="C47" s="61" t="s">
        <v>6</v>
      </c>
      <c r="D47" s="61" t="s">
        <v>154</v>
      </c>
      <c r="E47" s="61" t="s">
        <v>7</v>
      </c>
      <c r="F47" s="61" t="s">
        <v>155</v>
      </c>
      <c r="G47" s="61" t="str">
        <f t="shared" si="14"/>
        <v>GbpLibor3M</v>
      </c>
      <c r="H47" s="59" t="str">
        <f t="shared" si="15"/>
        <v>GBPSB6L5Y_LCHQuote</v>
      </c>
      <c r="I47" s="127">
        <v>0</v>
      </c>
      <c r="J47" s="64" t="str">
        <f>_xll.qlSwapRateHelper2(,$H47,0,$B47,Calendar,$D47,$E47,$F47,$G47,$I47,$C47,,PillarDate,,Permanent,Trigger,ObjectOverwrite)</f>
        <v>obj_003bb#0007</v>
      </c>
      <c r="L47" s="10" t="str">
        <f t="shared" si="11"/>
        <v>Sw</v>
      </c>
      <c r="M47" s="94" t="str">
        <f t="shared" si="13"/>
        <v>obj_003b7#0007</v>
      </c>
      <c r="N47" s="146" t="str">
        <f>IFERROR(_xll.qlRateHelperQuoteName(M47,Trigger),"--")</f>
        <v>GBPSB6L9Y_LCHQuote</v>
      </c>
      <c r="O47" s="98">
        <f>IFERROR(_xll.qlRateHelperQuoteValue($M47,Trigger),"--")</f>
        <v>1.8940000000000002E-2</v>
      </c>
      <c r="P47" s="97" t="b">
        <v>1</v>
      </c>
      <c r="Q47" s="94">
        <v>10</v>
      </c>
      <c r="R47" s="94">
        <v>1</v>
      </c>
      <c r="S47" s="99">
        <f>IFERROR(_xll.qlRateHelperEarliestDate(M47,Trigger),"--")</f>
        <v>42321</v>
      </c>
      <c r="T47" s="99">
        <f>IFERROR(_xll.qlRateHelperPillarDate(M47,Trigger),"--")</f>
        <v>45609</v>
      </c>
      <c r="V47" s="4" t="str">
        <f t="shared" si="10"/>
        <v/>
      </c>
      <c r="W47" s="4" t="e">
        <v>#N/A</v>
      </c>
      <c r="X47" s="4" t="str">
        <f>IFERROR(_xll.qlRateHelperQuoteName(W47,Trigger),"")</f>
        <v/>
      </c>
      <c r="Y47" s="70" t="str">
        <f>IFERROR(_xll.qlRateHelperRate(W47,Trigger),"")</f>
        <v/>
      </c>
      <c r="Z47" s="104" t="str">
        <f>IF(ISERROR(_xll.qlSwapRateHelperSpread($W47)),IF(ISERROR(_xll.qlFuturesRateHelperConvexityAdjustment($W47)),"",_xll.qlFuturesRateHelperConvexityAdjustment($W47)),_xll.qlSwapRateHelperSpread($W47))</f>
        <v/>
      </c>
      <c r="AA47" s="5" t="str">
        <f>IFERROR(_xll.qlRateHelperEarliestDate(W47,Trigger),"")</f>
        <v/>
      </c>
      <c r="AB47" s="5" t="str">
        <f>IFERROR(_xll.qlRateHelperPillarDate(W47,Trigger),"")</f>
        <v/>
      </c>
      <c r="AC47" s="70" t="e">
        <v>#N/A</v>
      </c>
      <c r="AD47" s="169" t="e">
        <v>#N/A</v>
      </c>
      <c r="AE47" s="170" t="e">
        <v>#N/A</v>
      </c>
      <c r="AF47" s="172" t="e">
        <f>_xll.qlYieldTSZeroRate(yieldcurve1_STD,$AD47,"ACTUAL/365 (FIXED)",,,TRUE,Trigger)-AE47</f>
        <v>#NUM!</v>
      </c>
    </row>
    <row r="48" spans="1:33" ht="11.25" customHeight="1" x14ac:dyDescent="0.2">
      <c r="A48" s="59" t="s">
        <v>25</v>
      </c>
      <c r="B48" s="60" t="s">
        <v>55</v>
      </c>
      <c r="C48" s="61" t="s">
        <v>6</v>
      </c>
      <c r="D48" s="61" t="s">
        <v>154</v>
      </c>
      <c r="E48" s="61" t="s">
        <v>7</v>
      </c>
      <c r="F48" s="61" t="s">
        <v>155</v>
      </c>
      <c r="G48" s="61" t="str">
        <f t="shared" si="14"/>
        <v>GbpLibor3M</v>
      </c>
      <c r="H48" s="59" t="str">
        <f t="shared" si="15"/>
        <v>GBPSB6L6Y_LCHQuote</v>
      </c>
      <c r="I48" s="127">
        <v>0</v>
      </c>
      <c r="J48" s="64" t="str">
        <f>_xll.qlSwapRateHelper2(,$H48,0,$B48,Calendar,$D48,$E48,$F48,$G48,$I48,$C48,,PillarDate,,Permanent,Trigger,ObjectOverwrite)</f>
        <v>obj_003bd#0007</v>
      </c>
      <c r="L48" s="10" t="str">
        <f t="shared" si="11"/>
        <v>Sw</v>
      </c>
      <c r="M48" s="94" t="str">
        <f t="shared" si="13"/>
        <v>obj_003ba#0007</v>
      </c>
      <c r="N48" s="146" t="str">
        <f>IFERROR(_xll.qlRateHelperQuoteName(M48,Trigger),"--")</f>
        <v>GBPSB6L10Y_LCHQuote</v>
      </c>
      <c r="O48" s="98">
        <f>IFERROR(_xll.qlRateHelperQuoteValue($M48,Trigger),"--")</f>
        <v>1.9519999999999999E-2</v>
      </c>
      <c r="P48" s="97" t="b">
        <v>1</v>
      </c>
      <c r="Q48" s="94">
        <v>10</v>
      </c>
      <c r="R48" s="94">
        <v>1</v>
      </c>
      <c r="S48" s="99">
        <f>IFERROR(_xll.qlRateHelperEarliestDate(M48,Trigger),"--")</f>
        <v>42321</v>
      </c>
      <c r="T48" s="99">
        <f>IFERROR(_xll.qlRateHelperPillarDate(M48,Trigger),"--")</f>
        <v>45974</v>
      </c>
      <c r="V48" s="4" t="str">
        <f t="shared" si="10"/>
        <v/>
      </c>
      <c r="W48" s="4" t="e">
        <v>#N/A</v>
      </c>
      <c r="X48" s="4" t="str">
        <f>IFERROR(_xll.qlRateHelperQuoteName(W48,Trigger),"")</f>
        <v/>
      </c>
      <c r="Y48" s="70" t="str">
        <f>IFERROR(_xll.qlRateHelperRate(W48,Trigger),"")</f>
        <v/>
      </c>
      <c r="Z48" s="104" t="str">
        <f>IF(ISERROR(_xll.qlSwapRateHelperSpread($W48)),IF(ISERROR(_xll.qlFuturesRateHelperConvexityAdjustment($W48)),"",_xll.qlFuturesRateHelperConvexityAdjustment($W48)),_xll.qlSwapRateHelperSpread($W48))</f>
        <v/>
      </c>
      <c r="AA48" s="5" t="str">
        <f>IFERROR(_xll.qlRateHelperEarliestDate(W48,Trigger),"")</f>
        <v/>
      </c>
      <c r="AB48" s="5" t="str">
        <f>IFERROR(_xll.qlRateHelperPillarDate(W48,Trigger),"")</f>
        <v/>
      </c>
      <c r="AC48" s="70" t="e">
        <v>#N/A</v>
      </c>
      <c r="AD48" s="169" t="e">
        <v>#N/A</v>
      </c>
      <c r="AE48" s="170" t="e">
        <v>#N/A</v>
      </c>
      <c r="AF48" s="172" t="e">
        <f>_xll.qlYieldTSZeroRate(yieldcurve1_STD,$AD48,"ACTUAL/365 (FIXED)",,,TRUE,Trigger)-AE48</f>
        <v>#NUM!</v>
      </c>
    </row>
    <row r="49" spans="1:32" ht="11.25" customHeight="1" x14ac:dyDescent="0.2">
      <c r="A49" s="59" t="s">
        <v>25</v>
      </c>
      <c r="B49" s="60" t="s">
        <v>56</v>
      </c>
      <c r="C49" s="61" t="s">
        <v>6</v>
      </c>
      <c r="D49" s="61" t="s">
        <v>154</v>
      </c>
      <c r="E49" s="61" t="s">
        <v>7</v>
      </c>
      <c r="F49" s="61" t="s">
        <v>155</v>
      </c>
      <c r="G49" s="61" t="str">
        <f t="shared" si="14"/>
        <v>GbpLibor3M</v>
      </c>
      <c r="H49" s="59" t="str">
        <f t="shared" si="15"/>
        <v>GBPSB6L7Y_LCHQuote</v>
      </c>
      <c r="I49" s="127">
        <v>0</v>
      </c>
      <c r="J49" s="64" t="str">
        <f>_xll.qlSwapRateHelper2(,$H49,0,$B49,Calendar,$D49,$E49,$F49,$G49,$I49,$C49,,PillarDate,,Permanent,Trigger,ObjectOverwrite)</f>
        <v>obj_003c2#0007</v>
      </c>
      <c r="L49" s="10" t="str">
        <f t="shared" si="11"/>
        <v>Sw</v>
      </c>
      <c r="M49" s="94" t="str">
        <f t="shared" si="13"/>
        <v>--</v>
      </c>
      <c r="N49" s="146" t="str">
        <f>IFERROR(_xll.qlRateHelperQuoteName(M49,Trigger),"--")</f>
        <v>--</v>
      </c>
      <c r="O49" s="98" t="str">
        <f>IFERROR(_xll.qlRateHelperQuoteValue($M49,Trigger),"--")</f>
        <v>--</v>
      </c>
      <c r="P49" s="97" t="b">
        <v>0</v>
      </c>
      <c r="Q49" s="94">
        <v>10</v>
      </c>
      <c r="R49" s="94">
        <v>1</v>
      </c>
      <c r="S49" s="99" t="str">
        <f>IFERROR(_xll.qlRateHelperEarliestDate(M49,Trigger),"--")</f>
        <v>--</v>
      </c>
      <c r="T49" s="99" t="str">
        <f>IFERROR(_xll.qlRateHelperPillarDate(M49,Trigger),"--")</f>
        <v>--</v>
      </c>
      <c r="V49" s="4" t="str">
        <f t="shared" si="10"/>
        <v/>
      </c>
      <c r="W49" s="4" t="e">
        <v>#N/A</v>
      </c>
      <c r="X49" s="4" t="str">
        <f>IFERROR(_xll.qlRateHelperQuoteName(W49,Trigger),"")</f>
        <v/>
      </c>
      <c r="Y49" s="70" t="str">
        <f>IFERROR(_xll.qlRateHelperRate(W49,Trigger),"")</f>
        <v/>
      </c>
      <c r="Z49" s="104" t="str">
        <f>IF(ISERROR(_xll.qlSwapRateHelperSpread($W49)),IF(ISERROR(_xll.qlFuturesRateHelperConvexityAdjustment($W49)),"",_xll.qlFuturesRateHelperConvexityAdjustment($W49)),_xll.qlSwapRateHelperSpread($W49))</f>
        <v/>
      </c>
      <c r="AA49" s="5" t="str">
        <f>IFERROR(_xll.qlRateHelperEarliestDate(W49,Trigger),"")</f>
        <v/>
      </c>
      <c r="AB49" s="5" t="str">
        <f>IFERROR(_xll.qlRateHelperPillarDate(W49,Trigger),"")</f>
        <v/>
      </c>
      <c r="AC49" s="70" t="e">
        <v>#N/A</v>
      </c>
      <c r="AD49" s="169" t="e">
        <v>#N/A</v>
      </c>
      <c r="AE49" s="170" t="e">
        <v>#N/A</v>
      </c>
      <c r="AF49" s="172" t="e">
        <f>_xll.qlYieldTSZeroRate(yieldcurve1_STD,$AD49,"ACTUAL/365 (FIXED)",,,TRUE,Trigger)-AE49</f>
        <v>#NUM!</v>
      </c>
    </row>
    <row r="50" spans="1:32" ht="11.25" customHeight="1" x14ac:dyDescent="0.2">
      <c r="A50" s="59" t="s">
        <v>25</v>
      </c>
      <c r="B50" s="60" t="s">
        <v>57</v>
      </c>
      <c r="C50" s="61" t="s">
        <v>6</v>
      </c>
      <c r="D50" s="61" t="s">
        <v>154</v>
      </c>
      <c r="E50" s="61" t="s">
        <v>7</v>
      </c>
      <c r="F50" s="61" t="s">
        <v>155</v>
      </c>
      <c r="G50" s="61" t="str">
        <f t="shared" si="14"/>
        <v>GbpLibor3M</v>
      </c>
      <c r="H50" s="59" t="str">
        <f t="shared" si="15"/>
        <v>GBPSB6L8Y_LCHQuote</v>
      </c>
      <c r="I50" s="127">
        <v>0</v>
      </c>
      <c r="J50" s="64" t="str">
        <f>_xll.qlSwapRateHelper2(,$H50,0,$B50,Calendar,$D50,$E50,$F50,$G50,$I50,$C50,,PillarDate,,Permanent,Trigger,ObjectOverwrite)</f>
        <v>obj_003b2#0007</v>
      </c>
      <c r="L50" s="10" t="str">
        <f t="shared" si="11"/>
        <v>Sw</v>
      </c>
      <c r="M50" s="94" t="str">
        <f t="shared" si="13"/>
        <v>obj_003ae#0007</v>
      </c>
      <c r="N50" s="146" t="str">
        <f>IFERROR(_xll.qlRateHelperQuoteName(M50,Trigger),"--")</f>
        <v>GBPSB6L12Y_LCHQuote</v>
      </c>
      <c r="O50" s="98">
        <f>IFERROR(_xll.qlRateHelperQuoteValue($M50,Trigger),"--")</f>
        <v>2.043E-2</v>
      </c>
      <c r="P50" s="97" t="b">
        <v>1</v>
      </c>
      <c r="Q50" s="94">
        <v>10</v>
      </c>
      <c r="R50" s="94">
        <v>1</v>
      </c>
      <c r="S50" s="99">
        <f>IFERROR(_xll.qlRateHelperEarliestDate(M50,Trigger),"--")</f>
        <v>42321</v>
      </c>
      <c r="T50" s="99">
        <f>IFERROR(_xll.qlRateHelperPillarDate(M50,Trigger),"--")</f>
        <v>46706</v>
      </c>
      <c r="V50" s="4" t="str">
        <f t="shared" si="10"/>
        <v/>
      </c>
      <c r="W50" s="4" t="e">
        <v>#N/A</v>
      </c>
      <c r="X50" s="4" t="str">
        <f>IFERROR(_xll.qlRateHelperQuoteName(W50,Trigger),"")</f>
        <v/>
      </c>
      <c r="Y50" s="70" t="str">
        <f>IFERROR(_xll.qlRateHelperRate(W50,Trigger),"")</f>
        <v/>
      </c>
      <c r="Z50" s="104" t="str">
        <f>IF(ISERROR(_xll.qlSwapRateHelperSpread($W50)),IF(ISERROR(_xll.qlFuturesRateHelperConvexityAdjustment($W50)),"",_xll.qlFuturesRateHelperConvexityAdjustment($W50)),_xll.qlSwapRateHelperSpread($W50))</f>
        <v/>
      </c>
      <c r="AA50" s="5" t="str">
        <f>IFERROR(_xll.qlRateHelperEarliestDate(W50,Trigger),"")</f>
        <v/>
      </c>
      <c r="AB50" s="5" t="str">
        <f>IFERROR(_xll.qlRateHelperPillarDate(W50,Trigger),"")</f>
        <v/>
      </c>
      <c r="AC50" s="70" t="e">
        <v>#N/A</v>
      </c>
      <c r="AD50" s="169" t="e">
        <v>#N/A</v>
      </c>
      <c r="AE50" s="170" t="e">
        <v>#N/A</v>
      </c>
      <c r="AF50" s="172" t="e">
        <f>_xll.qlYieldTSZeroRate(yieldcurve1_STD,$AD50,"ACTUAL/365 (FIXED)",,,TRUE,Trigger)-AE50</f>
        <v>#NUM!</v>
      </c>
    </row>
    <row r="51" spans="1:32" ht="11.25" customHeight="1" x14ac:dyDescent="0.2">
      <c r="A51" s="59" t="s">
        <v>25</v>
      </c>
      <c r="B51" s="60" t="s">
        <v>58</v>
      </c>
      <c r="C51" s="61" t="s">
        <v>6</v>
      </c>
      <c r="D51" s="61" t="s">
        <v>154</v>
      </c>
      <c r="E51" s="61" t="s">
        <v>7</v>
      </c>
      <c r="F51" s="61" t="s">
        <v>155</v>
      </c>
      <c r="G51" s="61" t="str">
        <f t="shared" si="14"/>
        <v>GbpLibor3M</v>
      </c>
      <c r="H51" s="59" t="str">
        <f t="shared" si="15"/>
        <v>GBPSB6L9Y_LCHQuote</v>
      </c>
      <c r="I51" s="127">
        <v>0</v>
      </c>
      <c r="J51" s="64" t="str">
        <f>_xll.qlSwapRateHelper2(,$H51,0,$B51,Calendar,$D51,$E51,$F51,$G51,$I51,$C51,,PillarDate,,Permanent,Trigger,ObjectOverwrite)</f>
        <v>obj_003b7#0007</v>
      </c>
      <c r="L51" s="10" t="str">
        <f t="shared" si="11"/>
        <v>Sw</v>
      </c>
      <c r="M51" s="94" t="str">
        <f t="shared" si="13"/>
        <v>--</v>
      </c>
      <c r="N51" s="146" t="str">
        <f>IFERROR(_xll.qlRateHelperQuoteName(M51,Trigger),"--")</f>
        <v>--</v>
      </c>
      <c r="O51" s="98" t="str">
        <f>IFERROR(_xll.qlRateHelperQuoteValue($M51,Trigger),"--")</f>
        <v>--</v>
      </c>
      <c r="P51" s="97" t="b">
        <v>0</v>
      </c>
      <c r="Q51" s="94">
        <v>10</v>
      </c>
      <c r="R51" s="94">
        <v>1</v>
      </c>
      <c r="S51" s="99" t="str">
        <f>IFERROR(_xll.qlRateHelperEarliestDate(M51,Trigger),"--")</f>
        <v>--</v>
      </c>
      <c r="T51" s="99" t="str">
        <f>IFERROR(_xll.qlRateHelperPillarDate(M51,Trigger),"--")</f>
        <v>--</v>
      </c>
      <c r="V51" s="4" t="str">
        <f t="shared" si="10"/>
        <v/>
      </c>
      <c r="W51" s="4" t="e">
        <v>#N/A</v>
      </c>
      <c r="X51" s="4" t="str">
        <f>IFERROR(_xll.qlRateHelperQuoteName(W51,Trigger),"")</f>
        <v/>
      </c>
      <c r="Y51" s="70" t="str">
        <f>IFERROR(_xll.qlRateHelperRate(W51,Trigger),"")</f>
        <v/>
      </c>
      <c r="Z51" s="104" t="str">
        <f>IF(ISERROR(_xll.qlSwapRateHelperSpread($W51)),IF(ISERROR(_xll.qlFuturesRateHelperConvexityAdjustment($W51)),"",_xll.qlFuturesRateHelperConvexityAdjustment($W51)),_xll.qlSwapRateHelperSpread($W51))</f>
        <v/>
      </c>
      <c r="AA51" s="5" t="str">
        <f>IFERROR(_xll.qlRateHelperEarliestDate(W51,Trigger),"")</f>
        <v/>
      </c>
      <c r="AB51" s="5" t="str">
        <f>IFERROR(_xll.qlRateHelperPillarDate(W51,Trigger),"")</f>
        <v/>
      </c>
      <c r="AC51" s="70" t="e">
        <v>#N/A</v>
      </c>
      <c r="AD51" s="169" t="e">
        <v>#N/A</v>
      </c>
      <c r="AE51" s="170" t="e">
        <v>#N/A</v>
      </c>
      <c r="AF51" s="172" t="e">
        <f>_xll.qlYieldTSZeroRate(yieldcurve1_STD,$AD51,"ACTUAL/365 (FIXED)",,,TRUE,Trigger)-AE51</f>
        <v>#NUM!</v>
      </c>
    </row>
    <row r="52" spans="1:32" ht="11.25" customHeight="1" x14ac:dyDescent="0.2">
      <c r="A52" s="59" t="s">
        <v>25</v>
      </c>
      <c r="B52" s="60" t="s">
        <v>59</v>
      </c>
      <c r="C52" s="61" t="s">
        <v>6</v>
      </c>
      <c r="D52" s="61" t="s">
        <v>154</v>
      </c>
      <c r="E52" s="61" t="s">
        <v>7</v>
      </c>
      <c r="F52" s="61" t="s">
        <v>155</v>
      </c>
      <c r="G52" s="61" t="str">
        <f t="shared" si="14"/>
        <v>GbpLibor3M</v>
      </c>
      <c r="H52" s="59" t="str">
        <f t="shared" si="15"/>
        <v>GBPSB6L10Y_LCHQuote</v>
      </c>
      <c r="I52" s="127">
        <v>0</v>
      </c>
      <c r="J52" s="64" t="str">
        <f>_xll.qlSwapRateHelper2(,$H52,0,$B52,Calendar,$D52,$E52,$F52,$G52,$I52,$C52,,PillarDate,,Permanent,Trigger,ObjectOverwrite)</f>
        <v>obj_003ba#0007</v>
      </c>
      <c r="L52" s="10" t="str">
        <f t="shared" si="11"/>
        <v>Sw</v>
      </c>
      <c r="M52" s="94" t="str">
        <f t="shared" si="13"/>
        <v>--</v>
      </c>
      <c r="N52" s="146" t="str">
        <f>IFERROR(_xll.qlRateHelperQuoteName(M52,Trigger),"--")</f>
        <v>--</v>
      </c>
      <c r="O52" s="98" t="str">
        <f>IFERROR(_xll.qlRateHelperQuoteValue($M52,Trigger),"--")</f>
        <v>--</v>
      </c>
      <c r="P52" s="97" t="b">
        <v>0</v>
      </c>
      <c r="Q52" s="94">
        <v>10</v>
      </c>
      <c r="R52" s="94">
        <v>1</v>
      </c>
      <c r="S52" s="99" t="str">
        <f>IFERROR(_xll.qlRateHelperEarliestDate(M52,Trigger),"--")</f>
        <v>--</v>
      </c>
      <c r="T52" s="99" t="str">
        <f>IFERROR(_xll.qlRateHelperPillarDate(M52,Trigger),"--")</f>
        <v>--</v>
      </c>
      <c r="V52" s="4" t="str">
        <f t="shared" si="10"/>
        <v/>
      </c>
      <c r="W52" s="4" t="e">
        <v>#N/A</v>
      </c>
      <c r="X52" s="4" t="str">
        <f>IFERROR(_xll.qlRateHelperQuoteName(W52,Trigger),"")</f>
        <v/>
      </c>
      <c r="Y52" s="70" t="str">
        <f>IFERROR(_xll.qlRateHelperRate(W52,Trigger),"")</f>
        <v/>
      </c>
      <c r="Z52" s="104" t="str">
        <f>IF(ISERROR(_xll.qlSwapRateHelperSpread($W52)),IF(ISERROR(_xll.qlFuturesRateHelperConvexityAdjustment($W52)),"",_xll.qlFuturesRateHelperConvexityAdjustment($W52)),_xll.qlSwapRateHelperSpread($W52))</f>
        <v/>
      </c>
      <c r="AA52" s="5" t="str">
        <f>IFERROR(_xll.qlRateHelperEarliestDate(W52,Trigger),"")</f>
        <v/>
      </c>
      <c r="AB52" s="5" t="str">
        <f>IFERROR(_xll.qlRateHelperPillarDate(W52,Trigger),"")</f>
        <v/>
      </c>
      <c r="AC52" s="70" t="e">
        <v>#N/A</v>
      </c>
      <c r="AD52" s="169" t="e">
        <v>#N/A</v>
      </c>
      <c r="AE52" s="170" t="e">
        <v>#N/A</v>
      </c>
      <c r="AF52" s="172" t="e">
        <f>_xll.qlYieldTSZeroRate(yieldcurve1_STD,$AD52,"ACTUAL/365 (FIXED)",,,TRUE,Trigger)-AE52</f>
        <v>#NUM!</v>
      </c>
    </row>
    <row r="53" spans="1:32" ht="11.25" customHeight="1" x14ac:dyDescent="0.2">
      <c r="A53" s="59" t="s">
        <v>25</v>
      </c>
      <c r="B53" s="60" t="s">
        <v>95</v>
      </c>
      <c r="C53" s="61" t="s">
        <v>6</v>
      </c>
      <c r="D53" s="61" t="s">
        <v>154</v>
      </c>
      <c r="E53" s="61" t="s">
        <v>7</v>
      </c>
      <c r="F53" s="61" t="s">
        <v>155</v>
      </c>
      <c r="G53" s="61" t="str">
        <f t="shared" si="14"/>
        <v>GbpLibor3M</v>
      </c>
      <c r="H53" s="59" t="str">
        <f t="shared" si="15"/>
        <v>GBPSB6L11Y_LCHQuote</v>
      </c>
      <c r="I53" s="127">
        <v>0</v>
      </c>
      <c r="J53" s="64"/>
      <c r="L53" s="10" t="str">
        <f t="shared" si="11"/>
        <v>Sw</v>
      </c>
      <c r="M53" s="94" t="str">
        <f t="shared" si="13"/>
        <v>obj_003b0#0007</v>
      </c>
      <c r="N53" s="146" t="str">
        <f>IFERROR(_xll.qlRateHelperQuoteName(M53,Trigger),"--")</f>
        <v>GBPSB6L15Y_LCHQuote</v>
      </c>
      <c r="O53" s="98">
        <f>IFERROR(_xll.qlRateHelperQuoteValue($M53,Trigger),"--")</f>
        <v>2.129E-2</v>
      </c>
      <c r="P53" s="97" t="b">
        <v>1</v>
      </c>
      <c r="Q53" s="94">
        <v>10</v>
      </c>
      <c r="R53" s="94">
        <v>1</v>
      </c>
      <c r="S53" s="99">
        <f>IFERROR(_xll.qlRateHelperEarliestDate(M53,Trigger),"--")</f>
        <v>42321</v>
      </c>
      <c r="T53" s="99">
        <f>IFERROR(_xll.qlRateHelperPillarDate(M53,Trigger),"--")</f>
        <v>47800</v>
      </c>
      <c r="V53" s="4" t="str">
        <f t="shared" si="10"/>
        <v/>
      </c>
      <c r="W53" s="4" t="e">
        <v>#N/A</v>
      </c>
      <c r="X53" s="4" t="str">
        <f>IFERROR(_xll.qlRateHelperQuoteName(W53,Trigger),"")</f>
        <v/>
      </c>
      <c r="Y53" s="70" t="str">
        <f>IFERROR(_xll.qlRateHelperRate(W53,Trigger),"")</f>
        <v/>
      </c>
      <c r="Z53" s="104" t="str">
        <f>IF(ISERROR(_xll.qlSwapRateHelperSpread($W53)),IF(ISERROR(_xll.qlFuturesRateHelperConvexityAdjustment($W53)),"",_xll.qlFuturesRateHelperConvexityAdjustment($W53)),_xll.qlSwapRateHelperSpread($W53))</f>
        <v/>
      </c>
      <c r="AA53" s="5" t="str">
        <f>IFERROR(_xll.qlRateHelperEarliestDate(W53,Trigger),"")</f>
        <v/>
      </c>
      <c r="AB53" s="5" t="str">
        <f>IFERROR(_xll.qlRateHelperPillarDate(W53,Trigger),"")</f>
        <v/>
      </c>
      <c r="AC53" s="70" t="e">
        <v>#N/A</v>
      </c>
      <c r="AD53" s="169" t="e">
        <v>#N/A</v>
      </c>
      <c r="AE53" s="170" t="e">
        <v>#N/A</v>
      </c>
      <c r="AF53" s="172" t="e">
        <f>_xll.qlYieldTSZeroRate(yieldcurve1_STD,$AD53,"ACTUAL/365 (FIXED)",,,TRUE,Trigger)-AE53</f>
        <v>#NUM!</v>
      </c>
    </row>
    <row r="54" spans="1:32" ht="11.25" customHeight="1" x14ac:dyDescent="0.2">
      <c r="A54" s="59" t="s">
        <v>25</v>
      </c>
      <c r="B54" s="60" t="s">
        <v>60</v>
      </c>
      <c r="C54" s="61" t="s">
        <v>6</v>
      </c>
      <c r="D54" s="61" t="s">
        <v>154</v>
      </c>
      <c r="E54" s="61" t="s">
        <v>7</v>
      </c>
      <c r="F54" s="61" t="s">
        <v>155</v>
      </c>
      <c r="G54" s="61" t="str">
        <f t="shared" si="14"/>
        <v>GbpLibor3M</v>
      </c>
      <c r="H54" s="59" t="str">
        <f t="shared" si="15"/>
        <v>GBPSB6L12Y_LCHQuote</v>
      </c>
      <c r="I54" s="127">
        <v>0</v>
      </c>
      <c r="J54" s="64" t="str">
        <f>_xll.qlSwapRateHelper2(,$H54,0,$B54,Calendar,$D54,$E54,$F54,$G54,$I54,$C54,,PillarDate,,Permanent,Trigger,ObjectOverwrite)</f>
        <v>obj_003ae#0007</v>
      </c>
      <c r="L54" s="10" t="str">
        <f t="shared" si="11"/>
        <v>Sw</v>
      </c>
      <c r="M54" s="94" t="str">
        <f t="shared" si="13"/>
        <v>--</v>
      </c>
      <c r="N54" s="146" t="str">
        <f>IFERROR(_xll.qlRateHelperQuoteName(M54,Trigger),"--")</f>
        <v>--</v>
      </c>
      <c r="O54" s="98" t="str">
        <f>IFERROR(_xll.qlRateHelperQuoteValue($M54,Trigger),"--")</f>
        <v>--</v>
      </c>
      <c r="P54" s="97" t="b">
        <v>0</v>
      </c>
      <c r="Q54" s="94">
        <v>10</v>
      </c>
      <c r="R54" s="94">
        <v>1</v>
      </c>
      <c r="S54" s="99" t="str">
        <f>IFERROR(_xll.qlRateHelperEarliestDate(M54,Trigger),"--")</f>
        <v>--</v>
      </c>
      <c r="T54" s="99" t="str">
        <f>IFERROR(_xll.qlRateHelperPillarDate(M54,Trigger),"--")</f>
        <v>--</v>
      </c>
      <c r="V54" s="4" t="str">
        <f t="shared" si="10"/>
        <v/>
      </c>
      <c r="W54" s="4" t="e">
        <v>#N/A</v>
      </c>
      <c r="X54" s="4" t="str">
        <f>IFERROR(_xll.qlRateHelperQuoteName(W54,Trigger),"")</f>
        <v/>
      </c>
      <c r="Y54" s="70" t="str">
        <f>IFERROR(_xll.qlRateHelperRate(W54,Trigger),"")</f>
        <v/>
      </c>
      <c r="Z54" s="104" t="str">
        <f>IF(ISERROR(_xll.qlSwapRateHelperSpread($W54)),IF(ISERROR(_xll.qlFuturesRateHelperConvexityAdjustment($W54)),"",_xll.qlFuturesRateHelperConvexityAdjustment($W54)),_xll.qlSwapRateHelperSpread($W54))</f>
        <v/>
      </c>
      <c r="AA54" s="5" t="str">
        <f>IFERROR(_xll.qlRateHelperEarliestDate(W54,Trigger),"")</f>
        <v/>
      </c>
      <c r="AB54" s="5" t="str">
        <f>IFERROR(_xll.qlRateHelperPillarDate(W54,Trigger),"")</f>
        <v/>
      </c>
      <c r="AC54" s="70" t="e">
        <v>#N/A</v>
      </c>
      <c r="AD54" s="169" t="e">
        <v>#N/A</v>
      </c>
      <c r="AE54" s="170" t="e">
        <v>#N/A</v>
      </c>
      <c r="AF54" s="172" t="e">
        <f>_xll.qlYieldTSZeroRate(yieldcurve1_STD,$AD54,"ACTUAL/365 (FIXED)",,,TRUE,Trigger)-AE54</f>
        <v>#NUM!</v>
      </c>
    </row>
    <row r="55" spans="1:32" ht="11.25" customHeight="1" x14ac:dyDescent="0.2">
      <c r="A55" s="59" t="s">
        <v>25</v>
      </c>
      <c r="B55" s="60" t="s">
        <v>96</v>
      </c>
      <c r="C55" s="61" t="s">
        <v>6</v>
      </c>
      <c r="D55" s="61" t="s">
        <v>154</v>
      </c>
      <c r="E55" s="61" t="s">
        <v>7</v>
      </c>
      <c r="F55" s="61" t="s">
        <v>155</v>
      </c>
      <c r="G55" s="61" t="str">
        <f t="shared" si="14"/>
        <v>GbpLibor3M</v>
      </c>
      <c r="H55" s="59" t="str">
        <f t="shared" si="15"/>
        <v>GBPSB6L13Y_LCHQuote</v>
      </c>
      <c r="I55" s="127">
        <v>0</v>
      </c>
      <c r="J55" s="64"/>
      <c r="L55" s="10" t="str">
        <f t="shared" si="11"/>
        <v>Sw</v>
      </c>
      <c r="M55" s="94" t="str">
        <f t="shared" si="13"/>
        <v>--</v>
      </c>
      <c r="N55" s="146" t="str">
        <f>IFERROR(_xll.qlRateHelperQuoteName(M55,Trigger),"--")</f>
        <v>--</v>
      </c>
      <c r="O55" s="98" t="str">
        <f>IFERROR(_xll.qlRateHelperQuoteValue($M55,Trigger),"--")</f>
        <v>--</v>
      </c>
      <c r="P55" s="97" t="b">
        <v>0</v>
      </c>
      <c r="Q55" s="94">
        <v>10</v>
      </c>
      <c r="R55" s="94">
        <v>1</v>
      </c>
      <c r="S55" s="99" t="str">
        <f>IFERROR(_xll.qlRateHelperEarliestDate(M55,Trigger),"--")</f>
        <v>--</v>
      </c>
      <c r="T55" s="99" t="str">
        <f>IFERROR(_xll.qlRateHelperPillarDate(M55,Trigger),"--")</f>
        <v>--</v>
      </c>
      <c r="V55" s="4" t="str">
        <f t="shared" si="10"/>
        <v/>
      </c>
      <c r="W55" s="4" t="e">
        <v>#N/A</v>
      </c>
      <c r="X55" s="4" t="str">
        <f>IFERROR(_xll.qlRateHelperQuoteName(W55,Trigger),"")</f>
        <v/>
      </c>
      <c r="Y55" s="70" t="str">
        <f>IFERROR(_xll.qlRateHelperRate(W55,Trigger),"")</f>
        <v/>
      </c>
      <c r="Z55" s="104" t="str">
        <f>IF(ISERROR(_xll.qlSwapRateHelperSpread($W55)),IF(ISERROR(_xll.qlFuturesRateHelperConvexityAdjustment($W55)),"",_xll.qlFuturesRateHelperConvexityAdjustment($W55)),_xll.qlSwapRateHelperSpread($W55))</f>
        <v/>
      </c>
      <c r="AA55" s="5" t="str">
        <f>IFERROR(_xll.qlRateHelperEarliestDate(W55,Trigger),"")</f>
        <v/>
      </c>
      <c r="AB55" s="5" t="str">
        <f>IFERROR(_xll.qlRateHelperPillarDate(W55,Trigger),"")</f>
        <v/>
      </c>
      <c r="AC55" s="70" t="e">
        <v>#N/A</v>
      </c>
      <c r="AD55" s="169" t="e">
        <v>#N/A</v>
      </c>
      <c r="AE55" s="170" t="e">
        <v>#N/A</v>
      </c>
      <c r="AF55" s="172" t="e">
        <f>_xll.qlYieldTSZeroRate(yieldcurve1_STD,$AD55,"ACTUAL/365 (FIXED)",,,TRUE,Trigger)-AE55</f>
        <v>#NUM!</v>
      </c>
    </row>
    <row r="56" spans="1:32" ht="11.25" customHeight="1" x14ac:dyDescent="0.2">
      <c r="A56" s="59" t="s">
        <v>25</v>
      </c>
      <c r="B56" s="60" t="s">
        <v>97</v>
      </c>
      <c r="C56" s="61" t="s">
        <v>6</v>
      </c>
      <c r="D56" s="61" t="s">
        <v>154</v>
      </c>
      <c r="E56" s="61" t="s">
        <v>7</v>
      </c>
      <c r="F56" s="61" t="s">
        <v>155</v>
      </c>
      <c r="G56" s="61" t="str">
        <f t="shared" si="14"/>
        <v>GbpLibor3M</v>
      </c>
      <c r="H56" s="59" t="str">
        <f t="shared" si="15"/>
        <v>GBPSB6L14Y_LCHQuote</v>
      </c>
      <c r="I56" s="127">
        <v>0</v>
      </c>
      <c r="J56" s="64"/>
      <c r="L56" s="10" t="str">
        <f t="shared" si="11"/>
        <v>Sw</v>
      </c>
      <c r="M56" s="94" t="str">
        <f t="shared" si="13"/>
        <v>--</v>
      </c>
      <c r="N56" s="146" t="str">
        <f>IFERROR(_xll.qlRateHelperQuoteName(M56,Trigger),"--")</f>
        <v>--</v>
      </c>
      <c r="O56" s="98" t="str">
        <f>IFERROR(_xll.qlRateHelperQuoteValue($M56,Trigger),"--")</f>
        <v>--</v>
      </c>
      <c r="P56" s="97" t="b">
        <v>0</v>
      </c>
      <c r="Q56" s="94">
        <v>10</v>
      </c>
      <c r="R56" s="94">
        <v>1</v>
      </c>
      <c r="S56" s="99" t="str">
        <f>IFERROR(_xll.qlRateHelperEarliestDate(M56,Trigger),"--")</f>
        <v>--</v>
      </c>
      <c r="T56" s="99" t="str">
        <f>IFERROR(_xll.qlRateHelperPillarDate(M56,Trigger),"--")</f>
        <v>--</v>
      </c>
      <c r="V56" s="4" t="str">
        <f t="shared" si="10"/>
        <v/>
      </c>
      <c r="W56" s="4" t="e">
        <v>#N/A</v>
      </c>
      <c r="X56" s="4" t="str">
        <f>IFERROR(_xll.qlRateHelperQuoteName(W56,Trigger),"")</f>
        <v/>
      </c>
      <c r="Y56" s="70" t="str">
        <f>IFERROR(_xll.qlRateHelperRate(W56,Trigger),"")</f>
        <v/>
      </c>
      <c r="Z56" s="104" t="str">
        <f>IF(ISERROR(_xll.qlSwapRateHelperSpread($W56)),IF(ISERROR(_xll.qlFuturesRateHelperConvexityAdjustment($W56)),"",_xll.qlFuturesRateHelperConvexityAdjustment($W56)),_xll.qlSwapRateHelperSpread($W56))</f>
        <v/>
      </c>
      <c r="AA56" s="5" t="str">
        <f>IFERROR(_xll.qlRateHelperEarliestDate(W56,Trigger),"")</f>
        <v/>
      </c>
      <c r="AB56" s="5" t="str">
        <f>IFERROR(_xll.qlRateHelperPillarDate(W56,Trigger),"")</f>
        <v/>
      </c>
      <c r="AC56" s="70" t="e">
        <v>#N/A</v>
      </c>
      <c r="AD56" s="169" t="e">
        <v>#N/A</v>
      </c>
      <c r="AE56" s="170" t="e">
        <v>#N/A</v>
      </c>
      <c r="AF56" s="172" t="e">
        <f>_xll.qlYieldTSZeroRate(yieldcurve1_STD,$AD56,"ACTUAL/365 (FIXED)",,,TRUE,Trigger)-AE56</f>
        <v>#NUM!</v>
      </c>
    </row>
    <row r="57" spans="1:32" ht="11.25" customHeight="1" x14ac:dyDescent="0.2">
      <c r="A57" s="59" t="s">
        <v>25</v>
      </c>
      <c r="B57" s="60" t="s">
        <v>61</v>
      </c>
      <c r="C57" s="61" t="s">
        <v>6</v>
      </c>
      <c r="D57" s="61" t="s">
        <v>154</v>
      </c>
      <c r="E57" s="61" t="s">
        <v>7</v>
      </c>
      <c r="F57" s="61" t="s">
        <v>155</v>
      </c>
      <c r="G57" s="61" t="str">
        <f t="shared" si="14"/>
        <v>GbpLibor3M</v>
      </c>
      <c r="H57" s="59" t="str">
        <f t="shared" si="15"/>
        <v>GBPSB6L15Y_LCHQuote</v>
      </c>
      <c r="I57" s="127">
        <v>0</v>
      </c>
      <c r="J57" s="64" t="str">
        <f>_xll.qlSwapRateHelper2(,$H57,0,$B57,Calendar,$D57,$E57,$F57,$G57,$I57,$C57,,PillarDate,,Permanent,Trigger,ObjectOverwrite)</f>
        <v>obj_003b0#0007</v>
      </c>
      <c r="L57" s="10" t="str">
        <f t="shared" si="11"/>
        <v>Sw</v>
      </c>
      <c r="M57" s="94" t="str">
        <f t="shared" si="13"/>
        <v>--</v>
      </c>
      <c r="N57" s="146" t="str">
        <f>IFERROR(_xll.qlRateHelperQuoteName(M57,Trigger),"--")</f>
        <v>--</v>
      </c>
      <c r="O57" s="98" t="str">
        <f>IFERROR(_xll.qlRateHelperQuoteValue($M57,Trigger),"--")</f>
        <v>--</v>
      </c>
      <c r="P57" s="97" t="b">
        <v>0</v>
      </c>
      <c r="Q57" s="94">
        <v>10</v>
      </c>
      <c r="R57" s="94">
        <v>1</v>
      </c>
      <c r="S57" s="99" t="str">
        <f>IFERROR(_xll.qlRateHelperEarliestDate(M57,Trigger),"--")</f>
        <v>--</v>
      </c>
      <c r="T57" s="99" t="str">
        <f>IFERROR(_xll.qlRateHelperPillarDate(M57,Trigger),"--")</f>
        <v>--</v>
      </c>
      <c r="V57" s="4" t="str">
        <f t="shared" si="10"/>
        <v/>
      </c>
      <c r="W57" s="4" t="e">
        <v>#N/A</v>
      </c>
      <c r="X57" s="4" t="str">
        <f>IFERROR(_xll.qlRateHelperQuoteName(W57,Trigger),"")</f>
        <v/>
      </c>
      <c r="Y57" s="70" t="str">
        <f>IFERROR(_xll.qlRateHelperRate(W57,Trigger),"")</f>
        <v/>
      </c>
      <c r="Z57" s="104" t="str">
        <f>IF(ISERROR(_xll.qlSwapRateHelperSpread($W57)),IF(ISERROR(_xll.qlFuturesRateHelperConvexityAdjustment($W57)),"",_xll.qlFuturesRateHelperConvexityAdjustment($W57)),_xll.qlSwapRateHelperSpread($W57))</f>
        <v/>
      </c>
      <c r="AA57" s="5" t="str">
        <f>IFERROR(_xll.qlRateHelperEarliestDate(W57,Trigger),"")</f>
        <v/>
      </c>
      <c r="AB57" s="5" t="str">
        <f>IFERROR(_xll.qlRateHelperPillarDate(W57,Trigger),"")</f>
        <v/>
      </c>
      <c r="AC57" s="70" t="e">
        <v>#N/A</v>
      </c>
      <c r="AD57" s="46" t="e">
        <v>#N/A</v>
      </c>
      <c r="AE57" s="46" t="e">
        <v>#N/A</v>
      </c>
      <c r="AF57" s="172" t="e">
        <f>_xll.qlYieldTSZeroRate(yieldcurve1_STD,$AD57,"ACTUAL/365 (FIXED)",,,TRUE,Trigger)-AE57</f>
        <v>#NUM!</v>
      </c>
    </row>
    <row r="58" spans="1:32" ht="11.25" customHeight="1" x14ac:dyDescent="0.2">
      <c r="A58" s="59" t="s">
        <v>25</v>
      </c>
      <c r="B58" s="60" t="s">
        <v>98</v>
      </c>
      <c r="C58" s="61" t="s">
        <v>6</v>
      </c>
      <c r="D58" s="61" t="s">
        <v>154</v>
      </c>
      <c r="E58" s="61" t="s">
        <v>7</v>
      </c>
      <c r="F58" s="61" t="s">
        <v>155</v>
      </c>
      <c r="G58" s="61" t="str">
        <f t="shared" si="14"/>
        <v>GbpLibor3M</v>
      </c>
      <c r="H58" s="59" t="str">
        <f t="shared" si="15"/>
        <v>GBPSB6L16Y_LCHQuote</v>
      </c>
      <c r="I58" s="127">
        <v>0</v>
      </c>
      <c r="J58" s="64"/>
      <c r="L58" s="10" t="str">
        <f t="shared" si="11"/>
        <v>Sw</v>
      </c>
      <c r="M58" s="94" t="str">
        <f t="shared" si="13"/>
        <v>obj_003b3#0007</v>
      </c>
      <c r="N58" s="146" t="str">
        <f>IFERROR(_xll.qlRateHelperQuoteName(M58,Trigger),"--")</f>
        <v>GBPSB6L20Y_LCHQuote</v>
      </c>
      <c r="O58" s="98">
        <f>IFERROR(_xll.qlRateHelperQuoteValue($M58,Trigger),"--")</f>
        <v>2.1770000000000001E-2</v>
      </c>
      <c r="P58" s="97" t="b">
        <v>1</v>
      </c>
      <c r="Q58" s="94">
        <v>10</v>
      </c>
      <c r="R58" s="94">
        <v>1</v>
      </c>
      <c r="S58" s="99">
        <f>IFERROR(_xll.qlRateHelperEarliestDate(M58,Trigger),"--")</f>
        <v>42321</v>
      </c>
      <c r="T58" s="99">
        <f>IFERROR(_xll.qlRateHelperPillarDate(M58,Trigger),"--")</f>
        <v>49626</v>
      </c>
      <c r="V58" s="4" t="str">
        <f t="shared" si="10"/>
        <v/>
      </c>
      <c r="W58" s="4" t="e">
        <v>#N/A</v>
      </c>
      <c r="X58" s="4" t="str">
        <f>IFERROR(_xll.qlRateHelperQuoteName(W58,Trigger),"")</f>
        <v/>
      </c>
      <c r="Y58" s="70" t="str">
        <f>IFERROR(_xll.qlRateHelperRate(W58,Trigger),"")</f>
        <v/>
      </c>
      <c r="Z58" s="104" t="str">
        <f>IF(ISERROR(_xll.qlSwapRateHelperSpread($W58)),IF(ISERROR(_xll.qlFuturesRateHelperConvexityAdjustment($W58)),"",_xll.qlFuturesRateHelperConvexityAdjustment($W58)),_xll.qlSwapRateHelperSpread($W58))</f>
        <v/>
      </c>
      <c r="AA58" s="5" t="str">
        <f>IFERROR(_xll.qlRateHelperEarliestDate(W58,Trigger),"")</f>
        <v/>
      </c>
      <c r="AB58" s="5" t="str">
        <f>IFERROR(_xll.qlRateHelperPillarDate(W58,Trigger),"")</f>
        <v/>
      </c>
      <c r="AC58" s="70" t="e">
        <v>#N/A</v>
      </c>
      <c r="AD58" s="46" t="e">
        <v>#N/A</v>
      </c>
      <c r="AE58" s="46" t="e">
        <v>#N/A</v>
      </c>
      <c r="AF58" s="172" t="e">
        <f>_xll.qlYieldTSZeroRate(yieldcurve1_STD,$AD58,"ACTUAL/365 (FIXED)",,,TRUE,Trigger)-AE58</f>
        <v>#NUM!</v>
      </c>
    </row>
    <row r="59" spans="1:32" ht="11.25" customHeight="1" x14ac:dyDescent="0.2">
      <c r="A59" s="59" t="s">
        <v>25</v>
      </c>
      <c r="B59" s="60" t="s">
        <v>99</v>
      </c>
      <c r="C59" s="61" t="s">
        <v>6</v>
      </c>
      <c r="D59" s="61" t="s">
        <v>154</v>
      </c>
      <c r="E59" s="61" t="s">
        <v>7</v>
      </c>
      <c r="F59" s="61" t="s">
        <v>155</v>
      </c>
      <c r="G59" s="61" t="str">
        <f t="shared" si="14"/>
        <v>GbpLibor3M</v>
      </c>
      <c r="H59" s="59" t="str">
        <f t="shared" si="15"/>
        <v>GBPSB6L17Y_LCHQuote</v>
      </c>
      <c r="I59" s="127">
        <v>0</v>
      </c>
      <c r="J59" s="64"/>
      <c r="L59" s="10" t="str">
        <f t="shared" si="11"/>
        <v>Sw</v>
      </c>
      <c r="M59" s="94" t="str">
        <f t="shared" si="13"/>
        <v>--</v>
      </c>
      <c r="N59" s="146" t="str">
        <f>IFERROR(_xll.qlRateHelperQuoteName(M59,Trigger),"--")</f>
        <v>--</v>
      </c>
      <c r="O59" s="98" t="str">
        <f>IFERROR(_xll.qlRateHelperQuoteValue($M59,Trigger),"--")</f>
        <v>--</v>
      </c>
      <c r="P59" s="97" t="b">
        <v>0</v>
      </c>
      <c r="Q59" s="94">
        <v>10</v>
      </c>
      <c r="R59" s="94">
        <v>1</v>
      </c>
      <c r="S59" s="99" t="str">
        <f>IFERROR(_xll.qlRateHelperEarliestDate(M59,Trigger),"--")</f>
        <v>--</v>
      </c>
      <c r="T59" s="99" t="str">
        <f>IFERROR(_xll.qlRateHelperPillarDate(M59,Trigger),"--")</f>
        <v>--</v>
      </c>
      <c r="V59" s="4" t="str">
        <f t="shared" si="10"/>
        <v/>
      </c>
      <c r="W59" s="4" t="e">
        <v>#N/A</v>
      </c>
      <c r="X59" s="4" t="str">
        <f>IFERROR(_xll.qlRateHelperQuoteName(W59,Trigger),"")</f>
        <v/>
      </c>
      <c r="Y59" s="70" t="str">
        <f>IFERROR(_xll.qlRateHelperRate(W59,Trigger),"")</f>
        <v/>
      </c>
      <c r="Z59" s="104" t="str">
        <f>IF(ISERROR(_xll.qlSwapRateHelperSpread($W59)),IF(ISERROR(_xll.qlFuturesRateHelperConvexityAdjustment($W59)),"",_xll.qlFuturesRateHelperConvexityAdjustment($W59)),_xll.qlSwapRateHelperSpread($W59))</f>
        <v/>
      </c>
      <c r="AA59" s="5" t="str">
        <f>IFERROR(_xll.qlRateHelperEarliestDate(W59,Trigger),"")</f>
        <v/>
      </c>
      <c r="AB59" s="5" t="str">
        <f>IFERROR(_xll.qlRateHelperPillarDate(W59,Trigger),"")</f>
        <v/>
      </c>
      <c r="AC59" s="70" t="e">
        <v>#N/A</v>
      </c>
      <c r="AD59" s="46" t="e">
        <v>#N/A</v>
      </c>
      <c r="AE59" s="46" t="e">
        <v>#N/A</v>
      </c>
      <c r="AF59" s="172" t="e">
        <f>_xll.qlYieldTSZeroRate(yieldcurve1_STD,$AD59,"ACTUAL/365 (FIXED)",,,TRUE,Trigger)-AE59</f>
        <v>#NUM!</v>
      </c>
    </row>
    <row r="60" spans="1:32" ht="11.25" customHeight="1" x14ac:dyDescent="0.2">
      <c r="A60" s="59" t="s">
        <v>25</v>
      </c>
      <c r="B60" s="60" t="s">
        <v>100</v>
      </c>
      <c r="C60" s="61" t="s">
        <v>6</v>
      </c>
      <c r="D60" s="61" t="s">
        <v>154</v>
      </c>
      <c r="E60" s="61" t="s">
        <v>7</v>
      </c>
      <c r="F60" s="61" t="s">
        <v>155</v>
      </c>
      <c r="G60" s="61" t="str">
        <f t="shared" si="14"/>
        <v>GbpLibor3M</v>
      </c>
      <c r="H60" s="59" t="str">
        <f t="shared" si="15"/>
        <v>GBPSB6L18Y_LCHQuote</v>
      </c>
      <c r="I60" s="127">
        <v>0</v>
      </c>
      <c r="J60" s="64"/>
      <c r="L60" s="10" t="str">
        <f t="shared" si="11"/>
        <v>Sw</v>
      </c>
      <c r="M60" s="94" t="str">
        <f t="shared" si="13"/>
        <v>--</v>
      </c>
      <c r="N60" s="146" t="str">
        <f>IFERROR(_xll.qlRateHelperQuoteName(M60,Trigger),"--")</f>
        <v>--</v>
      </c>
      <c r="O60" s="98" t="str">
        <f>IFERROR(_xll.qlRateHelperQuoteValue($M60,Trigger),"--")</f>
        <v>--</v>
      </c>
      <c r="P60" s="97" t="b">
        <v>0</v>
      </c>
      <c r="Q60" s="94">
        <v>10</v>
      </c>
      <c r="R60" s="94">
        <v>1</v>
      </c>
      <c r="S60" s="99" t="str">
        <f>IFERROR(_xll.qlRateHelperEarliestDate(M60,Trigger),"--")</f>
        <v>--</v>
      </c>
      <c r="T60" s="99" t="str">
        <f>IFERROR(_xll.qlRateHelperPillarDate(M60,Trigger),"--")</f>
        <v>--</v>
      </c>
      <c r="V60" s="4" t="str">
        <f t="shared" si="10"/>
        <v/>
      </c>
      <c r="W60" s="4" t="e">
        <v>#N/A</v>
      </c>
      <c r="X60" s="4" t="str">
        <f>IFERROR(_xll.qlRateHelperQuoteName(W60,Trigger),"")</f>
        <v/>
      </c>
      <c r="Y60" s="70" t="str">
        <f>IFERROR(_xll.qlRateHelperRate(W60,Trigger),"")</f>
        <v/>
      </c>
      <c r="Z60" s="104" t="str">
        <f>IF(ISERROR(_xll.qlSwapRateHelperSpread($W60)),IF(ISERROR(_xll.qlFuturesRateHelperConvexityAdjustment($W60)),"",_xll.qlFuturesRateHelperConvexityAdjustment($W60)),_xll.qlSwapRateHelperSpread($W60))</f>
        <v/>
      </c>
      <c r="AA60" s="5" t="str">
        <f>IFERROR(_xll.qlRateHelperEarliestDate(W60,Trigger),"")</f>
        <v/>
      </c>
      <c r="AB60" s="5" t="str">
        <f>IFERROR(_xll.qlRateHelperPillarDate(W60,Trigger),"")</f>
        <v/>
      </c>
      <c r="AC60" s="70" t="e">
        <v>#N/A</v>
      </c>
      <c r="AD60" s="46" t="e">
        <v>#N/A</v>
      </c>
      <c r="AE60" s="46" t="e">
        <v>#N/A</v>
      </c>
      <c r="AF60" s="172" t="e">
        <f>_xll.qlYieldTSZeroRate(yieldcurve1_STD,$AD60,"ACTUAL/365 (FIXED)",,,TRUE,Trigger)-AE60</f>
        <v>#NUM!</v>
      </c>
    </row>
    <row r="61" spans="1:32" ht="11.25" customHeight="1" x14ac:dyDescent="0.2">
      <c r="A61" s="59" t="s">
        <v>25</v>
      </c>
      <c r="B61" s="60" t="s">
        <v>101</v>
      </c>
      <c r="C61" s="61" t="s">
        <v>6</v>
      </c>
      <c r="D61" s="61" t="s">
        <v>154</v>
      </c>
      <c r="E61" s="61" t="s">
        <v>7</v>
      </c>
      <c r="F61" s="61" t="s">
        <v>155</v>
      </c>
      <c r="G61" s="61" t="str">
        <f t="shared" si="14"/>
        <v>GbpLibor3M</v>
      </c>
      <c r="H61" s="59" t="str">
        <f t="shared" si="15"/>
        <v>GBPSB6L19Y_LCHQuote</v>
      </c>
      <c r="I61" s="127">
        <v>0</v>
      </c>
      <c r="J61" s="64"/>
      <c r="L61" s="10" t="str">
        <f t="shared" si="11"/>
        <v>Sw</v>
      </c>
      <c r="M61" s="94" t="str">
        <f t="shared" si="13"/>
        <v>--</v>
      </c>
      <c r="N61" s="146" t="str">
        <f>IFERROR(_xll.qlRateHelperQuoteName(M61,Trigger),"--")</f>
        <v>--</v>
      </c>
      <c r="O61" s="98" t="str">
        <f>IFERROR(_xll.qlRateHelperQuoteValue($M61,Trigger),"--")</f>
        <v>--</v>
      </c>
      <c r="P61" s="97" t="b">
        <v>0</v>
      </c>
      <c r="Q61" s="94">
        <v>10</v>
      </c>
      <c r="R61" s="94">
        <v>1</v>
      </c>
      <c r="S61" s="99" t="str">
        <f>IFERROR(_xll.qlRateHelperEarliestDate(M61,Trigger),"--")</f>
        <v>--</v>
      </c>
      <c r="T61" s="99" t="str">
        <f>IFERROR(_xll.qlRateHelperPillarDate(M61,Trigger),"--")</f>
        <v>--</v>
      </c>
      <c r="V61" s="4" t="str">
        <f t="shared" si="10"/>
        <v/>
      </c>
      <c r="W61" s="4" t="e">
        <v>#N/A</v>
      </c>
      <c r="X61" s="4" t="str">
        <f>IFERROR(_xll.qlRateHelperQuoteName(W61,Trigger),"")</f>
        <v/>
      </c>
      <c r="Y61" s="70" t="str">
        <f>IFERROR(_xll.qlRateHelperRate(W61,Trigger),"")</f>
        <v/>
      </c>
      <c r="Z61" s="104" t="str">
        <f>IF(ISERROR(_xll.qlSwapRateHelperSpread($W61)),IF(ISERROR(_xll.qlFuturesRateHelperConvexityAdjustment($W61)),"",_xll.qlFuturesRateHelperConvexityAdjustment($W61)),_xll.qlSwapRateHelperSpread($W61))</f>
        <v/>
      </c>
      <c r="AA61" s="5" t="str">
        <f>IFERROR(_xll.qlRateHelperEarliestDate(W61,Trigger),"")</f>
        <v/>
      </c>
      <c r="AB61" s="5" t="str">
        <f>IFERROR(_xll.qlRateHelperPillarDate(W61,Trigger),"")</f>
        <v/>
      </c>
      <c r="AC61" s="70" t="e">
        <v>#N/A</v>
      </c>
      <c r="AD61" s="46" t="e">
        <v>#N/A</v>
      </c>
      <c r="AE61" s="46" t="e">
        <v>#N/A</v>
      </c>
      <c r="AF61" s="172" t="e">
        <f>_xll.qlYieldTSZeroRate(yieldcurve1_STD,$AD61,"ACTUAL/365 (FIXED)",,,TRUE,Trigger)-AE61</f>
        <v>#NUM!</v>
      </c>
    </row>
    <row r="62" spans="1:32" ht="11.25" customHeight="1" x14ac:dyDescent="0.2">
      <c r="A62" s="59" t="s">
        <v>25</v>
      </c>
      <c r="B62" s="60" t="s">
        <v>62</v>
      </c>
      <c r="C62" s="61" t="s">
        <v>6</v>
      </c>
      <c r="D62" s="61" t="s">
        <v>154</v>
      </c>
      <c r="E62" s="61" t="s">
        <v>7</v>
      </c>
      <c r="F62" s="61" t="s">
        <v>155</v>
      </c>
      <c r="G62" s="61" t="str">
        <f t="shared" si="14"/>
        <v>GbpLibor3M</v>
      </c>
      <c r="H62" s="59" t="str">
        <f t="shared" si="15"/>
        <v>GBPSB6L20Y_LCHQuote</v>
      </c>
      <c r="I62" s="127">
        <v>0</v>
      </c>
      <c r="J62" s="64" t="str">
        <f>_xll.qlSwapRateHelper2(,$H62,0,$B62,Calendar,$D62,$E62,$F62,$G62,$I62,$C62,,PillarDate,,Permanent,Trigger,ObjectOverwrite)</f>
        <v>obj_003b3#0007</v>
      </c>
      <c r="L62" s="10" t="str">
        <f t="shared" si="11"/>
        <v>Sw</v>
      </c>
      <c r="M62" s="94" t="str">
        <f t="shared" si="13"/>
        <v>--</v>
      </c>
      <c r="N62" s="146" t="str">
        <f>IFERROR(_xll.qlRateHelperQuoteName(M62,Trigger),"--")</f>
        <v>--</v>
      </c>
      <c r="O62" s="98" t="str">
        <f>IFERROR(_xll.qlRateHelperQuoteValue($M62,Trigger),"--")</f>
        <v>--</v>
      </c>
      <c r="P62" s="97" t="b">
        <v>0</v>
      </c>
      <c r="Q62" s="94">
        <v>10</v>
      </c>
      <c r="R62" s="94">
        <v>1</v>
      </c>
      <c r="S62" s="99" t="str">
        <f>IFERROR(_xll.qlRateHelperEarliestDate(M62,Trigger),"--")</f>
        <v>--</v>
      </c>
      <c r="T62" s="99" t="str">
        <f>IFERROR(_xll.qlRateHelperPillarDate(M62,Trigger),"--")</f>
        <v>--</v>
      </c>
      <c r="V62" s="4" t="str">
        <f t="shared" si="10"/>
        <v/>
      </c>
      <c r="W62" s="4" t="e">
        <v>#N/A</v>
      </c>
      <c r="X62" s="4" t="str">
        <f>IFERROR(_xll.qlRateHelperQuoteName(W62,Trigger),"")</f>
        <v/>
      </c>
      <c r="Y62" s="70" t="str">
        <f>IFERROR(_xll.qlRateHelperRate(W62,Trigger),"")</f>
        <v/>
      </c>
      <c r="Z62" s="104" t="str">
        <f>IF(ISERROR(_xll.qlSwapRateHelperSpread($W62)),IF(ISERROR(_xll.qlFuturesRateHelperConvexityAdjustment($W62)),"",_xll.qlFuturesRateHelperConvexityAdjustment($W62)),_xll.qlSwapRateHelperSpread($W62))</f>
        <v/>
      </c>
      <c r="AA62" s="5" t="str">
        <f>IFERROR(_xll.qlRateHelperEarliestDate(W62,Trigger),"")</f>
        <v/>
      </c>
      <c r="AB62" s="5" t="str">
        <f>IFERROR(_xll.qlRateHelperPillarDate(W62,Trigger),"")</f>
        <v/>
      </c>
      <c r="AC62" s="70" t="e">
        <v>#N/A</v>
      </c>
      <c r="AD62" s="46" t="e">
        <v>#N/A</v>
      </c>
      <c r="AE62" s="46" t="e">
        <v>#N/A</v>
      </c>
      <c r="AF62" s="172" t="e">
        <f>_xll.qlYieldTSZeroRate(yieldcurve1_STD,$AD62,"ACTUAL/365 (FIXED)",,,TRUE,Trigger)-AE62</f>
        <v>#NUM!</v>
      </c>
    </row>
    <row r="63" spans="1:32" ht="11.25" customHeight="1" x14ac:dyDescent="0.2">
      <c r="A63" s="59" t="s">
        <v>25</v>
      </c>
      <c r="B63" s="60" t="s">
        <v>102</v>
      </c>
      <c r="C63" s="61" t="s">
        <v>6</v>
      </c>
      <c r="D63" s="61" t="s">
        <v>154</v>
      </c>
      <c r="E63" s="61" t="s">
        <v>7</v>
      </c>
      <c r="F63" s="61" t="s">
        <v>155</v>
      </c>
      <c r="G63" s="61" t="str">
        <f t="shared" si="14"/>
        <v>GbpLibor3M</v>
      </c>
      <c r="H63" s="59" t="str">
        <f t="shared" si="15"/>
        <v>GBPSB6L21Y_LCHQuote</v>
      </c>
      <c r="I63" s="127">
        <v>0</v>
      </c>
      <c r="J63" s="64"/>
      <c r="L63" s="10" t="str">
        <f t="shared" si="11"/>
        <v>Sw</v>
      </c>
      <c r="M63" s="94" t="str">
        <f t="shared" si="13"/>
        <v>obj_00365#0007</v>
      </c>
      <c r="N63" s="146" t="str">
        <f>IFERROR(_xll.qlRateHelperQuoteName(M63,Trigger),"--")</f>
        <v>GBPSB6L25Y_LCHQuote</v>
      </c>
      <c r="O63" s="98">
        <f>IFERROR(_xll.qlRateHelperQuoteValue($M63,Trigger),"--")</f>
        <v>2.1649999999999999E-2</v>
      </c>
      <c r="P63" s="97" t="b">
        <v>1</v>
      </c>
      <c r="Q63" s="94">
        <v>10</v>
      </c>
      <c r="R63" s="94">
        <v>1</v>
      </c>
      <c r="S63" s="99">
        <f>IFERROR(_xll.qlRateHelperEarliestDate(M63,Trigger),"--")</f>
        <v>42321</v>
      </c>
      <c r="T63" s="99">
        <f>IFERROR(_xll.qlRateHelperPillarDate(M63,Trigger),"--")</f>
        <v>51453</v>
      </c>
      <c r="V63" s="4" t="str">
        <f t="shared" si="10"/>
        <v/>
      </c>
      <c r="W63" s="4" t="e">
        <v>#N/A</v>
      </c>
      <c r="X63" s="4" t="str">
        <f>IFERROR(_xll.qlRateHelperQuoteName(W63,Trigger),"")</f>
        <v/>
      </c>
      <c r="Y63" s="70" t="str">
        <f>IFERROR(_xll.qlRateHelperRate(W63,Trigger),"")</f>
        <v/>
      </c>
      <c r="Z63" s="104" t="str">
        <f>IF(ISERROR(_xll.qlSwapRateHelperSpread($W63)),IF(ISERROR(_xll.qlFuturesRateHelperConvexityAdjustment($W63)),"",_xll.qlFuturesRateHelperConvexityAdjustment($W63)),_xll.qlSwapRateHelperSpread($W63))</f>
        <v/>
      </c>
      <c r="AA63" s="5" t="str">
        <f>IFERROR(_xll.qlRateHelperEarliestDate(W63,Trigger),"")</f>
        <v/>
      </c>
      <c r="AB63" s="5" t="str">
        <f>IFERROR(_xll.qlRateHelperPillarDate(W63,Trigger),"")</f>
        <v/>
      </c>
      <c r="AC63" s="70" t="e">
        <v>#N/A</v>
      </c>
      <c r="AD63" s="46" t="e">
        <v>#N/A</v>
      </c>
      <c r="AE63" s="46" t="e">
        <v>#N/A</v>
      </c>
      <c r="AF63" s="172" t="e">
        <f>_xll.qlYieldTSZeroRate(yieldcurve1_STD,$AD63,"ACTUAL/365 (FIXED)",,,TRUE,Trigger)-AE63</f>
        <v>#NUM!</v>
      </c>
    </row>
    <row r="64" spans="1:32" ht="11.25" customHeight="1" x14ac:dyDescent="0.2">
      <c r="A64" s="59" t="s">
        <v>25</v>
      </c>
      <c r="B64" s="60" t="s">
        <v>103</v>
      </c>
      <c r="C64" s="61" t="s">
        <v>6</v>
      </c>
      <c r="D64" s="61" t="s">
        <v>154</v>
      </c>
      <c r="E64" s="61" t="s">
        <v>7</v>
      </c>
      <c r="F64" s="61" t="s">
        <v>155</v>
      </c>
      <c r="G64" s="61" t="str">
        <f t="shared" si="14"/>
        <v>GbpLibor3M</v>
      </c>
      <c r="H64" s="59" t="str">
        <f t="shared" si="15"/>
        <v>GBPSB6L22Y_LCHQuote</v>
      </c>
      <c r="I64" s="127">
        <v>0</v>
      </c>
      <c r="J64" s="64"/>
      <c r="L64" s="10" t="str">
        <f t="shared" si="11"/>
        <v>Sw</v>
      </c>
      <c r="M64" s="94" t="str">
        <f t="shared" si="13"/>
        <v>--</v>
      </c>
      <c r="N64" s="146" t="str">
        <f>IFERROR(_xll.qlRateHelperQuoteName(M64,Trigger),"--")</f>
        <v>--</v>
      </c>
      <c r="O64" s="98" t="str">
        <f>IFERROR(_xll.qlRateHelperQuoteValue($M64,Trigger),"--")</f>
        <v>--</v>
      </c>
      <c r="P64" s="97" t="b">
        <v>0</v>
      </c>
      <c r="Q64" s="94">
        <v>10</v>
      </c>
      <c r="R64" s="94">
        <v>1</v>
      </c>
      <c r="S64" s="99" t="str">
        <f>IFERROR(_xll.qlRateHelperEarliestDate(M64,Trigger),"--")</f>
        <v>--</v>
      </c>
      <c r="T64" s="99" t="str">
        <f>IFERROR(_xll.qlRateHelperPillarDate(M64,Trigger),"--")</f>
        <v>--</v>
      </c>
      <c r="V64" s="4" t="str">
        <f t="shared" si="10"/>
        <v/>
      </c>
      <c r="W64" s="4" t="e">
        <v>#N/A</v>
      </c>
      <c r="X64" s="4" t="str">
        <f>IFERROR(_xll.qlRateHelperQuoteName(W64,Trigger),"")</f>
        <v/>
      </c>
      <c r="Y64" s="70" t="str">
        <f>IFERROR(_xll.qlRateHelperRate(W64,Trigger),"")</f>
        <v/>
      </c>
      <c r="Z64" s="104" t="str">
        <f>IF(ISERROR(_xll.qlSwapRateHelperSpread($W64)),IF(ISERROR(_xll.qlFuturesRateHelperConvexityAdjustment($W64)),"",_xll.qlFuturesRateHelperConvexityAdjustment($W64)),_xll.qlSwapRateHelperSpread($W64))</f>
        <v/>
      </c>
      <c r="AA64" s="5" t="str">
        <f>IFERROR(_xll.qlRateHelperEarliestDate(W64,Trigger),"")</f>
        <v/>
      </c>
      <c r="AB64" s="5" t="str">
        <f>IFERROR(_xll.qlRateHelperPillarDate(W64,Trigger),"")</f>
        <v/>
      </c>
      <c r="AC64" s="70" t="e">
        <v>#N/A</v>
      </c>
      <c r="AD64" s="46" t="e">
        <v>#N/A</v>
      </c>
      <c r="AE64" s="46" t="e">
        <v>#N/A</v>
      </c>
      <c r="AF64" s="172" t="e">
        <f>_xll.qlYieldTSZeroRate(yieldcurve1_STD,$AD64,"ACTUAL/365 (FIXED)",,,TRUE,Trigger)-AE64</f>
        <v>#NUM!</v>
      </c>
    </row>
    <row r="65" spans="1:32" ht="11.25" customHeight="1" x14ac:dyDescent="0.2">
      <c r="A65" s="59" t="s">
        <v>25</v>
      </c>
      <c r="B65" s="60" t="s">
        <v>104</v>
      </c>
      <c r="C65" s="61" t="s">
        <v>6</v>
      </c>
      <c r="D65" s="61" t="s">
        <v>154</v>
      </c>
      <c r="E65" s="61" t="s">
        <v>7</v>
      </c>
      <c r="F65" s="61" t="s">
        <v>155</v>
      </c>
      <c r="G65" s="61" t="str">
        <f t="shared" si="14"/>
        <v>GbpLibor3M</v>
      </c>
      <c r="H65" s="59" t="str">
        <f t="shared" si="15"/>
        <v>GBPSB6L23Y_LCHQuote</v>
      </c>
      <c r="I65" s="127">
        <v>0</v>
      </c>
      <c r="J65" s="64"/>
      <c r="L65" s="10" t="str">
        <f t="shared" si="11"/>
        <v>Sw</v>
      </c>
      <c r="M65" s="94" t="str">
        <f t="shared" si="13"/>
        <v>--</v>
      </c>
      <c r="N65" s="146" t="str">
        <f>IFERROR(_xll.qlRateHelperQuoteName(M65,Trigger),"--")</f>
        <v>--</v>
      </c>
      <c r="O65" s="98" t="str">
        <f>IFERROR(_xll.qlRateHelperQuoteValue($M65,Trigger),"--")</f>
        <v>--</v>
      </c>
      <c r="P65" s="97" t="b">
        <v>0</v>
      </c>
      <c r="Q65" s="94">
        <v>10</v>
      </c>
      <c r="R65" s="94">
        <v>1</v>
      </c>
      <c r="S65" s="99" t="str">
        <f>IFERROR(_xll.qlRateHelperEarliestDate(M65,Trigger),"--")</f>
        <v>--</v>
      </c>
      <c r="T65" s="99" t="str">
        <f>IFERROR(_xll.qlRateHelperPillarDate(M65,Trigger),"--")</f>
        <v>--</v>
      </c>
      <c r="V65" s="4" t="str">
        <f t="shared" si="10"/>
        <v/>
      </c>
      <c r="W65" s="4" t="e">
        <v>#N/A</v>
      </c>
      <c r="X65" s="4" t="str">
        <f>IFERROR(_xll.qlRateHelperQuoteName(W65,Trigger),"")</f>
        <v/>
      </c>
      <c r="Y65" s="70" t="str">
        <f>IFERROR(_xll.qlRateHelperRate(W65,Trigger),"")</f>
        <v/>
      </c>
      <c r="Z65" s="104" t="str">
        <f>IF(ISERROR(_xll.qlSwapRateHelperSpread($W65)),IF(ISERROR(_xll.qlFuturesRateHelperConvexityAdjustment($W65)),"",_xll.qlFuturesRateHelperConvexityAdjustment($W65)),_xll.qlSwapRateHelperSpread($W65))</f>
        <v/>
      </c>
      <c r="AA65" s="5" t="str">
        <f>IFERROR(_xll.qlRateHelperEarliestDate(W65,Trigger),"")</f>
        <v/>
      </c>
      <c r="AB65" s="5" t="str">
        <f>IFERROR(_xll.qlRateHelperPillarDate(W65,Trigger),"")</f>
        <v/>
      </c>
      <c r="AC65" s="70" t="e">
        <v>#N/A</v>
      </c>
      <c r="AD65" s="46" t="e">
        <v>#N/A</v>
      </c>
      <c r="AE65" s="46" t="e">
        <v>#N/A</v>
      </c>
      <c r="AF65" s="172" t="e">
        <f>_xll.qlYieldTSZeroRate(yieldcurve1_STD,$AD65,"ACTUAL/365 (FIXED)",,,TRUE,Trigger)-AE65</f>
        <v>#NUM!</v>
      </c>
    </row>
    <row r="66" spans="1:32" ht="11.25" customHeight="1" x14ac:dyDescent="0.2">
      <c r="A66" s="59" t="s">
        <v>25</v>
      </c>
      <c r="B66" s="60" t="s">
        <v>105</v>
      </c>
      <c r="C66" s="61" t="s">
        <v>6</v>
      </c>
      <c r="D66" s="61" t="s">
        <v>154</v>
      </c>
      <c r="E66" s="61" t="s">
        <v>7</v>
      </c>
      <c r="F66" s="61" t="s">
        <v>155</v>
      </c>
      <c r="G66" s="61" t="str">
        <f t="shared" si="14"/>
        <v>GbpLibor3M</v>
      </c>
      <c r="H66" s="59" t="str">
        <f t="shared" si="15"/>
        <v>GBPSB6L24Y_LCHQuote</v>
      </c>
      <c r="I66" s="127">
        <v>0</v>
      </c>
      <c r="J66" s="64"/>
      <c r="L66" s="10" t="str">
        <f t="shared" si="11"/>
        <v>Sw</v>
      </c>
      <c r="M66" s="94" t="str">
        <f t="shared" si="13"/>
        <v>--</v>
      </c>
      <c r="N66" s="146" t="str">
        <f>IFERROR(_xll.qlRateHelperQuoteName(M66,Trigger),"--")</f>
        <v>--</v>
      </c>
      <c r="O66" s="98" t="str">
        <f>IFERROR(_xll.qlRateHelperQuoteValue($M66,Trigger),"--")</f>
        <v>--</v>
      </c>
      <c r="P66" s="97" t="b">
        <v>0</v>
      </c>
      <c r="Q66" s="94">
        <v>10</v>
      </c>
      <c r="R66" s="94">
        <v>1</v>
      </c>
      <c r="S66" s="99" t="str">
        <f>IFERROR(_xll.qlRateHelperEarliestDate(M66,Trigger),"--")</f>
        <v>--</v>
      </c>
      <c r="T66" s="99" t="str">
        <f>IFERROR(_xll.qlRateHelperPillarDate(M66,Trigger),"--")</f>
        <v>--</v>
      </c>
      <c r="V66" s="4" t="str">
        <f t="shared" si="10"/>
        <v/>
      </c>
      <c r="W66" s="4" t="e">
        <v>#N/A</v>
      </c>
      <c r="X66" s="4" t="str">
        <f>IFERROR(_xll.qlRateHelperQuoteName(W66,Trigger),"")</f>
        <v/>
      </c>
      <c r="Y66" s="70" t="str">
        <f>IFERROR(_xll.qlRateHelperRate(W66,Trigger),"")</f>
        <v/>
      </c>
      <c r="Z66" s="104" t="str">
        <f>IF(ISERROR(_xll.qlSwapRateHelperSpread($W66)),IF(ISERROR(_xll.qlFuturesRateHelperConvexityAdjustment($W66)),"",_xll.qlFuturesRateHelperConvexityAdjustment($W66)),_xll.qlSwapRateHelperSpread($W66))</f>
        <v/>
      </c>
      <c r="AA66" s="5" t="str">
        <f>IFERROR(_xll.qlRateHelperEarliestDate(W66,Trigger),"")</f>
        <v/>
      </c>
      <c r="AB66" s="5" t="str">
        <f>IFERROR(_xll.qlRateHelperPillarDate(W66,Trigger),"")</f>
        <v/>
      </c>
      <c r="AC66" s="70" t="e">
        <v>#N/A</v>
      </c>
      <c r="AD66" s="46" t="e">
        <v>#N/A</v>
      </c>
      <c r="AE66" s="46" t="e">
        <v>#N/A</v>
      </c>
      <c r="AF66" s="172" t="e">
        <f>_xll.qlYieldTSZeroRate(yieldcurve1_STD,$AD66,"ACTUAL/365 (FIXED)",,,TRUE,Trigger)-AE66</f>
        <v>#NUM!</v>
      </c>
    </row>
    <row r="67" spans="1:32" ht="11.25" customHeight="1" x14ac:dyDescent="0.2">
      <c r="A67" s="59" t="s">
        <v>25</v>
      </c>
      <c r="B67" s="60" t="s">
        <v>63</v>
      </c>
      <c r="C67" s="61" t="s">
        <v>6</v>
      </c>
      <c r="D67" s="61" t="s">
        <v>154</v>
      </c>
      <c r="E67" s="61" t="s">
        <v>7</v>
      </c>
      <c r="F67" s="61" t="s">
        <v>155</v>
      </c>
      <c r="G67" s="61" t="str">
        <f t="shared" si="14"/>
        <v>GbpLibor3M</v>
      </c>
      <c r="H67" s="59" t="str">
        <f t="shared" si="15"/>
        <v>GBPSB6L25Y_LCHQuote</v>
      </c>
      <c r="I67" s="127">
        <v>0</v>
      </c>
      <c r="J67" s="64" t="str">
        <f>_xll.qlSwapRateHelper2(,$H67,0,$B67,Calendar,$D67,$E67,$F67,$G67,$I67,$C67,,PillarDate,,Permanent,Trigger,ObjectOverwrite)</f>
        <v>obj_00365#0007</v>
      </c>
      <c r="L67" s="10" t="str">
        <f t="shared" si="11"/>
        <v>Sw</v>
      </c>
      <c r="M67" s="94" t="str">
        <f t="shared" si="13"/>
        <v>--</v>
      </c>
      <c r="N67" s="146" t="str">
        <f>IFERROR(_xll.qlRateHelperQuoteName(M67,Trigger),"--")</f>
        <v>--</v>
      </c>
      <c r="O67" s="98" t="str">
        <f>IFERROR(_xll.qlRateHelperQuoteValue($M67,Trigger),"--")</f>
        <v>--</v>
      </c>
      <c r="P67" s="97" t="b">
        <v>0</v>
      </c>
      <c r="Q67" s="94">
        <v>10</v>
      </c>
      <c r="R67" s="94">
        <v>1</v>
      </c>
      <c r="S67" s="99" t="str">
        <f>IFERROR(_xll.qlRateHelperEarliestDate(M67,Trigger),"--")</f>
        <v>--</v>
      </c>
      <c r="T67" s="99" t="str">
        <f>IFERROR(_xll.qlRateHelperPillarDate(M67,Trigger),"--")</f>
        <v>--</v>
      </c>
      <c r="V67" s="4" t="str">
        <f t="shared" ref="V67:V72" si="16">IFERROR(INDEX($L$3:$L$72,MATCH(X67,$N$3:$N$72,0),1),"")</f>
        <v/>
      </c>
      <c r="W67" s="4" t="e">
        <v>#N/A</v>
      </c>
      <c r="X67" s="4" t="str">
        <f>IFERROR(_xll.qlRateHelperQuoteName(W67,Trigger),"")</f>
        <v/>
      </c>
      <c r="Y67" s="70" t="str">
        <f>IFERROR(_xll.qlRateHelperRate(W67,Trigger),"")</f>
        <v/>
      </c>
      <c r="Z67" s="104" t="str">
        <f>IF(ISERROR(_xll.qlSwapRateHelperSpread($W67)),IF(ISERROR(_xll.qlFuturesRateHelperConvexityAdjustment($W67)),"",_xll.qlFuturesRateHelperConvexityAdjustment($W67)),_xll.qlSwapRateHelperSpread($W67))</f>
        <v/>
      </c>
      <c r="AA67" s="5" t="str">
        <f>IFERROR(_xll.qlRateHelperEarliestDate(W67,Trigger),"")</f>
        <v/>
      </c>
      <c r="AB67" s="5" t="str">
        <f>IFERROR(_xll.qlRateHelperPillarDate(W67,Trigger),"")</f>
        <v/>
      </c>
      <c r="AC67" s="70" t="e">
        <v>#N/A</v>
      </c>
      <c r="AD67" s="46" t="e">
        <v>#N/A</v>
      </c>
      <c r="AE67" s="46" t="e">
        <v>#N/A</v>
      </c>
      <c r="AF67" s="172" t="e">
        <f>_xll.qlYieldTSZeroRate(yieldcurve1_STD,$AD67,"ACTUAL/365 (FIXED)",,,TRUE,Trigger)-AE67</f>
        <v>#NUM!</v>
      </c>
    </row>
    <row r="68" spans="1:32" ht="11.25" customHeight="1" x14ac:dyDescent="0.2">
      <c r="A68" s="59" t="s">
        <v>25</v>
      </c>
      <c r="B68" s="60" t="s">
        <v>106</v>
      </c>
      <c r="C68" s="61" t="s">
        <v>6</v>
      </c>
      <c r="D68" s="61" t="s">
        <v>154</v>
      </c>
      <c r="E68" s="61" t="s">
        <v>7</v>
      </c>
      <c r="F68" s="61" t="s">
        <v>155</v>
      </c>
      <c r="G68" s="61" t="str">
        <f t="shared" si="14"/>
        <v>GbpLibor3M</v>
      </c>
      <c r="H68" s="59" t="str">
        <f t="shared" si="15"/>
        <v>GBPSB6L26Y_LCHQuote</v>
      </c>
      <c r="I68" s="127">
        <v>0</v>
      </c>
      <c r="J68" s="64"/>
      <c r="L68" s="10" t="str">
        <f t="shared" si="11"/>
        <v>Sw</v>
      </c>
      <c r="M68" s="94" t="str">
        <f t="shared" si="13"/>
        <v>obj_003b1#0007</v>
      </c>
      <c r="N68" s="146" t="str">
        <f>IFERROR(_xll.qlRateHelperQuoteName(M68,Trigger),"--")</f>
        <v>GBPSB6L30Y_LCHQuote</v>
      </c>
      <c r="O68" s="98">
        <f>IFERROR(_xll.qlRateHelperQuoteValue($M68,Trigger),"--")</f>
        <v>2.1470000000000003E-2</v>
      </c>
      <c r="P68" s="97" t="b">
        <v>1</v>
      </c>
      <c r="Q68" s="94">
        <v>10</v>
      </c>
      <c r="R68" s="94">
        <v>1</v>
      </c>
      <c r="S68" s="99">
        <f>IFERROR(_xll.qlRateHelperEarliestDate(M68,Trigger),"--")</f>
        <v>42321</v>
      </c>
      <c r="T68" s="99">
        <f>IFERROR(_xll.qlRateHelperPillarDate(M68,Trigger),"--")</f>
        <v>53279</v>
      </c>
      <c r="V68" s="4" t="str">
        <f t="shared" si="16"/>
        <v/>
      </c>
      <c r="W68" s="4" t="e">
        <v>#N/A</v>
      </c>
      <c r="X68" s="4" t="str">
        <f>IFERROR(_xll.qlRateHelperQuoteName(W68,Trigger),"")</f>
        <v/>
      </c>
      <c r="Y68" s="70" t="str">
        <f>IFERROR(_xll.qlRateHelperRate(W68,Trigger),"")</f>
        <v/>
      </c>
      <c r="Z68" s="104" t="str">
        <f>IF(ISERROR(_xll.qlSwapRateHelperSpread($W68)),IF(ISERROR(_xll.qlFuturesRateHelperConvexityAdjustment($W68)),"",_xll.qlFuturesRateHelperConvexityAdjustment($W68)),_xll.qlSwapRateHelperSpread($W68))</f>
        <v/>
      </c>
      <c r="AA68" s="5" t="str">
        <f>IFERROR(_xll.qlRateHelperEarliestDate(W68,Trigger),"")</f>
        <v/>
      </c>
      <c r="AB68" s="5" t="str">
        <f>IFERROR(_xll.qlRateHelperPillarDate(W68,Trigger),"")</f>
        <v/>
      </c>
      <c r="AC68" s="70" t="e">
        <v>#N/A</v>
      </c>
      <c r="AD68" s="46" t="e">
        <v>#N/A</v>
      </c>
      <c r="AE68" s="46" t="e">
        <v>#N/A</v>
      </c>
      <c r="AF68" s="172" t="e">
        <f>_xll.qlYieldTSZeroRate(yieldcurve1_STD,$AD68,"ACTUAL/365 (FIXED)",,,TRUE,Trigger)-AE68</f>
        <v>#NUM!</v>
      </c>
    </row>
    <row r="69" spans="1:32" ht="11.25" customHeight="1" x14ac:dyDescent="0.2">
      <c r="A69" s="59" t="s">
        <v>25</v>
      </c>
      <c r="B69" s="60" t="s">
        <v>64</v>
      </c>
      <c r="C69" s="61" t="s">
        <v>6</v>
      </c>
      <c r="D69" s="61" t="s">
        <v>154</v>
      </c>
      <c r="E69" s="61" t="s">
        <v>7</v>
      </c>
      <c r="F69" s="61" t="s">
        <v>155</v>
      </c>
      <c r="G69" s="61" t="str">
        <f t="shared" si="14"/>
        <v>GbpLibor3M</v>
      </c>
      <c r="H69" s="59" t="str">
        <f t="shared" si="15"/>
        <v>GBPSB6L27Y_LCHQuote</v>
      </c>
      <c r="I69" s="127">
        <v>0</v>
      </c>
      <c r="J69" s="64"/>
      <c r="L69" s="10" t="str">
        <f t="shared" si="11"/>
        <v>Sw</v>
      </c>
      <c r="M69" s="94" t="str">
        <f t="shared" si="13"/>
        <v>--</v>
      </c>
      <c r="N69" s="146" t="str">
        <f>IFERROR(_xll.qlRateHelperQuoteName(M69,Trigger),"--")</f>
        <v>--</v>
      </c>
      <c r="O69" s="98" t="str">
        <f>IFERROR(_xll.qlRateHelperQuoteValue($M69,Trigger),"--")</f>
        <v>--</v>
      </c>
      <c r="P69" s="97" t="b">
        <v>0</v>
      </c>
      <c r="Q69" s="94">
        <v>10</v>
      </c>
      <c r="R69" s="94">
        <v>1</v>
      </c>
      <c r="S69" s="99" t="str">
        <f>IFERROR(_xll.qlRateHelperEarliestDate(M69,Trigger),"--")</f>
        <v>--</v>
      </c>
      <c r="T69" s="99" t="str">
        <f>IFERROR(_xll.qlRateHelperPillarDate(M69,Trigger),"--")</f>
        <v>--</v>
      </c>
      <c r="V69" s="4" t="str">
        <f t="shared" si="16"/>
        <v/>
      </c>
      <c r="W69" s="4" t="e">
        <v>#N/A</v>
      </c>
      <c r="X69" s="4" t="str">
        <f>IFERROR(_xll.qlRateHelperQuoteName(W69,Trigger),"")</f>
        <v/>
      </c>
      <c r="Y69" s="70" t="str">
        <f>IFERROR(_xll.qlRateHelperRate(W69,Trigger),"")</f>
        <v/>
      </c>
      <c r="Z69" s="104" t="str">
        <f>IF(ISERROR(_xll.qlSwapRateHelperSpread($W69)),IF(ISERROR(_xll.qlFuturesRateHelperConvexityAdjustment($W69)),"",_xll.qlFuturesRateHelperConvexityAdjustment($W69)),_xll.qlSwapRateHelperSpread($W69))</f>
        <v/>
      </c>
      <c r="AA69" s="5" t="str">
        <f>IFERROR(_xll.qlRateHelperEarliestDate(W69,Trigger),"")</f>
        <v/>
      </c>
      <c r="AB69" s="5" t="str">
        <f>IFERROR(_xll.qlRateHelperPillarDate(W69,Trigger),"")</f>
        <v/>
      </c>
      <c r="AC69" s="70" t="e">
        <v>#N/A</v>
      </c>
      <c r="AD69" s="46" t="e">
        <v>#N/A</v>
      </c>
      <c r="AE69" s="46" t="e">
        <v>#N/A</v>
      </c>
      <c r="AF69" s="172" t="e">
        <f>_xll.qlYieldTSZeroRate(yieldcurve1_STD,$AD69,"ACTUAL/365 (FIXED)",,,TRUE,Trigger)-AE69</f>
        <v>#NUM!</v>
      </c>
    </row>
    <row r="70" spans="1:32" ht="11.25" customHeight="1" x14ac:dyDescent="0.2">
      <c r="A70" s="59" t="s">
        <v>25</v>
      </c>
      <c r="B70" s="60" t="s">
        <v>107</v>
      </c>
      <c r="C70" s="61" t="s">
        <v>6</v>
      </c>
      <c r="D70" s="61" t="s">
        <v>154</v>
      </c>
      <c r="E70" s="61" t="s">
        <v>7</v>
      </c>
      <c r="F70" s="61" t="s">
        <v>155</v>
      </c>
      <c r="G70" s="61" t="str">
        <f t="shared" si="14"/>
        <v>GbpLibor3M</v>
      </c>
      <c r="H70" s="59" t="str">
        <f t="shared" si="15"/>
        <v>GBPSB6L28Y_LCHQuote</v>
      </c>
      <c r="I70" s="127">
        <v>0</v>
      </c>
      <c r="J70" s="64"/>
      <c r="L70" s="10" t="str">
        <f t="shared" si="11"/>
        <v>Sw</v>
      </c>
      <c r="M70" s="94" t="str">
        <f t="shared" si="13"/>
        <v>obj_003c0#0007</v>
      </c>
      <c r="N70" s="146" t="str">
        <f>IFERROR(_xll.qlRateHelperQuoteName(M70,Trigger),"--")</f>
        <v>GBPSB6L40Y_LCHQuote</v>
      </c>
      <c r="O70" s="98">
        <f>IFERROR(_xll.qlRateHelperQuoteValue($M70,Trigger),"--")</f>
        <v>2.085E-2</v>
      </c>
      <c r="P70" s="97" t="b">
        <v>1</v>
      </c>
      <c r="Q70" s="94">
        <v>10</v>
      </c>
      <c r="R70" s="94">
        <v>1</v>
      </c>
      <c r="S70" s="99">
        <f>IFERROR(_xll.qlRateHelperEarliestDate(M70,Trigger),"--")</f>
        <v>42321</v>
      </c>
      <c r="T70" s="99">
        <f>IFERROR(_xll.qlRateHelperPillarDate(M70,Trigger),"--")</f>
        <v>56933</v>
      </c>
      <c r="V70" s="4" t="str">
        <f t="shared" si="16"/>
        <v/>
      </c>
      <c r="W70" s="4" t="e">
        <v>#N/A</v>
      </c>
      <c r="X70" s="4" t="str">
        <f>IFERROR(_xll.qlRateHelperQuoteName(W70,Trigger),"")</f>
        <v/>
      </c>
      <c r="Y70" s="70" t="str">
        <f>IFERROR(_xll.qlRateHelperRate(W70,Trigger),"")</f>
        <v/>
      </c>
      <c r="Z70" s="104" t="str">
        <f>IF(ISERROR(_xll.qlSwapRateHelperSpread($W70)),IF(ISERROR(_xll.qlFuturesRateHelperConvexityAdjustment($W70)),"",_xll.qlFuturesRateHelperConvexityAdjustment($W70)),_xll.qlSwapRateHelperSpread($W70))</f>
        <v/>
      </c>
      <c r="AA70" s="5" t="str">
        <f>IFERROR(_xll.qlRateHelperEarliestDate(W70,Trigger),"")</f>
        <v/>
      </c>
      <c r="AB70" s="5" t="str">
        <f>IFERROR(_xll.qlRateHelperPillarDate(W70,Trigger),"")</f>
        <v/>
      </c>
      <c r="AC70" s="70" t="e">
        <v>#N/A</v>
      </c>
      <c r="AD70" s="46" t="e">
        <v>#N/A</v>
      </c>
      <c r="AE70" s="46" t="e">
        <v>#N/A</v>
      </c>
      <c r="AF70" s="172" t="e">
        <f>_xll.qlYieldTSZeroRate(yieldcurve1_STD,$AD70,"ACTUAL/365 (FIXED)",,,TRUE,Trigger)-AE70</f>
        <v>#NUM!</v>
      </c>
    </row>
    <row r="71" spans="1:32" ht="11.25" customHeight="1" x14ac:dyDescent="0.2">
      <c r="A71" s="59" t="s">
        <v>25</v>
      </c>
      <c r="B71" s="60" t="s">
        <v>108</v>
      </c>
      <c r="C71" s="61" t="s">
        <v>6</v>
      </c>
      <c r="D71" s="61" t="s">
        <v>154</v>
      </c>
      <c r="E71" s="61" t="s">
        <v>7</v>
      </c>
      <c r="F71" s="61" t="s">
        <v>155</v>
      </c>
      <c r="G71" s="61" t="str">
        <f t="shared" si="14"/>
        <v>GbpLibor3M</v>
      </c>
      <c r="H71" s="59" t="str">
        <f t="shared" si="15"/>
        <v>GBPSB6L29Y_LCHQuote</v>
      </c>
      <c r="I71" s="127">
        <v>0</v>
      </c>
      <c r="J71" s="64"/>
      <c r="L71" s="10" t="str">
        <f t="shared" si="11"/>
        <v>Sw</v>
      </c>
      <c r="M71" s="94" t="str">
        <f t="shared" si="13"/>
        <v>obj_003b5#0007</v>
      </c>
      <c r="N71" s="146" t="str">
        <f>IFERROR(_xll.qlRateHelperQuoteName(M71,Trigger),"--")</f>
        <v>GBPSB6L50Y_LCHQuote</v>
      </c>
      <c r="O71" s="98">
        <f>IFERROR(_xll.qlRateHelperQuoteValue($M71,Trigger),"--")</f>
        <v>2.0419999999999997E-2</v>
      </c>
      <c r="P71" s="97" t="b">
        <v>1</v>
      </c>
      <c r="Q71" s="94">
        <v>10</v>
      </c>
      <c r="R71" s="94">
        <v>1</v>
      </c>
      <c r="S71" s="99">
        <f>IFERROR(_xll.qlRateHelperEarliestDate(M71,Trigger),"--")</f>
        <v>42321</v>
      </c>
      <c r="T71" s="99">
        <f>IFERROR(_xll.qlRateHelperPillarDate(M71,Trigger),"--")</f>
        <v>60584</v>
      </c>
      <c r="V71" s="4" t="str">
        <f t="shared" si="16"/>
        <v/>
      </c>
      <c r="W71" s="4" t="e">
        <v>#N/A</v>
      </c>
      <c r="X71" s="4" t="str">
        <f>IFERROR(_xll.qlRateHelperQuoteName(W71,Trigger),"")</f>
        <v/>
      </c>
      <c r="Y71" s="70" t="str">
        <f>IFERROR(_xll.qlRateHelperRate(W71,Trigger),"")</f>
        <v/>
      </c>
      <c r="Z71" s="104" t="str">
        <f>IF(ISERROR(_xll.qlSwapRateHelperSpread($W71)),IF(ISERROR(_xll.qlFuturesRateHelperConvexityAdjustment($W71)),"",_xll.qlFuturesRateHelperConvexityAdjustment($W71)),_xll.qlSwapRateHelperSpread($W71))</f>
        <v/>
      </c>
      <c r="AA71" s="5" t="str">
        <f>IFERROR(_xll.qlRateHelperEarliestDate(W71,Trigger),"")</f>
        <v/>
      </c>
      <c r="AB71" s="5" t="str">
        <f>IFERROR(_xll.qlRateHelperPillarDate(W71,Trigger),"")</f>
        <v/>
      </c>
      <c r="AC71" s="70" t="e">
        <v>#N/A</v>
      </c>
      <c r="AD71" s="46" t="e">
        <v>#N/A</v>
      </c>
      <c r="AE71" s="46" t="e">
        <v>#N/A</v>
      </c>
      <c r="AF71" s="172" t="e">
        <f>_xll.qlYieldTSZeroRate(yieldcurve1_STD,$AD71,"ACTUAL/365 (FIXED)",,,TRUE,Trigger)-AE71</f>
        <v>#NUM!</v>
      </c>
    </row>
    <row r="72" spans="1:32" ht="11.25" customHeight="1" x14ac:dyDescent="0.2">
      <c r="A72" s="59" t="s">
        <v>25</v>
      </c>
      <c r="B72" s="60" t="s">
        <v>65</v>
      </c>
      <c r="C72" s="61" t="s">
        <v>6</v>
      </c>
      <c r="D72" s="61" t="s">
        <v>154</v>
      </c>
      <c r="E72" s="61" t="s">
        <v>7</v>
      </c>
      <c r="F72" s="61" t="s">
        <v>155</v>
      </c>
      <c r="G72" s="61" t="str">
        <f t="shared" si="14"/>
        <v>GbpLibor3M</v>
      </c>
      <c r="H72" s="59" t="str">
        <f t="shared" si="15"/>
        <v>GBPSB6L30Y_LCHQuote</v>
      </c>
      <c r="I72" s="127">
        <v>0</v>
      </c>
      <c r="J72" s="64" t="str">
        <f>_xll.qlSwapRateHelper2(,$H72,0,$B72,Calendar,$D72,$E72,$F72,$G72,$I72,$C72,,PillarDate,,Permanent,Trigger,ObjectOverwrite)</f>
        <v>obj_003b1#0007</v>
      </c>
      <c r="L72" s="11" t="str">
        <f t="shared" si="11"/>
        <v>Sw</v>
      </c>
      <c r="M72" s="95" t="str">
        <f t="shared" si="13"/>
        <v>obj_003c1#0007</v>
      </c>
      <c r="N72" s="147" t="str">
        <f>IFERROR(_xll.qlRateHelperQuoteName(M72,Trigger),"--")</f>
        <v>GBPSB6L60Y_LCHQuote</v>
      </c>
      <c r="O72" s="101">
        <f>IFERROR(_xll.qlRateHelperQuoteValue($M72,Trigger),"--")</f>
        <v>2.0390000000000002E-2</v>
      </c>
      <c r="P72" s="100" t="b">
        <v>1</v>
      </c>
      <c r="Q72" s="95">
        <v>10</v>
      </c>
      <c r="R72" s="95">
        <v>1</v>
      </c>
      <c r="S72" s="102">
        <f>IFERROR(_xll.qlRateHelperEarliestDate(M72,Trigger),"--")</f>
        <v>42321</v>
      </c>
      <c r="T72" s="102">
        <f>IFERROR(_xll.qlRateHelperPillarDate(M72,Trigger),"--")</f>
        <v>64236</v>
      </c>
      <c r="V72" s="6" t="str">
        <f t="shared" si="16"/>
        <v/>
      </c>
      <c r="W72" s="6" t="e">
        <v>#N/A</v>
      </c>
      <c r="X72" s="6" t="str">
        <f>IFERROR(_xll.qlRateHelperQuoteName(W72,Trigger),"")</f>
        <v/>
      </c>
      <c r="Y72" s="79" t="str">
        <f>IFERROR(_xll.qlRateHelperRate(W72,Trigger),"")</f>
        <v/>
      </c>
      <c r="Z72" s="105" t="str">
        <f>IF(ISERROR(_xll.qlSwapRateHelperSpread($W72)),IF(ISERROR(_xll.qlFuturesRateHelperConvexityAdjustment($W72)),"",_xll.qlFuturesRateHelperConvexityAdjustment($W72)),_xll.qlSwapRateHelperSpread($W72))</f>
        <v/>
      </c>
      <c r="AA72" s="12" t="str">
        <f>IFERROR(_xll.qlRateHelperEarliestDate(W72,Trigger),"")</f>
        <v/>
      </c>
      <c r="AB72" s="12" t="str">
        <f>IFERROR(_xll.qlRateHelperPillarDate(W72,Trigger),"")</f>
        <v/>
      </c>
      <c r="AC72" s="79" t="e">
        <v>#N/A</v>
      </c>
      <c r="AD72" s="46" t="e">
        <v>#N/A</v>
      </c>
      <c r="AE72" s="46" t="e">
        <v>#N/A</v>
      </c>
      <c r="AF72" s="172" t="e">
        <f>_xll.qlYieldTSZeroRate(yieldcurve1_STD,$AD72,"ACTUAL/365 (FIXED)",,,TRUE,Trigger)-AE72</f>
        <v>#NUM!</v>
      </c>
    </row>
    <row r="73" spans="1:32" ht="11.25" customHeight="1" x14ac:dyDescent="0.2">
      <c r="A73" s="59" t="s">
        <v>25</v>
      </c>
      <c r="B73" s="60" t="s">
        <v>66</v>
      </c>
      <c r="C73" s="61" t="s">
        <v>6</v>
      </c>
      <c r="D73" s="61" t="s">
        <v>154</v>
      </c>
      <c r="E73" s="61" t="s">
        <v>7</v>
      </c>
      <c r="F73" s="61" t="s">
        <v>155</v>
      </c>
      <c r="G73" s="61" t="str">
        <f t="shared" si="14"/>
        <v>GbpLibor3M</v>
      </c>
      <c r="H73" s="59" t="str">
        <f t="shared" si="15"/>
        <v>GBPSB6L35Y_LCHQuote</v>
      </c>
      <c r="I73" s="127">
        <v>0</v>
      </c>
      <c r="J73" s="64"/>
    </row>
    <row r="74" spans="1:32" ht="11.25" customHeight="1" x14ac:dyDescent="0.2">
      <c r="A74" s="59" t="s">
        <v>25</v>
      </c>
      <c r="B74" s="60" t="s">
        <v>67</v>
      </c>
      <c r="C74" s="61" t="s">
        <v>6</v>
      </c>
      <c r="D74" s="61" t="s">
        <v>154</v>
      </c>
      <c r="E74" s="61" t="s">
        <v>7</v>
      </c>
      <c r="F74" s="61" t="s">
        <v>155</v>
      </c>
      <c r="G74" s="61" t="str">
        <f t="shared" si="14"/>
        <v>GbpLibor3M</v>
      </c>
      <c r="H74" s="59" t="str">
        <f t="shared" si="15"/>
        <v>GBPSB6L40Y_LCHQuote</v>
      </c>
      <c r="I74" s="125">
        <v>0</v>
      </c>
      <c r="J74" s="64" t="str">
        <f>_xll.qlSwapRateHelper2(,$H74,0,$B74,Calendar,$D74,$E74,$F74,$G74,$I74,$C74,,PillarDate,,Permanent,Trigger,ObjectOverwrite)</f>
        <v>obj_003c0#0007</v>
      </c>
    </row>
    <row r="75" spans="1:32" ht="11.25" customHeight="1" x14ac:dyDescent="0.2">
      <c r="A75" s="59" t="s">
        <v>25</v>
      </c>
      <c r="B75" s="60" t="s">
        <v>68</v>
      </c>
      <c r="C75" s="61" t="s">
        <v>6</v>
      </c>
      <c r="D75" s="61" t="s">
        <v>154</v>
      </c>
      <c r="E75" s="61" t="s">
        <v>7</v>
      </c>
      <c r="F75" s="61" t="s">
        <v>155</v>
      </c>
      <c r="G75" s="61" t="str">
        <f t="shared" si="14"/>
        <v>GbpLibor3M</v>
      </c>
      <c r="H75" s="59" t="str">
        <f t="shared" si="15"/>
        <v>GBPSB6L50Y_LCHQuote</v>
      </c>
      <c r="I75" s="125">
        <v>0</v>
      </c>
      <c r="J75" s="64" t="str">
        <f>_xll.qlSwapRateHelper2(,$H75,0,$B75,Calendar,$D75,$E75,$F75,$G75,$I75,$C75,,PillarDate,,Permanent,Trigger,ObjectOverwrite)</f>
        <v>obj_003b5#0007</v>
      </c>
    </row>
    <row r="76" spans="1:32" ht="11.25" customHeight="1" x14ac:dyDescent="0.2">
      <c r="A76" s="1" t="s">
        <v>25</v>
      </c>
      <c r="B76" s="8" t="s">
        <v>109</v>
      </c>
      <c r="C76" s="7" t="s">
        <v>6</v>
      </c>
      <c r="D76" s="7" t="s">
        <v>154</v>
      </c>
      <c r="E76" s="7" t="s">
        <v>7</v>
      </c>
      <c r="F76" s="7" t="s">
        <v>155</v>
      </c>
      <c r="G76" s="7" t="str">
        <f t="shared" si="14"/>
        <v>GbpLibor3M</v>
      </c>
      <c r="H76" s="1" t="str">
        <f t="shared" si="15"/>
        <v>GBPSB6L60Y_LCHQuote</v>
      </c>
      <c r="I76" s="128">
        <v>0</v>
      </c>
      <c r="J76" s="3" t="str">
        <f>_xll.qlSwapRateHelper2(,$H76,0,$B76,Calendar,$D76,$E76,$F76,$G76,$I76,$C76,,PillarDate,,Permanent,Trigger,ObjectOverwrite)</f>
        <v>obj_003c1#0007</v>
      </c>
    </row>
    <row r="77" spans="1:32" ht="11.25" customHeight="1" x14ac:dyDescent="0.2"/>
    <row r="78" spans="1:32" ht="11.25" customHeight="1" x14ac:dyDescent="0.2"/>
    <row r="79" spans="1:32" ht="11.25" customHeight="1" x14ac:dyDescent="0.2"/>
    <row r="80" spans="1:32" ht="11.25" customHeight="1" x14ac:dyDescent="0.2"/>
    <row r="81" spans="2:21" ht="11.25" customHeight="1" x14ac:dyDescent="0.2"/>
    <row r="82" spans="2:21" ht="11.25" customHeight="1" x14ac:dyDescent="0.2"/>
    <row r="83" spans="2:21" ht="11.25" customHeight="1" x14ac:dyDescent="0.2"/>
    <row r="84" spans="2:21" ht="11.25" customHeight="1" x14ac:dyDescent="0.2"/>
    <row r="85" spans="2:21" ht="11.25" customHeight="1" x14ac:dyDescent="0.2"/>
    <row r="86" spans="2:21" x14ac:dyDescent="0.2">
      <c r="B86" s="46"/>
      <c r="C86" s="46"/>
      <c r="D86" s="46"/>
      <c r="E86" s="46"/>
      <c r="F86" s="46"/>
      <c r="G86" s="46"/>
      <c r="H86" s="46"/>
    </row>
    <row r="87" spans="2:21" x14ac:dyDescent="0.2">
      <c r="B87" s="46"/>
      <c r="C87" s="46"/>
      <c r="D87" s="46"/>
      <c r="E87" s="46"/>
      <c r="F87" s="46"/>
      <c r="G87" s="46"/>
      <c r="H87" s="46"/>
    </row>
    <row r="88" spans="2:21" x14ac:dyDescent="0.2">
      <c r="B88" s="46"/>
      <c r="C88" s="46"/>
      <c r="D88" s="46"/>
      <c r="E88" s="46"/>
      <c r="F88" s="46"/>
      <c r="G88" s="46"/>
      <c r="H88" s="46"/>
    </row>
    <row r="89" spans="2:21" x14ac:dyDescent="0.2">
      <c r="B89" s="46"/>
      <c r="C89" s="46"/>
      <c r="D89" s="46"/>
      <c r="E89" s="46"/>
      <c r="F89" s="46"/>
      <c r="G89" s="46"/>
      <c r="H89" s="46"/>
    </row>
    <row r="90" spans="2:21" x14ac:dyDescent="0.2">
      <c r="B90" s="46"/>
      <c r="C90" s="46"/>
      <c r="D90" s="46"/>
      <c r="E90" s="46"/>
      <c r="F90" s="46"/>
      <c r="G90" s="46"/>
      <c r="H90" s="46"/>
      <c r="M90" s="46"/>
      <c r="N90" s="46"/>
      <c r="O90" s="46"/>
      <c r="P90" s="46"/>
      <c r="Q90" s="46"/>
      <c r="R90" s="46"/>
      <c r="S90" s="46"/>
      <c r="T90" s="46"/>
      <c r="U90" s="46"/>
    </row>
    <row r="91" spans="2:21" x14ac:dyDescent="0.2">
      <c r="B91" s="46"/>
      <c r="C91" s="46"/>
      <c r="D91" s="46"/>
      <c r="E91" s="46"/>
      <c r="F91" s="46"/>
      <c r="G91" s="46"/>
      <c r="H91" s="46"/>
      <c r="M91" s="46"/>
      <c r="N91" s="46"/>
      <c r="O91" s="46"/>
      <c r="P91" s="46"/>
      <c r="Q91" s="46"/>
      <c r="R91" s="46"/>
      <c r="S91" s="46"/>
      <c r="T91" s="46"/>
      <c r="U91" s="46"/>
    </row>
    <row r="92" spans="2:21" x14ac:dyDescent="0.2">
      <c r="B92" s="46"/>
      <c r="C92" s="46"/>
      <c r="D92" s="46"/>
      <c r="E92" s="46"/>
      <c r="F92" s="46"/>
      <c r="G92" s="46"/>
      <c r="H92" s="46"/>
      <c r="M92" s="46"/>
      <c r="N92" s="46"/>
      <c r="O92" s="46"/>
      <c r="P92" s="46"/>
      <c r="Q92" s="46"/>
      <c r="R92" s="46"/>
      <c r="S92" s="46"/>
      <c r="T92" s="46"/>
      <c r="U92" s="46"/>
    </row>
    <row r="93" spans="2:21" x14ac:dyDescent="0.2">
      <c r="B93" s="46"/>
      <c r="C93" s="46"/>
      <c r="D93" s="46"/>
      <c r="E93" s="46"/>
      <c r="F93" s="46"/>
      <c r="G93" s="46"/>
      <c r="H93" s="46"/>
      <c r="M93" s="46"/>
      <c r="N93" s="46"/>
      <c r="O93" s="46"/>
      <c r="P93" s="46"/>
      <c r="Q93" s="46"/>
      <c r="R93" s="46"/>
      <c r="S93" s="46"/>
      <c r="T93" s="46"/>
      <c r="U93" s="46"/>
    </row>
    <row r="94" spans="2:21" x14ac:dyDescent="0.2">
      <c r="B94" s="46"/>
      <c r="C94" s="46"/>
      <c r="D94" s="46"/>
      <c r="E94" s="46"/>
      <c r="F94" s="46"/>
      <c r="G94" s="46"/>
      <c r="H94" s="46"/>
      <c r="M94" s="46"/>
      <c r="N94" s="46"/>
      <c r="O94" s="46"/>
      <c r="P94" s="46"/>
      <c r="Q94" s="46"/>
      <c r="R94" s="46"/>
      <c r="S94" s="46"/>
      <c r="T94" s="46"/>
      <c r="U94" s="46"/>
    </row>
    <row r="95" spans="2:21" x14ac:dyDescent="0.2">
      <c r="B95" s="46"/>
      <c r="C95" s="46"/>
      <c r="D95" s="46"/>
      <c r="E95" s="46"/>
      <c r="F95" s="46"/>
      <c r="G95" s="46"/>
      <c r="H95" s="46"/>
      <c r="M95" s="46"/>
      <c r="N95" s="46"/>
      <c r="O95" s="46"/>
      <c r="P95" s="46"/>
      <c r="Q95" s="46"/>
      <c r="R95" s="46"/>
      <c r="S95" s="46"/>
      <c r="T95" s="46"/>
      <c r="U95" s="46"/>
    </row>
    <row r="96" spans="2:21" x14ac:dyDescent="0.2">
      <c r="B96" s="46"/>
      <c r="C96" s="46"/>
      <c r="D96" s="46"/>
      <c r="E96" s="46"/>
      <c r="F96" s="46"/>
      <c r="G96" s="46"/>
      <c r="H96" s="46"/>
      <c r="M96" s="46"/>
      <c r="N96" s="46"/>
      <c r="O96" s="46"/>
      <c r="P96" s="46"/>
      <c r="Q96" s="46"/>
      <c r="R96" s="46"/>
      <c r="S96" s="46"/>
      <c r="T96" s="46"/>
      <c r="U96" s="46"/>
    </row>
    <row r="97" spans="2:21" x14ac:dyDescent="0.2">
      <c r="B97" s="46"/>
      <c r="C97" s="46"/>
      <c r="D97" s="46"/>
      <c r="E97" s="46"/>
      <c r="F97" s="46"/>
      <c r="G97" s="46"/>
      <c r="H97" s="46"/>
      <c r="M97" s="46"/>
      <c r="N97" s="46"/>
      <c r="O97" s="46"/>
      <c r="P97" s="46"/>
      <c r="Q97" s="46"/>
      <c r="R97" s="46"/>
      <c r="S97" s="46"/>
      <c r="T97" s="46"/>
      <c r="U97" s="46"/>
    </row>
    <row r="98" spans="2:21" x14ac:dyDescent="0.2">
      <c r="B98" s="46"/>
      <c r="C98" s="46"/>
      <c r="D98" s="46"/>
      <c r="E98" s="46"/>
      <c r="F98" s="46"/>
      <c r="G98" s="46"/>
      <c r="H98" s="46"/>
      <c r="M98" s="46"/>
      <c r="N98" s="46"/>
      <c r="O98" s="46"/>
      <c r="P98" s="46"/>
      <c r="Q98" s="46"/>
      <c r="R98" s="46"/>
      <c r="S98" s="46"/>
      <c r="T98" s="46"/>
      <c r="U98" s="46"/>
    </row>
    <row r="99" spans="2:21" x14ac:dyDescent="0.2">
      <c r="B99" s="46"/>
      <c r="C99" s="46"/>
      <c r="D99" s="46"/>
      <c r="E99" s="46"/>
      <c r="F99" s="46"/>
      <c r="G99" s="46"/>
      <c r="H99" s="46"/>
      <c r="M99" s="46"/>
      <c r="N99" s="46"/>
      <c r="O99" s="46"/>
      <c r="P99" s="46"/>
      <c r="Q99" s="46"/>
      <c r="R99" s="46"/>
      <c r="S99" s="46"/>
      <c r="T99" s="46"/>
      <c r="U99" s="46"/>
    </row>
    <row r="100" spans="2:21" x14ac:dyDescent="0.2">
      <c r="B100" s="46"/>
      <c r="C100" s="46"/>
      <c r="D100" s="46"/>
      <c r="E100" s="46"/>
      <c r="F100" s="46"/>
      <c r="G100" s="46"/>
      <c r="H100" s="46"/>
      <c r="M100" s="46"/>
      <c r="N100" s="46"/>
      <c r="O100" s="46"/>
      <c r="P100" s="46"/>
      <c r="Q100" s="46"/>
      <c r="R100" s="46"/>
      <c r="S100" s="46"/>
      <c r="T100" s="46"/>
      <c r="U100" s="46"/>
    </row>
    <row r="101" spans="2:21" x14ac:dyDescent="0.2">
      <c r="B101" s="46"/>
      <c r="C101" s="46"/>
      <c r="D101" s="46"/>
      <c r="E101" s="46"/>
      <c r="F101" s="46"/>
      <c r="G101" s="46"/>
      <c r="H101" s="46"/>
      <c r="M101" s="46"/>
      <c r="N101" s="46"/>
      <c r="O101" s="46"/>
      <c r="P101" s="46"/>
      <c r="Q101" s="46"/>
      <c r="R101" s="46"/>
      <c r="S101" s="46"/>
      <c r="T101" s="46"/>
      <c r="U101" s="46"/>
    </row>
    <row r="102" spans="2:21" x14ac:dyDescent="0.2">
      <c r="M102" s="46"/>
      <c r="N102" s="46"/>
      <c r="O102" s="46"/>
      <c r="P102" s="46"/>
      <c r="Q102" s="46"/>
      <c r="R102" s="46"/>
      <c r="S102" s="46"/>
      <c r="T102" s="46"/>
      <c r="U102" s="46"/>
    </row>
    <row r="103" spans="2:21" x14ac:dyDescent="0.2">
      <c r="M103" s="46"/>
      <c r="N103" s="46"/>
      <c r="O103" s="46"/>
      <c r="P103" s="46"/>
      <c r="Q103" s="46"/>
      <c r="R103" s="46"/>
      <c r="S103" s="46"/>
      <c r="T103" s="46"/>
      <c r="U103" s="46"/>
    </row>
    <row r="104" spans="2:21" x14ac:dyDescent="0.2">
      <c r="M104" s="46"/>
      <c r="N104" s="46"/>
      <c r="O104" s="46"/>
      <c r="P104" s="46"/>
      <c r="Q104" s="46"/>
      <c r="R104" s="46"/>
      <c r="S104" s="46"/>
      <c r="T104" s="46"/>
      <c r="U104" s="46"/>
    </row>
    <row r="105" spans="2:21" x14ac:dyDescent="0.2">
      <c r="M105" s="46"/>
      <c r="N105" s="46"/>
      <c r="O105" s="46"/>
      <c r="P105" s="46"/>
      <c r="Q105" s="46"/>
      <c r="R105" s="46"/>
      <c r="S105" s="46"/>
      <c r="T105" s="46"/>
      <c r="U105" s="46"/>
    </row>
    <row r="111" spans="2:21" x14ac:dyDescent="0.2">
      <c r="B111" s="46"/>
      <c r="C111" s="46"/>
      <c r="D111" s="46"/>
      <c r="E111" s="46"/>
      <c r="F111" s="46"/>
      <c r="G111" s="46"/>
      <c r="H111" s="46"/>
    </row>
    <row r="115" spans="13:21" x14ac:dyDescent="0.2">
      <c r="M115" s="46"/>
      <c r="N115" s="46"/>
      <c r="O115" s="46"/>
      <c r="P115" s="46"/>
      <c r="Q115" s="46"/>
      <c r="R115" s="46"/>
      <c r="S115" s="46"/>
      <c r="T115" s="46"/>
      <c r="U115" s="46"/>
    </row>
  </sheetData>
  <mergeCells count="1">
    <mergeCell ref="AH2:AI2"/>
  </mergeCells>
  <dataValidations count="4">
    <dataValidation type="list" allowBlank="1" showInputMessage="1" showErrorMessage="1" sqref="E3:E4 E40:E76">
      <formula1>"Following,Modified Following,Preceding,Modified Preceding,Unadjusted,Half-Month Modified Following"</formula1>
    </dataValidation>
    <dataValidation type="list" allowBlank="1" showInputMessage="1" showErrorMessage="1" sqref="F3:F4 F40:F76">
      <formula1>"Actual/Actual (ISDA),Actual/360,30/360 (Bond Basis),30E/360 (Eurobond Basis),Actual/365 (Fixed),Actual/Actual (ISMA),Actual/Actual (AFB),1/1,30/360 (Italian),Simple"</formula1>
    </dataValidation>
    <dataValidation type="list" allowBlank="1" showInputMessage="1" showErrorMessage="1" sqref="D40:D76">
      <formula1>"Annual,Semiannual,EveryFourthMonth,Quarterly,Bimonthly,Monthly,Biweekly,Weekly,Daily,Once,NoFrequency"</formula1>
    </dataValidation>
    <dataValidation type="list" allowBlank="1" showInputMessage="1" showErrorMessage="1" sqref="AI6">
      <formula1>"AllDepos,DeposBeforeFirstFuturesStartDate,DeposBeforeFirstFuturesStartDatePlusOne,DeposBeforeFirstFuturesExpiryDate"</formula1>
    </dataValidation>
  </dataValidations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62</vt:i4>
      </vt:variant>
    </vt:vector>
  </HeadingPairs>
  <TitlesOfParts>
    <vt:vector size="69" baseType="lpstr">
      <vt:lpstr>GeneralSettings</vt:lpstr>
      <vt:lpstr>GBPON</vt:lpstr>
      <vt:lpstr>GBP3M</vt:lpstr>
      <vt:lpstr>GBP6M</vt:lpstr>
      <vt:lpstr>GBP1M</vt:lpstr>
      <vt:lpstr>GBP1Y</vt:lpstr>
      <vt:lpstr>GBPSTD</vt:lpstr>
      <vt:lpstr>Calendar</vt:lpstr>
      <vt:lpstr>Currency</vt:lpstr>
      <vt:lpstr>Discounting1</vt:lpstr>
      <vt:lpstr>Discounting2</vt:lpstr>
      <vt:lpstr>DiscountingSTD</vt:lpstr>
      <vt:lpstr>EvaluationDate</vt:lpstr>
      <vt:lpstr>EvalutionDate</vt:lpstr>
      <vt:lpstr>FamilyName</vt:lpstr>
      <vt:lpstr>GBP1M!IncludeFlag</vt:lpstr>
      <vt:lpstr>GBP1Y!IncludeFlag</vt:lpstr>
      <vt:lpstr>GBP3M!IncludeFlag</vt:lpstr>
      <vt:lpstr>GBP6M!IncludeFlag</vt:lpstr>
      <vt:lpstr>GBPON!IncludeFlag</vt:lpstr>
      <vt:lpstr>GBPSTD!IncludeFlag</vt:lpstr>
      <vt:lpstr>LCHcubic</vt:lpstr>
      <vt:lpstr>LCHlinear</vt:lpstr>
      <vt:lpstr>GBP1M!MinDistance</vt:lpstr>
      <vt:lpstr>GBP1Y!MinDistance</vt:lpstr>
      <vt:lpstr>GBP3M!MinDistance</vt:lpstr>
      <vt:lpstr>GBP6M!MinDistance</vt:lpstr>
      <vt:lpstr>GBPON!MinDistance</vt:lpstr>
      <vt:lpstr>GBPSTD!MinDistance</vt:lpstr>
      <vt:lpstr>ObjectOverwrite</vt:lpstr>
      <vt:lpstr>Permanent</vt:lpstr>
      <vt:lpstr>PillarDate</vt:lpstr>
      <vt:lpstr>GBP1M!Priority</vt:lpstr>
      <vt:lpstr>GBP1Y!Priority</vt:lpstr>
      <vt:lpstr>GBP3M!Priority</vt:lpstr>
      <vt:lpstr>GBP6M!Priority</vt:lpstr>
      <vt:lpstr>GBPON!Priority</vt:lpstr>
      <vt:lpstr>GBPSTD!Priority</vt:lpstr>
      <vt:lpstr>QuoteSuffix</vt:lpstr>
      <vt:lpstr>GBPON!RateHelpers</vt:lpstr>
      <vt:lpstr>RateHelpers</vt:lpstr>
      <vt:lpstr>GBP1M!RateHelpers1</vt:lpstr>
      <vt:lpstr>GBP1Y!RateHelpers1</vt:lpstr>
      <vt:lpstr>GBP3M!RateHelpers1</vt:lpstr>
      <vt:lpstr>GBP6M!RateHelpers1</vt:lpstr>
      <vt:lpstr>GBPSTD!RateHelpers1</vt:lpstr>
      <vt:lpstr>GBP1M!RateHelpers2</vt:lpstr>
      <vt:lpstr>GBP1Y!RateHelpers2</vt:lpstr>
      <vt:lpstr>GBP3M!RateHelpers2</vt:lpstr>
      <vt:lpstr>GBP6M!RateHelpers2</vt:lpstr>
      <vt:lpstr>ReportQuoteOverwrite</vt:lpstr>
      <vt:lpstr>ReportQuoteSuffix</vt:lpstr>
      <vt:lpstr>SettlementDate</vt:lpstr>
      <vt:lpstr>GBP1M!Tenor</vt:lpstr>
      <vt:lpstr>GBP1Y!Tenor</vt:lpstr>
      <vt:lpstr>GBP3M!Tenor</vt:lpstr>
      <vt:lpstr>GBP6M!Tenor</vt:lpstr>
      <vt:lpstr>Trigger</vt:lpstr>
      <vt:lpstr>yieldcurve1_1M</vt:lpstr>
      <vt:lpstr>yieldcurve1_1Y</vt:lpstr>
      <vt:lpstr>YieldCurve1_3M</vt:lpstr>
      <vt:lpstr>YieldCurve1_6M</vt:lpstr>
      <vt:lpstr>YieldCurve1_ON</vt:lpstr>
      <vt:lpstr>yieldcurve1_STD</vt:lpstr>
      <vt:lpstr>yieldcurve2_1M</vt:lpstr>
      <vt:lpstr>yieldcurve2_1Y</vt:lpstr>
      <vt:lpstr>yieldcurve2_3M</vt:lpstr>
      <vt:lpstr>YieldCurve2_6M</vt:lpstr>
      <vt:lpstr>yieldcurve2_ON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MAZZOCCHI PAOLO</dc:creator>
  <cp:lastModifiedBy>FONDI STEFANO</cp:lastModifiedBy>
  <dcterms:created xsi:type="dcterms:W3CDTF">2014-09-18T08:07:51Z</dcterms:created>
  <dcterms:modified xsi:type="dcterms:W3CDTF">2015-11-13T18:07:32Z</dcterms:modified>
</cp:coreProperties>
</file>