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BasisSwapFF3M" sheetId="66" r:id="rId11"/>
    <sheet name="BasisSwap1M3M" sheetId="11" r:id="rId12"/>
    <sheet name="BasisSwap3M6M" sheetId="12" r:id="rId13"/>
    <sheet name="BasisSwap3M12M" sheetId="13" r:id="rId14"/>
    <sheet name="LiborSwapForBasisCalc (2)" sheetId="67" r:id="rId15"/>
    <sheet name="LiborSwapForBasisCalc" sheetId="63" r:id="rId16"/>
    <sheet name="FuturesHWConvAdj" sheetId="20" r:id="rId17"/>
  </sheets>
  <externalReferences>
    <externalReference r:id="rId18"/>
  </externalReferences>
  <definedNames>
    <definedName name="AllTriggers">'[1]General Settings'!$I$4:$I$8</definedName>
    <definedName name="Area">'General Settings'!$I$4</definedName>
    <definedName name="AreaIndex">'General Settings'!$I$5</definedName>
    <definedName name="AreaTable">'General Settings'!$L$3:$O$14</definedName>
    <definedName name="B12MInterpolation">'[1]Delta 1Y'!$N$1</definedName>
    <definedName name="B3Minterpolation">'[1]Delta 3M'!$N$1</definedName>
    <definedName name="B6Minterpolation">'[1]Delta 6M '!$N$1</definedName>
    <definedName name="Calendar">'General Settings'!$D$24</definedName>
    <definedName name="Contributor" localSheetId="11">BasisSwap1M3M!$O$2</definedName>
    <definedName name="Contributor" localSheetId="13">BasisSwap3M12M!$O$2</definedName>
    <definedName name="Contributor" localSheetId="12">BasisSwap3M6M!$O$2</definedName>
    <definedName name="Contributor" localSheetId="10">BasisSwapFF3M!$O$2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Settings'!$C$29:$C$47</definedName>
    <definedName name="ContributorTable">'General Settings'!$C$29:$D$47</definedName>
    <definedName name="Currency">'General Settings'!$D$13</definedName>
    <definedName name="DayCounter">'[1]General Settings'!$D$8</definedName>
    <definedName name="Delta1M">'[1]Delta 1M'!$X$25:$X$28</definedName>
    <definedName name="Discounting1">'General Settings'!$D$14</definedName>
    <definedName name="Discounting2">'General Settings'!$D$15</definedName>
    <definedName name="EvaluationDate">'General Settings'!$D$5</definedName>
    <definedName name="FamilyName" localSheetId="1">Libor!$E$3</definedName>
    <definedName name="FamilyName">'General Settings'!$D$16</definedName>
    <definedName name="FamilyName2" localSheetId="15">LiborSwapForBasisCalc!$E$2</definedName>
    <definedName name="FamilyName2" localSheetId="14">'LiborSwapForBasisCalc (2)'!$E$2</definedName>
    <definedName name="FileName" localSheetId="15">LiborSwapForBasisCalc!$D$7</definedName>
    <definedName name="FileName" localSheetId="14">'LiborSwapForBasisCalc (2)'!$D$7</definedName>
    <definedName name="FileOverwrite" localSheetId="14">'General Settings'!#REF!</definedName>
    <definedName name="FileOverwrite">'General Settings'!#REF!</definedName>
    <definedName name="FixingType" localSheetId="15">LiborSwapForBasisCalc!$E$3</definedName>
    <definedName name="FixingType" localSheetId="14">'LiborSwapForBasisCalc (2)'!$E$3</definedName>
    <definedName name="FixingType">'General Settings'!$D$18</definedName>
    <definedName name="FuturesCodes" localSheetId="7">Futures3M!$P$5:$P$46</definedName>
    <definedName name="FuturesDates" localSheetId="7">Futures3M!$Q$5:$Q$46</definedName>
    <definedName name="HolidayCheck">'General Settings'!$D$23</definedName>
    <definedName name="IborIndex" localSheetId="7">Futures3M!$I$3</definedName>
    <definedName name="iborindex1M">'[1]General Settings'!$D$25</definedName>
    <definedName name="IborTenor1M">'[1]General Settings'!$D$23</definedName>
    <definedName name="IborType">'[1]General Settings'!$D$5</definedName>
    <definedName name="Instrments" localSheetId="12">BasisSwap3M6M!$N$5:$N$42</definedName>
    <definedName name="Instruments" localSheetId="11">BasisSwap1M3M!$N$5:$N$42</definedName>
    <definedName name="Instruments" localSheetId="13">BasisSwap3M12M!$N$5:$N$42</definedName>
    <definedName name="Instruments" localSheetId="10">BasisSwapFF3M!$N$5:$N$42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terestRatesTrigger">'[1]General Settings'!$I$6</definedName>
    <definedName name="InterpolationType">'General Settings'!$I$18</definedName>
    <definedName name="interpolator12M">'[1]1YSynthDepo'!$D$11</definedName>
    <definedName name="interpolator3M">'[1]3MSynthDepo'!$D$11</definedName>
    <definedName name="interpolator6M">'[1]6MSynthDepo'!$D$11</definedName>
    <definedName name="JoinCalendar">'General Settings'!$D$22</definedName>
    <definedName name="LastFixingsTrigger">'General Settings'!$D$8</definedName>
    <definedName name="LastUpdate">'General Settings'!$I$8</definedName>
    <definedName name="LCHcubic">'General Settings'!$I$17</definedName>
    <definedName name="LCHlinear">'General Settings'!$I$16</definedName>
    <definedName name="LiborCalendar">'General Settings'!$D$19</definedName>
    <definedName name="LiveDataFeed">'General Settings'!$I$7</definedName>
    <definedName name="LocalCalendar">'[1]General Settings'!$I$14</definedName>
    <definedName name="MeanReversion" localSheetId="7">Futures3M!$I$2</definedName>
    <definedName name="MoneyMarketDayCounter">'General Settings'!$D$17</definedName>
    <definedName name="ObjectOverwrite">'General Settings'!$I$14</definedName>
    <definedName name="OverNightIndexCalendar">'General Settings'!$D$20</definedName>
    <definedName name="Permanent">'General Settings'!$I$13</definedName>
    <definedName name="PriceTickValue">'General Settings'!$I$20</definedName>
    <definedName name="Quote" localSheetId="11">BasisSwap1M3M!$Y$5:$Y$42</definedName>
    <definedName name="Quote" localSheetId="13">BasisSwap3M12M!$Y$5:$Y$42</definedName>
    <definedName name="Quote" localSheetId="12">BasisSwap3M6M!$Y$5:$Y$42</definedName>
    <definedName name="Quote" localSheetId="10">BasisSwapFF3M!$Y$5:$Y$42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6">FuturesHWConvAdj!$T$5:$T$6</definedName>
    <definedName name="Quote" localSheetId="6">OIS!$W$5:$W$58</definedName>
    <definedName name="Quote" localSheetId="8">Swap1M!$W$5:$W$18</definedName>
    <definedName name="Quote" localSheetId="9">Swap3M!$Z$5:$Z$42</definedName>
    <definedName name="QuoteLive" localSheetId="11">BasisSwap1M3M!$U$5:$U$42</definedName>
    <definedName name="QuoteLive" localSheetId="13">BasisSwap3M12M!$U$5:$U$42</definedName>
    <definedName name="QuoteLive" localSheetId="12">BasisSwap3M6M!$U$5:$U$42</definedName>
    <definedName name="QuoteLive" localSheetId="10">BasisSwapFF3M!$U$5:$U$42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6">FuturesHWConvAdj!$P$5:$P$6</definedName>
    <definedName name="QuoteLive" localSheetId="6">OIS!$R$5:$R$58</definedName>
    <definedName name="QuoteLive" localSheetId="8">Swap1M!$R$5:$R$18</definedName>
    <definedName name="QuoteLive" localSheetId="9">Swap3M!$U$5:$U$42</definedName>
    <definedName name="QuoteStatic" localSheetId="11">BasisSwap1M3M!$W$5:$W$42</definedName>
    <definedName name="QuoteStatic" localSheetId="13">BasisSwap3M12M!$W$5:$W$42</definedName>
    <definedName name="QuoteStatic" localSheetId="12">BasisSwap3M6M!$W$5:$W$42</definedName>
    <definedName name="QuoteStatic" localSheetId="10">BasisSwapFF3M!$W$5:$W$42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6">FuturesHWConvAdj!$R$5:$R$6</definedName>
    <definedName name="QuoteStatic" localSheetId="6">OIS!$U$5:$U$58</definedName>
    <definedName name="QuoteStatic" localSheetId="8">Swap1M!$U$5:$U$18</definedName>
    <definedName name="QuoteStatic" localSheetId="9">Swap3M!$X$5:$X$42</definedName>
    <definedName name="QuoteSuffix">'General Settings'!$I$15</definedName>
    <definedName name="RateTickValue">'General Settings'!$I$19</definedName>
    <definedName name="ReutersRtMode">'General Settings'!$I$21</definedName>
    <definedName name="SerializationPath" localSheetId="14">'General Settings'!#REF!</definedName>
    <definedName name="SerializationPath">'General Settings'!#REF!</definedName>
    <definedName name="Serialize" localSheetId="14">'General Settings'!#REF!</definedName>
    <definedName name="Serialize">'General Settings'!#REF!</definedName>
    <definedName name="SettlementDate">'[1]General Settings'!$D$9</definedName>
    <definedName name="Swap3M4Y">Swap3M!$Z$12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W44" i="63" l="1"/>
  <c r="W43" i="63"/>
  <c r="W42" i="63"/>
  <c r="W41" i="63"/>
  <c r="W40" i="63"/>
  <c r="W39" i="63"/>
  <c r="W38" i="63"/>
  <c r="W37" i="63"/>
  <c r="W36" i="63"/>
  <c r="W35" i="63"/>
  <c r="W34" i="63"/>
  <c r="W33" i="63"/>
  <c r="W32" i="63"/>
  <c r="W31" i="63"/>
  <c r="W30" i="63"/>
  <c r="W29" i="63"/>
  <c r="W28" i="63"/>
  <c r="W27" i="63"/>
  <c r="W26" i="63"/>
  <c r="W25" i="63"/>
  <c r="W24" i="63"/>
  <c r="W23" i="63"/>
  <c r="W22" i="63"/>
  <c r="W21" i="63"/>
  <c r="W20" i="63"/>
  <c r="W19" i="63"/>
  <c r="W18" i="63"/>
  <c r="W17" i="63"/>
  <c r="W16" i="63"/>
  <c r="W15" i="63"/>
  <c r="W14" i="63"/>
  <c r="W13" i="63"/>
  <c r="W12" i="63"/>
  <c r="W11" i="63"/>
  <c r="W10" i="63"/>
  <c r="W9" i="63"/>
  <c r="W8" i="63"/>
  <c r="P44" i="63"/>
  <c r="P43" i="63"/>
  <c r="P42" i="63"/>
  <c r="P41" i="63"/>
  <c r="P40" i="63"/>
  <c r="P39" i="63"/>
  <c r="P38" i="63"/>
  <c r="P37" i="63"/>
  <c r="P36" i="63"/>
  <c r="P35" i="63"/>
  <c r="P34" i="63"/>
  <c r="P33" i="63"/>
  <c r="P32" i="63"/>
  <c r="P31" i="63"/>
  <c r="P30" i="63"/>
  <c r="P29" i="63"/>
  <c r="P28" i="63"/>
  <c r="P27" i="63"/>
  <c r="P26" i="63"/>
  <c r="P25" i="63"/>
  <c r="P24" i="63"/>
  <c r="P23" i="63"/>
  <c r="P22" i="63"/>
  <c r="P21" i="63"/>
  <c r="P20" i="63"/>
  <c r="P19" i="63"/>
  <c r="P18" i="63"/>
  <c r="P17" i="63"/>
  <c r="P16" i="63"/>
  <c r="P15" i="63"/>
  <c r="P14" i="63"/>
  <c r="P13" i="63"/>
  <c r="P12" i="63"/>
  <c r="P11" i="63"/>
  <c r="P10" i="63"/>
  <c r="P9" i="63"/>
  <c r="P8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W44" i="67"/>
  <c r="W43" i="67"/>
  <c r="W42" i="67"/>
  <c r="W41" i="67"/>
  <c r="W40" i="67"/>
  <c r="W39" i="67"/>
  <c r="W38" i="67"/>
  <c r="W37" i="67"/>
  <c r="W36" i="67"/>
  <c r="W35" i="67"/>
  <c r="W34" i="67"/>
  <c r="W33" i="67"/>
  <c r="W32" i="67"/>
  <c r="W31" i="67"/>
  <c r="W30" i="67"/>
  <c r="W29" i="67"/>
  <c r="W28" i="67"/>
  <c r="W27" i="67"/>
  <c r="W26" i="67"/>
  <c r="W25" i="67"/>
  <c r="W24" i="67"/>
  <c r="W23" i="67"/>
  <c r="W22" i="67"/>
  <c r="W21" i="67"/>
  <c r="W20" i="67"/>
  <c r="W19" i="67"/>
  <c r="W18" i="67"/>
  <c r="W17" i="67"/>
  <c r="W16" i="67"/>
  <c r="W15" i="67"/>
  <c r="W14" i="67"/>
  <c r="W13" i="67"/>
  <c r="W12" i="67"/>
  <c r="W11" i="67"/>
  <c r="W10" i="67"/>
  <c r="W9" i="67"/>
  <c r="W8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P44" i="67"/>
  <c r="P43" i="67"/>
  <c r="P42" i="67"/>
  <c r="P41" i="67"/>
  <c r="P40" i="67"/>
  <c r="P39" i="67"/>
  <c r="P38" i="67"/>
  <c r="P37" i="67"/>
  <c r="P36" i="67"/>
  <c r="P35" i="67"/>
  <c r="P34" i="67"/>
  <c r="P33" i="67"/>
  <c r="P32" i="67"/>
  <c r="P31" i="67"/>
  <c r="P30" i="67"/>
  <c r="P29" i="67"/>
  <c r="P28" i="67"/>
  <c r="P27" i="67"/>
  <c r="P26" i="67"/>
  <c r="P25" i="67"/>
  <c r="P24" i="67"/>
  <c r="P23" i="67"/>
  <c r="P22" i="67"/>
  <c r="P21" i="67"/>
  <c r="P20" i="67"/>
  <c r="P19" i="67"/>
  <c r="P18" i="67"/>
  <c r="P17" i="67"/>
  <c r="P16" i="67"/>
  <c r="P15" i="67"/>
  <c r="P14" i="67"/>
  <c r="P13" i="67"/>
  <c r="P12" i="67"/>
  <c r="P11" i="67"/>
  <c r="P10" i="67"/>
  <c r="P9" i="67"/>
  <c r="P8" i="67"/>
  <c r="E4" i="67"/>
  <c r="D15" i="56"/>
  <c r="D14" i="56"/>
  <c r="F12" i="6"/>
  <c r="F10" i="6"/>
  <c r="F8" i="6"/>
  <c r="F6" i="6"/>
  <c r="F11" i="6"/>
  <c r="F9" i="6"/>
  <c r="F7" i="6"/>
  <c r="Q5" i="15" l="1" a="1"/>
  <c r="K6" i="6"/>
  <c r="I5" i="6"/>
  <c r="N12" i="6"/>
  <c r="N11" i="6"/>
  <c r="N10" i="6"/>
  <c r="N9" i="6"/>
  <c r="N8" i="6"/>
  <c r="N7" i="6"/>
  <c r="N6" i="6"/>
  <c r="Q7" i="15" l="1"/>
  <c r="Q6" i="15"/>
  <c r="Q5" i="15"/>
  <c r="D13" i="6"/>
  <c r="E8" i="6"/>
  <c r="H8" i="6"/>
  <c r="E12" i="6"/>
  <c r="D12" i="6"/>
  <c r="E10" i="6"/>
  <c r="D11" i="6"/>
  <c r="D10" i="6"/>
  <c r="E13" i="6"/>
  <c r="D6" i="6"/>
  <c r="D8" i="6"/>
  <c r="G9" i="6" s="1"/>
  <c r="E6" i="6"/>
  <c r="I8" i="6"/>
  <c r="E11" i="6"/>
  <c r="H7" i="6"/>
  <c r="G6" i="6"/>
  <c r="G7" i="6"/>
  <c r="R7" i="6"/>
  <c r="I7" i="6"/>
  <c r="W5" i="23" l="1" a="1"/>
  <c r="W5" i="65" a="1"/>
  <c r="W5" i="64" a="1"/>
  <c r="W5" i="16" a="1"/>
  <c r="H6" i="6"/>
  <c r="H9" i="6"/>
  <c r="I6" i="6"/>
  <c r="G12" i="6"/>
  <c r="G11" i="6"/>
  <c r="G8" i="6"/>
  <c r="H11" i="6"/>
  <c r="Q6" i="6"/>
  <c r="R9" i="6"/>
  <c r="Q7" i="6"/>
  <c r="I9" i="6"/>
  <c r="R8" i="6"/>
  <c r="H10" i="6"/>
  <c r="Q9" i="6"/>
  <c r="R10" i="6"/>
  <c r="I11" i="6"/>
  <c r="G10" i="6"/>
  <c r="H12" i="6"/>
  <c r="I12" i="6" s="1"/>
  <c r="R11" i="6"/>
  <c r="C42" i="66" l="1"/>
  <c r="E42" i="66" s="1"/>
  <c r="B42" i="66"/>
  <c r="C41" i="66"/>
  <c r="E41" i="66" s="1"/>
  <c r="B41" i="66"/>
  <c r="C40" i="66"/>
  <c r="E40" i="66" s="1"/>
  <c r="B40" i="66"/>
  <c r="C39" i="66"/>
  <c r="E39" i="66" s="1"/>
  <c r="B39" i="66"/>
  <c r="C38" i="66"/>
  <c r="E38" i="66" s="1"/>
  <c r="B38" i="66"/>
  <c r="C37" i="66"/>
  <c r="B37" i="66"/>
  <c r="E36" i="66"/>
  <c r="C36" i="66"/>
  <c r="B36" i="66"/>
  <c r="C35" i="66"/>
  <c r="B35" i="66"/>
  <c r="E35" i="66" s="1"/>
  <c r="C34" i="66"/>
  <c r="E34" i="66" s="1"/>
  <c r="B34" i="66"/>
  <c r="C33" i="66"/>
  <c r="E33" i="66" s="1"/>
  <c r="B33" i="66"/>
  <c r="E32" i="66"/>
  <c r="C32" i="66"/>
  <c r="B32" i="66"/>
  <c r="C31" i="66"/>
  <c r="E31" i="66" s="1"/>
  <c r="B31" i="66"/>
  <c r="C30" i="66"/>
  <c r="E30" i="66" s="1"/>
  <c r="B30" i="66"/>
  <c r="C29" i="66"/>
  <c r="B29" i="66"/>
  <c r="E28" i="66"/>
  <c r="C28" i="66"/>
  <c r="B28" i="66"/>
  <c r="C27" i="66"/>
  <c r="B27" i="66"/>
  <c r="E27" i="66" s="1"/>
  <c r="C26" i="66"/>
  <c r="B26" i="66"/>
  <c r="C25" i="66"/>
  <c r="E25" i="66" s="1"/>
  <c r="B25" i="66"/>
  <c r="E24" i="66"/>
  <c r="C24" i="66"/>
  <c r="B24" i="66"/>
  <c r="C23" i="66"/>
  <c r="E23" i="66" s="1"/>
  <c r="B23" i="66"/>
  <c r="C22" i="66"/>
  <c r="E22" i="66" s="1"/>
  <c r="B22" i="66"/>
  <c r="C21" i="66"/>
  <c r="B21" i="66"/>
  <c r="E20" i="66"/>
  <c r="C20" i="66"/>
  <c r="B20" i="66"/>
  <c r="C19" i="66"/>
  <c r="B19" i="66"/>
  <c r="E19" i="66" s="1"/>
  <c r="C18" i="66"/>
  <c r="B18" i="66"/>
  <c r="C17" i="66"/>
  <c r="E17" i="66" s="1"/>
  <c r="B17" i="66"/>
  <c r="E16" i="66"/>
  <c r="C16" i="66"/>
  <c r="B16" i="66"/>
  <c r="C15" i="66"/>
  <c r="E15" i="66" s="1"/>
  <c r="B15" i="66"/>
  <c r="C14" i="66"/>
  <c r="E14" i="66" s="1"/>
  <c r="B14" i="66"/>
  <c r="C13" i="66"/>
  <c r="B13" i="66"/>
  <c r="E12" i="66"/>
  <c r="C12" i="66"/>
  <c r="B12" i="66"/>
  <c r="C11" i="66"/>
  <c r="B11" i="66"/>
  <c r="E11" i="66" s="1"/>
  <c r="C10" i="66"/>
  <c r="B10" i="66"/>
  <c r="C9" i="66"/>
  <c r="E9" i="66" s="1"/>
  <c r="B9" i="66"/>
  <c r="E8" i="66"/>
  <c r="C8" i="66"/>
  <c r="B8" i="66"/>
  <c r="C7" i="66"/>
  <c r="E7" i="66" s="1"/>
  <c r="B7" i="66"/>
  <c r="C6" i="66"/>
  <c r="E6" i="66" s="1"/>
  <c r="B6" i="66"/>
  <c r="C5" i="66"/>
  <c r="E5" i="66" s="1"/>
  <c r="B5" i="66"/>
  <c r="R36" i="66"/>
  <c r="R32" i="66"/>
  <c r="R28" i="66"/>
  <c r="R14" i="66"/>
  <c r="R15" i="66"/>
  <c r="R42" i="66"/>
  <c r="R10" i="66"/>
  <c r="R8" i="66"/>
  <c r="R41" i="66"/>
  <c r="R40" i="66"/>
  <c r="R37" i="66"/>
  <c r="R29" i="66"/>
  <c r="R22" i="66"/>
  <c r="R27" i="66"/>
  <c r="R7" i="66"/>
  <c r="R21" i="66"/>
  <c r="R16" i="66"/>
  <c r="R26" i="66"/>
  <c r="R24" i="66"/>
  <c r="R13" i="66"/>
  <c r="R38" i="66"/>
  <c r="R33" i="66"/>
  <c r="R9" i="66"/>
  <c r="R35" i="66"/>
  <c r="R20" i="66"/>
  <c r="R34" i="66"/>
  <c r="R31" i="66"/>
  <c r="R6" i="66"/>
  <c r="R39" i="66"/>
  <c r="R23" i="66"/>
  <c r="R30" i="66"/>
  <c r="R11" i="66"/>
  <c r="R19" i="66"/>
  <c r="R12" i="66"/>
  <c r="R5" i="66"/>
  <c r="R18" i="66"/>
  <c r="R25" i="66"/>
  <c r="R17" i="66"/>
  <c r="I10" i="6"/>
  <c r="F33" i="66"/>
  <c r="F17" i="66"/>
  <c r="F12" i="66"/>
  <c r="F30" i="66"/>
  <c r="F38" i="66"/>
  <c r="P7" i="6"/>
  <c r="P6" i="6"/>
  <c r="F27" i="66"/>
  <c r="F25" i="66"/>
  <c r="F15" i="66"/>
  <c r="F20" i="66"/>
  <c r="O6" i="6"/>
  <c r="F22" i="66"/>
  <c r="R12" i="6"/>
  <c r="F5" i="66"/>
  <c r="F24" i="66"/>
  <c r="P9" i="6"/>
  <c r="O7" i="6"/>
  <c r="F23" i="66"/>
  <c r="F39" i="66"/>
  <c r="F40" i="66"/>
  <c r="Q12" i="6"/>
  <c r="F35" i="66"/>
  <c r="F41" i="66"/>
  <c r="Q8" i="6"/>
  <c r="F16" i="66"/>
  <c r="F36" i="66"/>
  <c r="Q10" i="6"/>
  <c r="Q11" i="6"/>
  <c r="F7" i="66"/>
  <c r="F14" i="66"/>
  <c r="F9" i="66"/>
  <c r="O9" i="6"/>
  <c r="F42" i="66"/>
  <c r="F28" i="66"/>
  <c r="F19" i="66"/>
  <c r="F8" i="66"/>
  <c r="F31" i="66"/>
  <c r="F11" i="66"/>
  <c r="F6" i="66"/>
  <c r="F32" i="66"/>
  <c r="F34" i="66"/>
  <c r="T5" i="66" l="1"/>
  <c r="T38" i="66"/>
  <c r="T6" i="66"/>
  <c r="T14" i="66"/>
  <c r="T22" i="66"/>
  <c r="T30" i="66"/>
  <c r="T41" i="66"/>
  <c r="T32" i="66"/>
  <c r="T40" i="66"/>
  <c r="T13" i="66"/>
  <c r="T21" i="66"/>
  <c r="T29" i="66"/>
  <c r="T37" i="66"/>
  <c r="T27" i="66"/>
  <c r="T34" i="66"/>
  <c r="T35" i="66"/>
  <c r="T11" i="66"/>
  <c r="T7" i="66"/>
  <c r="T42" i="66"/>
  <c r="T12" i="66"/>
  <c r="T20" i="66"/>
  <c r="T28" i="66"/>
  <c r="T36" i="66"/>
  <c r="T19" i="66"/>
  <c r="T18" i="66"/>
  <c r="T26" i="66"/>
  <c r="T31" i="66"/>
  <c r="T8" i="66"/>
  <c r="T16" i="66"/>
  <c r="T24" i="66"/>
  <c r="T10" i="66"/>
  <c r="T15" i="66"/>
  <c r="T23" i="66"/>
  <c r="T39" i="66"/>
  <c r="T9" i="66"/>
  <c r="T17" i="66"/>
  <c r="T25" i="66"/>
  <c r="T33" i="66"/>
  <c r="E13" i="66"/>
  <c r="E10" i="66"/>
  <c r="E21" i="66"/>
  <c r="E18" i="66"/>
  <c r="E29" i="66"/>
  <c r="E26" i="66"/>
  <c r="E37" i="66"/>
  <c r="P8" i="6"/>
  <c r="G42" i="66"/>
  <c r="G15" i="66"/>
  <c r="G35" i="66"/>
  <c r="G14" i="66"/>
  <c r="G20" i="66"/>
  <c r="O12" i="6"/>
  <c r="O8" i="6"/>
  <c r="F37" i="66"/>
  <c r="F21" i="66"/>
  <c r="G36" i="66"/>
  <c r="G34" i="66"/>
  <c r="G5" i="66"/>
  <c r="G17" i="66"/>
  <c r="G32" i="66"/>
  <c r="G19" i="66"/>
  <c r="F10" i="66"/>
  <c r="F26" i="66"/>
  <c r="G40" i="66"/>
  <c r="G22" i="66"/>
  <c r="G8" i="66"/>
  <c r="F18" i="66"/>
  <c r="G7" i="66"/>
  <c r="G27" i="66"/>
  <c r="O11" i="6"/>
  <c r="G23" i="66"/>
  <c r="P11" i="6"/>
  <c r="G39" i="66"/>
  <c r="G41" i="66"/>
  <c r="G31" i="66"/>
  <c r="P12" i="6"/>
  <c r="G30" i="66"/>
  <c r="G12" i="66"/>
  <c r="G38" i="66"/>
  <c r="F13" i="66"/>
  <c r="G24" i="66"/>
  <c r="O10" i="6"/>
  <c r="G6" i="66"/>
  <c r="G28" i="66"/>
  <c r="G33" i="66"/>
  <c r="G9" i="66"/>
  <c r="P10" i="6"/>
  <c r="R6" i="6"/>
  <c r="G16" i="66"/>
  <c r="G11" i="66"/>
  <c r="G25" i="66"/>
  <c r="F29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13" i="66"/>
  <c r="G37" i="66"/>
  <c r="G10" i="66"/>
  <c r="G29" i="66"/>
  <c r="G18" i="66"/>
  <c r="G21" i="66"/>
  <c r="G26" i="66"/>
  <c r="L26" i="6" l="1"/>
  <c r="L23" i="6"/>
  <c r="L20" i="6"/>
  <c r="L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5" i="65"/>
  <c r="F9" i="64"/>
  <c r="F12" i="64"/>
  <c r="F27" i="65"/>
  <c r="F11" i="64"/>
  <c r="F18" i="64"/>
  <c r="F13" i="65"/>
  <c r="F17" i="65"/>
  <c r="F18" i="65"/>
  <c r="F11" i="65"/>
  <c r="F10" i="65"/>
  <c r="F6" i="64"/>
  <c r="F14" i="65"/>
  <c r="F15" i="64"/>
  <c r="F28" i="65"/>
  <c r="F12" i="65"/>
  <c r="F19" i="64"/>
  <c r="F13" i="64"/>
  <c r="F5" i="64"/>
  <c r="F8" i="64"/>
  <c r="F26" i="65"/>
  <c r="F14" i="64"/>
  <c r="F8" i="65"/>
  <c r="F21" i="65"/>
  <c r="F20" i="65"/>
  <c r="F9" i="65"/>
  <c r="F17" i="64"/>
  <c r="F10" i="64"/>
  <c r="F24" i="65"/>
  <c r="F21" i="64"/>
  <c r="F16" i="65"/>
  <c r="F22" i="64"/>
  <c r="F20" i="64"/>
  <c r="F19" i="65"/>
  <c r="F15" i="65"/>
  <c r="F6" i="65"/>
  <c r="F25" i="65"/>
  <c r="F23" i="65"/>
  <c r="F22" i="65"/>
  <c r="F7" i="65"/>
  <c r="F7" i="64"/>
  <c r="F16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27" i="65"/>
  <c r="G15" i="65"/>
  <c r="G6" i="64"/>
  <c r="G17" i="64"/>
  <c r="G23" i="65"/>
  <c r="X23" i="65"/>
  <c r="G9" i="64"/>
  <c r="X17" i="65"/>
  <c r="G8" i="64"/>
  <c r="X19" i="65"/>
  <c r="G9" i="65"/>
  <c r="G24" i="65"/>
  <c r="G10" i="65"/>
  <c r="G19" i="65"/>
  <c r="G13" i="65"/>
  <c r="G7" i="65"/>
  <c r="G8" i="65"/>
  <c r="G5" i="64"/>
  <c r="G28" i="65"/>
  <c r="G13" i="64"/>
  <c r="G15" i="64"/>
  <c r="G10" i="64"/>
  <c r="G7" i="64"/>
  <c r="X10" i="64"/>
  <c r="G14" i="65"/>
  <c r="G5" i="65"/>
  <c r="G21" i="65"/>
  <c r="G20" i="65"/>
  <c r="X14" i="65"/>
  <c r="G17" i="65"/>
  <c r="G20" i="64"/>
  <c r="G16" i="65"/>
  <c r="X24" i="65"/>
  <c r="G16" i="64"/>
  <c r="X16" i="65"/>
  <c r="G26" i="65"/>
  <c r="X11" i="65"/>
  <c r="G11" i="64"/>
  <c r="G18" i="64"/>
  <c r="G22" i="65"/>
  <c r="G14" i="64"/>
  <c r="X8" i="65"/>
  <c r="G18" i="65"/>
  <c r="G19" i="64"/>
  <c r="G12" i="64"/>
  <c r="X26" i="65"/>
  <c r="G22" i="64"/>
  <c r="X9" i="65"/>
  <c r="G21" i="64"/>
  <c r="G6" i="65"/>
  <c r="G12" i="65"/>
  <c r="X10" i="65"/>
  <c r="G25" i="65"/>
  <c r="G11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X18" i="64"/>
  <c r="X13" i="65"/>
  <c r="F10" i="16"/>
  <c r="X13" i="64"/>
  <c r="X9" i="64"/>
  <c r="F14" i="16"/>
  <c r="X22" i="65"/>
  <c r="X14" i="64"/>
  <c r="X12" i="65"/>
  <c r="X28" i="65"/>
  <c r="X18" i="65"/>
  <c r="X21" i="65"/>
  <c r="F15" i="16"/>
  <c r="X5" i="64"/>
  <c r="X12" i="64"/>
  <c r="X6" i="64"/>
  <c r="X21" i="64"/>
  <c r="X22" i="64"/>
  <c r="X15" i="64"/>
  <c r="F12" i="16"/>
  <c r="X7" i="65"/>
  <c r="X25" i="65"/>
  <c r="X15" i="65"/>
  <c r="X7" i="64"/>
  <c r="X20" i="65"/>
  <c r="F13" i="16"/>
  <c r="X8" i="64"/>
  <c r="X17" i="64"/>
  <c r="X27" i="65"/>
  <c r="X5" i="65"/>
  <c r="F16" i="16"/>
  <c r="X16" i="64"/>
  <c r="X20" i="64"/>
  <c r="X6" i="65"/>
  <c r="X19" i="64"/>
  <c r="F11" i="16"/>
  <c r="X11" i="64"/>
  <c r="N12" i="16" l="1"/>
  <c r="G13" i="16"/>
  <c r="G11" i="16"/>
  <c r="G16" i="16"/>
  <c r="G15" i="16"/>
  <c r="G10" i="16"/>
  <c r="G14" i="16"/>
  <c r="G12" i="16"/>
  <c r="R16" i="16" l="1"/>
  <c r="W16" i="16" s="1"/>
  <c r="R6" i="16"/>
  <c r="W6" i="16" s="1"/>
  <c r="S16" i="16"/>
  <c r="S6" i="16"/>
  <c r="D22" i="56" l="1"/>
  <c r="R5" i="16"/>
  <c r="W5" i="16" s="1"/>
  <c r="R6" i="25"/>
  <c r="T6" i="25" s="1"/>
  <c r="R7" i="25"/>
  <c r="T7" i="25" s="1"/>
  <c r="R8" i="25"/>
  <c r="T8" i="25" s="1"/>
  <c r="R9" i="25"/>
  <c r="T9" i="25" s="1"/>
  <c r="R10" i="25"/>
  <c r="T10" i="25" s="1"/>
  <c r="R11" i="25"/>
  <c r="T11" i="25" s="1"/>
  <c r="R12" i="25"/>
  <c r="T12" i="25" s="1"/>
  <c r="R13" i="25"/>
  <c r="T13" i="25" s="1"/>
  <c r="R14" i="25"/>
  <c r="T14" i="25" s="1"/>
  <c r="R15" i="25"/>
  <c r="T15" i="25" s="1"/>
  <c r="R16" i="25"/>
  <c r="T16" i="25" s="1"/>
  <c r="R17" i="25"/>
  <c r="T17" i="25" s="1"/>
  <c r="R18" i="25"/>
  <c r="T18" i="25" s="1"/>
  <c r="R19" i="25"/>
  <c r="T19" i="25" s="1"/>
  <c r="R20" i="25"/>
  <c r="T20" i="25" s="1"/>
  <c r="R21" i="25"/>
  <c r="T21" i="25" s="1"/>
  <c r="R22" i="25"/>
  <c r="T22" i="25" s="1"/>
  <c r="R23" i="25"/>
  <c r="T23" i="25" s="1"/>
  <c r="R24" i="25"/>
  <c r="T24" i="25" s="1"/>
  <c r="R25" i="25"/>
  <c r="T25" i="25" s="1"/>
  <c r="R26" i="25"/>
  <c r="T26" i="25" s="1"/>
  <c r="R27" i="25"/>
  <c r="T27" i="25" s="1"/>
  <c r="R28" i="25"/>
  <c r="T28" i="25" s="1"/>
  <c r="R29" i="25"/>
  <c r="T29" i="25" s="1"/>
  <c r="R30" i="25"/>
  <c r="T30" i="25" s="1"/>
  <c r="R31" i="25"/>
  <c r="T31" i="25" s="1"/>
  <c r="R32" i="25"/>
  <c r="T32" i="25" s="1"/>
  <c r="R33" i="25"/>
  <c r="T33" i="25" s="1"/>
  <c r="R34" i="25"/>
  <c r="T34" i="25" s="1"/>
  <c r="R35" i="25"/>
  <c r="T35" i="25" s="1"/>
  <c r="R36" i="25"/>
  <c r="T36" i="25" s="1"/>
  <c r="R37" i="25"/>
  <c r="T37" i="25" s="1"/>
  <c r="R38" i="25"/>
  <c r="T38" i="25" s="1"/>
  <c r="R39" i="25"/>
  <c r="T39" i="25" s="1"/>
  <c r="R40" i="25"/>
  <c r="T40" i="25" s="1"/>
  <c r="R41" i="25"/>
  <c r="T41" i="25" s="1"/>
  <c r="R42" i="25"/>
  <c r="T42" i="25" s="1"/>
  <c r="R5" i="25"/>
  <c r="T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" i="22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3" i="56"/>
  <c r="E5" i="67" l="1"/>
  <c r="W27" i="22"/>
  <c r="W5" i="22" a="1"/>
  <c r="W52" i="22" s="1"/>
  <c r="W17" i="22"/>
  <c r="W7" i="22"/>
  <c r="W43" i="22"/>
  <c r="W10" i="22"/>
  <c r="E5" i="63"/>
  <c r="D24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E8" i="63"/>
  <c r="E41" i="63"/>
  <c r="E24" i="67"/>
  <c r="E19" i="63"/>
  <c r="E28" i="67"/>
  <c r="F31" i="25"/>
  <c r="E23" i="63"/>
  <c r="F26" i="25"/>
  <c r="E11" i="63"/>
  <c r="E10" i="67"/>
  <c r="E43" i="67"/>
  <c r="E19" i="67"/>
  <c r="F7" i="25"/>
  <c r="E42" i="67"/>
  <c r="E41" i="67"/>
  <c r="F41" i="67" s="1"/>
  <c r="E43" i="63"/>
  <c r="F5" i="25"/>
  <c r="E15" i="67"/>
  <c r="E31" i="67"/>
  <c r="E30" i="67"/>
  <c r="F36" i="25"/>
  <c r="E9" i="63"/>
  <c r="F30" i="25"/>
  <c r="E20" i="63"/>
  <c r="E36" i="63"/>
  <c r="E29" i="67"/>
  <c r="E17" i="67"/>
  <c r="F35" i="25"/>
  <c r="F41" i="25"/>
  <c r="E17" i="63"/>
  <c r="F42" i="25"/>
  <c r="F39" i="25"/>
  <c r="E40" i="67"/>
  <c r="E12" i="63"/>
  <c r="F10" i="25"/>
  <c r="E29" i="63"/>
  <c r="E18" i="67"/>
  <c r="E27" i="63"/>
  <c r="F9" i="25"/>
  <c r="F34" i="25"/>
  <c r="E44" i="67"/>
  <c r="E26" i="67"/>
  <c r="E13" i="67"/>
  <c r="E14" i="63"/>
  <c r="E9" i="67"/>
  <c r="E11" i="67"/>
  <c r="E26" i="63"/>
  <c r="E42" i="63"/>
  <c r="E15" i="63"/>
  <c r="E13" i="63"/>
  <c r="F32" i="25"/>
  <c r="E8" i="67"/>
  <c r="E37" i="67"/>
  <c r="F37" i="67" s="1"/>
  <c r="F44" i="67"/>
  <c r="F9" i="67"/>
  <c r="E34" i="67"/>
  <c r="F6" i="25"/>
  <c r="E35" i="63"/>
  <c r="F16" i="25"/>
  <c r="F15" i="25"/>
  <c r="F12" i="25"/>
  <c r="F33" i="25"/>
  <c r="F13" i="67"/>
  <c r="E39" i="67"/>
  <c r="F14" i="25"/>
  <c r="E23" i="67"/>
  <c r="E38" i="67"/>
  <c r="F19" i="25"/>
  <c r="F25" i="25"/>
  <c r="E35" i="67"/>
  <c r="E25" i="67"/>
  <c r="E20" i="67"/>
  <c r="E18" i="63"/>
  <c r="F29" i="25"/>
  <c r="E24" i="63"/>
  <c r="E16" i="63"/>
  <c r="F18" i="25"/>
  <c r="E34" i="63"/>
  <c r="E30" i="63"/>
  <c r="F28" i="25"/>
  <c r="E25" i="63"/>
  <c r="F11" i="25"/>
  <c r="E12" i="67"/>
  <c r="E38" i="63"/>
  <c r="E14" i="67"/>
  <c r="F13" i="25"/>
  <c r="E27" i="67"/>
  <c r="E37" i="63"/>
  <c r="E21" i="67"/>
  <c r="E16" i="67"/>
  <c r="F16" i="67" s="1"/>
  <c r="E44" i="63"/>
  <c r="E36" i="67"/>
  <c r="F24" i="25"/>
  <c r="E39" i="63"/>
  <c r="E28" i="63"/>
  <c r="E22" i="67"/>
  <c r="E32" i="67"/>
  <c r="E32" i="63"/>
  <c r="E33" i="63"/>
  <c r="F27" i="25"/>
  <c r="F17" i="25"/>
  <c r="E10" i="63"/>
  <c r="F24" i="67"/>
  <c r="F20" i="25"/>
  <c r="E31" i="63"/>
  <c r="F42" i="67"/>
  <c r="F23" i="25"/>
  <c r="F34" i="67"/>
  <c r="E40" i="63"/>
  <c r="F38" i="25"/>
  <c r="E33" i="67"/>
  <c r="F33" i="67" s="1"/>
  <c r="E22" i="63"/>
  <c r="F31" i="67"/>
  <c r="F37" i="25"/>
  <c r="F21" i="25"/>
  <c r="F40" i="25"/>
  <c r="E21" i="63"/>
  <c r="F22" i="25"/>
  <c r="F8" i="25"/>
  <c r="F22" i="67"/>
  <c r="K11" i="67" l="1"/>
  <c r="K11" i="63"/>
  <c r="K25" i="63"/>
  <c r="K25" i="67"/>
  <c r="K43" i="63"/>
  <c r="K43" i="67"/>
  <c r="K24" i="67"/>
  <c r="K24" i="63"/>
  <c r="K40" i="67"/>
  <c r="K40" i="63"/>
  <c r="K41" i="63"/>
  <c r="K41" i="67"/>
  <c r="K26" i="67"/>
  <c r="K26" i="63"/>
  <c r="K23" i="63"/>
  <c r="K23" i="67"/>
  <c r="K20" i="67"/>
  <c r="K20" i="63"/>
  <c r="K30" i="63"/>
  <c r="K30" i="67"/>
  <c r="K27" i="63"/>
  <c r="K27" i="67"/>
  <c r="K16" i="63"/>
  <c r="K16" i="67"/>
  <c r="K14" i="63"/>
  <c r="K14" i="67"/>
  <c r="K31" i="67"/>
  <c r="K31" i="63"/>
  <c r="K21" i="67"/>
  <c r="K21" i="63"/>
  <c r="K32" i="63"/>
  <c r="K32" i="67"/>
  <c r="K28" i="67"/>
  <c r="K28" i="63"/>
  <c r="K22" i="63"/>
  <c r="K22" i="67"/>
  <c r="K17" i="63"/>
  <c r="K17" i="67"/>
  <c r="K36" i="67"/>
  <c r="K36" i="63"/>
  <c r="K15" i="63"/>
  <c r="K15" i="67"/>
  <c r="K18" i="67"/>
  <c r="K18" i="63"/>
  <c r="K19" i="67"/>
  <c r="K19" i="63"/>
  <c r="K9" i="63"/>
  <c r="K9" i="67"/>
  <c r="K35" i="67"/>
  <c r="K35" i="63"/>
  <c r="K37" i="67"/>
  <c r="K37" i="63"/>
  <c r="K12" i="67"/>
  <c r="K12" i="63"/>
  <c r="K13" i="63"/>
  <c r="K13" i="67"/>
  <c r="K42" i="67"/>
  <c r="K42" i="63"/>
  <c r="K44" i="67"/>
  <c r="K44" i="63"/>
  <c r="K38" i="63"/>
  <c r="K38" i="67"/>
  <c r="K33" i="63"/>
  <c r="K33" i="67"/>
  <c r="K39" i="63"/>
  <c r="K39" i="67"/>
  <c r="K8" i="67"/>
  <c r="K8" i="63"/>
  <c r="K10" i="63"/>
  <c r="K10" i="67"/>
  <c r="K29" i="63"/>
  <c r="K29" i="67"/>
  <c r="K34" i="63"/>
  <c r="K34" i="67"/>
  <c r="W16" i="22"/>
  <c r="W14" i="22"/>
  <c r="W25" i="22"/>
  <c r="W12" i="22"/>
  <c r="W53" i="22"/>
  <c r="W8" i="22"/>
  <c r="W18" i="22"/>
  <c r="W5" i="22"/>
  <c r="W6" i="22"/>
  <c r="W15" i="22"/>
  <c r="W35" i="22"/>
  <c r="W26" i="22"/>
  <c r="W44" i="22"/>
  <c r="W23" i="22"/>
  <c r="W51" i="22"/>
  <c r="W24" i="22"/>
  <c r="W34" i="22"/>
  <c r="W13" i="22"/>
  <c r="W22" i="22"/>
  <c r="W31" i="22"/>
  <c r="W33" i="22"/>
  <c r="W32" i="22"/>
  <c r="W42" i="22"/>
  <c r="W21" i="22"/>
  <c r="W30" i="22"/>
  <c r="W39" i="22"/>
  <c r="W41" i="22"/>
  <c r="W20" i="22"/>
  <c r="W40" i="22"/>
  <c r="W50" i="22"/>
  <c r="W29" i="22"/>
  <c r="W38" i="22"/>
  <c r="W47" i="22"/>
  <c r="W49" i="22"/>
  <c r="W28" i="22"/>
  <c r="W48" i="22"/>
  <c r="W58" i="22"/>
  <c r="W37" i="22"/>
  <c r="W46" i="22"/>
  <c r="W55" i="22"/>
  <c r="W57" i="22"/>
  <c r="W36" i="22"/>
  <c r="W56" i="22"/>
  <c r="W19" i="22"/>
  <c r="W45" i="22"/>
  <c r="W54" i="22"/>
  <c r="W9" i="22"/>
  <c r="W11" i="22"/>
  <c r="E5" i="25"/>
  <c r="F32" i="67"/>
  <c r="F17" i="67"/>
  <c r="F29" i="67"/>
  <c r="F43" i="67"/>
  <c r="X13" i="16"/>
  <c r="F12" i="67"/>
  <c r="F40" i="67"/>
  <c r="F15" i="67"/>
  <c r="F11" i="67"/>
  <c r="F38" i="67"/>
  <c r="F21" i="67"/>
  <c r="F36" i="67"/>
  <c r="X14" i="16"/>
  <c r="F8" i="67"/>
  <c r="X12" i="16"/>
  <c r="F28" i="67"/>
  <c r="F14" i="67"/>
  <c r="F26" i="67"/>
  <c r="F23" i="67"/>
  <c r="G5" i="25"/>
  <c r="F25" i="67"/>
  <c r="F30" i="67"/>
  <c r="F27" i="67"/>
  <c r="F39" i="67"/>
  <c r="X11" i="16"/>
  <c r="F19" i="67"/>
  <c r="F18" i="67"/>
  <c r="F20" i="67"/>
  <c r="F10" i="67"/>
  <c r="X15" i="16"/>
  <c r="X10" i="16"/>
  <c r="F35" i="67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3" i="22"/>
  <c r="F21" i="22"/>
  <c r="F50" i="22"/>
  <c r="F53" i="22"/>
  <c r="F15" i="22"/>
  <c r="F9" i="22"/>
  <c r="F36" i="22"/>
  <c r="F26" i="22"/>
  <c r="F32" i="22"/>
  <c r="F55" i="22"/>
  <c r="F10" i="22"/>
  <c r="F12" i="22"/>
  <c r="F19" i="22"/>
  <c r="F48" i="22"/>
  <c r="F22" i="22"/>
  <c r="F44" i="22"/>
  <c r="F39" i="22"/>
  <c r="F37" i="22"/>
  <c r="F45" i="22"/>
  <c r="F49" i="22"/>
  <c r="F5" i="22"/>
  <c r="F27" i="22"/>
  <c r="F20" i="22"/>
  <c r="F16" i="22"/>
  <c r="F40" i="22"/>
  <c r="F25" i="22"/>
  <c r="F57" i="22"/>
  <c r="F52" i="22"/>
  <c r="F30" i="22"/>
  <c r="F34" i="22"/>
  <c r="F7" i="22"/>
  <c r="F23" i="22"/>
  <c r="F8" i="22"/>
  <c r="F56" i="22"/>
  <c r="F18" i="22"/>
  <c r="F11" i="22"/>
  <c r="F24" i="22"/>
  <c r="F42" i="22"/>
  <c r="F33" i="22"/>
  <c r="F31" i="22"/>
  <c r="F46" i="22"/>
  <c r="F43" i="22"/>
  <c r="F47" i="22"/>
  <c r="F41" i="22"/>
  <c r="F54" i="22"/>
  <c r="F29" i="22"/>
  <c r="F28" i="22"/>
  <c r="F58" i="22"/>
  <c r="F51" i="22"/>
  <c r="F17" i="22"/>
  <c r="F35" i="22"/>
  <c r="F38" i="22"/>
  <c r="F14" i="22"/>
  <c r="F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1" i="66" l="1"/>
  <c r="O1" i="25"/>
  <c r="O1" i="65"/>
  <c r="O1" i="64"/>
  <c r="O1" i="12"/>
  <c r="L1" i="15"/>
  <c r="O1" i="23"/>
  <c r="O1" i="22"/>
  <c r="O1" i="13"/>
  <c r="O1" i="16"/>
  <c r="O1" i="11"/>
  <c r="O5" i="65" a="1"/>
  <c r="O11" i="65" s="1"/>
  <c r="O5" i="64" a="1"/>
  <c r="O2" i="22"/>
  <c r="O2" i="13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9" i="56"/>
  <c r="O23" i="65" l="1"/>
  <c r="O15" i="65"/>
  <c r="O7" i="65"/>
  <c r="O5" i="65"/>
  <c r="O10" i="65"/>
  <c r="O28" i="65"/>
  <c r="O22" i="65"/>
  <c r="O14" i="65"/>
  <c r="O8" i="65"/>
  <c r="O6" i="65"/>
  <c r="O21" i="65"/>
  <c r="O26" i="65"/>
  <c r="O13" i="65"/>
  <c r="O18" i="65"/>
  <c r="O25" i="65"/>
  <c r="O20" i="65"/>
  <c r="O17" i="65"/>
  <c r="O12" i="65"/>
  <c r="O9" i="65"/>
  <c r="O27" i="65"/>
  <c r="O24" i="65"/>
  <c r="O19" i="65"/>
  <c r="O16" i="65"/>
  <c r="N20" i="66"/>
  <c r="N12" i="66"/>
  <c r="N8" i="66"/>
  <c r="N33" i="66"/>
  <c r="N25" i="66"/>
  <c r="N17" i="66"/>
  <c r="N9" i="66"/>
  <c r="N36" i="66"/>
  <c r="N31" i="66"/>
  <c r="N15" i="66"/>
  <c r="N7" i="66"/>
  <c r="N28" i="66"/>
  <c r="N39" i="66"/>
  <c r="N23" i="66"/>
  <c r="N32" i="66"/>
  <c r="N24" i="66"/>
  <c r="N42" i="66"/>
  <c r="N16" i="66"/>
  <c r="N34" i="66"/>
  <c r="N26" i="66"/>
  <c r="N18" i="66"/>
  <c r="N10" i="66"/>
  <c r="N37" i="66"/>
  <c r="N29" i="66"/>
  <c r="N21" i="66"/>
  <c r="N13" i="66"/>
  <c r="N40" i="66"/>
  <c r="N5" i="66"/>
  <c r="N19" i="66"/>
  <c r="N41" i="66"/>
  <c r="N38" i="66"/>
  <c r="N30" i="66"/>
  <c r="N11" i="66"/>
  <c r="N22" i="66"/>
  <c r="N14" i="66"/>
  <c r="N35" i="66"/>
  <c r="N6" i="66"/>
  <c r="N27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I16" i="6"/>
  <c r="K25" i="6"/>
  <c r="K22" i="6"/>
  <c r="K16" i="6"/>
  <c r="K19" i="6"/>
  <c r="O5" i="66" l="1" a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8" i="23"/>
  <c r="F16" i="23"/>
  <c r="O29" i="66" l="1"/>
  <c r="O13" i="66"/>
  <c r="O10" i="66"/>
  <c r="O40" i="66"/>
  <c r="O24" i="66"/>
  <c r="O8" i="66"/>
  <c r="O39" i="66"/>
  <c r="O7" i="66"/>
  <c r="O17" i="66"/>
  <c r="O28" i="66"/>
  <c r="O12" i="66"/>
  <c r="O25" i="66"/>
  <c r="O19" i="66"/>
  <c r="O34" i="66"/>
  <c r="O27" i="66"/>
  <c r="O11" i="66"/>
  <c r="O42" i="66"/>
  <c r="O26" i="66"/>
  <c r="O41" i="66"/>
  <c r="O9" i="66"/>
  <c r="O23" i="66"/>
  <c r="O18" i="66"/>
  <c r="O38" i="66"/>
  <c r="O22" i="66"/>
  <c r="O6" i="66"/>
  <c r="O37" i="66"/>
  <c r="O21" i="66"/>
  <c r="O5" i="66"/>
  <c r="O36" i="66"/>
  <c r="O20" i="66"/>
  <c r="O35" i="66"/>
  <c r="O33" i="66"/>
  <c r="O30" i="66"/>
  <c r="O16" i="66"/>
  <c r="O14" i="66"/>
  <c r="O15" i="66"/>
  <c r="O32" i="66"/>
  <c r="O3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18" i="18"/>
  <c r="X25" i="18"/>
  <c r="X23" i="18"/>
  <c r="X40" i="18"/>
  <c r="X33" i="18"/>
  <c r="X7" i="18"/>
  <c r="X17" i="18"/>
  <c r="X37" i="18"/>
  <c r="X14" i="18"/>
  <c r="X43" i="18"/>
  <c r="X38" i="18"/>
  <c r="X35" i="18"/>
  <c r="X42" i="18"/>
  <c r="G16" i="23"/>
  <c r="X11" i="18"/>
  <c r="X39" i="18"/>
  <c r="X36" i="18"/>
  <c r="X12" i="18"/>
  <c r="X5" i="18"/>
  <c r="X26" i="18"/>
  <c r="X41" i="18"/>
  <c r="X6" i="18"/>
  <c r="X8" i="18"/>
  <c r="X15" i="18"/>
  <c r="X46" i="18"/>
  <c r="X27" i="18"/>
  <c r="X9" i="18"/>
  <c r="X31" i="18"/>
  <c r="X21" i="18"/>
  <c r="X32" i="18"/>
  <c r="X13" i="18"/>
  <c r="X20" i="18"/>
  <c r="X44" i="18"/>
  <c r="X16" i="18"/>
  <c r="G17" i="23"/>
  <c r="X19" i="18"/>
  <c r="X29" i="18"/>
  <c r="X24" i="18"/>
  <c r="X22" i="18"/>
  <c r="G18" i="23"/>
  <c r="X45" i="18"/>
  <c r="X10" i="18"/>
  <c r="X30" i="18"/>
  <c r="X28" i="18"/>
  <c r="X34" i="18"/>
  <c r="AC5" i="18" l="1" a="1"/>
  <c r="AC19" i="18" s="1"/>
  <c r="AC5" i="18"/>
  <c r="AC9" i="18"/>
  <c r="AC45" i="18"/>
  <c r="AC26" i="18"/>
  <c r="AC46" i="18"/>
  <c r="AC20" i="18"/>
  <c r="AC38" i="18"/>
  <c r="AC43" i="18"/>
  <c r="AC14" i="18"/>
  <c r="AC33" i="18"/>
  <c r="AC30" i="18"/>
  <c r="AC18" i="18"/>
  <c r="AC32" i="18"/>
  <c r="AC37" i="18"/>
  <c r="AC6" i="18"/>
  <c r="AC13" i="18"/>
  <c r="AC31" i="18"/>
  <c r="AC22" i="18"/>
  <c r="AC42" i="18"/>
  <c r="AC11" i="18"/>
  <c r="AC28" i="18"/>
  <c r="AC41" i="18"/>
  <c r="AC12" i="18"/>
  <c r="AC24" i="18"/>
  <c r="AC16" i="18"/>
  <c r="E4" i="63"/>
  <c r="AC10" i="18" l="1"/>
  <c r="AC27" i="18"/>
  <c r="AC40" i="18"/>
  <c r="AC17" i="18"/>
  <c r="AC15" i="18"/>
  <c r="AC34" i="18"/>
  <c r="AC8" i="18"/>
  <c r="AC29" i="18"/>
  <c r="AC44" i="18"/>
  <c r="AC23" i="18"/>
  <c r="AC21" i="18"/>
  <c r="AC35" i="18"/>
  <c r="AC39" i="18"/>
  <c r="AC25" i="18"/>
  <c r="AC36" i="18"/>
  <c r="AC7" i="18"/>
  <c r="K7" i="6" l="1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D5" i="18" a="1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4" i="63"/>
  <c r="F33" i="63"/>
  <c r="F42" i="63"/>
  <c r="F30" i="63"/>
  <c r="F11" i="63"/>
  <c r="F38" i="63"/>
  <c r="F12" i="63"/>
  <c r="F28" i="63"/>
  <c r="F18" i="63"/>
  <c r="F41" i="63"/>
  <c r="F9" i="63"/>
  <c r="F29" i="63"/>
  <c r="F20" i="63"/>
  <c r="F14" i="63"/>
  <c r="F36" i="63"/>
  <c r="F21" i="63"/>
  <c r="F31" i="63"/>
  <c r="F13" i="63"/>
  <c r="F32" i="63"/>
  <c r="F17" i="63"/>
  <c r="F22" i="63"/>
  <c r="F19" i="63"/>
  <c r="F27" i="63"/>
  <c r="F44" i="63"/>
  <c r="F10" i="63"/>
  <c r="F37" i="63"/>
  <c r="F23" i="63"/>
  <c r="F35" i="63"/>
  <c r="F43" i="63"/>
  <c r="F40" i="63"/>
  <c r="F26" i="63"/>
  <c r="F34" i="63"/>
  <c r="F39" i="63"/>
  <c r="F16" i="63"/>
  <c r="F25" i="63"/>
  <c r="F8" i="63"/>
  <c r="F1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l="1" a="1"/>
  <c r="O42" i="25" s="1"/>
  <c r="Q5" i="18" a="1"/>
  <c r="L4" i="20"/>
  <c r="O12" i="25" l="1"/>
  <c r="O39" i="25"/>
  <c r="O19" i="25"/>
  <c r="O8" i="25"/>
  <c r="O27" i="25"/>
  <c r="O30" i="25"/>
  <c r="O41" i="25"/>
  <c r="O13" i="25"/>
  <c r="O24" i="25"/>
  <c r="O20" i="25"/>
  <c r="O7" i="25"/>
  <c r="O18" i="25"/>
  <c r="O29" i="25"/>
  <c r="O26" i="25"/>
  <c r="O37" i="25"/>
  <c r="O23" i="25"/>
  <c r="O9" i="25"/>
  <c r="O34" i="25"/>
  <c r="O28" i="25"/>
  <c r="O14" i="25"/>
  <c r="O25" i="25"/>
  <c r="O22" i="25"/>
  <c r="O33" i="25"/>
  <c r="O5" i="25"/>
  <c r="O16" i="25"/>
  <c r="O35" i="25"/>
  <c r="O38" i="25"/>
  <c r="O10" i="25"/>
  <c r="O21" i="25"/>
  <c r="O32" i="25"/>
  <c r="O36" i="25"/>
  <c r="O15" i="25"/>
  <c r="O40" i="25"/>
  <c r="O6" i="25"/>
  <c r="O31" i="25"/>
  <c r="O17" i="25"/>
  <c r="O11" i="25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R5" i="11"/>
  <c r="X17" i="23"/>
  <c r="X18" i="23"/>
  <c r="X16" i="23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D5" i="56"/>
  <c r="B1" i="56"/>
  <c r="K5" i="6"/>
  <c r="E5" i="23" l="1"/>
  <c r="E6" i="23"/>
  <c r="E7" i="23"/>
  <c r="E8" i="23"/>
  <c r="E9" i="23"/>
  <c r="E10" i="23"/>
  <c r="E11" i="23"/>
  <c r="E12" i="23"/>
  <c r="E13" i="23"/>
  <c r="E14" i="23"/>
  <c r="E15" i="23"/>
  <c r="F11" i="23"/>
  <c r="X8" i="22"/>
  <c r="F8" i="23"/>
  <c r="F9" i="23"/>
  <c r="F5" i="23"/>
  <c r="F12" i="23"/>
  <c r="X5" i="22"/>
  <c r="F13" i="23"/>
  <c r="F14" i="23"/>
  <c r="F6" i="23"/>
  <c r="F15" i="23"/>
  <c r="F10" i="23"/>
  <c r="X6" i="22"/>
  <c r="X7" i="22"/>
  <c r="F7" i="23"/>
  <c r="E12" i="25" l="1"/>
  <c r="G34" i="22"/>
  <c r="X35" i="22"/>
  <c r="G43" i="22"/>
  <c r="G16" i="22"/>
  <c r="X34" i="22"/>
  <c r="X47" i="22"/>
  <c r="G9" i="22"/>
  <c r="G6" i="23"/>
  <c r="G5" i="22"/>
  <c r="X43" i="22"/>
  <c r="X12" i="22"/>
  <c r="X13" i="22"/>
  <c r="G19" i="22"/>
  <c r="G53" i="22"/>
  <c r="G30" i="22"/>
  <c r="G26" i="22"/>
  <c r="G17" i="22"/>
  <c r="G22" i="22"/>
  <c r="G18" i="22"/>
  <c r="X36" i="22"/>
  <c r="G27" i="22"/>
  <c r="G31" i="22"/>
  <c r="X23" i="22"/>
  <c r="G10" i="23"/>
  <c r="G11" i="23"/>
  <c r="X40" i="22"/>
  <c r="X52" i="22"/>
  <c r="X46" i="22"/>
  <c r="G29" i="22"/>
  <c r="G12" i="23"/>
  <c r="X10" i="22"/>
  <c r="G9" i="23"/>
  <c r="X39" i="22"/>
  <c r="G14" i="22"/>
  <c r="X19" i="22"/>
  <c r="X28" i="22"/>
  <c r="G13" i="23"/>
  <c r="X11" i="22"/>
  <c r="X26" i="22"/>
  <c r="G45" i="22"/>
  <c r="G7" i="22"/>
  <c r="X15" i="23"/>
  <c r="X56" i="22"/>
  <c r="X38" i="22"/>
  <c r="G48" i="22"/>
  <c r="G14" i="23"/>
  <c r="X27" i="22"/>
  <c r="G6" i="22"/>
  <c r="X9" i="23"/>
  <c r="G54" i="22"/>
  <c r="G13" i="22"/>
  <c r="X45" i="22"/>
  <c r="G20" i="22"/>
  <c r="X22" i="22"/>
  <c r="X17" i="22"/>
  <c r="G38" i="22"/>
  <c r="X12" i="23"/>
  <c r="G23" i="22"/>
  <c r="X32" i="22"/>
  <c r="X58" i="22"/>
  <c r="X49" i="22"/>
  <c r="G41" i="22"/>
  <c r="G12" i="22"/>
  <c r="G24" i="22"/>
  <c r="X29" i="22"/>
  <c r="X6" i="23"/>
  <c r="X57" i="22"/>
  <c r="X42" i="22"/>
  <c r="G42" i="22"/>
  <c r="X20" i="22"/>
  <c r="X55" i="22"/>
  <c r="G15" i="23"/>
  <c r="G15" i="22"/>
  <c r="G33" i="22"/>
  <c r="X14" i="23"/>
  <c r="X9" i="22"/>
  <c r="X8" i="23"/>
  <c r="G7" i="23"/>
  <c r="G56" i="22"/>
  <c r="G47" i="22"/>
  <c r="G35" i="22"/>
  <c r="X24" i="22"/>
  <c r="X48" i="22"/>
  <c r="X5" i="23"/>
  <c r="X53" i="22"/>
  <c r="G44" i="22"/>
  <c r="X7" i="23"/>
  <c r="G28" i="22"/>
  <c r="X37" i="22"/>
  <c r="G36" i="22"/>
  <c r="G50" i="22"/>
  <c r="X21" i="22"/>
  <c r="G10" i="22"/>
  <c r="G5" i="23"/>
  <c r="X31" i="22"/>
  <c r="G40" i="22"/>
  <c r="X18" i="22"/>
  <c r="X44" i="22"/>
  <c r="G8" i="23"/>
  <c r="X14" i="22"/>
  <c r="X33" i="22"/>
  <c r="X15" i="22"/>
  <c r="G21" i="22"/>
  <c r="G37" i="22"/>
  <c r="G8" i="22"/>
  <c r="G51" i="22"/>
  <c r="X10" i="23"/>
  <c r="G39" i="22"/>
  <c r="G57" i="22"/>
  <c r="X51" i="22"/>
  <c r="X54" i="22"/>
  <c r="G32" i="22"/>
  <c r="X41" i="22"/>
  <c r="X13" i="23"/>
  <c r="G49" i="22"/>
  <c r="X30" i="22"/>
  <c r="G52" i="22"/>
  <c r="G58" i="22"/>
  <c r="G46" i="22"/>
  <c r="X16" i="22"/>
  <c r="X11" i="23"/>
  <c r="G11" i="22"/>
  <c r="X50" i="22"/>
  <c r="X25" i="22"/>
  <c r="G55" i="22"/>
  <c r="G2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12" i="25"/>
  <c r="G37" i="25"/>
  <c r="G16" i="25"/>
  <c r="G8" i="25"/>
  <c r="G13" i="25"/>
  <c r="G11" i="25"/>
  <c r="G19" i="25"/>
  <c r="G24" i="25"/>
  <c r="G29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28" i="25"/>
  <c r="G14" i="25"/>
  <c r="G15" i="25"/>
  <c r="F11" i="15"/>
  <c r="G22" i="25"/>
  <c r="G18" i="25"/>
  <c r="G26" i="25"/>
  <c r="G17" i="25"/>
  <c r="F12" i="15"/>
  <c r="F8" i="16"/>
  <c r="G23" i="25"/>
  <c r="F5" i="15"/>
  <c r="G41" i="25"/>
  <c r="G39" i="25"/>
  <c r="G35" i="25"/>
  <c r="G27" i="25"/>
  <c r="G38" i="25"/>
  <c r="G20" i="25"/>
  <c r="G34" i="25"/>
  <c r="G10" i="25"/>
  <c r="F8" i="15"/>
  <c r="G32" i="25"/>
  <c r="C6" i="20"/>
  <c r="F9" i="15"/>
  <c r="F13" i="15"/>
  <c r="F10" i="15"/>
  <c r="G33" i="25"/>
  <c r="C5" i="20"/>
  <c r="G40" i="25"/>
  <c r="G31" i="25"/>
  <c r="F9" i="16"/>
  <c r="F6" i="15"/>
  <c r="F6" i="16"/>
  <c r="G30" i="25"/>
  <c r="G36" i="25"/>
  <c r="G42" i="25"/>
  <c r="F7" i="16"/>
  <c r="F7" i="15"/>
  <c r="G7" i="25"/>
  <c r="G25" i="25"/>
  <c r="G6" i="25"/>
  <c r="G9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R7" i="15"/>
  <c r="F14" i="18"/>
  <c r="F17" i="18"/>
  <c r="G6" i="15"/>
  <c r="F36" i="18"/>
  <c r="F30" i="18"/>
  <c r="F31" i="18"/>
  <c r="F23" i="18"/>
  <c r="F42" i="18"/>
  <c r="F32" i="18"/>
  <c r="R8" i="15"/>
  <c r="R10" i="15"/>
  <c r="F41" i="18"/>
  <c r="X6" i="16"/>
  <c r="F5" i="18"/>
  <c r="G7" i="16"/>
  <c r="G7" i="15"/>
  <c r="F37" i="18"/>
  <c r="G9" i="15"/>
  <c r="R11" i="15"/>
  <c r="F46" i="18"/>
  <c r="F19" i="18"/>
  <c r="G8" i="16"/>
  <c r="X7" i="16"/>
  <c r="X9" i="16"/>
  <c r="F39" i="18"/>
  <c r="F11" i="18"/>
  <c r="F7" i="18"/>
  <c r="AD7" i="18" s="1"/>
  <c r="F27" i="18"/>
  <c r="F20" i="18"/>
  <c r="F18" i="18"/>
  <c r="F43" i="18"/>
  <c r="F8" i="18"/>
  <c r="G8" i="15"/>
  <c r="F35" i="18"/>
  <c r="F45" i="18"/>
  <c r="G6" i="16"/>
  <c r="R12" i="15"/>
  <c r="R6" i="15"/>
  <c r="R9" i="15"/>
  <c r="F44" i="18"/>
  <c r="F6" i="18"/>
  <c r="AD6" i="18" s="1"/>
  <c r="F34" i="18"/>
  <c r="G9" i="16"/>
  <c r="X16" i="16"/>
  <c r="AD23" i="18"/>
  <c r="X8" i="16"/>
  <c r="R13" i="15"/>
  <c r="AD41" i="18"/>
  <c r="F33" i="18"/>
  <c r="F28" i="18"/>
  <c r="F10" i="18"/>
  <c r="F12" i="18"/>
  <c r="AD17" i="18"/>
  <c r="R5" i="15"/>
  <c r="F9" i="18"/>
  <c r="F29" i="18"/>
  <c r="F26" i="18"/>
  <c r="G13" i="15"/>
  <c r="F25" i="18"/>
  <c r="F22" i="18"/>
  <c r="F40" i="18"/>
  <c r="F24" i="18"/>
  <c r="D6" i="20"/>
  <c r="F38" i="18"/>
  <c r="G10" i="15"/>
  <c r="F15" i="18"/>
  <c r="AD18" i="18"/>
  <c r="AD8" i="18"/>
  <c r="G5" i="15"/>
  <c r="G12" i="15"/>
  <c r="F13" i="18"/>
  <c r="AD13" i="18" s="1"/>
  <c r="G11" i="15"/>
  <c r="F21" i="18"/>
  <c r="AD21" i="18" s="1"/>
  <c r="D5" i="20"/>
  <c r="F16" i="18"/>
  <c r="E5" i="13" l="1"/>
  <c r="E5" i="11"/>
  <c r="E5" i="12"/>
  <c r="AD40" i="18"/>
  <c r="G28" i="18"/>
  <c r="G30" i="18"/>
  <c r="G10" i="18"/>
  <c r="G33" i="18"/>
  <c r="AD11" i="18"/>
  <c r="G39" i="18"/>
  <c r="AD24" i="18"/>
  <c r="G16" i="18"/>
  <c r="G29" i="18"/>
  <c r="AD33" i="18"/>
  <c r="AD37" i="18"/>
  <c r="G34" i="18"/>
  <c r="G19" i="18"/>
  <c r="G41" i="18"/>
  <c r="G12" i="18"/>
  <c r="AD30" i="18"/>
  <c r="AD38" i="18"/>
  <c r="G20" i="18"/>
  <c r="G13" i="18"/>
  <c r="AD45" i="18"/>
  <c r="G42" i="18"/>
  <c r="AD9" i="18"/>
  <c r="G44" i="18"/>
  <c r="F5" i="12"/>
  <c r="G35" i="18"/>
  <c r="F5" i="13"/>
  <c r="AD36" i="18"/>
  <c r="G32" i="18"/>
  <c r="G43" i="18"/>
  <c r="AD35" i="18"/>
  <c r="G26" i="18"/>
  <c r="G27" i="18"/>
  <c r="AD19" i="18"/>
  <c r="G24" i="18"/>
  <c r="G6" i="18"/>
  <c r="G37" i="18"/>
  <c r="AD39" i="18"/>
  <c r="AD16" i="18"/>
  <c r="G8" i="18"/>
  <c r="AD20" i="18"/>
  <c r="G36" i="18"/>
  <c r="G14" i="18"/>
  <c r="AD34" i="18"/>
  <c r="G7" i="18"/>
  <c r="G31" i="18"/>
  <c r="G9" i="18"/>
  <c r="G46" i="18"/>
  <c r="AD29" i="18"/>
  <c r="AD32" i="18"/>
  <c r="AD27" i="18"/>
  <c r="G45" i="18"/>
  <c r="G23" i="18"/>
  <c r="G18" i="18"/>
  <c r="AD25" i="18"/>
  <c r="AD22" i="18"/>
  <c r="AD12" i="18"/>
  <c r="AD5" i="18"/>
  <c r="AD10" i="18"/>
  <c r="AD31" i="18"/>
  <c r="G17" i="18"/>
  <c r="G38" i="18"/>
  <c r="G21" i="18"/>
  <c r="AD44" i="18"/>
  <c r="AD14" i="18"/>
  <c r="AD15" i="18"/>
  <c r="AD46" i="18"/>
  <c r="AD28" i="18"/>
  <c r="G22" i="18"/>
  <c r="A4" i="18"/>
  <c r="F5" i="11"/>
  <c r="G11" i="18"/>
  <c r="AD26" i="18"/>
  <c r="AD42" i="18"/>
  <c r="AD43" i="18"/>
  <c r="G15" i="18"/>
  <c r="G40" i="18"/>
  <c r="G25" i="18"/>
  <c r="E6" i="13" l="1"/>
  <c r="E6" i="12"/>
  <c r="E6" i="11"/>
  <c r="F6" i="13"/>
  <c r="G5" i="13"/>
  <c r="G5" i="11"/>
  <c r="F6" i="11"/>
  <c r="F6" i="12"/>
  <c r="G5" i="12"/>
  <c r="V8" i="67" l="1"/>
  <c r="O8" i="67"/>
  <c r="V8" i="63"/>
  <c r="O8" i="63"/>
  <c r="E7" i="13"/>
  <c r="E7" i="12"/>
  <c r="E7" i="11"/>
  <c r="X8" i="63"/>
  <c r="F7" i="11"/>
  <c r="F7" i="12"/>
  <c r="G6" i="13"/>
  <c r="F7" i="13"/>
  <c r="X8" i="67"/>
  <c r="G6" i="11"/>
  <c r="Q8" i="67"/>
  <c r="G6" i="12"/>
  <c r="Q8" i="63"/>
  <c r="V9" i="67" l="1"/>
  <c r="O9" i="67"/>
  <c r="V9" i="63"/>
  <c r="O9" i="63"/>
  <c r="E8" i="13"/>
  <c r="E8" i="12"/>
  <c r="E8" i="11"/>
  <c r="X9" i="67"/>
  <c r="G7" i="13"/>
  <c r="F8" i="13"/>
  <c r="Q9" i="67"/>
  <c r="F8" i="11"/>
  <c r="X9" i="63"/>
  <c r="R8" i="67"/>
  <c r="Q9" i="63"/>
  <c r="R8" i="63"/>
  <c r="G7" i="12"/>
  <c r="F8" i="12"/>
  <c r="G7" i="11"/>
  <c r="O10" i="67" l="1"/>
  <c r="V10" i="67"/>
  <c r="O10" i="63"/>
  <c r="V10" i="63"/>
  <c r="E9" i="13"/>
  <c r="E9" i="12"/>
  <c r="E9" i="11"/>
  <c r="R9" i="67"/>
  <c r="R9" i="63"/>
  <c r="G8" i="13"/>
  <c r="X10" i="67"/>
  <c r="G8" i="11"/>
  <c r="F9" i="12"/>
  <c r="G8" i="12"/>
  <c r="Q10" i="63"/>
  <c r="F9" i="11"/>
  <c r="F9" i="13"/>
  <c r="X10" i="63"/>
  <c r="Q10" i="67"/>
  <c r="R10" i="63"/>
  <c r="O11" i="67" l="1"/>
  <c r="V11" i="67"/>
  <c r="O11" i="63"/>
  <c r="V11" i="63"/>
  <c r="E10" i="13"/>
  <c r="E10" i="12"/>
  <c r="E10" i="11"/>
  <c r="X11" i="67"/>
  <c r="G9" i="12"/>
  <c r="G9" i="11"/>
  <c r="F10" i="12"/>
  <c r="Q11" i="63"/>
  <c r="F10" i="13"/>
  <c r="Q11" i="67"/>
  <c r="X11" i="63"/>
  <c r="R11" i="63"/>
  <c r="F10" i="11"/>
  <c r="R10" i="67"/>
  <c r="G9" i="13"/>
  <c r="V12" i="67" l="1"/>
  <c r="O12" i="67"/>
  <c r="V12" i="63"/>
  <c r="O12" i="63"/>
  <c r="E11" i="13"/>
  <c r="E11" i="12"/>
  <c r="E11" i="11"/>
  <c r="Q12" i="67"/>
  <c r="G10" i="13"/>
  <c r="X12" i="67"/>
  <c r="G10" i="12"/>
  <c r="F11" i="12"/>
  <c r="Q12" i="63"/>
  <c r="G10" i="11"/>
  <c r="F11" i="11"/>
  <c r="F11" i="13"/>
  <c r="X12" i="63"/>
  <c r="R11" i="67"/>
  <c r="R12" i="67"/>
  <c r="O13" i="67" l="1"/>
  <c r="V13" i="67"/>
  <c r="O13" i="63"/>
  <c r="V13" i="63"/>
  <c r="E12" i="13"/>
  <c r="E12" i="12"/>
  <c r="E12" i="11"/>
  <c r="X13" i="67"/>
  <c r="X13" i="63"/>
  <c r="G11" i="13"/>
  <c r="G11" i="12"/>
  <c r="G11" i="11"/>
  <c r="F12" i="12"/>
  <c r="Q13" i="67"/>
  <c r="Q13" i="63"/>
  <c r="F12" i="13"/>
  <c r="R13" i="63"/>
  <c r="R12" i="63"/>
  <c r="F12" i="11"/>
  <c r="V14" i="67" l="1"/>
  <c r="O14" i="67"/>
  <c r="V14" i="63"/>
  <c r="O14" i="63"/>
  <c r="E13" i="13"/>
  <c r="E13" i="12"/>
  <c r="E13" i="11"/>
  <c r="Q14" i="67"/>
  <c r="Q14" i="63"/>
  <c r="G12" i="12"/>
  <c r="F13" i="12"/>
  <c r="G12" i="11"/>
  <c r="F13" i="11"/>
  <c r="X14" i="67"/>
  <c r="R14" i="67"/>
  <c r="F13" i="13"/>
  <c r="G12" i="13"/>
  <c r="R13" i="67"/>
  <c r="X14" i="63"/>
  <c r="V15" i="67" l="1"/>
  <c r="O15" i="67"/>
  <c r="V15" i="63"/>
  <c r="O15" i="63"/>
  <c r="E14" i="13"/>
  <c r="E14" i="12"/>
  <c r="E14" i="11"/>
  <c r="Q15" i="67"/>
  <c r="G13" i="12"/>
  <c r="R15" i="67"/>
  <c r="G13" i="13"/>
  <c r="F14" i="11"/>
  <c r="F14" i="13"/>
  <c r="G13" i="11"/>
  <c r="Q15" i="63"/>
  <c r="R15" i="63" s="1"/>
  <c r="X15" i="67"/>
  <c r="X15" i="63"/>
  <c r="R14" i="63"/>
  <c r="F14" i="12"/>
  <c r="O16" i="67" l="1"/>
  <c r="V16" i="67"/>
  <c r="O16" i="63"/>
  <c r="V16" i="63"/>
  <c r="E15" i="13"/>
  <c r="E15" i="12"/>
  <c r="E15" i="11"/>
  <c r="G14" i="13"/>
  <c r="X16" i="67"/>
  <c r="Q16" i="63"/>
  <c r="F15" i="11"/>
  <c r="Q16" i="67"/>
  <c r="R16" i="63"/>
  <c r="X16" i="63"/>
  <c r="F15" i="12"/>
  <c r="G14" i="11"/>
  <c r="G14" i="12"/>
  <c r="F15" i="13"/>
  <c r="V17" i="67" l="1"/>
  <c r="O17" i="67"/>
  <c r="V17" i="63"/>
  <c r="O17" i="63"/>
  <c r="E16" i="13"/>
  <c r="E16" i="12"/>
  <c r="E16" i="11"/>
  <c r="Q17" i="67"/>
  <c r="G15" i="12"/>
  <c r="F16" i="11"/>
  <c r="X17" i="67"/>
  <c r="R17" i="67"/>
  <c r="X17" i="63"/>
  <c r="Q17" i="63"/>
  <c r="F16" i="13"/>
  <c r="G15" i="11"/>
  <c r="F16" i="12"/>
  <c r="R16" i="67"/>
  <c r="G15" i="13"/>
  <c r="O18" i="67" l="1"/>
  <c r="V18" i="67"/>
  <c r="O18" i="63"/>
  <c r="V18" i="63"/>
  <c r="E17" i="13"/>
  <c r="E17" i="12"/>
  <c r="E17" i="11"/>
  <c r="R17" i="63"/>
  <c r="F17" i="13"/>
  <c r="X18" i="67"/>
  <c r="G16" i="11"/>
  <c r="Q18" i="67"/>
  <c r="X18" i="63"/>
  <c r="Q18" i="63"/>
  <c r="G16" i="12"/>
  <c r="F17" i="12"/>
  <c r="F17" i="11"/>
  <c r="G16" i="13"/>
  <c r="V19" i="67" l="1"/>
  <c r="O19" i="67"/>
  <c r="V19" i="63"/>
  <c r="O19" i="63"/>
  <c r="E18" i="13"/>
  <c r="E18" i="12"/>
  <c r="E18" i="11"/>
  <c r="F18" i="12"/>
  <c r="F18" i="13"/>
  <c r="R18" i="63"/>
  <c r="X19" i="63"/>
  <c r="Q19" i="67"/>
  <c r="G17" i="11"/>
  <c r="Q19" i="63"/>
  <c r="G17" i="12"/>
  <c r="G17" i="13"/>
  <c r="R19" i="67"/>
  <c r="F18" i="11"/>
  <c r="R18" i="67"/>
  <c r="X19" i="67"/>
  <c r="V20" i="67" l="1"/>
  <c r="O20" i="67"/>
  <c r="V20" i="63"/>
  <c r="O20" i="63"/>
  <c r="E19" i="13"/>
  <c r="E19" i="12"/>
  <c r="E19" i="11"/>
  <c r="Q20" i="67"/>
  <c r="Q20" i="63"/>
  <c r="G18" i="11"/>
  <c r="R20" i="63"/>
  <c r="F19" i="13"/>
  <c r="X20" i="63"/>
  <c r="F19" i="11"/>
  <c r="G18" i="12"/>
  <c r="R20" i="67"/>
  <c r="X20" i="67"/>
  <c r="G18" i="13"/>
  <c r="R19" i="63"/>
  <c r="F19" i="12"/>
  <c r="V21" i="67" l="1"/>
  <c r="O21" i="67"/>
  <c r="V21" i="63"/>
  <c r="O21" i="63"/>
  <c r="E20" i="13"/>
  <c r="E20" i="12"/>
  <c r="E20" i="11"/>
  <c r="G19" i="12"/>
  <c r="Q21" i="67"/>
  <c r="F20" i="12"/>
  <c r="R21" i="67"/>
  <c r="X21" i="67"/>
  <c r="X21" i="63"/>
  <c r="G19" i="13"/>
  <c r="G19" i="11"/>
  <c r="F20" i="13"/>
  <c r="F20" i="11"/>
  <c r="Q21" i="63"/>
  <c r="V22" i="67" l="1"/>
  <c r="O22" i="67"/>
  <c r="V22" i="63"/>
  <c r="O22" i="63"/>
  <c r="E21" i="13"/>
  <c r="E21" i="12"/>
  <c r="E21" i="11"/>
  <c r="Q22" i="67"/>
  <c r="G20" i="11"/>
  <c r="F21" i="12"/>
  <c r="X22" i="67"/>
  <c r="F21" i="13"/>
  <c r="R22" i="67"/>
  <c r="F21" i="11"/>
  <c r="X22" i="63"/>
  <c r="Q22" i="63"/>
  <c r="G20" i="13"/>
  <c r="R21" i="63"/>
  <c r="G20" i="12"/>
  <c r="V23" i="67" l="1"/>
  <c r="O23" i="67"/>
  <c r="V23" i="63"/>
  <c r="O23" i="63"/>
  <c r="E22" i="13"/>
  <c r="E22" i="12"/>
  <c r="E22" i="11"/>
  <c r="Q23" i="67"/>
  <c r="G21" i="13"/>
  <c r="R23" i="67"/>
  <c r="G21" i="12"/>
  <c r="F22" i="12"/>
  <c r="X23" i="67"/>
  <c r="F22" i="11"/>
  <c r="F22" i="13"/>
  <c r="X23" i="63"/>
  <c r="G21" i="11"/>
  <c r="Q23" i="63"/>
  <c r="R22" i="63"/>
  <c r="R23" i="63"/>
  <c r="O24" i="67" l="1"/>
  <c r="V24" i="67"/>
  <c r="O24" i="63"/>
  <c r="V24" i="63"/>
  <c r="E23" i="13"/>
  <c r="E23" i="12"/>
  <c r="E23" i="11"/>
  <c r="Q24" i="67"/>
  <c r="F23" i="12"/>
  <c r="G22" i="12"/>
  <c r="G22" i="13"/>
  <c r="X24" i="67"/>
  <c r="F23" i="11"/>
  <c r="Q24" i="63"/>
  <c r="G22" i="11"/>
  <c r="F23" i="13"/>
  <c r="X24" i="63"/>
  <c r="V25" i="67" l="1"/>
  <c r="O25" i="67"/>
  <c r="V25" i="63"/>
  <c r="O25" i="63"/>
  <c r="E24" i="13"/>
  <c r="E24" i="12"/>
  <c r="E24" i="11"/>
  <c r="R24" i="63"/>
  <c r="R24" i="67"/>
  <c r="Q25" i="67"/>
  <c r="R25" i="67" s="1"/>
  <c r="Q25" i="63"/>
  <c r="F24" i="11"/>
  <c r="G23" i="12"/>
  <c r="F24" i="13"/>
  <c r="G23" i="13"/>
  <c r="X25" i="67"/>
  <c r="F24" i="12"/>
  <c r="G23" i="11"/>
  <c r="X25" i="63"/>
  <c r="V26" i="67" l="1"/>
  <c r="O26" i="67"/>
  <c r="V26" i="63"/>
  <c r="O26" i="63"/>
  <c r="E25" i="13"/>
  <c r="E25" i="12"/>
  <c r="E25" i="11"/>
  <c r="Q26" i="67"/>
  <c r="G24" i="13"/>
  <c r="R26" i="67"/>
  <c r="F25" i="11"/>
  <c r="G24" i="11"/>
  <c r="F25" i="13"/>
  <c r="F25" i="12"/>
  <c r="Q26" i="63"/>
  <c r="R26" i="63" s="1"/>
  <c r="X26" i="67"/>
  <c r="X26" i="63"/>
  <c r="R25" i="63"/>
  <c r="G24" i="12"/>
  <c r="O27" i="67" l="1"/>
  <c r="V27" i="67"/>
  <c r="O27" i="63"/>
  <c r="V27" i="63"/>
  <c r="E26" i="13"/>
  <c r="E26" i="12"/>
  <c r="E26" i="11"/>
  <c r="Q27" i="67"/>
  <c r="X27" i="67"/>
  <c r="Q27" i="63"/>
  <c r="G25" i="13"/>
  <c r="G25" i="11"/>
  <c r="R27" i="63"/>
  <c r="X27" i="63"/>
  <c r="F26" i="12"/>
  <c r="G25" i="12"/>
  <c r="F26" i="11"/>
  <c r="F26" i="13"/>
  <c r="V28" i="67" l="1"/>
  <c r="O28" i="67"/>
  <c r="V28" i="63"/>
  <c r="O28" i="63"/>
  <c r="E27" i="13"/>
  <c r="E27" i="12"/>
  <c r="E27" i="11"/>
  <c r="Q28" i="67"/>
  <c r="Q28" i="63"/>
  <c r="F27" i="11"/>
  <c r="F27" i="13"/>
  <c r="G26" i="12"/>
  <c r="F27" i="12"/>
  <c r="X28" i="67"/>
  <c r="G26" i="11"/>
  <c r="G26" i="13"/>
  <c r="X28" i="63"/>
  <c r="R27" i="67"/>
  <c r="R28" i="67"/>
  <c r="V29" i="67" l="1"/>
  <c r="O29" i="67"/>
  <c r="V29" i="63"/>
  <c r="O29" i="63"/>
  <c r="E28" i="13"/>
  <c r="E28" i="12"/>
  <c r="E28" i="11"/>
  <c r="Q29" i="67"/>
  <c r="F28" i="11"/>
  <c r="R29" i="67"/>
  <c r="G27" i="12"/>
  <c r="F28" i="12"/>
  <c r="X29" i="63"/>
  <c r="G27" i="13"/>
  <c r="Q29" i="63"/>
  <c r="R29" i="63" s="1"/>
  <c r="G27" i="11"/>
  <c r="F28" i="13"/>
  <c r="R28" i="63"/>
  <c r="X29" i="67"/>
  <c r="O30" i="67" l="1"/>
  <c r="V30" i="67"/>
  <c r="O30" i="63"/>
  <c r="V30" i="63"/>
  <c r="E29" i="13"/>
  <c r="E29" i="12"/>
  <c r="E29" i="11"/>
  <c r="Q30" i="67"/>
  <c r="X30" i="63"/>
  <c r="F29" i="11"/>
  <c r="G28" i="12"/>
  <c r="F29" i="12"/>
  <c r="Q30" i="63"/>
  <c r="F29" i="13"/>
  <c r="G28" i="11"/>
  <c r="X30" i="67"/>
  <c r="G28" i="13"/>
  <c r="R30" i="63"/>
  <c r="V31" i="67" l="1"/>
  <c r="O31" i="67"/>
  <c r="V31" i="63"/>
  <c r="O31" i="63"/>
  <c r="E30" i="13"/>
  <c r="E30" i="12"/>
  <c r="E30" i="11"/>
  <c r="X31" i="67"/>
  <c r="X31" i="63"/>
  <c r="F30" i="12"/>
  <c r="Q31" i="63"/>
  <c r="G29" i="12"/>
  <c r="F30" i="13"/>
  <c r="G29" i="13"/>
  <c r="Q31" i="67"/>
  <c r="F30" i="11"/>
  <c r="R30" i="67"/>
  <c r="G29" i="11"/>
  <c r="V32" i="67" l="1"/>
  <c r="O32" i="67"/>
  <c r="V32" i="63"/>
  <c r="O32" i="63"/>
  <c r="E31" i="13"/>
  <c r="E31" i="12"/>
  <c r="E31" i="11"/>
  <c r="G30" i="13"/>
  <c r="Q32" i="63"/>
  <c r="G30" i="12"/>
  <c r="X32" i="67"/>
  <c r="F31" i="11"/>
  <c r="R32" i="63"/>
  <c r="G30" i="11"/>
  <c r="X32" i="63"/>
  <c r="F31" i="13"/>
  <c r="F31" i="12"/>
  <c r="R31" i="67"/>
  <c r="R31" i="63"/>
  <c r="Q32" i="67"/>
  <c r="V33" i="67" l="1"/>
  <c r="O33" i="67"/>
  <c r="V33" i="63"/>
  <c r="O33" i="63"/>
  <c r="E32" i="13"/>
  <c r="E32" i="12"/>
  <c r="E32" i="11"/>
  <c r="R32" i="67"/>
  <c r="G31" i="11"/>
  <c r="Q33" i="67"/>
  <c r="X33" i="67"/>
  <c r="Q33" i="63"/>
  <c r="G31" i="12"/>
  <c r="F32" i="13"/>
  <c r="X33" i="63"/>
  <c r="F32" i="12"/>
  <c r="F32" i="11"/>
  <c r="G31" i="13"/>
  <c r="V34" i="67" l="1"/>
  <c r="O34" i="67"/>
  <c r="V34" i="63"/>
  <c r="O34" i="63"/>
  <c r="E33" i="13"/>
  <c r="E33" i="12"/>
  <c r="E33" i="11"/>
  <c r="R33" i="67"/>
  <c r="R33" i="63"/>
  <c r="X34" i="67"/>
  <c r="Q34" i="67"/>
  <c r="X34" i="63"/>
  <c r="F33" i="12"/>
  <c r="G32" i="13"/>
  <c r="R34" i="67"/>
  <c r="G32" i="11"/>
  <c r="F33" i="13"/>
  <c r="Q34" i="63"/>
  <c r="R34" i="63" s="1"/>
  <c r="G32" i="12"/>
  <c r="F33" i="11"/>
  <c r="V35" i="67" l="1"/>
  <c r="O35" i="67"/>
  <c r="V35" i="63"/>
  <c r="O35" i="63"/>
  <c r="E34" i="13"/>
  <c r="E34" i="12"/>
  <c r="E34" i="11"/>
  <c r="X35" i="67"/>
  <c r="F34" i="13"/>
  <c r="X35" i="63"/>
  <c r="F34" i="12"/>
  <c r="Q35" i="63"/>
  <c r="G33" i="11"/>
  <c r="F34" i="11"/>
  <c r="G33" i="13"/>
  <c r="G33" i="12"/>
  <c r="Q35" i="67"/>
  <c r="O36" i="67" l="1"/>
  <c r="V36" i="67"/>
  <c r="O36" i="63"/>
  <c r="V36" i="63"/>
  <c r="E35" i="13"/>
  <c r="E35" i="12"/>
  <c r="E35" i="11"/>
  <c r="R35" i="67"/>
  <c r="R35" i="63"/>
  <c r="F35" i="11"/>
  <c r="X36" i="67"/>
  <c r="G34" i="11"/>
  <c r="F35" i="12"/>
  <c r="G34" i="12"/>
  <c r="X36" i="63"/>
  <c r="F35" i="13"/>
  <c r="G34" i="13"/>
  <c r="Q36" i="67"/>
  <c r="Q36" i="63"/>
  <c r="O37" i="67" l="1"/>
  <c r="V37" i="67"/>
  <c r="O37" i="63"/>
  <c r="V37" i="63"/>
  <c r="E36" i="13"/>
  <c r="E36" i="12"/>
  <c r="E36" i="11"/>
  <c r="R36" i="63"/>
  <c r="R36" i="67"/>
  <c r="F36" i="12"/>
  <c r="X37" i="67"/>
  <c r="G35" i="11"/>
  <c r="Q37" i="67"/>
  <c r="F36" i="11"/>
  <c r="G35" i="12"/>
  <c r="F36" i="13"/>
  <c r="X37" i="63"/>
  <c r="Q37" i="63"/>
  <c r="G35" i="13"/>
  <c r="V38" i="67" l="1"/>
  <c r="O38" i="67"/>
  <c r="V38" i="63"/>
  <c r="O38" i="63"/>
  <c r="E37" i="13"/>
  <c r="E37" i="12"/>
  <c r="E37" i="11"/>
  <c r="G36" i="12"/>
  <c r="Q38" i="63"/>
  <c r="R37" i="67"/>
  <c r="G36" i="11"/>
  <c r="Q38" i="67"/>
  <c r="R38" i="67"/>
  <c r="G36" i="13"/>
  <c r="X38" i="67"/>
  <c r="F37" i="12"/>
  <c r="R38" i="63"/>
  <c r="F37" i="11"/>
  <c r="X38" i="63"/>
  <c r="R37" i="63"/>
  <c r="F37" i="13"/>
  <c r="O39" i="67" l="1"/>
  <c r="V39" i="67"/>
  <c r="O39" i="63"/>
  <c r="V39" i="63"/>
  <c r="E38" i="13"/>
  <c r="E38" i="12"/>
  <c r="E38" i="11"/>
  <c r="Q39" i="67"/>
  <c r="X39" i="67"/>
  <c r="Q39" i="63"/>
  <c r="F38" i="13"/>
  <c r="G37" i="12"/>
  <c r="R39" i="63"/>
  <c r="X39" i="63"/>
  <c r="G37" i="11"/>
  <c r="F38" i="12"/>
  <c r="G37" i="13"/>
  <c r="F38" i="11"/>
  <c r="V40" i="67" l="1"/>
  <c r="O40" i="67"/>
  <c r="V40" i="63"/>
  <c r="O40" i="63"/>
  <c r="E39" i="13"/>
  <c r="E39" i="12"/>
  <c r="E39" i="11"/>
  <c r="Q40" i="67"/>
  <c r="F39" i="11"/>
  <c r="G38" i="13"/>
  <c r="Q40" i="63"/>
  <c r="X40" i="67"/>
  <c r="G38" i="11"/>
  <c r="G38" i="12"/>
  <c r="R40" i="67"/>
  <c r="F39" i="13"/>
  <c r="F39" i="12"/>
  <c r="R39" i="67"/>
  <c r="X40" i="63"/>
  <c r="O41" i="67" l="1"/>
  <c r="V41" i="67"/>
  <c r="O41" i="63"/>
  <c r="V41" i="63"/>
  <c r="E40" i="13"/>
  <c r="E40" i="12"/>
  <c r="E40" i="11"/>
  <c r="X41" i="67"/>
  <c r="G39" i="12"/>
  <c r="F40" i="11"/>
  <c r="F40" i="13"/>
  <c r="G39" i="11"/>
  <c r="G39" i="13"/>
  <c r="Q41" i="67"/>
  <c r="Q41" i="63"/>
  <c r="F40" i="12"/>
  <c r="R41" i="63"/>
  <c r="R40" i="63"/>
  <c r="X41" i="63"/>
  <c r="O42" i="67" l="1"/>
  <c r="V42" i="67"/>
  <c r="O42" i="63"/>
  <c r="V42" i="63"/>
  <c r="E41" i="13"/>
  <c r="E42" i="13"/>
  <c r="E42" i="12"/>
  <c r="E41" i="12"/>
  <c r="E42" i="11"/>
  <c r="E41" i="11"/>
  <c r="S3" i="12"/>
  <c r="S3" i="13"/>
  <c r="G40" i="13"/>
  <c r="G40" i="12"/>
  <c r="F42" i="13"/>
  <c r="Q42" i="63"/>
  <c r="F42" i="11"/>
  <c r="F41" i="13"/>
  <c r="X42" i="67"/>
  <c r="G41" i="13"/>
  <c r="R41" i="67"/>
  <c r="F41" i="11"/>
  <c r="F42" i="12"/>
  <c r="F41" i="12"/>
  <c r="X42" i="63"/>
  <c r="G40" i="11"/>
  <c r="Q42" i="67"/>
  <c r="R42" i="67"/>
  <c r="O44" i="67" l="1"/>
  <c r="O43" i="67"/>
  <c r="V44" i="67"/>
  <c r="V43" i="67"/>
  <c r="O44" i="63"/>
  <c r="O43" i="63"/>
  <c r="V44" i="63"/>
  <c r="V43" i="63"/>
  <c r="U5" i="13" a="1"/>
  <c r="U5" i="12" a="1"/>
  <c r="S3" i="11"/>
  <c r="G42" i="12"/>
  <c r="Q44" i="63"/>
  <c r="X44" i="63"/>
  <c r="Q44" i="67"/>
  <c r="R44" i="67" s="1"/>
  <c r="R42" i="63"/>
  <c r="G42" i="11"/>
  <c r="X43" i="67"/>
  <c r="Q43" i="67"/>
  <c r="G42" i="13"/>
  <c r="Q43" i="63"/>
  <c r="G41" i="11"/>
  <c r="X44" i="67"/>
  <c r="X43" i="63"/>
  <c r="G41" i="12"/>
  <c r="U11" i="12" l="1"/>
  <c r="U21" i="12"/>
  <c r="U9" i="12"/>
  <c r="U7" i="12"/>
  <c r="U29" i="12"/>
  <c r="U6" i="12"/>
  <c r="U8" i="12"/>
  <c r="U28" i="12"/>
  <c r="U32" i="12"/>
  <c r="U5" i="12"/>
  <c r="U13" i="12"/>
  <c r="U15" i="12"/>
  <c r="U23" i="12"/>
  <c r="U27" i="12"/>
  <c r="U10" i="12"/>
  <c r="U38" i="12"/>
  <c r="U39" i="12" s="1"/>
  <c r="U18" i="12"/>
  <c r="U14" i="12"/>
  <c r="U30" i="12"/>
  <c r="U26" i="12"/>
  <c r="U25" i="12"/>
  <c r="U24" i="12"/>
  <c r="U20" i="12"/>
  <c r="U37" i="12"/>
  <c r="U31" i="12"/>
  <c r="U17" i="12"/>
  <c r="U16" i="12"/>
  <c r="U19" i="12"/>
  <c r="U36" i="12"/>
  <c r="U34" i="12"/>
  <c r="U35" i="12"/>
  <c r="U12" i="12"/>
  <c r="U22" i="12"/>
  <c r="U33" i="12"/>
  <c r="U31" i="13"/>
  <c r="U15" i="13"/>
  <c r="U32" i="13"/>
  <c r="U18" i="13"/>
  <c r="U23" i="13"/>
  <c r="U22" i="13"/>
  <c r="U24" i="13"/>
  <c r="U21" i="13"/>
  <c r="U37" i="13"/>
  <c r="U19" i="13"/>
  <c r="U29" i="13"/>
  <c r="U11" i="13"/>
  <c r="U38" i="13"/>
  <c r="U39" i="13" s="1"/>
  <c r="U28" i="13"/>
  <c r="U5" i="13"/>
  <c r="U14" i="13"/>
  <c r="U8" i="13"/>
  <c r="U10" i="13"/>
  <c r="U6" i="13"/>
  <c r="U30" i="13"/>
  <c r="U26" i="13"/>
  <c r="U33" i="13"/>
  <c r="U7" i="13"/>
  <c r="U9" i="13"/>
  <c r="U35" i="13"/>
  <c r="U13" i="13"/>
  <c r="U12" i="13"/>
  <c r="U17" i="13"/>
  <c r="U34" i="13"/>
  <c r="U25" i="13"/>
  <c r="U27" i="13"/>
  <c r="U20" i="13"/>
  <c r="U36" i="13"/>
  <c r="U16" i="13"/>
  <c r="U5" i="11" a="1"/>
  <c r="R43" i="67"/>
  <c r="R43" i="63"/>
  <c r="R44" i="63"/>
  <c r="U40" i="13" l="1"/>
  <c r="U40" i="12"/>
  <c r="U6" i="11"/>
  <c r="U5" i="11"/>
  <c r="U7" i="11"/>
  <c r="U8" i="11"/>
  <c r="U9" i="11"/>
  <c r="U10" i="11"/>
  <c r="U41" i="13" l="1"/>
  <c r="U41" i="12"/>
  <c r="U42" i="12" s="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Y5" i="12" l="1" a="1"/>
  <c r="U42" i="13"/>
  <c r="U39" i="11"/>
  <c r="Y13" i="12" l="1"/>
  <c r="Y7" i="12"/>
  <c r="Y33" i="12"/>
  <c r="Y5" i="12"/>
  <c r="Y9" i="12"/>
  <c r="Y22" i="12"/>
  <c r="Y21" i="12"/>
  <c r="Y12" i="12"/>
  <c r="Y24" i="12"/>
  <c r="Y11" i="12"/>
  <c r="Y35" i="12"/>
  <c r="Y32" i="12"/>
  <c r="Y30" i="12"/>
  <c r="Y18" i="12"/>
  <c r="Y10" i="12"/>
  <c r="Y17" i="12"/>
  <c r="Y34" i="12"/>
  <c r="Y25" i="12"/>
  <c r="Y8" i="12"/>
  <c r="Y6" i="12"/>
  <c r="Y16" i="12"/>
  <c r="Y31" i="12"/>
  <c r="Y28" i="12"/>
  <c r="Y14" i="12"/>
  <c r="Y38" i="12"/>
  <c r="Y29" i="12"/>
  <c r="Y37" i="12"/>
  <c r="Y23" i="12"/>
  <c r="Y26" i="12"/>
  <c r="Y36" i="12"/>
  <c r="Y19" i="12"/>
  <c r="Y27" i="12"/>
  <c r="Y20" i="12"/>
  <c r="Y15" i="12"/>
  <c r="Y39" i="12"/>
  <c r="Y40" i="12"/>
  <c r="Y41" i="12"/>
  <c r="Y42" i="12"/>
  <c r="Y5" i="13" a="1"/>
  <c r="Y42" i="13" s="1"/>
  <c r="U40" i="11"/>
  <c r="Z27" i="12"/>
  <c r="Z42" i="12"/>
  <c r="Z6" i="12"/>
  <c r="Z16" i="12"/>
  <c r="Z29" i="12"/>
  <c r="Z34" i="12"/>
  <c r="Z10" i="12"/>
  <c r="Z38" i="12"/>
  <c r="Z19" i="12"/>
  <c r="Z18" i="12"/>
  <c r="Z39" i="12"/>
  <c r="Z13" i="12"/>
  <c r="Z15" i="12"/>
  <c r="Z28" i="12"/>
  <c r="Z24" i="12"/>
  <c r="Z21" i="12"/>
  <c r="Z35" i="12"/>
  <c r="Z5" i="12"/>
  <c r="Z14" i="12"/>
  <c r="Z26" i="12"/>
  <c r="Z31" i="12"/>
  <c r="Z17" i="12"/>
  <c r="Z25" i="12"/>
  <c r="Z42" i="13"/>
  <c r="Z30" i="12"/>
  <c r="Z11" i="12"/>
  <c r="Z36" i="12"/>
  <c r="Z12" i="12"/>
  <c r="Z20" i="12"/>
  <c r="Z37" i="12"/>
  <c r="Z9" i="12"/>
  <c r="Z7" i="12"/>
  <c r="Z32" i="12"/>
  <c r="Z8" i="12"/>
  <c r="Z22" i="12"/>
  <c r="Z23" i="12"/>
  <c r="Z40" i="12"/>
  <c r="Z41" i="12"/>
  <c r="Z33" i="12"/>
  <c r="Y28" i="13" l="1"/>
  <c r="Y11" i="13"/>
  <c r="Y19" i="13"/>
  <c r="Y26" i="13"/>
  <c r="Y34" i="13"/>
  <c r="Y6" i="13"/>
  <c r="Y35" i="13"/>
  <c r="Y9" i="13"/>
  <c r="Y37" i="13"/>
  <c r="Y24" i="13"/>
  <c r="Y17" i="13"/>
  <c r="Y10" i="13"/>
  <c r="Y16" i="13"/>
  <c r="Y7" i="13"/>
  <c r="Y33" i="13"/>
  <c r="Y30" i="13"/>
  <c r="Y12" i="13"/>
  <c r="Y8" i="13"/>
  <c r="Y29" i="13"/>
  <c r="Y21" i="13"/>
  <c r="Y22" i="13"/>
  <c r="Y13" i="13"/>
  <c r="Y14" i="13"/>
  <c r="Y23" i="13"/>
  <c r="Y5" i="13"/>
  <c r="Y18" i="13"/>
  <c r="Y36" i="13"/>
  <c r="Y32" i="13"/>
  <c r="Y20" i="13"/>
  <c r="Y15" i="13"/>
  <c r="Y27" i="13"/>
  <c r="Y38" i="13"/>
  <c r="Y31" i="13"/>
  <c r="Y25" i="13"/>
  <c r="Y39" i="13"/>
  <c r="Y40" i="13"/>
  <c r="Y41" i="13"/>
  <c r="U41" i="11"/>
  <c r="Z25" i="13"/>
  <c r="Z36" i="13"/>
  <c r="Z15" i="13"/>
  <c r="Z16" i="13"/>
  <c r="Z31" i="13"/>
  <c r="Z18" i="13"/>
  <c r="Z26" i="13"/>
  <c r="Z17" i="13"/>
  <c r="Z19" i="13"/>
  <c r="Z9" i="13"/>
  <c r="Z28" i="13"/>
  <c r="Z35" i="13"/>
  <c r="Z13" i="13"/>
  <c r="Z41" i="13"/>
  <c r="Z8" i="13"/>
  <c r="Z10" i="13"/>
  <c r="Z33" i="13"/>
  <c r="Z38" i="13"/>
  <c r="Z37" i="13"/>
  <c r="Z23" i="13"/>
  <c r="Z34" i="13"/>
  <c r="Z20" i="13"/>
  <c r="Z12" i="13"/>
  <c r="Z39" i="13"/>
  <c r="Z32" i="13"/>
  <c r="Z11" i="13"/>
  <c r="Z21" i="13"/>
  <c r="Z30" i="13"/>
  <c r="Z7" i="13"/>
  <c r="Z29" i="13"/>
  <c r="Z24" i="13"/>
  <c r="Z5" i="13"/>
  <c r="Z40" i="13"/>
  <c r="Z27" i="13"/>
  <c r="Z14" i="13"/>
  <c r="Z6" i="13"/>
  <c r="Z22" i="13"/>
  <c r="U42" i="11" l="1"/>
  <c r="P5" i="18" a="1"/>
  <c r="Y5" i="11" l="1" a="1"/>
  <c r="P6" i="18"/>
  <c r="P5" i="18"/>
  <c r="P7" i="18"/>
  <c r="P8" i="18"/>
  <c r="Y5" i="11" l="1"/>
  <c r="Y8" i="11"/>
  <c r="Y7" i="11"/>
  <c r="Y6" i="11"/>
  <c r="Y10" i="11"/>
  <c r="Y9" i="11"/>
  <c r="Y36" i="11"/>
  <c r="Y34" i="11"/>
  <c r="Y32" i="11"/>
  <c r="Y38" i="11"/>
  <c r="Y13" i="11"/>
  <c r="Y28" i="11"/>
  <c r="Y26" i="11"/>
  <c r="Y24" i="11"/>
  <c r="Y30" i="11"/>
  <c r="Y20" i="11"/>
  <c r="Y18" i="11"/>
  <c r="Y16" i="11"/>
  <c r="Y22" i="11"/>
  <c r="Y12" i="11"/>
  <c r="Y14" i="11"/>
  <c r="Y35" i="11"/>
  <c r="Y33" i="11"/>
  <c r="Y31" i="11"/>
  <c r="Y27" i="11"/>
  <c r="Y25" i="11"/>
  <c r="Y23" i="11"/>
  <c r="Y37" i="11"/>
  <c r="Y19" i="11"/>
  <c r="Y17" i="11"/>
  <c r="Y15" i="11"/>
  <c r="Y29" i="11"/>
  <c r="Y11" i="11"/>
  <c r="Y21" i="11"/>
  <c r="Y39" i="11"/>
  <c r="Y40" i="11"/>
  <c r="Y41" i="11"/>
  <c r="Y42" i="11"/>
  <c r="P9" i="18"/>
  <c r="P10" i="18"/>
  <c r="Z13" i="11"/>
  <c r="Z7" i="11"/>
  <c r="Z38" i="11"/>
  <c r="Z24" i="11"/>
  <c r="Z39" i="11"/>
  <c r="Z36" i="11"/>
  <c r="Z15" i="11"/>
  <c r="Z9" i="11"/>
  <c r="Z17" i="11"/>
  <c r="Z35" i="11"/>
  <c r="Z6" i="11"/>
  <c r="Z8" i="11"/>
  <c r="Z33" i="11"/>
  <c r="Z31" i="11"/>
  <c r="Z12" i="11"/>
  <c r="Z42" i="11"/>
  <c r="Z32" i="11"/>
  <c r="Z5" i="11"/>
  <c r="Z29" i="11"/>
  <c r="Z21" i="11"/>
  <c r="Z27" i="11"/>
  <c r="Z40" i="11"/>
  <c r="Z14" i="11"/>
  <c r="Z41" i="11"/>
  <c r="Z11" i="11"/>
  <c r="Z22" i="11"/>
  <c r="Z26" i="11"/>
  <c r="Z30" i="11"/>
  <c r="Z23" i="11"/>
  <c r="Z34" i="11"/>
  <c r="Z28" i="11"/>
  <c r="Z19" i="11"/>
  <c r="Z37" i="11"/>
  <c r="Z25" i="11"/>
  <c r="Z10" i="11"/>
  <c r="Z20" i="11"/>
  <c r="Z16" i="11"/>
  <c r="Z18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3"/>
  <c r="AD2" i="18"/>
  <c r="Z2" i="12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I26" i="18"/>
  <c r="I34" i="18"/>
  <c r="I10" i="18"/>
  <c r="I44" i="18"/>
  <c r="I30" i="18"/>
  <c r="I14" i="18"/>
  <c r="I37" i="18"/>
  <c r="I23" i="18"/>
  <c r="I28" i="18"/>
  <c r="I45" i="18"/>
  <c r="I35" i="18"/>
  <c r="I16" i="18"/>
  <c r="I32" i="18"/>
  <c r="I36" i="18"/>
  <c r="I22" i="18"/>
  <c r="I7" i="18"/>
  <c r="I29" i="18"/>
  <c r="I31" i="18"/>
  <c r="I11" i="18"/>
  <c r="I13" i="18"/>
  <c r="I9" i="18"/>
  <c r="I43" i="18"/>
  <c r="I46" i="18"/>
  <c r="I20" i="18"/>
  <c r="I21" i="18"/>
  <c r="I12" i="18"/>
  <c r="I42" i="18"/>
  <c r="I18" i="18"/>
  <c r="I19" i="18"/>
  <c r="I24" i="18"/>
  <c r="I38" i="18"/>
  <c r="I27" i="18"/>
  <c r="I15" i="18"/>
  <c r="I17" i="18"/>
  <c r="I41" i="18"/>
  <c r="I39" i="18"/>
  <c r="I40" i="18"/>
  <c r="I33" i="18"/>
  <c r="R2" i="15"/>
  <c r="I8" i="18"/>
  <c r="I25" i="18"/>
  <c r="L6" i="15" l="1"/>
  <c r="L7" i="15"/>
  <c r="L5" i="15"/>
  <c r="J21" i="18"/>
  <c r="J19" i="18"/>
  <c r="J27" i="18"/>
  <c r="J9" i="18"/>
  <c r="X2" i="22"/>
  <c r="J41" i="18"/>
  <c r="J22" i="18"/>
  <c r="J11" i="18"/>
  <c r="D8" i="56"/>
  <c r="J35" i="18"/>
  <c r="J13" i="18"/>
  <c r="J42" i="18"/>
  <c r="J25" i="18"/>
  <c r="J43" i="18"/>
  <c r="J44" i="18"/>
  <c r="J45" i="18"/>
  <c r="Z2" i="11"/>
  <c r="J26" i="18"/>
  <c r="J31" i="18"/>
  <c r="X2" i="65"/>
  <c r="J7" i="18"/>
  <c r="X2" i="23"/>
  <c r="J37" i="18"/>
  <c r="J30" i="18"/>
  <c r="J34" i="18"/>
  <c r="J24" i="18"/>
  <c r="J18" i="18"/>
  <c r="J40" i="18"/>
  <c r="J14" i="18"/>
  <c r="J10" i="18"/>
  <c r="J32" i="18"/>
  <c r="J36" i="18"/>
  <c r="J17" i="18"/>
  <c r="J28" i="18"/>
  <c r="J20" i="18"/>
  <c r="J46" i="18"/>
  <c r="J16" i="18"/>
  <c r="J33" i="18"/>
  <c r="J12" i="18"/>
  <c r="J23" i="18"/>
  <c r="J38" i="18"/>
  <c r="J8" i="18"/>
  <c r="J29" i="18"/>
  <c r="J39" i="18"/>
  <c r="X2" i="64"/>
  <c r="J15" i="18"/>
  <c r="L4" i="15"/>
  <c r="R4" i="18"/>
  <c r="E5" i="16" l="1"/>
  <c r="F5" i="16"/>
  <c r="O4" i="64"/>
  <c r="N5" i="16" l="1"/>
  <c r="X5" i="16"/>
  <c r="X2" i="16"/>
  <c r="G5" i="16"/>
  <c r="O5" i="16" l="1" a="1"/>
  <c r="O13" i="16" l="1"/>
  <c r="O6" i="16"/>
  <c r="O16" i="16"/>
  <c r="O7" i="16"/>
  <c r="O14" i="16"/>
  <c r="O15" i="16"/>
  <c r="O12" i="16"/>
  <c r="O9" i="16"/>
  <c r="O8" i="16"/>
  <c r="O11" i="16"/>
  <c r="O10" i="16"/>
  <c r="O5" i="16"/>
  <c r="S3" i="66"/>
  <c r="U5" i="66" a="1"/>
  <c r="O4" i="16"/>
  <c r="O4" i="66"/>
  <c r="O4" i="23"/>
  <c r="O4" i="25"/>
  <c r="O4" i="22"/>
  <c r="O4" i="13"/>
  <c r="O4" i="12"/>
  <c r="O4" i="65"/>
  <c r="O4" i="11"/>
  <c r="U18" i="66" l="1"/>
  <c r="U9" i="66"/>
  <c r="U23" i="66"/>
  <c r="U29" i="66"/>
  <c r="U19" i="66"/>
  <c r="U25" i="66"/>
  <c r="U11" i="66"/>
  <c r="U16" i="66"/>
  <c r="U34" i="66"/>
  <c r="U10" i="66"/>
  <c r="U12" i="66"/>
  <c r="U32" i="66"/>
  <c r="U35" i="66"/>
  <c r="U26" i="66"/>
  <c r="U13" i="66"/>
  <c r="U27" i="66"/>
  <c r="U7" i="66"/>
  <c r="U37" i="66"/>
  <c r="U14" i="66"/>
  <c r="U28" i="66"/>
  <c r="U5" i="66"/>
  <c r="U38" i="66"/>
  <c r="U21" i="66"/>
  <c r="U30" i="66"/>
  <c r="U17" i="66"/>
  <c r="U36" i="66"/>
  <c r="U8" i="66"/>
  <c r="U22" i="66"/>
  <c r="U15" i="66"/>
  <c r="U33" i="66"/>
  <c r="U20" i="66"/>
  <c r="U24" i="66"/>
  <c r="U6" i="66"/>
  <c r="U31" i="66"/>
  <c r="U39" i="66" l="1"/>
  <c r="U40" i="66" l="1"/>
  <c r="U41" i="66" l="1"/>
  <c r="U42" i="66" l="1"/>
  <c r="S3" i="25"/>
  <c r="U40" i="25"/>
  <c r="U20" i="25"/>
  <c r="U13" i="25"/>
  <c r="U27" i="25"/>
  <c r="U32" i="25"/>
  <c r="U39" i="25"/>
  <c r="U18" i="25"/>
  <c r="U24" i="25"/>
  <c r="U26" i="25"/>
  <c r="U38" i="25"/>
  <c r="U21" i="25"/>
  <c r="U7" i="25"/>
  <c r="U35" i="25"/>
  <c r="U23" i="25"/>
  <c r="U12" i="25"/>
  <c r="U11" i="25"/>
  <c r="U22" i="25"/>
  <c r="U10" i="25"/>
  <c r="U5" i="25"/>
  <c r="U25" i="25"/>
  <c r="U37" i="25"/>
  <c r="U17" i="25"/>
  <c r="U16" i="25"/>
  <c r="U9" i="25"/>
  <c r="U34" i="25"/>
  <c r="U36" i="25"/>
  <c r="U30" i="25"/>
  <c r="U41" i="25"/>
  <c r="U33" i="25"/>
  <c r="U42" i="25"/>
  <c r="U8" i="25"/>
  <c r="U6" i="25"/>
  <c r="U29" i="25"/>
  <c r="U15" i="25"/>
  <c r="U14" i="25"/>
  <c r="U31" i="25"/>
  <c r="U19" i="25"/>
  <c r="Z5" i="25" l="1" a="1"/>
  <c r="Y5" i="66" a="1"/>
  <c r="Z6" i="25"/>
  <c r="Z9" i="25"/>
  <c r="Z13" i="25"/>
  <c r="Z39" i="25"/>
  <c r="Z26" i="25"/>
  <c r="Z18" i="25"/>
  <c r="Z23" i="25"/>
  <c r="Z8" i="25"/>
  <c r="Z21" i="25"/>
  <c r="Z20" i="25"/>
  <c r="Z17" i="25"/>
  <c r="Z10" i="25"/>
  <c r="Z15" i="25"/>
  <c r="Z38" i="25"/>
  <c r="Z16" i="25"/>
  <c r="Z19" i="25"/>
  <c r="Z41" i="25"/>
  <c r="Z32" i="25"/>
  <c r="Z37" i="25"/>
  <c r="Z29" i="25"/>
  <c r="Z36" i="25"/>
  <c r="Z33" i="25"/>
  <c r="Z35" i="25"/>
  <c r="Z11" i="25"/>
  <c r="Z24" i="25"/>
  <c r="Z42" i="25"/>
  <c r="Z25" i="25"/>
  <c r="Z27" i="25"/>
  <c r="Z22" i="25"/>
  <c r="Z7" i="25"/>
  <c r="Z12" i="25"/>
  <c r="P5" i="20" s="1"/>
  <c r="T5" i="20" s="1" a="1"/>
  <c r="T6" i="20" s="1"/>
  <c r="Z31" i="25"/>
  <c r="Z34" i="25"/>
  <c r="Z14" i="25"/>
  <c r="Z5" i="25"/>
  <c r="Z40" i="25"/>
  <c r="Z30" i="25"/>
  <c r="U6" i="20"/>
  <c r="U28" i="25"/>
  <c r="AA5" i="25"/>
  <c r="Z28" i="25" l="1"/>
  <c r="Y24" i="66"/>
  <c r="Y33" i="66"/>
  <c r="Y19" i="66"/>
  <c r="Y23" i="66"/>
  <c r="Y7" i="66"/>
  <c r="Y30" i="66"/>
  <c r="Y38" i="66"/>
  <c r="Y22" i="66"/>
  <c r="Y31" i="66"/>
  <c r="Y34" i="66"/>
  <c r="Y27" i="66"/>
  <c r="Y26" i="66"/>
  <c r="Y28" i="66"/>
  <c r="Y36" i="66"/>
  <c r="Y18" i="66"/>
  <c r="Y16" i="66"/>
  <c r="Y25" i="66"/>
  <c r="Y32" i="66"/>
  <c r="Y37" i="66"/>
  <c r="Y20" i="66"/>
  <c r="Y15" i="66"/>
  <c r="Y29" i="66"/>
  <c r="Y10" i="66"/>
  <c r="Y21" i="66"/>
  <c r="Y5" i="66"/>
  <c r="Y8" i="66"/>
  <c r="Y9" i="66"/>
  <c r="Y13" i="66"/>
  <c r="Y14" i="66"/>
  <c r="Y6" i="66"/>
  <c r="Y11" i="66"/>
  <c r="Y35" i="66"/>
  <c r="Y12" i="66"/>
  <c r="Y17" i="66"/>
  <c r="Y39" i="66"/>
  <c r="Y40" i="66"/>
  <c r="Y41" i="66"/>
  <c r="Y42" i="66"/>
  <c r="T5" i="20"/>
  <c r="Z24" i="66"/>
  <c r="AA20" i="25"/>
  <c r="Z5" i="66"/>
  <c r="Z39" i="66"/>
  <c r="Z15" i="66"/>
  <c r="P17" i="6"/>
  <c r="AA11" i="25"/>
  <c r="O17" i="6"/>
  <c r="AA24" i="25"/>
  <c r="Z18" i="66"/>
  <c r="AA16" i="25"/>
  <c r="Z27" i="66"/>
  <c r="AA13" i="25"/>
  <c r="AA25" i="25"/>
  <c r="AA19" i="25"/>
  <c r="AA41" i="25"/>
  <c r="AA36" i="25"/>
  <c r="Z25" i="66"/>
  <c r="Z33" i="66"/>
  <c r="AA26" i="25"/>
  <c r="Z42" i="66"/>
  <c r="Z21" i="66"/>
  <c r="AA29" i="25"/>
  <c r="Z37" i="66"/>
  <c r="Z26" i="66"/>
  <c r="Z31" i="66"/>
  <c r="AA8" i="25"/>
  <c r="Z28" i="66"/>
  <c r="Z38" i="66"/>
  <c r="Z36" i="66"/>
  <c r="AA42" i="25"/>
  <c r="Z41" i="66"/>
  <c r="Z34" i="66"/>
  <c r="Z6" i="66"/>
  <c r="AA14" i="25"/>
  <c r="Z29" i="66"/>
  <c r="AA28" i="25"/>
  <c r="AA21" i="25"/>
  <c r="Z22" i="66"/>
  <c r="Z16" i="66"/>
  <c r="Z9" i="66"/>
  <c r="Z40" i="66"/>
  <c r="P20" i="6"/>
  <c r="AA40" i="25"/>
  <c r="AA37" i="25"/>
  <c r="Z32" i="66"/>
  <c r="AA18" i="25"/>
  <c r="AA31" i="25"/>
  <c r="AA39" i="25"/>
  <c r="AA23" i="25"/>
  <c r="Z35" i="66"/>
  <c r="AA30" i="25"/>
  <c r="Z19" i="66"/>
  <c r="AA10" i="25"/>
  <c r="AA6" i="25"/>
  <c r="Z8" i="66"/>
  <c r="AA35" i="25"/>
  <c r="Z11" i="66"/>
  <c r="P23" i="6"/>
  <c r="AA12" i="25"/>
  <c r="AA9" i="25"/>
  <c r="AA33" i="25"/>
  <c r="Z13" i="66"/>
  <c r="P26" i="6"/>
  <c r="I6" i="18"/>
  <c r="J6" i="18" s="1"/>
  <c r="AA38" i="25"/>
  <c r="Z10" i="66"/>
  <c r="AA32" i="25"/>
  <c r="O20" i="6"/>
  <c r="Z23" i="66"/>
  <c r="AA34" i="25"/>
  <c r="AA27" i="25"/>
  <c r="AA22" i="25"/>
  <c r="Z20" i="66"/>
  <c r="AA17" i="25"/>
  <c r="Z17" i="66"/>
  <c r="AA7" i="25"/>
  <c r="O26" i="6"/>
  <c r="O23" i="6"/>
  <c r="U5" i="20"/>
  <c r="AA15" i="25"/>
  <c r="Z12" i="66"/>
  <c r="Z14" i="66"/>
  <c r="Z30" i="66"/>
  <c r="Z7" i="66"/>
  <c r="Z2" i="66" s="1"/>
  <c r="U2" i="20"/>
  <c r="I5" i="18"/>
  <c r="AA2" i="25"/>
  <c r="D7" i="56"/>
  <c r="J5" i="18"/>
</calcChain>
</file>

<file path=xl/sharedStrings.xml><?xml version="1.0" encoding="utf-8"?>
<sst xmlns="http://schemas.openxmlformats.org/spreadsheetml/2006/main" count="2286" uniqueCount="252">
  <si>
    <t>Currency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</si>
  <si>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</si>
  <si>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</si>
  <si>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</si>
  <si>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</si>
  <si>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</si>
  <si>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</si>
  <si>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</si>
  <si>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</si>
  <si>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</si>
  <si>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</si>
  <si>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</si>
  <si>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</si>
  <si>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</si>
  <si>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</si>
  <si>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</si>
  <si>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</si>
  <si>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</si>
  <si>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</si>
  <si>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</si>
  <si>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</si>
  <si>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</si>
  <si>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</si>
  <si>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</si>
  <si>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</si>
  <si>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</si>
  <si>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</si>
  <si>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</si>
  <si>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</si>
  <si>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</si>
  <si>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</si>
  <si>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</si>
  <si>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</si>
  <si>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</si>
  <si>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</si>
  <si>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</si>
  <si>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</si>
  <si>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</si>
  <si>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</si>
  <si>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</si>
  <si>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</si>
  <si>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</si>
  <si>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</si>
  <si>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</si>
  <si>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</si>
  <si>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</si>
  <si>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</si>
  <si>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</si>
  <si>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</si>
  <si>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</si>
  <si>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</si>
  <si>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</si>
  <si>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</si>
  <si>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</si>
  <si>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</si>
  <si>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</si>
  <si>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</si>
  <si>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</si>
  <si>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</si>
  <si>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</si>
  <si>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</si>
  <si>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</si>
  <si>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</si>
  <si>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</si>
  <si>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</si>
  <si>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</si>
  <si>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</si>
  <si>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</si>
  <si>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</si>
  <si>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</si>
  <si>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</si>
  <si>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</si>
  <si>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</si>
  <si>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</si>
  <si>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</si>
  <si>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</si>
  <si>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</si>
  <si>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</si>
  <si>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</si>
  <si>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</si>
  <si>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</si>
  <si>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</si>
  <si>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</si>
  <si>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</si>
  <si>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</si>
  <si>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</si>
  <si>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</si>
  <si>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</si>
  <si>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</si>
  <si>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</si>
  <si>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</si>
  <si>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</si>
  <si>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</si>
  <si>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</si>
  <si>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</si>
  <si>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</si>
  <si>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</si>
  <si>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</si>
  <si>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</si>
  <si>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</si>
  <si>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</si>
  <si>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</si>
  <si>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</si>
  <si>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</si>
  <si>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</si>
  <si>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</si>
  <si>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</si>
  <si>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</si>
  <si>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</si>
  <si>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</si>
  <si>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</si>
  <si>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</si>
  <si>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</si>
  <si>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</si>
  <si>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</si>
  <si>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</si>
  <si>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</si>
  <si>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</si>
  <si>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</si>
  <si>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</si>
  <si>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</si>
  <si>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</si>
  <si>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</si>
  <si>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</si>
  <si>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</si>
  <si>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</si>
  <si>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</si>
  <si>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</si>
  <si>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</si>
  <si>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</si>
  <si>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</si>
  <si>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</si>
  <si>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</si>
  <si>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</si>
  <si>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</si>
  <si>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</si>
  <si>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</si>
  <si>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</si>
  <si>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</si>
  <si>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</si>
  <si>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</si>
  <si>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</si>
  <si>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</si>
  <si>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</si>
  <si>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</si>
  <si>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</si>
  <si>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</si>
  <si>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</si>
  <si>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</si>
  <si>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</si>
  <si>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</si>
  <si>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</si>
  <si>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</si>
  <si>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</si>
  <si>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</si>
  <si>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</si>
  <si>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</si>
  <si>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</si>
  <si>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</si>
  <si>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</si>
  <si>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</si>
  <si>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</si>
  <si>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</si>
  <si>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</si>
  <si>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</si>
  <si>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</si>
  <si>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</si>
  <si>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</si>
  <si>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</si>
  <si>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</si>
  <si>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</si>
  <si>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</si>
  <si>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</si>
  <si>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</si>
  <si>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</si>
  <si>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</si>
  <si>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</si>
  <si>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</si>
  <si>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</si>
  <si>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</si>
  <si>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</si>
  <si>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</si>
  <si>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</si>
  <si>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</si>
  <si>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</si>
  <si>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</si>
  <si>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</si>
  <si>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</si>
  <si>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</si>
  <si>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</si>
  <si>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</si>
  <si>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</si>
  <si>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</si>
  <si>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</si>
  <si>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</si>
  <si>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</si>
  <si>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</si>
  <si>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</si>
  <si>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</si>
  <si>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</si>
  <si>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</si>
  <si>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</si>
  <si>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</si>
  <si>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</si>
  <si>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</si>
  <si>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</si>
  <si>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</si>
  <si>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</si>
  <si>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</si>
  <si>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</si>
  <si>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</si>
  <si>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</si>
  <si>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</si>
  <si>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</si>
  <si>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</si>
  <si>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</si>
  <si>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</si>
  <si>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</si>
  <si>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</si>
  <si>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</si>
  <si>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</si>
  <si>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</si>
  <si>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</si>
  <si>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BasisSwapFF3M</t>
  </si>
  <si>
    <t>BasisSwap1M3M</t>
  </si>
  <si>
    <t>BasisSwap3M12M</t>
  </si>
  <si>
    <t>FF</t>
  </si>
  <si>
    <t>t values</t>
  </si>
  <si>
    <t>filter</t>
  </si>
  <si>
    <t>Interp</t>
  </si>
  <si>
    <t>_LCHQuote</t>
  </si>
  <si>
    <t>LCHlinear</t>
  </si>
  <si>
    <t>LCHcubic</t>
  </si>
  <si>
    <t>_linearLCH</t>
  </si>
  <si>
    <t>_cubicLCH</t>
  </si>
  <si>
    <t>Relinkable Handle 1</t>
  </si>
  <si>
    <t>Relinkable Handle 2</t>
  </si>
  <si>
    <t>Index 1</t>
  </si>
  <si>
    <t>Index 2</t>
  </si>
  <si>
    <t>Add Fixing 2</t>
  </si>
  <si>
    <t>Add Fixing 1</t>
  </si>
  <si>
    <t>Spread</t>
  </si>
  <si>
    <t>0D</t>
  </si>
  <si>
    <t>Error</t>
  </si>
  <si>
    <t>FW Start</t>
  </si>
  <si>
    <t/>
  </si>
  <si>
    <t>Index</t>
  </si>
  <si>
    <t>Discounting 1</t>
  </si>
  <si>
    <t>Discounting 2</t>
  </si>
  <si>
    <t>Quote Object 1</t>
  </si>
  <si>
    <t>Quote Object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</si>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</sst>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0.14999847407452621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423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9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6" borderId="17" xfId="4" applyNumberFormat="1" applyFont="1" applyFill="1" applyBorder="1" applyAlignment="1"/>
    <xf numFmtId="168" fontId="8" fillId="6" borderId="5" xfId="4" applyNumberFormat="1" applyFont="1" applyFill="1" applyBorder="1" applyAlignment="1"/>
    <xf numFmtId="0" fontId="8" fillId="5" borderId="1" xfId="1" applyFont="1" applyFill="1" applyBorder="1" applyAlignment="1">
      <alignment horizontal="center" vertical="center"/>
    </xf>
    <xf numFmtId="0" fontId="8" fillId="13" borderId="16" xfId="1" applyNumberFormat="1" applyFont="1" applyFill="1" applyBorder="1" applyAlignment="1" applyProtection="1">
      <alignment horizontal="center" vertical="center"/>
    </xf>
    <xf numFmtId="0" fontId="8" fillId="13" borderId="17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 vertical="center"/>
    </xf>
    <xf numFmtId="0" fontId="8" fillId="13" borderId="0" xfId="1" applyNumberFormat="1" applyFont="1" applyFill="1" applyBorder="1" applyAlignment="1" applyProtection="1">
      <alignment horizontal="center" vertical="center"/>
    </xf>
    <xf numFmtId="168" fontId="8" fillId="10" borderId="17" xfId="12" quotePrefix="1" applyNumberFormat="1" applyFont="1" applyFill="1" applyBorder="1" applyAlignment="1"/>
    <xf numFmtId="168" fontId="8" fillId="10" borderId="5" xfId="12" quotePrefix="1" applyNumberFormat="1" applyFont="1" applyFill="1" applyBorder="1" applyAlignment="1"/>
    <xf numFmtId="49" fontId="8" fillId="9" borderId="16" xfId="30" applyNumberFormat="1" applyFont="1" applyFill="1" applyBorder="1" applyAlignment="1">
      <alignment horizontal="center"/>
    </xf>
    <xf numFmtId="0" fontId="8" fillId="9" borderId="16" xfId="29" applyNumberFormat="1" applyFont="1" applyFill="1" applyBorder="1" applyAlignment="1">
      <alignment horizontal="center"/>
    </xf>
    <xf numFmtId="169" fontId="8" fillId="9" borderId="16" xfId="30" applyNumberFormat="1" applyFont="1" applyFill="1" applyBorder="1" applyAlignment="1">
      <alignment horizontal="left"/>
    </xf>
    <xf numFmtId="49" fontId="8" fillId="9" borderId="17" xfId="30" applyNumberFormat="1" applyFont="1" applyFill="1" applyBorder="1" applyAlignment="1">
      <alignment horizontal="center"/>
    </xf>
    <xf numFmtId="0" fontId="8" fillId="9" borderId="17" xfId="29" applyNumberFormat="1" applyFont="1" applyFill="1" applyBorder="1" applyAlignment="1">
      <alignment horizontal="center"/>
    </xf>
    <xf numFmtId="169" fontId="8" fillId="9" borderId="17" xfId="30" applyNumberFormat="1" applyFont="1" applyFill="1" applyBorder="1" applyAlignment="1">
      <alignment horizontal="left"/>
    </xf>
    <xf numFmtId="0" fontId="8" fillId="9" borderId="17" xfId="29" applyNumberFormat="1" applyFont="1" applyFill="1" applyBorder="1" applyAlignment="1"/>
    <xf numFmtId="0" fontId="13" fillId="15" borderId="17" xfId="29" applyNumberFormat="1" applyFont="1" applyFill="1" applyBorder="1" applyAlignment="1" applyProtection="1"/>
    <xf numFmtId="49" fontId="8" fillId="9" borderId="5" xfId="30" applyNumberFormat="1" applyFont="1" applyFill="1" applyBorder="1" applyAlignment="1">
      <alignment horizontal="center"/>
    </xf>
    <xf numFmtId="0" fontId="8" fillId="9" borderId="5" xfId="29" applyNumberFormat="1" applyFont="1" applyFill="1" applyBorder="1" applyAlignment="1">
      <alignment horizontal="center"/>
    </xf>
    <xf numFmtId="169" fontId="8" fillId="9" borderId="5" xfId="30" applyNumberFormat="1" applyFont="1" applyFill="1" applyBorder="1" applyAlignment="1">
      <alignment horizontal="left"/>
    </xf>
    <xf numFmtId="0" fontId="8" fillId="9" borderId="5" xfId="29" applyNumberFormat="1" applyFont="1" applyFill="1" applyBorder="1" applyAlignment="1"/>
    <xf numFmtId="0" fontId="8" fillId="3" borderId="0" xfId="13" applyFont="1" applyFill="1" applyBorder="1"/>
    <xf numFmtId="0" fontId="8" fillId="5" borderId="0" xfId="2" applyFont="1" applyFill="1" applyBorder="1"/>
    <xf numFmtId="0" fontId="8" fillId="7" borderId="1" xfId="13" applyFont="1" applyFill="1" applyBorder="1" applyAlignment="1">
      <alignment horizontal="center" vertical="center" wrapText="1"/>
    </xf>
    <xf numFmtId="0" fontId="8" fillId="7" borderId="16" xfId="13" applyFont="1" applyFill="1" applyBorder="1" applyAlignment="1">
      <alignment horizontal="center" vertical="center"/>
    </xf>
    <xf numFmtId="0" fontId="8" fillId="5" borderId="14" xfId="2" applyFont="1" applyFill="1" applyBorder="1"/>
    <xf numFmtId="0" fontId="8" fillId="8" borderId="0" xfId="2" applyFont="1" applyFill="1" applyBorder="1"/>
    <xf numFmtId="0" fontId="8" fillId="8" borderId="0" xfId="13" applyFont="1" applyFill="1" applyBorder="1"/>
    <xf numFmtId="0" fontId="8" fillId="8" borderId="0" xfId="13" applyFont="1" applyFill="1" applyBorder="1" applyAlignment="1">
      <alignment horizontal="center"/>
    </xf>
    <xf numFmtId="0" fontId="8" fillId="16" borderId="0" xfId="13" applyNumberFormat="1" applyFont="1" applyFill="1" applyBorder="1" applyAlignment="1" applyProtection="1"/>
    <xf numFmtId="0" fontId="8" fillId="5" borderId="11" xfId="2" applyFont="1" applyFill="1" applyBorder="1"/>
    <xf numFmtId="0" fontId="8" fillId="3" borderId="10" xfId="2" applyFont="1" applyFill="1" applyBorder="1"/>
    <xf numFmtId="0" fontId="8" fillId="5" borderId="8" xfId="13" applyFont="1" applyFill="1" applyBorder="1" applyAlignment="1">
      <alignment horizontal="center"/>
    </xf>
    <xf numFmtId="0" fontId="8" fillId="5" borderId="8" xfId="2" applyFont="1" applyFill="1" applyBorder="1"/>
    <xf numFmtId="0" fontId="8" fillId="13" borderId="8" xfId="13" applyNumberFormat="1" applyFont="1" applyFill="1" applyBorder="1" applyAlignment="1" applyProtection="1"/>
    <xf numFmtId="0" fontId="8" fillId="5" borderId="9" xfId="2" applyFont="1" applyFill="1" applyBorder="1"/>
    <xf numFmtId="0" fontId="8" fillId="5" borderId="6" xfId="2" applyFont="1" applyFill="1" applyBorder="1"/>
    <xf numFmtId="0" fontId="8" fillId="5" borderId="13" xfId="2" applyFont="1" applyFill="1" applyBorder="1"/>
    <xf numFmtId="0" fontId="8" fillId="9" borderId="16" xfId="29" applyNumberFormat="1" applyFont="1" applyFill="1" applyBorder="1" applyAlignment="1"/>
    <xf numFmtId="178" fontId="8" fillId="5" borderId="17" xfId="4" applyNumberFormat="1" applyFont="1" applyFill="1" applyBorder="1" applyAlignment="1"/>
    <xf numFmtId="178" fontId="8" fillId="5" borderId="5" xfId="4" applyNumberFormat="1" applyFont="1" applyFill="1" applyBorder="1" applyAlignment="1"/>
    <xf numFmtId="2" fontId="8" fillId="5" borderId="17" xfId="4" applyNumberFormat="1" applyFont="1" applyFill="1" applyBorder="1" applyAlignment="1"/>
    <xf numFmtId="2" fontId="8" fillId="5" borderId="5" xfId="4" applyNumberFormat="1" applyFont="1" applyFill="1" applyBorder="1" applyAlignment="1"/>
    <xf numFmtId="175" fontId="8" fillId="6" borderId="16" xfId="1" applyNumberFormat="1" applyFont="1" applyFill="1" applyBorder="1" applyAlignment="1">
      <alignment horizontal="center"/>
    </xf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46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2 2 2" xfId="29"/>
    <cellStyle name="Normal 3" xfId="11"/>
    <cellStyle name="Normal 3 2" xfId="18"/>
    <cellStyle name="Normal 3 2 2" xfId="31"/>
    <cellStyle name="Normal 3 2 2 2" xfId="32"/>
    <cellStyle name="Normal 3 2 3" xfId="33"/>
    <cellStyle name="Normal 3 2 4" xfId="34"/>
    <cellStyle name="Normal 3 3" xfId="15"/>
    <cellStyle name="Normal 3 4" xfId="23"/>
    <cellStyle name="Normal 3 5" xfId="35"/>
    <cellStyle name="Normal 4" xfId="36"/>
    <cellStyle name="Normal 5" xfId="37"/>
    <cellStyle name="Normal 6" xfId="38"/>
    <cellStyle name="Normal 6 2" xfId="39"/>
    <cellStyle name="Normal 7" xfId="40"/>
    <cellStyle name="Normal 8" xfId="41"/>
    <cellStyle name="Normal_SwaptionATMVols" xfId="2"/>
    <cellStyle name="Normale_AZIONI" xfId="7"/>
    <cellStyle name="Percent 2" xfId="4"/>
    <cellStyle name="Percent 2 2" xfId="19"/>
    <cellStyle name="Percent 2 2 2" xfId="30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Percent 5" xfId="42"/>
    <cellStyle name="Percent 5 2" xfId="43"/>
    <cellStyle name="Percent 6" xfId="44"/>
    <cellStyle name="Percent 7" xfId="45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18:49:02</v>
        <stp/>
        <stp>{F99621DB-FE06-43C3-B4AD-42F6FA98CC47}</stp>
        <tr r="L4" s="20"/>
      </tp>
      <tp t="s">
        <v>Updated at 16:35:11</v>
        <stp/>
        <stp>{CFAACA3C-2B73-4BFD-8801-436B6A0D2839}</stp>
        <tr r="O4" s="11"/>
      </tp>
      <tp t="s">
        <v>Updated at 18:49:01</v>
        <stp/>
        <stp>{1008B25A-D76C-4DC0-A519-9098AEB564AF}</stp>
        <tr r="R4" s="18"/>
      </tp>
      <tp t="s">
        <v>Updated at 18:49:38</v>
        <stp/>
        <stp>{28A47B58-68DA-4026-BE9C-332D09C537C2}</stp>
        <tr r="O4" s="25"/>
      </tp>
      <tp t="s">
        <v>Updated at 18:49:34</v>
        <stp/>
        <stp>{6E7EC857-9ED0-4F78-9309-9BF075FAD7D6}</stp>
        <tr r="O4" s="22"/>
      </tp>
      <tp t="s">
        <v>Updated at 18:47:15</v>
        <stp/>
        <stp>{66E91DD7-98B9-49CB-9AC6-C0F938EBE164}</stp>
        <tr r="O4" s="23"/>
      </tp>
      <tp t="s">
        <v>Updated at 18:48:50</v>
        <stp/>
        <stp>{0B8EA3FA-01ED-49C2-B83A-440917CCE5F3}</stp>
        <tr r="O4" s="66"/>
      </tp>
      <tp t="s">
        <v>Updated at 18:49:08</v>
        <stp/>
        <stp>{7A2F0AF1-1A6F-4BFE-8C8B-F0F6570B1394}</stp>
        <tr r="O4" s="16"/>
      </tp>
      <tp t="s">
        <v>Updated at 18:49:07</v>
        <stp/>
        <stp>{8DF2FE55-8A6A-4B50-891D-D746FABB23F7}</stp>
        <tr r="O4" s="65"/>
      </tp>
      <tp t="s">
        <v>Updated at 18:47:14</v>
        <stp/>
        <stp>{A0635670-8304-435A-94DF-25EA2CB6AB63}</stp>
        <tr r="O4" s="13"/>
      </tp>
      <tp t="s">
        <v>Updated at 18:45:09</v>
        <stp/>
        <stp>{35823E71-F241-4882-9517-F66FCA70C4EE}</stp>
        <tr r="O4" s="12"/>
      </tp>
      <tp t="s">
        <v>Updated at 16:00:00</v>
        <stp/>
        <stp>{8B2F99CA-D82A-4303-A0DC-4314DAEF4310}</stp>
        <tr r="K5" s="6"/>
      </tp>
      <tp t="s">
        <v>Updated at 18:49:08</v>
        <stp/>
        <stp>{B4F391C2-40DA-4C3F-B048-CDC25403C432}</stp>
        <tr r="O4" s="64"/>
      </tp>
      <tp t="s">
        <v>Updated at 16:00:00</v>
        <stp/>
        <stp>{7FA616DD-FB10-44F9-92B8-074E4BD350FE}</stp>
        <tr r="L4" s="15"/>
      </tp>
    </main>
    <main first="pldatasource.rhistoryrtdserver">
      <tp t="s">
        <v>Updated at 16:00:00</v>
        <stp/>
        <stp>{86ECA60F-E9C1-46F8-9801-43A510F9BA90}_x0000_</stp>
        <tr r="K19" s="6"/>
      </tp>
      <tp t="s">
        <v>Updated at 16:00:00</v>
        <stp/>
        <stp>{1B03040D-3DDD-4175-B952-CBEAADB1164C}_x0000_</stp>
        <tr r="K16" s="6"/>
      </tp>
      <tp t="s">
        <v>Updated at 16:00:00</v>
        <stp/>
        <stp>{99F62178-2D64-472C-A5F9-18A6CFE53F77}_x0000_</stp>
        <tr r="K25" s="6"/>
      </tp>
      <tp t="s">
        <v>Updated at 16:00:00</v>
        <stp/>
        <stp>{844E6143-CAEE-44F4-9720-DCBA4C12DA77}_x0000_</stp>
        <tr r="K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1YSynthDepo"/>
      <sheetName val="Contribution"/>
      <sheetName val="Delta 1M"/>
      <sheetName val="Delta 3M"/>
      <sheetName val="Delta 6M "/>
      <sheetName val="Delta 1Y"/>
      <sheetName val="6M LiborSwapForBasisCalc"/>
      <sheetName val="1Y LiborSwapForBasisCalc"/>
    </sheetNames>
    <sheetDataSet>
      <sheetData sheetId="0">
        <row r="4">
          <cell r="I4">
            <v>42318.513541666667</v>
          </cell>
        </row>
        <row r="5">
          <cell r="D5" t="str">
            <v>Libor</v>
          </cell>
          <cell r="I5">
            <v>42318</v>
          </cell>
        </row>
        <row r="6">
          <cell r="I6" t="e">
            <v>#NUM!</v>
          </cell>
        </row>
        <row r="7">
          <cell r="I7">
            <v>61</v>
          </cell>
        </row>
        <row r="8">
          <cell r="D8" t="str">
            <v>Actual/360</v>
          </cell>
          <cell r="I8">
            <v>10</v>
          </cell>
        </row>
        <row r="9">
          <cell r="D9">
            <v>42320</v>
          </cell>
        </row>
        <row r="14">
          <cell r="I14" t="str">
            <v>UnitedStates::Settlement</v>
          </cell>
        </row>
        <row r="23">
          <cell r="D23" t="str">
            <v>1M</v>
          </cell>
        </row>
        <row r="25">
          <cell r="D25" t="e">
            <v>#NUM!</v>
          </cell>
        </row>
      </sheetData>
      <sheetData sheetId="1"/>
      <sheetData sheetId="2">
        <row r="11">
          <cell r="D11" t="str">
            <v>MonotonicCubicNaturalSpline</v>
          </cell>
        </row>
      </sheetData>
      <sheetData sheetId="3">
        <row r="11">
          <cell r="D11" t="str">
            <v>MonotonicCubicNaturalSpline</v>
          </cell>
        </row>
      </sheetData>
      <sheetData sheetId="4">
        <row r="11">
          <cell r="D11" t="str">
            <v>MonotonicCubicNaturalSpline</v>
          </cell>
        </row>
      </sheetData>
      <sheetData sheetId="5"/>
      <sheetData sheetId="6">
        <row r="25">
          <cell r="X25" t="e">
            <v>#VALUE!</v>
          </cell>
        </row>
        <row r="26">
          <cell r="X26" t="e">
            <v>#VALUE!</v>
          </cell>
        </row>
        <row r="27">
          <cell r="X27" t="e">
            <v>#VALUE!</v>
          </cell>
        </row>
        <row r="28">
          <cell r="X28" t="e">
            <v>#VALUE!</v>
          </cell>
        </row>
      </sheetData>
      <sheetData sheetId="7">
        <row r="1">
          <cell r="N1" t="e">
            <v>#NUM!</v>
          </cell>
        </row>
      </sheetData>
      <sheetData sheetId="8">
        <row r="1">
          <cell r="N1" t="e">
            <v>#NUM!</v>
          </cell>
        </row>
      </sheetData>
      <sheetData sheetId="9">
        <row r="1">
          <cell r="N1" t="e">
            <v>#NUM!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8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3" customWidth="1"/>
    <col min="3" max="3" width="22.42578125" style="143" bestFit="1" customWidth="1"/>
    <col min="4" max="4" width="27.5703125" style="143" bestFit="1" customWidth="1"/>
    <col min="5" max="7" width="2.7109375" style="143" customWidth="1"/>
    <col min="8" max="8" width="23.42578125" style="143" bestFit="1" customWidth="1"/>
    <col min="9" max="9" width="28.5703125" style="143" bestFit="1" customWidth="1"/>
    <col min="10" max="11" width="2.7109375" style="143" customWidth="1"/>
    <col min="12" max="12" width="15.140625" style="143" hidden="1" customWidth="1" outlineLevel="1"/>
    <col min="13" max="15" width="20.7109375" style="143" hidden="1" customWidth="1" outlineLevel="1"/>
    <col min="16" max="16" width="9.140625" style="143" collapsed="1"/>
    <col min="17" max="16384" width="9.140625" style="143"/>
  </cols>
  <sheetData>
    <row r="1" spans="2:15" x14ac:dyDescent="0.2">
      <c r="B1" s="143" t="str">
        <f>_xll.qlxlVersion(TRUE,Trigger)</f>
        <v>QuantLibXL 1.7.0 - MS VC++ (version unknown) - Multithreaded Dynamic Runtime library - Release Configuration - Nov  9 2015 10:00:42</v>
      </c>
    </row>
    <row r="2" spans="2:15" ht="16.5" x14ac:dyDescent="0.2">
      <c r="B2" s="329" t="s">
        <v>181</v>
      </c>
      <c r="C2" s="330"/>
      <c r="D2" s="330"/>
      <c r="E2" s="331"/>
      <c r="G2" s="329" t="s">
        <v>198</v>
      </c>
      <c r="H2" s="330"/>
      <c r="I2" s="330"/>
      <c r="J2" s="331"/>
      <c r="L2" s="74" t="s">
        <v>196</v>
      </c>
      <c r="M2" s="75" t="s">
        <v>187</v>
      </c>
      <c r="N2" s="74" t="s">
        <v>188</v>
      </c>
      <c r="O2" s="76" t="s">
        <v>190</v>
      </c>
    </row>
    <row r="3" spans="2:15" x14ac:dyDescent="0.2">
      <c r="B3" s="114"/>
      <c r="C3" s="3"/>
      <c r="D3" s="3"/>
      <c r="E3" s="115"/>
      <c r="G3" s="114"/>
      <c r="H3" s="3"/>
      <c r="I3" s="3"/>
      <c r="J3" s="115"/>
      <c r="L3" s="313" t="s">
        <v>191</v>
      </c>
      <c r="M3" s="316" t="s">
        <v>101</v>
      </c>
      <c r="N3" s="316" t="s">
        <v>101</v>
      </c>
      <c r="O3" s="316" t="s">
        <v>101</v>
      </c>
    </row>
    <row r="4" spans="2:15" x14ac:dyDescent="0.2">
      <c r="B4" s="114"/>
      <c r="C4" s="15" t="s">
        <v>3</v>
      </c>
      <c r="D4" s="420"/>
      <c r="E4" s="324"/>
      <c r="G4" s="332"/>
      <c r="H4" s="16" t="s">
        <v>186</v>
      </c>
      <c r="I4" s="72" t="s">
        <v>189</v>
      </c>
      <c r="J4" s="102"/>
      <c r="L4" s="314" t="s">
        <v>214</v>
      </c>
      <c r="M4" s="205" t="s">
        <v>128</v>
      </c>
      <c r="N4" s="205" t="s">
        <v>150</v>
      </c>
      <c r="O4" s="205" t="s">
        <v>128</v>
      </c>
    </row>
    <row r="5" spans="2:15" x14ac:dyDescent="0.2">
      <c r="B5" s="325"/>
      <c r="C5" s="18" t="s">
        <v>138</v>
      </c>
      <c r="D5" s="21">
        <f>_xll.qlSettingsEvaluationDate(Trigger)</f>
        <v>42321</v>
      </c>
      <c r="E5" s="326"/>
      <c r="G5" s="332"/>
      <c r="H5" s="321" t="s">
        <v>197</v>
      </c>
      <c r="I5" s="50">
        <f>INDEX(MATCH(Area,L2:O2,0),0)</f>
        <v>2</v>
      </c>
      <c r="J5" s="102"/>
      <c r="L5" s="314" t="s">
        <v>215</v>
      </c>
      <c r="M5" s="205" t="s">
        <v>128</v>
      </c>
      <c r="N5" s="205" t="s">
        <v>150</v>
      </c>
      <c r="O5" s="205" t="s">
        <v>128</v>
      </c>
    </row>
    <row r="6" spans="2:15" x14ac:dyDescent="0.2">
      <c r="B6" s="327"/>
      <c r="C6" s="137"/>
      <c r="D6" s="318"/>
      <c r="E6" s="328"/>
      <c r="G6" s="332"/>
      <c r="H6" s="319"/>
      <c r="I6" s="320"/>
      <c r="J6" s="102"/>
      <c r="L6" s="314" t="s">
        <v>216</v>
      </c>
      <c r="M6" s="205" t="s">
        <v>128</v>
      </c>
      <c r="N6" s="205" t="s">
        <v>128</v>
      </c>
      <c r="O6" s="205" t="s">
        <v>128</v>
      </c>
    </row>
    <row r="7" spans="2:15" x14ac:dyDescent="0.2">
      <c r="B7" s="114"/>
      <c r="C7" s="15" t="s">
        <v>132</v>
      </c>
      <c r="D7" s="10">
        <f>_xll.ohTrigger(Deposits!R2,FRA3M!X2,Futures3M!AD2,FuturesHWConvAdj!U2,Swap1M!X2,Swap3M!AA2,BasisSwap1M3M!Z2,BasisSwap3M6M!Z2,BasisSwap3M12M!Z2,OIS!X2)</f>
        <v>6849</v>
      </c>
      <c r="E7" s="115"/>
      <c r="G7" s="114"/>
      <c r="H7" s="15" t="s">
        <v>125</v>
      </c>
      <c r="I7" s="317" t="b">
        <v>1</v>
      </c>
      <c r="J7" s="324"/>
      <c r="L7" s="314" t="s">
        <v>77</v>
      </c>
      <c r="M7" s="205" t="s">
        <v>159</v>
      </c>
      <c r="N7" s="205" t="s">
        <v>159</v>
      </c>
      <c r="O7" s="205" t="s">
        <v>159</v>
      </c>
    </row>
    <row r="8" spans="2:15" x14ac:dyDescent="0.2">
      <c r="B8" s="114"/>
      <c r="C8" s="18" t="s">
        <v>140</v>
      </c>
      <c r="D8" s="12">
        <f>_xll.ohTrigger(Libor!O6:O12)</f>
        <v>3</v>
      </c>
      <c r="E8" s="115"/>
      <c r="G8" s="114"/>
      <c r="H8" s="18" t="s">
        <v>126</v>
      </c>
      <c r="I8" s="73">
        <v>42321.729328703703</v>
      </c>
      <c r="J8" s="324"/>
      <c r="L8" s="314" t="s">
        <v>192</v>
      </c>
      <c r="M8" s="205" t="s">
        <v>178</v>
      </c>
      <c r="N8" s="205" t="s">
        <v>157</v>
      </c>
      <c r="O8" s="205" t="s">
        <v>178</v>
      </c>
    </row>
    <row r="9" spans="2:15" x14ac:dyDescent="0.2">
      <c r="B9" s="116"/>
      <c r="C9" s="199"/>
      <c r="D9" s="199"/>
      <c r="E9" s="119"/>
      <c r="G9" s="116"/>
      <c r="H9" s="117"/>
      <c r="I9" s="117"/>
      <c r="J9" s="119"/>
      <c r="L9" s="314" t="s">
        <v>193</v>
      </c>
      <c r="M9" s="205" t="s">
        <v>178</v>
      </c>
      <c r="N9" s="205" t="s">
        <v>164</v>
      </c>
      <c r="O9" s="205" t="s">
        <v>128</v>
      </c>
    </row>
    <row r="10" spans="2:15" x14ac:dyDescent="0.2">
      <c r="L10" s="314" t="s">
        <v>194</v>
      </c>
      <c r="M10" s="205" t="s">
        <v>159</v>
      </c>
      <c r="N10" s="205" t="s">
        <v>178</v>
      </c>
      <c r="O10" s="205" t="s">
        <v>178</v>
      </c>
    </row>
    <row r="11" spans="2:15" ht="16.5" x14ac:dyDescent="0.2">
      <c r="B11" s="329" t="s">
        <v>183</v>
      </c>
      <c r="C11" s="330"/>
      <c r="D11" s="330"/>
      <c r="E11" s="331"/>
      <c r="G11" s="329" t="s">
        <v>4</v>
      </c>
      <c r="H11" s="330"/>
      <c r="I11" s="330"/>
      <c r="J11" s="331"/>
      <c r="L11" s="314" t="s">
        <v>223</v>
      </c>
      <c r="M11" s="205" t="s">
        <v>179</v>
      </c>
      <c r="N11" s="205" t="s">
        <v>159</v>
      </c>
      <c r="O11" s="205" t="s">
        <v>159</v>
      </c>
    </row>
    <row r="12" spans="2:15" x14ac:dyDescent="0.2">
      <c r="B12" s="114"/>
      <c r="C12" s="3"/>
      <c r="D12" s="3"/>
      <c r="E12" s="115"/>
      <c r="G12" s="114"/>
      <c r="H12" s="3"/>
      <c r="I12" s="3"/>
      <c r="J12" s="115"/>
      <c r="L12" s="314" t="s">
        <v>224</v>
      </c>
      <c r="M12" s="205" t="s">
        <v>178</v>
      </c>
      <c r="N12" s="205" t="s">
        <v>179</v>
      </c>
      <c r="O12" s="205" t="s">
        <v>178</v>
      </c>
    </row>
    <row r="13" spans="2:15" x14ac:dyDescent="0.2">
      <c r="B13" s="114"/>
      <c r="C13" s="15" t="s">
        <v>0</v>
      </c>
      <c r="D13" s="10" t="s">
        <v>62</v>
      </c>
      <c r="E13" s="324"/>
      <c r="G13" s="114"/>
      <c r="H13" s="15" t="s">
        <v>2</v>
      </c>
      <c r="I13" s="10" t="b">
        <v>1</v>
      </c>
      <c r="J13" s="324"/>
      <c r="L13" s="314" t="s">
        <v>195</v>
      </c>
      <c r="M13" s="205" t="s">
        <v>178</v>
      </c>
      <c r="N13" s="205" t="s">
        <v>179</v>
      </c>
      <c r="O13" s="205" t="s">
        <v>128</v>
      </c>
    </row>
    <row r="14" spans="2:15" x14ac:dyDescent="0.2">
      <c r="B14" s="114"/>
      <c r="C14" s="17" t="s">
        <v>247</v>
      </c>
      <c r="D14" s="11" t="str">
        <f>Currency&amp;"ON"&amp;LCHlinear</f>
        <v>USDON_linearLCH</v>
      </c>
      <c r="E14" s="324"/>
      <c r="G14" s="114"/>
      <c r="H14" s="17" t="s">
        <v>1</v>
      </c>
      <c r="I14" s="11" t="b">
        <v>1</v>
      </c>
      <c r="J14" s="324"/>
      <c r="L14" s="315" t="s">
        <v>225</v>
      </c>
      <c r="M14" s="206" t="s">
        <v>179</v>
      </c>
      <c r="N14" s="206" t="s">
        <v>179</v>
      </c>
      <c r="O14" s="206" t="s">
        <v>179</v>
      </c>
    </row>
    <row r="15" spans="2:15" x14ac:dyDescent="0.2">
      <c r="B15" s="349"/>
      <c r="C15" s="17" t="s">
        <v>248</v>
      </c>
      <c r="D15" s="342" t="str">
        <f>Currency&amp;"ON"&amp;LCHcubic</f>
        <v>USDON_cubicLCH</v>
      </c>
      <c r="E15" s="324"/>
      <c r="G15" s="114"/>
      <c r="H15" s="15" t="s">
        <v>72</v>
      </c>
      <c r="I15" s="10" t="s">
        <v>230</v>
      </c>
      <c r="J15" s="324"/>
    </row>
    <row r="16" spans="2:15" x14ac:dyDescent="0.2">
      <c r="B16" s="114"/>
      <c r="C16" s="17" t="s">
        <v>22</v>
      </c>
      <c r="D16" s="11" t="s">
        <v>21</v>
      </c>
      <c r="E16" s="324"/>
      <c r="G16" s="349"/>
      <c r="H16" s="17" t="s">
        <v>231</v>
      </c>
      <c r="I16" s="342" t="s">
        <v>233</v>
      </c>
      <c r="J16" s="324"/>
    </row>
    <row r="17" spans="2:10" x14ac:dyDescent="0.2">
      <c r="B17" s="114"/>
      <c r="C17" s="17" t="s">
        <v>144</v>
      </c>
      <c r="D17" s="11" t="s">
        <v>145</v>
      </c>
      <c r="E17" s="324"/>
      <c r="G17" s="114"/>
      <c r="H17" s="18" t="s">
        <v>232</v>
      </c>
      <c r="I17" s="12" t="s">
        <v>234</v>
      </c>
      <c r="J17" s="115"/>
    </row>
    <row r="18" spans="2:10" x14ac:dyDescent="0.2">
      <c r="B18" s="114"/>
      <c r="C18" s="17" t="s">
        <v>58</v>
      </c>
      <c r="D18" s="11" t="s">
        <v>61</v>
      </c>
      <c r="E18" s="324"/>
      <c r="G18" s="114"/>
      <c r="H18" s="17" t="s">
        <v>131</v>
      </c>
      <c r="I18" s="11" t="s">
        <v>130</v>
      </c>
      <c r="J18" s="324"/>
    </row>
    <row r="19" spans="2:10" x14ac:dyDescent="0.2">
      <c r="B19" s="114"/>
      <c r="C19" s="17" t="s">
        <v>210</v>
      </c>
      <c r="D19" s="11" t="s">
        <v>149</v>
      </c>
      <c r="E19" s="324"/>
      <c r="G19" s="114"/>
      <c r="H19" s="22" t="s">
        <v>71</v>
      </c>
      <c r="I19" s="11">
        <v>1E-4</v>
      </c>
      <c r="J19" s="324"/>
    </row>
    <row r="20" spans="2:10" x14ac:dyDescent="0.2">
      <c r="B20" s="114"/>
      <c r="C20" s="17" t="s">
        <v>211</v>
      </c>
      <c r="D20" s="11" t="s">
        <v>142</v>
      </c>
      <c r="E20" s="324"/>
      <c r="G20" s="114"/>
      <c r="H20" s="23" t="s">
        <v>70</v>
      </c>
      <c r="I20" s="12">
        <v>-0.01</v>
      </c>
      <c r="J20" s="324"/>
    </row>
    <row r="21" spans="2:10" x14ac:dyDescent="0.2">
      <c r="B21" s="114"/>
      <c r="C21" s="17" t="s">
        <v>143</v>
      </c>
      <c r="D21" s="11" t="s">
        <v>141</v>
      </c>
      <c r="E21" s="324"/>
      <c r="G21" s="114"/>
      <c r="H21" s="16" t="s">
        <v>134</v>
      </c>
      <c r="I21" s="13" t="s">
        <v>133</v>
      </c>
      <c r="J21" s="324"/>
    </row>
    <row r="22" spans="2:10" x14ac:dyDescent="0.2">
      <c r="B22" s="114"/>
      <c r="C22" s="17" t="s">
        <v>182</v>
      </c>
      <c r="D22" s="251" t="str">
        <f>D21&amp;"("&amp;OverNightIndexCalendar&amp;","&amp;LiborCalendar&amp;")"</f>
        <v>JoinHolidays(UnitedStates::Settlement,UnitedKingdom::Exchange)</v>
      </c>
      <c r="E22" s="324" t="s">
        <v>156</v>
      </c>
      <c r="G22" s="116"/>
      <c r="H22" s="117"/>
      <c r="I22" s="117"/>
      <c r="J22" s="119"/>
    </row>
    <row r="23" spans="2:10" x14ac:dyDescent="0.2">
      <c r="B23" s="114"/>
      <c r="C23" s="17" t="s">
        <v>147</v>
      </c>
      <c r="D23" s="11" t="b">
        <f>_xll.qlCalendarIsHoliday(OverNightIndexCalendar,_xll.qlCalendarAdvance(LiborCalendar,_xll.qlSettingsEvaluationDate(Trigger),2&amp;"D","f",FALSE,Trigger))</f>
        <v>0</v>
      </c>
      <c r="E23" s="324"/>
    </row>
    <row r="24" spans="2:10" x14ac:dyDescent="0.2">
      <c r="B24" s="114"/>
      <c r="C24" s="18" t="s">
        <v>148</v>
      </c>
      <c r="D24" s="12" t="str">
        <f>IF(HolidayCheck,JoinCalendar,LiborCalendar)</f>
        <v>UnitedKingdom::Exchange</v>
      </c>
      <c r="E24" s="324"/>
    </row>
    <row r="25" spans="2:10" x14ac:dyDescent="0.2">
      <c r="B25" s="116"/>
      <c r="C25" s="117"/>
      <c r="D25" s="117"/>
      <c r="E25" s="119"/>
    </row>
    <row r="27" spans="2:10" ht="16.5" x14ac:dyDescent="0.2">
      <c r="B27" s="329" t="s">
        <v>212</v>
      </c>
      <c r="C27" s="330"/>
      <c r="D27" s="330"/>
      <c r="E27" s="331"/>
    </row>
    <row r="28" spans="2:10" x14ac:dyDescent="0.2">
      <c r="B28" s="114"/>
      <c r="C28" s="19"/>
      <c r="D28" s="20"/>
      <c r="E28" s="115"/>
    </row>
    <row r="29" spans="2:10" x14ac:dyDescent="0.2">
      <c r="B29" s="114"/>
      <c r="C29" s="15" t="s">
        <v>107</v>
      </c>
      <c r="D29" s="10" t="str">
        <f>""</f>
        <v/>
      </c>
      <c r="E29" s="115"/>
    </row>
    <row r="30" spans="2:10" x14ac:dyDescent="0.2">
      <c r="B30" s="114"/>
      <c r="C30" s="15" t="s">
        <v>162</v>
      </c>
      <c r="D30" s="10" t="s">
        <v>163</v>
      </c>
      <c r="E30" s="115"/>
    </row>
    <row r="31" spans="2:10" x14ac:dyDescent="0.2">
      <c r="B31" s="114"/>
      <c r="C31" s="16" t="s">
        <v>101</v>
      </c>
      <c r="D31" s="13" t="s">
        <v>106</v>
      </c>
      <c r="E31" s="115"/>
    </row>
    <row r="32" spans="2:10" x14ac:dyDescent="0.2">
      <c r="B32" s="114"/>
      <c r="C32" s="15" t="s">
        <v>178</v>
      </c>
      <c r="D32" s="10" t="s">
        <v>105</v>
      </c>
      <c r="E32" s="115"/>
    </row>
    <row r="33" spans="2:5" x14ac:dyDescent="0.2">
      <c r="B33" s="114"/>
      <c r="C33" s="17" t="s">
        <v>173</v>
      </c>
      <c r="D33" s="11" t="s">
        <v>166</v>
      </c>
      <c r="E33" s="115"/>
    </row>
    <row r="34" spans="2:5" x14ac:dyDescent="0.2">
      <c r="B34" s="114"/>
      <c r="C34" s="17" t="s">
        <v>164</v>
      </c>
      <c r="D34" s="11" t="s">
        <v>165</v>
      </c>
      <c r="E34" s="115"/>
    </row>
    <row r="35" spans="2:5" x14ac:dyDescent="0.2">
      <c r="B35" s="114"/>
      <c r="C35" s="17" t="s">
        <v>150</v>
      </c>
      <c r="D35" s="11" t="s">
        <v>151</v>
      </c>
      <c r="E35" s="115"/>
    </row>
    <row r="36" spans="2:5" x14ac:dyDescent="0.2">
      <c r="B36" s="114"/>
      <c r="C36" s="17" t="s">
        <v>128</v>
      </c>
      <c r="D36" s="11" t="s">
        <v>127</v>
      </c>
      <c r="E36" s="115"/>
    </row>
    <row r="37" spans="2:5" x14ac:dyDescent="0.2">
      <c r="B37" s="114"/>
      <c r="C37" s="17" t="s">
        <v>157</v>
      </c>
      <c r="D37" s="11" t="s">
        <v>158</v>
      </c>
      <c r="E37" s="115"/>
    </row>
    <row r="38" spans="2:5" x14ac:dyDescent="0.2">
      <c r="B38" s="114"/>
      <c r="C38" s="18" t="s">
        <v>167</v>
      </c>
      <c r="D38" s="12" t="s">
        <v>168</v>
      </c>
      <c r="E38" s="115"/>
    </row>
    <row r="39" spans="2:5" x14ac:dyDescent="0.2">
      <c r="B39" s="114"/>
      <c r="C39" s="15" t="s">
        <v>159</v>
      </c>
      <c r="D39" s="10" t="s">
        <v>104</v>
      </c>
      <c r="E39" s="115"/>
    </row>
    <row r="40" spans="2:5" x14ac:dyDescent="0.2">
      <c r="B40" s="114"/>
      <c r="C40" s="17" t="s">
        <v>180</v>
      </c>
      <c r="D40" s="11" t="s">
        <v>146</v>
      </c>
      <c r="E40" s="115"/>
    </row>
    <row r="41" spans="2:5" x14ac:dyDescent="0.2">
      <c r="B41" s="114"/>
      <c r="C41" s="17" t="s">
        <v>179</v>
      </c>
      <c r="D41" s="11" t="s">
        <v>129</v>
      </c>
      <c r="E41" s="115"/>
    </row>
    <row r="42" spans="2:5" x14ac:dyDescent="0.2">
      <c r="B42" s="114"/>
      <c r="C42" s="17" t="s">
        <v>174</v>
      </c>
      <c r="D42" s="11" t="s">
        <v>169</v>
      </c>
      <c r="E42" s="115"/>
    </row>
    <row r="43" spans="2:5" x14ac:dyDescent="0.2">
      <c r="B43" s="114"/>
      <c r="C43" s="18" t="s">
        <v>177</v>
      </c>
      <c r="D43" s="12" t="s">
        <v>170</v>
      </c>
      <c r="E43" s="115"/>
    </row>
    <row r="44" spans="2:5" x14ac:dyDescent="0.2">
      <c r="B44" s="114"/>
      <c r="C44" s="17" t="s">
        <v>103</v>
      </c>
      <c r="D44" s="11" t="s">
        <v>102</v>
      </c>
      <c r="E44" s="115"/>
    </row>
    <row r="45" spans="2:5" x14ac:dyDescent="0.2">
      <c r="B45" s="114"/>
      <c r="C45" s="17" t="s">
        <v>160</v>
      </c>
      <c r="D45" s="11" t="s">
        <v>161</v>
      </c>
      <c r="E45" s="115"/>
    </row>
    <row r="46" spans="2:5" x14ac:dyDescent="0.2">
      <c r="B46" s="114"/>
      <c r="C46" s="17" t="s">
        <v>175</v>
      </c>
      <c r="D46" s="11" t="s">
        <v>176</v>
      </c>
      <c r="E46" s="115"/>
    </row>
    <row r="47" spans="2:5" x14ac:dyDescent="0.2">
      <c r="B47" s="114"/>
      <c r="C47" s="18" t="s">
        <v>171</v>
      </c>
      <c r="D47" s="12" t="s">
        <v>172</v>
      </c>
      <c r="E47" s="115"/>
    </row>
    <row r="48" spans="2:5" x14ac:dyDescent="0.2">
      <c r="B48" s="116"/>
      <c r="C48" s="199"/>
      <c r="D48" s="199"/>
      <c r="E48" s="119"/>
    </row>
  </sheetData>
  <conditionalFormatting sqref="I7">
    <cfRule type="cellIs" dxfId="25" priority="3" stopIfTrue="1" operator="equal">
      <formula>TRUE</formula>
    </cfRule>
  </conditionalFormatting>
  <conditionalFormatting sqref="D28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6">
      <formula1>"ibor,Libor"</formula1>
    </dataValidation>
    <dataValidation type="list" allowBlank="1" showInputMessage="1" showErrorMessage="1" sqref="D21">
      <formula1>"JoinBusinessDays,JoinHolidays"</formula1>
    </dataValidation>
    <dataValidation type="list" allowBlank="1" showInputMessage="1" showErrorMessage="1" sqref="D19:D2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42"/>
  <sheetViews>
    <sheetView showGridLines="0" workbookViewId="0"/>
  </sheetViews>
  <sheetFormatPr defaultRowHeight="11.25" outlineLevelCol="1" x14ac:dyDescent="0.2"/>
  <cols>
    <col min="1" max="2" width="2.140625" style="5" customWidth="1"/>
    <col min="3" max="3" width="6.5703125" style="5" bestFit="1" customWidth="1"/>
    <col min="4" max="4" width="20.85546875" style="5" bestFit="1" customWidth="1"/>
    <col min="5" max="5" width="20.85546875" style="344" bestFit="1" customWidth="1"/>
    <col min="6" max="6" width="20.85546875" style="344" customWidth="1"/>
    <col min="7" max="7" width="27.5703125" style="344" bestFit="1" customWidth="1"/>
    <col min="8" max="8" width="27.5703125" style="5" bestFit="1" customWidth="1"/>
    <col min="9" max="9" width="36.85546875" style="5" bestFit="1" customWidth="1"/>
    <col min="10" max="10" width="2.140625" style="5" customWidth="1"/>
    <col min="11" max="11" width="13.140625" style="5" customWidth="1"/>
    <col min="12" max="12" width="15.140625" style="5" bestFit="1" customWidth="1"/>
    <col min="13" max="13" width="10" style="5" bestFit="1" customWidth="1"/>
    <col min="14" max="14" width="13.140625" style="5" bestFit="1" customWidth="1"/>
    <col min="15" max="15" width="13.7109375" style="5" customWidth="1"/>
    <col min="16" max="16" width="13.7109375" style="344" customWidth="1"/>
    <col min="17" max="17" width="14.7109375" style="5" hidden="1" customWidth="1" outlineLevel="1"/>
    <col min="18" max="18" width="14.7109375" style="344" hidden="1" customWidth="1" outlineLevel="1"/>
    <col min="19" max="19" width="2.7109375" style="5" customWidth="1" collapsed="1"/>
    <col min="20" max="20" width="8" style="5" bestFit="1" customWidth="1"/>
    <col min="21" max="21" width="14.7109375" style="5" customWidth="1"/>
    <col min="22" max="22" width="8" style="5" bestFit="1" customWidth="1"/>
    <col min="23" max="23" width="2.140625" style="5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s="1" customFormat="1" x14ac:dyDescent="0.2">
      <c r="K1" s="5"/>
      <c r="L1" s="5"/>
      <c r="M1" s="5"/>
      <c r="N1" s="5"/>
      <c r="O1" s="5"/>
      <c r="P1" s="344"/>
      <c r="Q1" s="5"/>
      <c r="R1" s="344"/>
      <c r="S1" s="5"/>
      <c r="T1" s="5"/>
      <c r="U1" s="5"/>
      <c r="V1" s="5"/>
      <c r="W1" s="5"/>
      <c r="X1" s="5"/>
      <c r="Y1" s="5"/>
      <c r="Z1" s="5"/>
      <c r="AA1" s="5"/>
    </row>
    <row r="2" spans="2:27" s="1" customFormat="1" x14ac:dyDescent="0.2">
      <c r="B2" s="285"/>
      <c r="C2" s="25"/>
      <c r="D2" s="25"/>
      <c r="E2" s="353"/>
      <c r="F2" s="353"/>
      <c r="G2" s="353"/>
      <c r="H2" s="7"/>
      <c r="I2" s="7"/>
      <c r="J2" s="7"/>
      <c r="K2" s="7"/>
      <c r="L2" s="7"/>
      <c r="M2" s="7"/>
      <c r="N2" s="7"/>
      <c r="O2" s="7"/>
      <c r="P2" s="364"/>
      <c r="Q2" s="7"/>
      <c r="R2" s="364"/>
      <c r="S2" s="333"/>
      <c r="T2" s="5"/>
      <c r="U2" s="5"/>
      <c r="V2" s="5"/>
      <c r="W2" s="5"/>
      <c r="X2" s="5"/>
    </row>
    <row r="3" spans="2:27" s="1" customFormat="1" x14ac:dyDescent="0.2">
      <c r="B3" s="114"/>
      <c r="C3" s="3"/>
      <c r="D3" s="294" t="s">
        <v>22</v>
      </c>
      <c r="E3" s="295" t="s">
        <v>21</v>
      </c>
      <c r="F3" s="383"/>
      <c r="G3" s="383"/>
      <c r="H3" s="4"/>
      <c r="I3" s="345"/>
      <c r="J3" s="4"/>
      <c r="K3" s="4"/>
      <c r="L3" s="4"/>
      <c r="M3" s="4"/>
      <c r="N3" s="4"/>
      <c r="O3" s="4"/>
      <c r="P3" s="345"/>
      <c r="Q3" s="4"/>
      <c r="R3" s="345"/>
      <c r="S3" s="102"/>
      <c r="T3" s="5"/>
      <c r="U3" s="5"/>
      <c r="V3" s="5"/>
      <c r="W3" s="5"/>
      <c r="X3" s="5"/>
    </row>
    <row r="4" spans="2:27" s="1" customFormat="1" x14ac:dyDescent="0.2">
      <c r="B4" s="114"/>
      <c r="C4" s="3"/>
      <c r="D4" s="3"/>
      <c r="E4" s="341"/>
      <c r="F4" s="341"/>
      <c r="G4" s="341"/>
      <c r="H4" s="341"/>
      <c r="I4" s="4"/>
      <c r="J4" s="4"/>
      <c r="K4" s="6" t="s">
        <v>110</v>
      </c>
      <c r="L4" s="4"/>
      <c r="M4" s="4"/>
      <c r="N4" s="4"/>
      <c r="O4" s="4"/>
      <c r="P4" s="345"/>
      <c r="Q4" s="4"/>
      <c r="R4" s="345"/>
      <c r="S4" s="102"/>
      <c r="T4" s="5"/>
      <c r="U4" s="5"/>
      <c r="V4" s="5"/>
      <c r="W4" s="5"/>
      <c r="X4" s="5"/>
    </row>
    <row r="5" spans="2:27" s="1" customFormat="1" ht="22.5" customHeight="1" x14ac:dyDescent="0.2">
      <c r="B5" s="114"/>
      <c r="C5" s="290" t="s">
        <v>20</v>
      </c>
      <c r="D5" s="290" t="s">
        <v>235</v>
      </c>
      <c r="E5" s="290" t="s">
        <v>236</v>
      </c>
      <c r="F5" s="290" t="s">
        <v>246</v>
      </c>
      <c r="G5" s="290" t="s">
        <v>237</v>
      </c>
      <c r="H5" s="290" t="s">
        <v>238</v>
      </c>
      <c r="I5" s="290" t="str">
        <f>"LastFixing"&amp;QuoteSuffix</f>
        <v>LastFixing_LCHQuote</v>
      </c>
      <c r="J5" s="8"/>
      <c r="K5" s="302" t="str">
        <f>_xll.RData(K6:K12,L5:M5,"RTFEED:IDN",,,L6)</f>
        <v>Updated at 16:00:00</v>
      </c>
      <c r="L5" s="303" t="s">
        <v>137</v>
      </c>
      <c r="M5" s="303" t="s">
        <v>109</v>
      </c>
      <c r="N5" s="303" t="s">
        <v>136</v>
      </c>
      <c r="O5" s="303" t="s">
        <v>240</v>
      </c>
      <c r="P5" s="303" t="s">
        <v>239</v>
      </c>
      <c r="Q5" s="303" t="s">
        <v>135</v>
      </c>
      <c r="R5" s="303" t="s">
        <v>135</v>
      </c>
      <c r="S5" s="102"/>
      <c r="T5" s="5"/>
      <c r="U5" s="5"/>
      <c r="V5" s="5"/>
      <c r="W5" s="5"/>
      <c r="X5" s="5"/>
    </row>
    <row r="6" spans="2:27" s="1" customFormat="1" x14ac:dyDescent="0.2">
      <c r="B6" s="114"/>
      <c r="C6" s="310" t="s">
        <v>96</v>
      </c>
      <c r="D6" s="296" t="str">
        <f>_xll.qlRelinkableHandleYieldTermStructure(UPPER(Currency)&amp;C6&amp;LCHlinear,,Permanent,Trigger,ObjectOverwrite)</f>
        <v>USDON_linearLCH#0002</v>
      </c>
      <c r="E6" s="296" t="str">
        <f>_xll.qlRelinkableHandleYieldTermStructure(UPPER(Currency)&amp;C6&amp;LCHcubic,,Permanent,Trigger,ObjectOverwrite)</f>
        <v>USDON_cubicLCH#0002</v>
      </c>
      <c r="F6" s="296" t="str">
        <f>IFERROR(_xll.qlOvernightIndex(PROPER(Currency)&amp;"FedFunds","FedFunds",0,"USD",OverNightIndexCalendar,"act/360",,Permanent,Trigger,ObjectOverwrite),"")</f>
        <v>UsdFedFunds#0002</v>
      </c>
      <c r="G6" s="380" t="str">
        <f>_xll.qlOvernightIndex(PROPER(Currency)&amp;"FedFunds"&amp;LCHlinear,"FedFunds",0,"USD",OverNightIndexCalendar,"act/360",D6,Permanent,Trigger,ObjectOverwrite)</f>
        <v>UsdFedFunds_linearLCH#0002</v>
      </c>
      <c r="H6" s="380" t="str">
        <f>_xll.qlOvernightIndex(PROPER(Currency)&amp;"FedFunds"&amp;LCHcubic,"FedFunds",0,"USD",OverNightIndexCalendar,"act/360",E6,Permanent,Trigger,ObjectOverwrite)</f>
        <v>UsdFedFunds_cubicLCH#0002</v>
      </c>
      <c r="I6" s="297" t="str">
        <f>_xll.qlLastFixingQuote(PROPER(Currency)&amp;"FedFunds"&amp;$I$5,H6,Permanent,Trigger,ObjectOverwrite)</f>
        <v>UsdFedFundsLastFixing_LCHQuote#0002</v>
      </c>
      <c r="J6" s="4"/>
      <c r="K6" s="304" t="str">
        <f>Currency&amp;C6&amp;$K$4&amp;"="</f>
        <v>USDONFSR=</v>
      </c>
      <c r="L6" s="367">
        <v>42321</v>
      </c>
      <c r="M6" s="384">
        <v>0.13100000000000001</v>
      </c>
      <c r="N6" s="305" t="b">
        <f>IF(AND(ISNUMBER($M6),$M6&lt;&gt;0%),TRUE,FALSE)</f>
        <v>1</v>
      </c>
      <c r="O6" s="306" t="b">
        <f>IF($N6,_xll.qlIndexAddFixings($G6,$L6,$M6/100,TRUE,ISERROR($Q6)),NA())</f>
        <v>1</v>
      </c>
      <c r="P6" s="306" t="b">
        <f>IF($N6,_xll.qlIndexAddFixings($H6,$L6,$M6/100,TRUE,ISERROR($Q6)),NA())</f>
        <v>1</v>
      </c>
      <c r="Q6" s="304" t="e">
        <f>_xll.qlIndexFixing($G6,$L6,TRUE,$N6)</f>
        <v>#NUM!</v>
      </c>
      <c r="R6" s="304" t="e">
        <f>_xll.qlIndexFixing($H6,$L6,TRUE,$O6)</f>
        <v>#NUM!</v>
      </c>
      <c r="S6" s="102"/>
      <c r="T6" s="5"/>
      <c r="U6" s="5"/>
      <c r="V6" s="5"/>
      <c r="W6" s="5"/>
      <c r="X6" s="5"/>
    </row>
    <row r="7" spans="2:27" s="1" customFormat="1" x14ac:dyDescent="0.2">
      <c r="B7" s="114"/>
      <c r="C7" s="311" t="s">
        <v>19</v>
      </c>
      <c r="D7" s="298"/>
      <c r="E7" s="298"/>
      <c r="F7" s="298" t="str">
        <f>IFERROR(_xll.qlLibor(PROPER(Currency)&amp;FamilyName&amp;C7,Currency,C7,,Permanent,Trigger,ObjectOverwrite),"")</f>
        <v>UsdLiborSW#0002</v>
      </c>
      <c r="G7" s="381" t="str">
        <f>_xll.qlLibor(PROPER(Currency)&amp;FamilyName&amp;C7&amp;LCHlinear,Currency,C7,D6,Permanent,Trigger,ObjectOverwrite)</f>
        <v>UsdLiborSW_linearLCH#0002</v>
      </c>
      <c r="H7" s="381" t="str">
        <f>_xll.qlLibor(PROPER(Currency)&amp;FamilyName&amp;C7&amp;LCHcubic,Currency,C7,E6,Permanent,Trigger,ObjectOverwrite)</f>
        <v>UsdLiborSW_cubicLCH#0002</v>
      </c>
      <c r="I7" s="299" t="str">
        <f>_xll.qlLastFixingQuote(PROPER(Currency)&amp;FamilyName&amp;C7&amp;$I$5,H7,Permanent,Trigger,ObjectOverwrite)</f>
        <v>UsdLiborSWLastFixing_LCHQuote#0002</v>
      </c>
      <c r="J7" s="4"/>
      <c r="K7" s="304" t="str">
        <f t="shared" ref="K7:K12" si="0">Currency&amp;C7&amp;$K$4&amp;"="</f>
        <v>USDSWFSR=</v>
      </c>
      <c r="L7" s="367">
        <v>42321</v>
      </c>
      <c r="M7" s="384">
        <v>0.15589999999999998</v>
      </c>
      <c r="N7" s="305" t="b">
        <f t="shared" ref="N7:N12" si="1">IF(AND(ISNUMBER($M7),$M7&lt;&gt;0%),TRUE,FALSE)</f>
        <v>1</v>
      </c>
      <c r="O7" s="306" t="b">
        <f>IF($N7,_xll.qlIndexAddFixings($G7,$L7,$M7/100,TRUE,ISERROR($Q7)),NA())</f>
        <v>1</v>
      </c>
      <c r="P7" s="306" t="b">
        <f>IF($N7,_xll.qlIndexAddFixings($H7,$L7,$M7/100,TRUE,ISERROR($Q7)),NA())</f>
        <v>1</v>
      </c>
      <c r="Q7" s="304" t="e">
        <f>_xll.qlIndexFixing($G7,$L7,TRUE,$N7)</f>
        <v>#NUM!</v>
      </c>
      <c r="R7" s="304" t="e">
        <f>_xll.qlIndexFixing($H7,$L7,TRUE,$N7)</f>
        <v>#NUM!</v>
      </c>
      <c r="S7" s="102"/>
      <c r="T7" s="5"/>
      <c r="U7" s="5"/>
      <c r="V7" s="5"/>
      <c r="W7" s="5"/>
      <c r="X7" s="5"/>
    </row>
    <row r="8" spans="2:27" s="1" customFormat="1" x14ac:dyDescent="0.2">
      <c r="B8" s="114"/>
      <c r="C8" s="311" t="s">
        <v>16</v>
      </c>
      <c r="D8" s="298" t="str">
        <f>_xll.qlRelinkableHandleYieldTermStructure(UPPER(Currency)&amp;C8&amp;LCHlinear,,Permanent,Trigger,ObjectOverwrite)</f>
        <v>USD1M_linearLCH#0002</v>
      </c>
      <c r="E8" s="298" t="str">
        <f>_xll.qlRelinkableHandleYieldTermStructure(UPPER(Currency)&amp;C8&amp;LCHcubic,,Permanent,Trigger,ObjectOverwrite)</f>
        <v>USD1M_cubicLCH#0002</v>
      </c>
      <c r="F8" s="298" t="str">
        <f>IFERROR(_xll.qlLibor(PROPER(Currency)&amp;FamilyName&amp;C8,Currency,C8,,Permanent,Trigger,ObjectOverwrite),"")</f>
        <v>UsdLibor1M#0002</v>
      </c>
      <c r="G8" s="381" t="str">
        <f>_xll.qlLibor(PROPER(Currency)&amp;FamilyName&amp;C8&amp;LCHlinear,Currency,C8,D8,Permanent,Trigger,ObjectOverwrite)</f>
        <v>UsdLibor1M_linearLCH#0002</v>
      </c>
      <c r="H8" s="381" t="str">
        <f>_xll.qlLibor(PROPER(Currency)&amp;FamilyName&amp;C8&amp;LCHcubic,Currency,C8,E8,Permanent,Trigger,ObjectOverwrite)</f>
        <v>UsdLibor1M_cubicLCH#0002</v>
      </c>
      <c r="I8" s="299" t="str">
        <f>_xll.qlLastFixingQuote(PROPER(Currency)&amp;FamilyName&amp;C8&amp;$I$5,H8,Permanent,Trigger,ObjectOverwrite)</f>
        <v>UsdLibor1MLastFixing_LCHQuote#0002</v>
      </c>
      <c r="J8" s="4"/>
      <c r="K8" s="304" t="str">
        <f t="shared" si="0"/>
        <v>USD1MFSR=</v>
      </c>
      <c r="L8" s="367">
        <v>42321</v>
      </c>
      <c r="M8" s="384">
        <v>0.19724999999999998</v>
      </c>
      <c r="N8" s="305" t="b">
        <f t="shared" si="1"/>
        <v>1</v>
      </c>
      <c r="O8" s="306" t="b">
        <f>IF($N8,_xll.qlIndexAddFixings($G8,$L8,$M8/100,TRUE,ISERROR($Q8)),NA())</f>
        <v>1</v>
      </c>
      <c r="P8" s="306" t="b">
        <f>IF($N8,_xll.qlIndexAddFixings($H8,$L8,$M8/100,TRUE,ISERROR($Q8)),NA())</f>
        <v>1</v>
      </c>
      <c r="Q8" s="304" t="e">
        <f>_xll.qlIndexFixing($G8,$L8,TRUE,$N8)</f>
        <v>#NUM!</v>
      </c>
      <c r="R8" s="304" t="e">
        <f>_xll.qlIndexFixing($H8,$L8,TRUE,$N8)</f>
        <v>#NUM!</v>
      </c>
      <c r="S8" s="102"/>
      <c r="T8" s="5"/>
      <c r="U8" s="5"/>
      <c r="V8" s="5"/>
      <c r="W8" s="5"/>
      <c r="X8" s="5"/>
    </row>
    <row r="9" spans="2:27" s="1" customFormat="1" x14ac:dyDescent="0.2">
      <c r="B9" s="114"/>
      <c r="C9" s="311" t="s">
        <v>15</v>
      </c>
      <c r="D9" s="298"/>
      <c r="E9" s="298"/>
      <c r="F9" s="298" t="str">
        <f>IFERROR(_xll.qlLibor(PROPER(Currency)&amp;FamilyName&amp;C9,Currency,C9,,Permanent,Trigger,ObjectOverwrite),"")</f>
        <v>UsdLibor2M#0002</v>
      </c>
      <c r="G9" s="381" t="str">
        <f>_xll.qlLibor(PROPER(Currency)&amp;FamilyName&amp;C9&amp;LCHlinear,Currency,C9,D8,Permanent,Trigger,ObjectOverwrite)</f>
        <v>UsdLibor2M_linearLCH#0002</v>
      </c>
      <c r="H9" s="381" t="str">
        <f>_xll.qlLibor(PROPER(Currency)&amp;FamilyName&amp;C9&amp;LCHcubic,Currency,C9,E8,Permanent,Trigger,ObjectOverwrite)</f>
        <v>UsdLibor2M_cubicLCH#0002</v>
      </c>
      <c r="I9" s="299" t="str">
        <f>_xll.qlLastFixingQuote(PROPER(Currency)&amp;FamilyName&amp;C9&amp;$I$5,H9,Permanent,Trigger,ObjectOverwrite)</f>
        <v>UsdLibor2MLastFixing_LCHQuote#0002</v>
      </c>
      <c r="J9" s="4"/>
      <c r="K9" s="304" t="str">
        <f t="shared" si="0"/>
        <v>USD2MFSR=</v>
      </c>
      <c r="L9" s="367">
        <v>42321</v>
      </c>
      <c r="M9" s="384">
        <v>0.28199999999999997</v>
      </c>
      <c r="N9" s="305" t="b">
        <f t="shared" si="1"/>
        <v>1</v>
      </c>
      <c r="O9" s="306" t="b">
        <f>IF($N9,_xll.qlIndexAddFixings($G9,$L9,$M9/100,TRUE,ISERROR($Q9)),NA())</f>
        <v>1</v>
      </c>
      <c r="P9" s="306" t="b">
        <f>IF($N9,_xll.qlIndexAddFixings($H9,$L9,$M9/100,TRUE,ISERROR($Q9)),NA())</f>
        <v>1</v>
      </c>
      <c r="Q9" s="304" t="e">
        <f>_xll.qlIndexFixing($G9,$L9,TRUE,$N9)</f>
        <v>#NUM!</v>
      </c>
      <c r="R9" s="304" t="e">
        <f>_xll.qlIndexFixing($H9,$L9,TRUE,$N9)</f>
        <v>#NUM!</v>
      </c>
      <c r="S9" s="102"/>
      <c r="T9" s="5"/>
      <c r="U9" s="5"/>
      <c r="V9" s="5"/>
      <c r="W9" s="5"/>
      <c r="X9" s="5"/>
    </row>
    <row r="10" spans="2:27" s="1" customFormat="1" x14ac:dyDescent="0.2">
      <c r="B10" s="114"/>
      <c r="C10" s="311" t="s">
        <v>14</v>
      </c>
      <c r="D10" s="298" t="str">
        <f>_xll.qlRelinkableHandleYieldTermStructure(UPPER(Currency)&amp;C10&amp;LCHlinear,,Permanent,Trigger,ObjectOverwrite)</f>
        <v>USD3M_linearLCH#0002</v>
      </c>
      <c r="E10" s="298" t="str">
        <f>_xll.qlRelinkableHandleYieldTermStructure(UPPER(Currency)&amp;C10&amp;LCHcubic,,Permanent,Trigger,ObjectOverwrite)</f>
        <v>USD3M_cubicLCH#0002</v>
      </c>
      <c r="F10" s="298" t="str">
        <f>IFERROR(_xll.qlLibor(PROPER(Currency)&amp;FamilyName&amp;C10,Currency,C10,,Permanent,Trigger,ObjectOverwrite),"")</f>
        <v>UsdLibor3M#0002</v>
      </c>
      <c r="G10" s="381" t="str">
        <f>_xll.qlLibor(PROPER(Currency)&amp;FamilyName&amp;C10&amp;LCHlinear,Currency,C10,D10,Permanent,Trigger,ObjectOverwrite)</f>
        <v>UsdLibor3M_linearLCH#0002</v>
      </c>
      <c r="H10" s="381" t="str">
        <f>_xll.qlLibor(PROPER(Currency)&amp;FamilyName&amp;C10&amp;LCHcubic,Currency,C10,E10,Permanent,Trigger,ObjectOverwrite)</f>
        <v>UsdLibor3M_cubicLCH#0002</v>
      </c>
      <c r="I10" s="299" t="str">
        <f>_xll.qlLastFixingQuote(PROPER(Currency)&amp;FamilyName&amp;C10&amp;$I$5,H10,Permanent,Trigger,ObjectOverwrite)</f>
        <v>UsdLibor3MLastFixing_LCHQuote#0002</v>
      </c>
      <c r="J10" s="4"/>
      <c r="K10" s="304" t="str">
        <f t="shared" si="0"/>
        <v>USD3MFSR=</v>
      </c>
      <c r="L10" s="367">
        <v>42321</v>
      </c>
      <c r="M10" s="384">
        <v>0.36360000000000003</v>
      </c>
      <c r="N10" s="305" t="b">
        <f t="shared" si="1"/>
        <v>1</v>
      </c>
      <c r="O10" s="306" t="b">
        <f>IF($N10,_xll.qlIndexAddFixings($G10,$L10,$M10/100,TRUE,ISERROR($Q10)),NA())</f>
        <v>1</v>
      </c>
      <c r="P10" s="306" t="b">
        <f>IF($N10,_xll.qlIndexAddFixings($H10,$L10,$M10/100,TRUE,ISERROR($Q10)),NA())</f>
        <v>1</v>
      </c>
      <c r="Q10" s="304" t="e">
        <f>_xll.qlIndexFixing($G10,$L10,TRUE,$N10)</f>
        <v>#NUM!</v>
      </c>
      <c r="R10" s="304" t="e">
        <f>_xll.qlIndexFixing($H10,$L10,TRUE,$N10)</f>
        <v>#NUM!</v>
      </c>
      <c r="S10" s="102"/>
      <c r="T10" s="5"/>
      <c r="U10" s="5"/>
      <c r="V10" s="5"/>
      <c r="W10" s="5"/>
      <c r="X10" s="5"/>
    </row>
    <row r="11" spans="2:27" s="1" customFormat="1" x14ac:dyDescent="0.2">
      <c r="B11" s="114"/>
      <c r="C11" s="311" t="s">
        <v>11</v>
      </c>
      <c r="D11" s="298" t="str">
        <f>_xll.qlRelinkableHandleYieldTermStructure(UPPER(Currency)&amp;C11&amp;LCHlinear,,Permanent,Trigger,ObjectOverwrite)</f>
        <v>USD6M_linearLCH#0002</v>
      </c>
      <c r="E11" s="298" t="str">
        <f>_xll.qlRelinkableHandleYieldTermStructure(UPPER(Currency)&amp;C11&amp;LCHcubic,,Permanent,Trigger,ObjectOverwrite)</f>
        <v>USD6M_cubicLCH#0002</v>
      </c>
      <c r="F11" s="298" t="str">
        <f>IFERROR(_xll.qlLibor(PROPER(Currency)&amp;FamilyName&amp;C11,Currency,C11,,Permanent,Trigger,ObjectOverwrite),"")</f>
        <v>UsdLibor6M#0002</v>
      </c>
      <c r="G11" s="381" t="str">
        <f>_xll.qlLibor(PROPER(Currency)&amp;FamilyName&amp;C11&amp;LCHlinear,Currency,C11,D11,Permanent,Trigger,ObjectOverwrite)</f>
        <v>UsdLibor6M_linearLCH#0002</v>
      </c>
      <c r="H11" s="381" t="str">
        <f>_xll.qlLibor(PROPER(Currency)&amp;FamilyName&amp;C11&amp;LCHcubic,Currency,C11,E11,Permanent,Trigger,ObjectOverwrite)</f>
        <v>UsdLibor6M_cubicLCH#0002</v>
      </c>
      <c r="I11" s="299" t="str">
        <f>_xll.qlLastFixingQuote(PROPER(Currency)&amp;FamilyName&amp;C11&amp;$I$5,H11,Permanent,Trigger,ObjectOverwrite)</f>
        <v>UsdLibor6MLastFixing_LCHQuote#0002</v>
      </c>
      <c r="J11" s="4"/>
      <c r="K11" s="304" t="str">
        <f t="shared" si="0"/>
        <v>USD6MFSR=</v>
      </c>
      <c r="L11" s="367">
        <v>42321</v>
      </c>
      <c r="M11" s="384">
        <v>0.60375000000000001</v>
      </c>
      <c r="N11" s="305" t="b">
        <f t="shared" si="1"/>
        <v>1</v>
      </c>
      <c r="O11" s="306" t="b">
        <f>IF($N11,_xll.qlIndexAddFixings($G11,$L11,$M11/100,TRUE,ISERROR($Q11)),NA())</f>
        <v>1</v>
      </c>
      <c r="P11" s="306" t="b">
        <f>IF($N11,_xll.qlIndexAddFixings($H11,$L11,$M11/100,TRUE,ISERROR($Q11)),NA())</f>
        <v>1</v>
      </c>
      <c r="Q11" s="304" t="e">
        <f>_xll.qlIndexFixing($G11,$L11,TRUE,$N11)</f>
        <v>#NUM!</v>
      </c>
      <c r="R11" s="304" t="e">
        <f>_xll.qlIndexFixing($H11,$L11,TRUE,$N11)</f>
        <v>#NUM!</v>
      </c>
      <c r="S11" s="102"/>
      <c r="T11" s="5"/>
      <c r="U11" s="5"/>
      <c r="V11" s="5"/>
      <c r="W11" s="5"/>
      <c r="X11" s="5"/>
    </row>
    <row r="12" spans="2:27" s="1" customFormat="1" x14ac:dyDescent="0.2">
      <c r="B12" s="114"/>
      <c r="C12" s="311" t="s">
        <v>5</v>
      </c>
      <c r="D12" s="298" t="str">
        <f>_xll.qlRelinkableHandleYieldTermStructure(UPPER(Currency)&amp;C12&amp;LCHlinear,,Permanent,Trigger,ObjectOverwrite)</f>
        <v>USD1Y_linearLCH#0002</v>
      </c>
      <c r="E12" s="298" t="str">
        <f>_xll.qlRelinkableHandleYieldTermStructure(UPPER(Currency)&amp;C12&amp;LCHcubic,,Permanent,Trigger,ObjectOverwrite)</f>
        <v>USD1Y_cubicLCH#0002</v>
      </c>
      <c r="F12" s="298" t="str">
        <f>IFERROR(_xll.qlLibor(PROPER(Currency)&amp;FamilyName&amp;C12,Currency,C12,,Permanent,Trigger,ObjectOverwrite),"")</f>
        <v>UsdLibor1Y#0002</v>
      </c>
      <c r="G12" s="381" t="str">
        <f>_xll.qlLibor(PROPER(Currency)&amp;FamilyName&amp;C12&amp;LCHlinear,Currency,C12,D12,Permanent,Trigger,ObjectOverwrite)</f>
        <v>UsdLibor1Y_linearLCH#0002</v>
      </c>
      <c r="H12" s="381" t="str">
        <f>_xll.qlLibor(PROPER(Currency)&amp;FamilyName&amp;C12&amp;LCHcubic,Currency,C12,E12,Permanent,Trigger,ObjectOverwrite)</f>
        <v>UsdLibor1Y_cubicLCH#0002</v>
      </c>
      <c r="I12" s="299" t="str">
        <f>_xll.qlLastFixingQuote(PROPER(Currency)&amp;FamilyName&amp;C12&amp;$I$5,H12,Permanent,Trigger,ObjectOverwrite)</f>
        <v>UsdLibor1YLastFixing_LCHQuote#0002</v>
      </c>
      <c r="J12" s="4"/>
      <c r="K12" s="307" t="str">
        <f t="shared" si="0"/>
        <v>USD1YFSR=</v>
      </c>
      <c r="L12" s="368">
        <v>42321</v>
      </c>
      <c r="M12" s="385">
        <v>0.93610000000000004</v>
      </c>
      <c r="N12" s="308" t="b">
        <f t="shared" si="1"/>
        <v>1</v>
      </c>
      <c r="O12" s="309" t="b">
        <f>IF($N12,_xll.qlIndexAddFixings($G12,$L12,$M12/100,TRUE,ISERROR($Q12)),NA())</f>
        <v>1</v>
      </c>
      <c r="P12" s="309" t="b">
        <f>IF($N12,_xll.qlIndexAddFixings($H12,$L12,$M12/100,TRUE,ISERROR($Q12)),NA())</f>
        <v>1</v>
      </c>
      <c r="Q12" s="307" t="e">
        <f>_xll.qlIndexFixing($G12,$L12,TRUE,$N12)</f>
        <v>#NUM!</v>
      </c>
      <c r="R12" s="307" t="e">
        <f>_xll.qlIndexFixing($H12,$L12,TRUE,$N12)</f>
        <v>#NUM!</v>
      </c>
      <c r="S12" s="102"/>
      <c r="T12" s="5"/>
      <c r="U12" s="5"/>
      <c r="V12" s="5"/>
      <c r="W12" s="5"/>
      <c r="X12" s="5"/>
    </row>
    <row r="13" spans="2:27" s="1" customFormat="1" x14ac:dyDescent="0.2">
      <c r="B13" s="114"/>
      <c r="C13" s="312" t="s">
        <v>139</v>
      </c>
      <c r="D13" s="300" t="str">
        <f>_xll.qlRelinkableHandleYieldTermStructure(UPPER(Currency)&amp;C13&amp;LCHlinear,,Permanent,Trigger,ObjectOverwrite)</f>
        <v>USDSTD_linearLCH#0002</v>
      </c>
      <c r="E13" s="300" t="str">
        <f>_xll.qlRelinkableHandleYieldTermStructure(UPPER(Currency)&amp;C13&amp;LCHcubic,,Permanent,Trigger,ObjectOverwrite)</f>
        <v>USDSTD_cubicLCH#0002</v>
      </c>
      <c r="F13" s="300"/>
      <c r="G13" s="382"/>
      <c r="H13" s="382"/>
      <c r="I13" s="301"/>
      <c r="J13" s="4"/>
      <c r="K13" s="7"/>
      <c r="L13" s="7"/>
      <c r="M13" s="7"/>
      <c r="N13" s="7"/>
      <c r="O13" s="7"/>
      <c r="P13" s="364"/>
      <c r="Q13" s="7"/>
      <c r="R13" s="345"/>
      <c r="S13" s="102"/>
      <c r="T13" s="5"/>
      <c r="U13" s="5"/>
      <c r="V13" s="5"/>
      <c r="W13" s="5"/>
      <c r="X13" s="5"/>
    </row>
    <row r="14" spans="2:27" s="1" customFormat="1" x14ac:dyDescent="0.2">
      <c r="B14" s="116"/>
      <c r="C14" s="117"/>
      <c r="D14" s="117"/>
      <c r="E14" s="351"/>
      <c r="F14" s="351"/>
      <c r="G14" s="351"/>
      <c r="H14" s="117"/>
      <c r="I14" s="117"/>
      <c r="J14" s="117"/>
      <c r="K14" s="117"/>
      <c r="L14" s="117"/>
      <c r="M14" s="117"/>
      <c r="N14" s="117"/>
      <c r="O14" s="117"/>
      <c r="P14" s="351"/>
      <c r="Q14" s="117"/>
      <c r="R14" s="351"/>
      <c r="S14" s="334"/>
      <c r="T14" s="5"/>
      <c r="U14" s="5"/>
      <c r="V14" s="5"/>
      <c r="W14" s="5"/>
      <c r="X14" s="5"/>
    </row>
    <row r="15" spans="2:27" s="1" customFormat="1" x14ac:dyDescent="0.2">
      <c r="H15" s="5"/>
      <c r="I15" s="5"/>
      <c r="J15" s="5"/>
      <c r="M15" s="5"/>
      <c r="S15" s="5"/>
      <c r="T15" s="5"/>
      <c r="U15" s="5"/>
      <c r="V15" s="5"/>
      <c r="W15" s="5"/>
      <c r="X15" s="5"/>
    </row>
    <row r="16" spans="2:27" x14ac:dyDescent="0.2">
      <c r="H16" s="291" t="s">
        <v>152</v>
      </c>
      <c r="I16" s="293" t="str">
        <f>"START:"&amp;_xll.qlSettingsEvaluationDate(Trigger)&amp; " END:"&amp;_xll.qlSettingsEvaluationDate(Trigger)&amp;" INTERVAL:1D"</f>
        <v>START:42321 END:42321 INTERVAL:1D</v>
      </c>
      <c r="K16" s="339" t="str">
        <f>_xll.RHistory(L17,$I$18&amp;";"&amp;$I$19,$I$16,,"SORT:"&amp;$I$17&amp;" CH:Fd",M16)</f>
        <v>Updated at 16:00:00</v>
      </c>
      <c r="L16" s="336"/>
      <c r="M16" s="347" t="s">
        <v>251</v>
      </c>
      <c r="N16" s="347" t="s">
        <v>109</v>
      </c>
      <c r="O16" s="347" t="s">
        <v>240</v>
      </c>
      <c r="P16" s="347" t="s">
        <v>239</v>
      </c>
    </row>
    <row r="17" spans="8:16" x14ac:dyDescent="0.2">
      <c r="H17" s="291" t="s">
        <v>153</v>
      </c>
      <c r="I17" s="292" t="s">
        <v>154</v>
      </c>
      <c r="K17" s="354" t="s">
        <v>16</v>
      </c>
      <c r="L17" s="354" t="str">
        <f>Currency&amp;K17&amp;$K$4&amp;"="</f>
        <v>USD1MFSR=</v>
      </c>
      <c r="M17" s="340">
        <v>42321</v>
      </c>
      <c r="N17" s="354">
        <v>0.19725000000000001</v>
      </c>
      <c r="O17" s="379" t="b">
        <f>_xll.qlIndexAddFixings(PROPER(Currency)&amp;FamilyName&amp;K17,M17,N17/100,TRUE,_xll.ohTrigger(Libor!$G$6:$G$12))</f>
        <v>1</v>
      </c>
      <c r="P17" s="379" t="b">
        <f>_xll.qlIndexAddFixings(PROPER(Currency)&amp;FamilyName&amp;K17,M17,N17/100,TRUE,_xll.ohTrigger(Libor!$H$6:$H$12))</f>
        <v>1</v>
      </c>
    </row>
    <row r="18" spans="8:16" x14ac:dyDescent="0.2">
      <c r="H18" s="291" t="s">
        <v>155</v>
      </c>
      <c r="I18" s="346" t="s">
        <v>220</v>
      </c>
    </row>
    <row r="19" spans="8:16" x14ac:dyDescent="0.2">
      <c r="I19" s="346" t="s">
        <v>221</v>
      </c>
      <c r="K19" s="339" t="str">
        <f>_xll.RHistory(L20,$I$18&amp;";"&amp;$I$19,$I$16,,"SORT:"&amp;$I$17&amp;" CH:Fd",M19)</f>
        <v>Updated at 16:00:00</v>
      </c>
      <c r="L19" s="336"/>
      <c r="M19" s="347" t="s">
        <v>251</v>
      </c>
      <c r="N19" s="347" t="s">
        <v>109</v>
      </c>
      <c r="O19" s="347" t="s">
        <v>240</v>
      </c>
      <c r="P19" s="347" t="s">
        <v>239</v>
      </c>
    </row>
    <row r="20" spans="8:16" x14ac:dyDescent="0.2">
      <c r="I20" s="344"/>
      <c r="J20" s="344"/>
      <c r="K20" s="354" t="s">
        <v>14</v>
      </c>
      <c r="L20" s="354" t="str">
        <f>Currency&amp;K20&amp;$K$4&amp;"="</f>
        <v>USD3MFSR=</v>
      </c>
      <c r="M20" s="340">
        <v>42321</v>
      </c>
      <c r="N20" s="354">
        <v>0.36359999999999998</v>
      </c>
      <c r="O20" s="379" t="b">
        <f>_xll.qlIndexAddFixings(PROPER(Currency)&amp;FamilyName&amp;K20,M20,N20/100,TRUE,_xll.ohTrigger(Libor!$G$6:$G$12))</f>
        <v>1</v>
      </c>
      <c r="P20" s="379" t="b">
        <f>_xll.qlIndexAddFixings(PROPER(Currency)&amp;FamilyName&amp;K20,M20,N20/100,TRUE,_xll.ohTrigger(Libor!$H$6:$H$12))</f>
        <v>1</v>
      </c>
    </row>
    <row r="21" spans="8:16" x14ac:dyDescent="0.2">
      <c r="I21" s="344"/>
      <c r="J21" s="344"/>
      <c r="K21" s="344"/>
      <c r="L21" s="344"/>
      <c r="M21" s="344"/>
      <c r="N21" s="344"/>
    </row>
    <row r="22" spans="8:16" x14ac:dyDescent="0.2">
      <c r="I22" s="344"/>
      <c r="J22" s="344"/>
      <c r="K22" s="339" t="str">
        <f>_xll.RHistory(L23,$I$18&amp;";"&amp;$I$19,$I$16,,"SORT:"&amp;$I$17&amp;" CH:Fd",M22)</f>
        <v>Updated at 16:00:00</v>
      </c>
      <c r="L22" s="336"/>
      <c r="M22" s="347" t="s">
        <v>251</v>
      </c>
      <c r="N22" s="347" t="s">
        <v>109</v>
      </c>
      <c r="O22" s="347" t="s">
        <v>240</v>
      </c>
      <c r="P22" s="347" t="s">
        <v>239</v>
      </c>
    </row>
    <row r="23" spans="8:16" x14ac:dyDescent="0.2">
      <c r="I23" s="344"/>
      <c r="J23" s="344"/>
      <c r="K23" s="354" t="s">
        <v>11</v>
      </c>
      <c r="L23" s="354" t="str">
        <f>Currency&amp;K23&amp;$K$4&amp;"="</f>
        <v>USD6MFSR=</v>
      </c>
      <c r="M23" s="340">
        <v>42321</v>
      </c>
      <c r="N23" s="354">
        <v>0.60375000000000001</v>
      </c>
      <c r="O23" s="379" t="b">
        <f>_xll.qlIndexAddFixings(PROPER(Currency)&amp;FamilyName&amp;K23,M23,N23/100,TRUE,_xll.ohTrigger(Libor!$G$6:$G$12))</f>
        <v>1</v>
      </c>
      <c r="P23" s="379" t="b">
        <f>_xll.qlIndexAddFixings(PROPER(Currency)&amp;FamilyName&amp;K23,M23,N23/100,TRUE,_xll.ohTrigger(Libor!$H$6:$H$12))</f>
        <v>1</v>
      </c>
    </row>
    <row r="24" spans="8:16" x14ac:dyDescent="0.2">
      <c r="I24" s="344"/>
      <c r="J24" s="344"/>
      <c r="K24" s="344"/>
      <c r="L24" s="344"/>
      <c r="M24" s="344"/>
      <c r="N24" s="344"/>
    </row>
    <row r="25" spans="8:16" x14ac:dyDescent="0.2">
      <c r="I25" s="344"/>
      <c r="J25" s="344"/>
      <c r="K25" s="339" t="str">
        <f>_xll.RHistory(L26,$I$18&amp;";"&amp;$I$19,$I$16,,"SORT:"&amp;$I$17&amp;" CH:Fd",M25)</f>
        <v>Updated at 16:00:00</v>
      </c>
      <c r="L25" s="336"/>
      <c r="M25" s="347" t="s">
        <v>251</v>
      </c>
      <c r="N25" s="347" t="s">
        <v>109</v>
      </c>
      <c r="O25" s="347" t="s">
        <v>240</v>
      </c>
      <c r="P25" s="347" t="s">
        <v>239</v>
      </c>
    </row>
    <row r="26" spans="8:16" x14ac:dyDescent="0.2">
      <c r="I26" s="344"/>
      <c r="J26" s="344"/>
      <c r="K26" s="354" t="s">
        <v>5</v>
      </c>
      <c r="L26" s="354" t="str">
        <f>Currency&amp;K26&amp;$K$4&amp;"="</f>
        <v>USD1YFSR=</v>
      </c>
      <c r="M26" s="340">
        <v>42321</v>
      </c>
      <c r="N26" s="354">
        <v>0.93610000000000004</v>
      </c>
      <c r="O26" s="379" t="b">
        <f>_xll.qlIndexAddFixings(PROPER(Currency)&amp;FamilyName&amp;K26,M26,N26/100,TRUE,_xll.ohTrigger(Libor!$G$6:$G$12))</f>
        <v>1</v>
      </c>
      <c r="P26" s="379" t="b">
        <f>_xll.qlIndexAddFixings(PROPER(Currency)&amp;FamilyName&amp;K26,M26,N26/100,TRUE,_xll.ohTrigger(Libor!$H$6:$H$12))</f>
        <v>1</v>
      </c>
    </row>
    <row r="27" spans="8:16" x14ac:dyDescent="0.2">
      <c r="I27" s="344"/>
      <c r="J27" s="344"/>
      <c r="K27" s="344"/>
      <c r="L27" s="344"/>
      <c r="M27" s="344"/>
      <c r="N27" s="344"/>
    </row>
    <row r="28" spans="8:16" x14ac:dyDescent="0.2">
      <c r="I28" s="344"/>
      <c r="J28" s="344"/>
      <c r="K28" s="344"/>
      <c r="L28" s="344"/>
      <c r="M28" s="344"/>
      <c r="N28" s="344"/>
    </row>
    <row r="29" spans="8:16" x14ac:dyDescent="0.2">
      <c r="I29" s="344"/>
      <c r="J29" s="344"/>
      <c r="K29" s="344"/>
      <c r="L29" s="344"/>
      <c r="M29" s="344"/>
      <c r="N29" s="344"/>
    </row>
    <row r="30" spans="8:16" x14ac:dyDescent="0.2">
      <c r="I30" s="344"/>
      <c r="J30" s="344"/>
      <c r="K30" s="344"/>
      <c r="L30" s="344"/>
      <c r="M30" s="344"/>
      <c r="N30" s="344"/>
    </row>
    <row r="31" spans="8:16" x14ac:dyDescent="0.2">
      <c r="I31" s="344"/>
      <c r="J31" s="344"/>
      <c r="K31" s="344"/>
      <c r="L31" s="344"/>
      <c r="M31" s="344"/>
      <c r="N31" s="344"/>
    </row>
    <row r="32" spans="8:16" x14ac:dyDescent="0.2">
      <c r="I32" s="344"/>
      <c r="J32" s="344"/>
      <c r="K32" s="344"/>
      <c r="L32" s="344"/>
      <c r="M32" s="344"/>
      <c r="N32" s="344"/>
    </row>
    <row r="33" spans="9:14" x14ac:dyDescent="0.2">
      <c r="I33" s="344"/>
      <c r="J33" s="344"/>
      <c r="K33" s="344"/>
      <c r="L33" s="344"/>
      <c r="M33" s="344"/>
      <c r="N33" s="344"/>
    </row>
    <row r="34" spans="9:14" x14ac:dyDescent="0.2">
      <c r="I34" s="344"/>
      <c r="J34" s="344"/>
      <c r="K34" s="344"/>
      <c r="L34" s="344"/>
      <c r="M34" s="344"/>
      <c r="N34" s="344"/>
    </row>
    <row r="35" spans="9:14" x14ac:dyDescent="0.2">
      <c r="I35" s="344"/>
      <c r="J35" s="344"/>
      <c r="K35" s="344"/>
      <c r="L35" s="344"/>
      <c r="M35" s="344"/>
      <c r="N35" s="344"/>
    </row>
    <row r="36" spans="9:14" x14ac:dyDescent="0.2">
      <c r="I36" s="344"/>
      <c r="J36" s="344"/>
      <c r="K36" s="344"/>
      <c r="L36" s="344"/>
      <c r="M36" s="344"/>
      <c r="N36" s="344"/>
    </row>
    <row r="37" spans="9:14" x14ac:dyDescent="0.2">
      <c r="I37" s="344"/>
      <c r="J37" s="344"/>
      <c r="K37" s="344"/>
      <c r="L37" s="344"/>
      <c r="M37" s="344"/>
      <c r="N37" s="344"/>
    </row>
    <row r="38" spans="9:14" x14ac:dyDescent="0.2">
      <c r="I38" s="344"/>
      <c r="J38" s="344"/>
      <c r="K38" s="344"/>
      <c r="L38" s="344"/>
      <c r="M38" s="344"/>
      <c r="N38" s="344"/>
    </row>
    <row r="39" spans="9:14" x14ac:dyDescent="0.2">
      <c r="I39" s="344"/>
      <c r="J39" s="344"/>
      <c r="K39" s="344"/>
      <c r="L39" s="344"/>
      <c r="M39" s="344"/>
      <c r="N39" s="344"/>
    </row>
    <row r="40" spans="9:14" x14ac:dyDescent="0.2">
      <c r="I40" s="344"/>
      <c r="J40" s="344"/>
      <c r="K40" s="344"/>
      <c r="L40" s="344"/>
      <c r="M40" s="344"/>
      <c r="N40" s="344"/>
    </row>
    <row r="41" spans="9:14" x14ac:dyDescent="0.2">
      <c r="I41" s="344"/>
      <c r="J41" s="344"/>
      <c r="K41" s="344"/>
      <c r="L41" s="344"/>
      <c r="M41" s="344"/>
      <c r="N41" s="344"/>
    </row>
    <row r="42" spans="9:14" x14ac:dyDescent="0.2">
      <c r="I42" s="344"/>
      <c r="J42" s="344"/>
      <c r="K42" s="344"/>
      <c r="L42" s="344"/>
      <c r="M42" s="344"/>
      <c r="N42" s="34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9.140625" style="143"/>
    <col min="12" max="12" width="11.85546875" style="143" customWidth="1"/>
    <col min="13" max="13" width="10.7109375" style="143" customWidth="1"/>
    <col min="14" max="14" width="2.7109375" style="143" customWidth="1"/>
    <col min="15" max="15" width="10.7109375" style="143" customWidth="1"/>
    <col min="16" max="16" width="2.7109375" style="143" customWidth="1"/>
    <col min="17" max="18" width="10.7109375" style="143" customWidth="1"/>
    <col min="19" max="20" width="2.7109375" style="143" customWidth="1"/>
    <col min="21" max="22" width="9.140625" style="143"/>
    <col min="23" max="23" width="9.85546875" style="143" customWidth="1"/>
    <col min="24" max="24" width="8.85546875" style="143" customWidth="1"/>
    <col min="25" max="16384" width="9.140625" style="143"/>
  </cols>
  <sheetData>
    <row r="1" spans="1:19" x14ac:dyDescent="0.2">
      <c r="A1" s="24"/>
      <c r="B1" s="24"/>
      <c r="C1" s="24"/>
      <c r="D1" s="78"/>
      <c r="E1" s="78"/>
      <c r="F1" s="78"/>
      <c r="G1" s="78"/>
      <c r="H1" s="79"/>
      <c r="J1" s="77" t="s">
        <v>191</v>
      </c>
      <c r="K1" s="88"/>
      <c r="L1" s="88" t="str">
        <f>VLOOKUP($J$1,AreaTable,AreaIndex,0)</f>
        <v>KLIEM</v>
      </c>
      <c r="M1" s="88"/>
      <c r="N1" s="88"/>
      <c r="O1" s="88"/>
      <c r="P1" s="78"/>
      <c r="Q1" s="78"/>
      <c r="R1" s="78"/>
      <c r="S1" s="79"/>
    </row>
    <row r="2" spans="1:19" x14ac:dyDescent="0.2">
      <c r="A2" s="80"/>
      <c r="B2" s="81"/>
      <c r="C2" s="81"/>
      <c r="D2" s="81"/>
      <c r="E2" s="81"/>
      <c r="F2" s="81"/>
      <c r="G2" s="81"/>
      <c r="H2" s="82"/>
      <c r="J2" s="80"/>
      <c r="K2" s="81"/>
      <c r="L2" s="186" t="s">
        <v>180</v>
      </c>
      <c r="M2" s="89"/>
      <c r="N2" s="89"/>
      <c r="O2" s="89"/>
      <c r="P2" s="81"/>
      <c r="Q2" s="81"/>
      <c r="R2" s="54">
        <f>_xll.ohTrigger(R5:R13)</f>
        <v>3</v>
      </c>
      <c r="S2" s="82"/>
    </row>
    <row r="3" spans="1:19" x14ac:dyDescent="0.2">
      <c r="A3" s="83"/>
      <c r="B3" s="104"/>
      <c r="C3" s="104"/>
      <c r="D3" s="81"/>
      <c r="E3" s="81"/>
      <c r="F3" s="81"/>
      <c r="G3" s="81"/>
      <c r="H3" s="82"/>
      <c r="J3" s="80"/>
      <c r="K3" s="81"/>
      <c r="L3" s="25"/>
      <c r="M3" s="81"/>
      <c r="N3" s="14"/>
      <c r="O3" s="14"/>
      <c r="P3" s="14"/>
      <c r="Q3" s="3"/>
      <c r="R3" s="81"/>
      <c r="S3" s="82"/>
    </row>
    <row r="4" spans="1:19" ht="22.5" x14ac:dyDescent="0.2">
      <c r="A4" s="26"/>
      <c r="B4" s="43"/>
      <c r="C4" s="47"/>
      <c r="D4" s="44"/>
      <c r="E4" s="47" t="s">
        <v>184</v>
      </c>
      <c r="F4" s="48" t="s">
        <v>185</v>
      </c>
      <c r="G4" s="48" t="s">
        <v>199</v>
      </c>
      <c r="H4" s="82"/>
      <c r="J4" s="11"/>
      <c r="K4" s="46"/>
      <c r="L4" s="51" t="str">
        <f>_xll.RData(L5:L7,M4,"RTFEED:IDN",ReutersRtMode,,M5)</f>
        <v>Updated at 16:00:00</v>
      </c>
      <c r="M4" s="91" t="s">
        <v>99</v>
      </c>
      <c r="N4" s="14" t="s">
        <v>156</v>
      </c>
      <c r="O4" s="37" t="s">
        <v>114</v>
      </c>
      <c r="P4" s="14"/>
      <c r="Q4" s="38" t="s">
        <v>113</v>
      </c>
      <c r="R4" s="39" t="s">
        <v>112</v>
      </c>
      <c r="S4" s="82"/>
    </row>
    <row r="5" spans="1:19" x14ac:dyDescent="0.2">
      <c r="A5" s="26"/>
      <c r="B5" s="105"/>
      <c r="C5" s="151"/>
      <c r="D5" s="106" t="str">
        <f>K5&amp;"D"</f>
        <v>OND</v>
      </c>
      <c r="E5" s="40" t="str">
        <f t="shared" ref="E5:E13" si="0">Currency&amp;$D5&amp;QuoteSuffix</f>
        <v>USDOND_LCHQuote</v>
      </c>
      <c r="F5" s="40" t="str">
        <f>_xll.qlSimpleQuote(E5,,RateTickValue,Permanent,Trigger,ObjectOverwrite)</f>
        <v>USDOND_LCHQuote#0002</v>
      </c>
      <c r="G5" s="154" t="str">
        <f>_xll.ohRangeRetrieveError(F5)</f>
        <v/>
      </c>
      <c r="H5" s="82"/>
      <c r="J5" s="11"/>
      <c r="K5" s="28" t="s">
        <v>96</v>
      </c>
      <c r="L5" s="31" t="str">
        <f>Currency&amp;K5&amp;"D="&amp;VLOOKUP($L$2,[0]!ContributorTable,2,0)</f>
        <v>USDOND=PYNY</v>
      </c>
      <c r="M5" s="369">
        <v>0.3</v>
      </c>
      <c r="N5" s="53" t="s">
        <v>156</v>
      </c>
      <c r="O5" s="34">
        <v>0.3</v>
      </c>
      <c r="P5" s="142"/>
      <c r="Q5" s="34">
        <f t="array" ref="Q5:Q13">QuoteLive</f>
        <v>0.3</v>
      </c>
      <c r="R5" s="148" t="e">
        <f>_xll.qlSimpleQuoteSetValue(F5,Q5/100,Trigger)</f>
        <v>#N/A</v>
      </c>
      <c r="S5" s="82"/>
    </row>
    <row r="6" spans="1:19" x14ac:dyDescent="0.2">
      <c r="A6" s="26"/>
      <c r="B6" s="107"/>
      <c r="C6" s="152"/>
      <c r="D6" s="108" t="str">
        <f t="shared" ref="D6:D13" si="1">K6&amp;"D"</f>
        <v>TND</v>
      </c>
      <c r="E6" s="41" t="str">
        <f t="shared" si="0"/>
        <v>USDTND_LCHQuote</v>
      </c>
      <c r="F6" s="41" t="str">
        <f>_xll.qlSimpleQuote(E6,,RateTickValue,Permanent,Trigger,ObjectOverwrite)</f>
        <v>USDTND_LCHQuote#0002</v>
      </c>
      <c r="G6" s="155" t="str">
        <f>_xll.ohRangeRetrieveError(F6)</f>
        <v/>
      </c>
      <c r="H6" s="82"/>
      <c r="J6" s="11"/>
      <c r="K6" s="29" t="s">
        <v>111</v>
      </c>
      <c r="L6" s="32" t="str">
        <f>Currency&amp;K6&amp;"D="&amp;VLOOKUP($L$2,[0]!ContributorTable,2,0)</f>
        <v>USDTND=PYNY</v>
      </c>
      <c r="M6" s="370">
        <v>0.3</v>
      </c>
      <c r="N6" s="53" t="s">
        <v>156</v>
      </c>
      <c r="O6" s="35">
        <v>0.3</v>
      </c>
      <c r="P6" s="142"/>
      <c r="Q6" s="35">
        <v>0.3</v>
      </c>
      <c r="R6" s="149" t="e">
        <f>_xll.qlSimpleQuoteSetValue(F6,Q6/100,Trigger)</f>
        <v>#N/A</v>
      </c>
      <c r="S6" s="82"/>
    </row>
    <row r="7" spans="1:19" x14ac:dyDescent="0.2">
      <c r="A7" s="26"/>
      <c r="B7" s="107"/>
      <c r="C7" s="152"/>
      <c r="D7" s="108" t="str">
        <f t="shared" si="1"/>
        <v>SND</v>
      </c>
      <c r="E7" s="41" t="str">
        <f t="shared" si="0"/>
        <v>USDSND_LCHQuote</v>
      </c>
      <c r="F7" s="41" t="str">
        <f>_xll.qlSimpleQuote(E7,,RateTickValue,Permanent,Trigger,ObjectOverwrite)</f>
        <v>USDSND_LCHQuote#0002</v>
      </c>
      <c r="G7" s="155" t="str">
        <f>_xll.ohRangeRetrieveError(F7)</f>
        <v/>
      </c>
      <c r="H7" s="82"/>
      <c r="J7" s="11"/>
      <c r="K7" s="30" t="s">
        <v>108</v>
      </c>
      <c r="L7" s="33" t="str">
        <f>Currency&amp;K7&amp;"D="&amp;VLOOKUP($L$2,[0]!ContributorTable,2,0)</f>
        <v>USDSND=PYNY</v>
      </c>
      <c r="M7" s="371">
        <v>0.3</v>
      </c>
      <c r="N7" s="53" t="s">
        <v>156</v>
      </c>
      <c r="O7" s="36">
        <v>0.3</v>
      </c>
      <c r="P7" s="142"/>
      <c r="Q7" s="36">
        <v>0.3</v>
      </c>
      <c r="R7" s="150" t="e">
        <f>_xll.qlSimpleQuoteSetValue(F7,Q7/100,Trigger)</f>
        <v>#N/A</v>
      </c>
      <c r="S7" s="82"/>
    </row>
    <row r="8" spans="1:19" x14ac:dyDescent="0.2">
      <c r="A8" s="26"/>
      <c r="B8" s="105"/>
      <c r="C8" s="151"/>
      <c r="D8" s="106" t="str">
        <f t="shared" si="1"/>
        <v>SWD</v>
      </c>
      <c r="E8" s="40" t="str">
        <f t="shared" si="0"/>
        <v>USDSWD_LCHQuote</v>
      </c>
      <c r="F8" s="40" t="str">
        <f>_xll.qlSimpleQuote(E8,,RateTickValue,Permanent,Trigger,ObjectOverwrite)</f>
        <v>USDSWD_LCHQuote#0002</v>
      </c>
      <c r="G8" s="154" t="str">
        <f>_xll.ohRangeRetrieveError(F8)</f>
        <v/>
      </c>
      <c r="H8" s="82"/>
      <c r="J8" s="11"/>
      <c r="K8" s="29" t="s">
        <v>19</v>
      </c>
      <c r="L8" s="31" t="str">
        <f>Libor!K7</f>
        <v>USDSWFSR=</v>
      </c>
      <c r="M8" s="369">
        <f>Libor!M7</f>
        <v>0.15589999999999998</v>
      </c>
      <c r="N8" s="53" t="s">
        <v>156</v>
      </c>
      <c r="O8" s="35">
        <v>0.15589999999999998</v>
      </c>
      <c r="P8" s="142"/>
      <c r="Q8" s="35">
        <v>0.15589999999999998</v>
      </c>
      <c r="R8" s="149" t="e">
        <f>_xll.qlSimpleQuoteSetValue(F8,Q8/100,Trigger)</f>
        <v>#N/A</v>
      </c>
      <c r="S8" s="82"/>
    </row>
    <row r="9" spans="1:19" x14ac:dyDescent="0.2">
      <c r="A9" s="26"/>
      <c r="B9" s="107"/>
      <c r="C9" s="152"/>
      <c r="D9" s="108" t="str">
        <f t="shared" si="1"/>
        <v>1MD</v>
      </c>
      <c r="E9" s="41" t="str">
        <f t="shared" si="0"/>
        <v>USD1MD_LCHQuote</v>
      </c>
      <c r="F9" s="41" t="str">
        <f>_xll.qlSimpleQuote(E9,,RateTickValue,Permanent,Trigger,ObjectOverwrite)</f>
        <v>USD1MD_LCHQuote#0002</v>
      </c>
      <c r="G9" s="155" t="str">
        <f>_xll.ohRangeRetrieveError(F9)</f>
        <v/>
      </c>
      <c r="H9" s="82"/>
      <c r="J9" s="11"/>
      <c r="K9" s="29" t="s">
        <v>16</v>
      </c>
      <c r="L9" s="32" t="str">
        <f>Libor!K8</f>
        <v>USD1MFSR=</v>
      </c>
      <c r="M9" s="370">
        <f>Libor!M8</f>
        <v>0.19724999999999998</v>
      </c>
      <c r="N9" s="53" t="s">
        <v>156</v>
      </c>
      <c r="O9" s="35">
        <v>0.19724999999999998</v>
      </c>
      <c r="P9" s="142"/>
      <c r="Q9" s="35">
        <v>0.19724999999999998</v>
      </c>
      <c r="R9" s="149" t="e">
        <f>_xll.qlSimpleQuoteSetValue(F9,Q9/100,Trigger)</f>
        <v>#N/A</v>
      </c>
      <c r="S9" s="82"/>
    </row>
    <row r="10" spans="1:19" x14ac:dyDescent="0.2">
      <c r="A10" s="26"/>
      <c r="B10" s="107"/>
      <c r="C10" s="152"/>
      <c r="D10" s="108" t="str">
        <f t="shared" si="1"/>
        <v>2MD</v>
      </c>
      <c r="E10" s="41" t="str">
        <f t="shared" si="0"/>
        <v>USD2MD_LCHQuote</v>
      </c>
      <c r="F10" s="41" t="str">
        <f>_xll.qlSimpleQuote(E10,,RateTickValue,Permanent,Trigger,ObjectOverwrite)</f>
        <v>USD2MD_LCHQuote#0002</v>
      </c>
      <c r="G10" s="155" t="str">
        <f>_xll.ohRangeRetrieveError(F10)</f>
        <v/>
      </c>
      <c r="H10" s="82"/>
      <c r="J10" s="11"/>
      <c r="K10" s="29" t="s">
        <v>15</v>
      </c>
      <c r="L10" s="32" t="str">
        <f>Libor!K9</f>
        <v>USD2MFSR=</v>
      </c>
      <c r="M10" s="370">
        <f>Libor!M9</f>
        <v>0.28199999999999997</v>
      </c>
      <c r="N10" s="53" t="s">
        <v>156</v>
      </c>
      <c r="O10" s="35">
        <v>0.28199999999999997</v>
      </c>
      <c r="P10" s="142"/>
      <c r="Q10" s="35">
        <v>0.28199999999999997</v>
      </c>
      <c r="R10" s="149" t="e">
        <f>_xll.qlSimpleQuoteSetValue(F10,Q10/100,Trigger)</f>
        <v>#N/A</v>
      </c>
      <c r="S10" s="82"/>
    </row>
    <row r="11" spans="1:19" x14ac:dyDescent="0.2">
      <c r="A11" s="26"/>
      <c r="B11" s="107"/>
      <c r="C11" s="152"/>
      <c r="D11" s="108" t="str">
        <f t="shared" si="1"/>
        <v>3MD</v>
      </c>
      <c r="E11" s="41" t="str">
        <f t="shared" si="0"/>
        <v>USD3MD_LCHQuote</v>
      </c>
      <c r="F11" s="41" t="str">
        <f>_xll.qlSimpleQuote(E11,,RateTickValue,Permanent,Trigger,ObjectOverwrite)</f>
        <v>USD3MD_LCHQuote#0002</v>
      </c>
      <c r="G11" s="155" t="str">
        <f>_xll.ohRangeRetrieveError(F11)</f>
        <v/>
      </c>
      <c r="H11" s="82"/>
      <c r="J11" s="11"/>
      <c r="K11" s="29" t="s">
        <v>14</v>
      </c>
      <c r="L11" s="32" t="str">
        <f>Libor!K10</f>
        <v>USD3MFSR=</v>
      </c>
      <c r="M11" s="370">
        <f>Libor!M10</f>
        <v>0.36360000000000003</v>
      </c>
      <c r="N11" s="53" t="s">
        <v>156</v>
      </c>
      <c r="O11" s="35">
        <v>0.36360000000000003</v>
      </c>
      <c r="P11" s="142"/>
      <c r="Q11" s="35">
        <v>0.36360000000000003</v>
      </c>
      <c r="R11" s="149" t="e">
        <f>_xll.qlSimpleQuoteSetValue(F11,Q11/100,Trigger)</f>
        <v>#N/A</v>
      </c>
      <c r="S11" s="82"/>
    </row>
    <row r="12" spans="1:19" x14ac:dyDescent="0.2">
      <c r="A12" s="26"/>
      <c r="B12" s="107"/>
      <c r="C12" s="152"/>
      <c r="D12" s="108" t="str">
        <f t="shared" si="1"/>
        <v>6MD</v>
      </c>
      <c r="E12" s="41" t="str">
        <f t="shared" si="0"/>
        <v>USD6MD_LCHQuote</v>
      </c>
      <c r="F12" s="41" t="str">
        <f>_xll.qlSimpleQuote(E12,,RateTickValue,Permanent,Trigger,ObjectOverwrite)</f>
        <v>USD6MD_LCHQuote#0002</v>
      </c>
      <c r="G12" s="155" t="str">
        <f>_xll.ohRangeRetrieveError(F12)</f>
        <v/>
      </c>
      <c r="H12" s="82"/>
      <c r="J12" s="11"/>
      <c r="K12" s="29" t="s">
        <v>11</v>
      </c>
      <c r="L12" s="32" t="str">
        <f>Libor!K11</f>
        <v>USD6MFSR=</v>
      </c>
      <c r="M12" s="370">
        <f>Libor!M11</f>
        <v>0.60375000000000001</v>
      </c>
      <c r="N12" s="53" t="s">
        <v>156</v>
      </c>
      <c r="O12" s="35">
        <v>0.60375000000000001</v>
      </c>
      <c r="P12" s="142"/>
      <c r="Q12" s="35">
        <v>0.60375000000000001</v>
      </c>
      <c r="R12" s="149" t="e">
        <f>_xll.qlSimpleQuoteSetValue(F12,Q12/100,Trigger)</f>
        <v>#N/A</v>
      </c>
      <c r="S12" s="82"/>
    </row>
    <row r="13" spans="1:19" x14ac:dyDescent="0.2">
      <c r="A13" s="26"/>
      <c r="B13" s="109"/>
      <c r="C13" s="153"/>
      <c r="D13" s="110" t="str">
        <f t="shared" si="1"/>
        <v>1YD</v>
      </c>
      <c r="E13" s="42" t="str">
        <f t="shared" si="0"/>
        <v>USD1YD_LCHQuote</v>
      </c>
      <c r="F13" s="42" t="str">
        <f>_xll.qlSimpleQuote(E13,,RateTickValue,Permanent,Trigger,ObjectOverwrite)</f>
        <v>USD1YD_LCHQuote#0002</v>
      </c>
      <c r="G13" s="156" t="str">
        <f>_xll.ohRangeRetrieveError(F13)</f>
        <v/>
      </c>
      <c r="H13" s="82"/>
      <c r="J13" s="11"/>
      <c r="K13" s="30" t="s">
        <v>5</v>
      </c>
      <c r="L13" s="33" t="str">
        <f>Libor!K12</f>
        <v>USD1YFSR=</v>
      </c>
      <c r="M13" s="371">
        <f>Libor!M12</f>
        <v>0.93610000000000004</v>
      </c>
      <c r="N13" s="53" t="s">
        <v>156</v>
      </c>
      <c r="O13" s="36">
        <v>0.93610000000000004</v>
      </c>
      <c r="P13" s="142"/>
      <c r="Q13" s="36">
        <v>0.93610000000000004</v>
      </c>
      <c r="R13" s="150" t="e">
        <f>_xll.qlSimpleQuoteSetValue(F13,Q13/100,Trigger)</f>
        <v>#N/A</v>
      </c>
      <c r="S13" s="82"/>
    </row>
    <row r="14" spans="1:19" x14ac:dyDescent="0.2">
      <c r="A14" s="84"/>
      <c r="B14" s="85"/>
      <c r="C14" s="85"/>
      <c r="D14" s="85"/>
      <c r="E14" s="85"/>
      <c r="F14" s="85"/>
      <c r="G14" s="85"/>
      <c r="H14" s="86"/>
      <c r="J14" s="84"/>
      <c r="K14" s="90"/>
      <c r="L14" s="90"/>
      <c r="M14" s="90"/>
      <c r="N14" s="90"/>
      <c r="O14" s="90"/>
      <c r="P14" s="90"/>
      <c r="Q14" s="90"/>
      <c r="R14" s="90"/>
      <c r="S14" s="86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214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_xll.ohTrigger(X5:X16)</f>
        <v>1313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_xll.RData(O5:O16,P4:Q4,"RTFEED:IDN",ReutersRtMode,,P5)</f>
        <v>Updated at 18:49:08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56" t="str">
        <f>"x"&amp;K5&amp;"F"</f>
        <v>x4F</v>
      </c>
      <c r="E5" s="55" t="str">
        <f t="shared" ref="E5:E16" si="0">Currency&amp;$C5&amp;$D5&amp;QuoteSuffix</f>
        <v>USD1x4F_LCHQuote</v>
      </c>
      <c r="F5" s="40" t="str">
        <f>_xll.qlSimpleQuote(E5,,RateTickValue,Permanent,Trigger,ObjectOverwrite)</f>
        <v>USD1x4F_LCHQuote#0002</v>
      </c>
      <c r="G5" s="157" t="str">
        <f>_xll.ohRangeRetrieveError(F5)</f>
        <v/>
      </c>
      <c r="H5" s="95"/>
      <c r="J5" s="80"/>
      <c r="K5" s="207">
        <f>L5+3</f>
        <v>4</v>
      </c>
      <c r="L5" s="207">
        <v>1</v>
      </c>
      <c r="M5" s="207" t="s">
        <v>115</v>
      </c>
      <c r="N5" s="323" t="str">
        <f t="shared" ref="N5:N16" si="1">Currency&amp;$L5&amp;$M5&amp;$K5&amp;"F"</f>
        <v>USD1X4F</v>
      </c>
      <c r="O5" s="69" t="str">
        <f t="array" ref="O5:O16">Instruments&amp;"="&amp;VLOOKUP(Contributor,ContributorTable,2,FALSE)</f>
        <v>USD1X4F=PYNY</v>
      </c>
      <c r="P5" s="369">
        <v>0.42899999999999999</v>
      </c>
      <c r="Q5" s="369">
        <v>0.44900000000000001</v>
      </c>
      <c r="R5" s="70">
        <f>IF(ISERROR(AVERAGE(P5,Q5)),#NUM!,AVERAGE(P5,Q5))</f>
        <v>0.439</v>
      </c>
      <c r="S5" s="135">
        <f>Q5-P5</f>
        <v>2.0000000000000018E-2</v>
      </c>
      <c r="T5" s="137"/>
      <c r="U5" s="135">
        <v>0.439</v>
      </c>
      <c r="V5" s="137"/>
      <c r="W5" s="135">
        <f t="array" ref="W5:W16">QuoteLive</f>
        <v>0.439</v>
      </c>
      <c r="X5" s="65" t="e">
        <f>_xll.qlSimpleQuoteSetValue(F5,W5/100,Trigger)</f>
        <v>#N/A</v>
      </c>
      <c r="Y5" s="101"/>
      <c r="Z5" s="147"/>
      <c r="AA5" s="147"/>
    </row>
    <row r="6" spans="1:27" x14ac:dyDescent="0.2">
      <c r="A6" s="26"/>
      <c r="B6" s="57"/>
      <c r="C6" s="57">
        <f t="shared" ref="C6:C16" si="2">L6</f>
        <v>2</v>
      </c>
      <c r="D6" s="58" t="str">
        <f t="shared" ref="D6:D16" si="3">"x"&amp;K6&amp;"F"</f>
        <v>x5F</v>
      </c>
      <c r="E6" s="57" t="str">
        <f t="shared" si="0"/>
        <v>USD2x5F_LCHQuote</v>
      </c>
      <c r="F6" s="41" t="str">
        <f>_xll.qlSimpleQuote(E6,,RateTickValue,Permanent,Trigger,ObjectOverwrite)</f>
        <v>USD2x5F_LCHQuote#0002</v>
      </c>
      <c r="G6" s="158" t="str">
        <f>_xll.ohRangeRetrieveError(F6)</f>
        <v/>
      </c>
      <c r="H6" s="95"/>
      <c r="J6" s="80"/>
      <c r="K6" s="203">
        <f t="shared" ref="K6:K16" si="4">L6+3</f>
        <v>5</v>
      </c>
      <c r="L6" s="203">
        <v>2</v>
      </c>
      <c r="M6" s="203" t="s">
        <v>115</v>
      </c>
      <c r="N6" s="63" t="str">
        <f t="shared" si="1"/>
        <v>USD2X5F</v>
      </c>
      <c r="O6" s="63" t="str">
        <v>USD2X5F=PYNY</v>
      </c>
      <c r="P6" s="370">
        <v>0.49400000000000005</v>
      </c>
      <c r="Q6" s="370">
        <v>0.51400000000000001</v>
      </c>
      <c r="R6" s="64">
        <f t="shared" ref="R6:R16" si="5">IF(ISERROR(AVERAGE(P6,Q6)),#NUM!,AVERAGE(P6,Q6))</f>
        <v>0.504</v>
      </c>
      <c r="S6" s="134">
        <f t="shared" ref="S6:S16" si="6">Q6-P6</f>
        <v>1.9999999999999962E-2</v>
      </c>
      <c r="T6" s="137"/>
      <c r="U6" s="134">
        <v>0.503</v>
      </c>
      <c r="V6" s="137"/>
      <c r="W6" s="134">
        <v>0.504</v>
      </c>
      <c r="X6" s="66" t="e">
        <f>_xll.qlSimpleQuoteSetValue(F6,W6/100,Trigger)</f>
        <v>#N/A</v>
      </c>
      <c r="Y6" s="101"/>
      <c r="Z6" s="147"/>
      <c r="AA6" s="147"/>
    </row>
    <row r="7" spans="1:27" x14ac:dyDescent="0.2">
      <c r="A7" s="26"/>
      <c r="B7" s="57"/>
      <c r="C7" s="57">
        <f t="shared" si="2"/>
        <v>3</v>
      </c>
      <c r="D7" s="58" t="str">
        <f t="shared" si="3"/>
        <v>x6F</v>
      </c>
      <c r="E7" s="57" t="str">
        <f t="shared" si="0"/>
        <v>USD3x6F_LCHQuote</v>
      </c>
      <c r="F7" s="41" t="str">
        <f>_xll.qlSimpleQuote(E7,,RateTickValue,Permanent,Trigger,ObjectOverwrite)</f>
        <v>USD3x6F_LCHQuote#0002</v>
      </c>
      <c r="G7" s="158" t="str">
        <f>_xll.ohRangeRetrieveError(F7)</f>
        <v/>
      </c>
      <c r="H7" s="95"/>
      <c r="J7" s="80"/>
      <c r="K7" s="203">
        <f t="shared" si="4"/>
        <v>6</v>
      </c>
      <c r="L7" s="203">
        <v>3</v>
      </c>
      <c r="M7" s="203" t="s">
        <v>115</v>
      </c>
      <c r="N7" s="63" t="str">
        <f t="shared" si="1"/>
        <v>USD3X6F</v>
      </c>
      <c r="O7" s="63" t="str">
        <v>USD3X6F=PYNY</v>
      </c>
      <c r="P7" s="370">
        <v>0.54600000000000004</v>
      </c>
      <c r="Q7" s="370">
        <v>0.56600000000000006</v>
      </c>
      <c r="R7" s="64">
        <f t="shared" ref="R7:R15" si="7">IF(ISERROR(AVERAGE(P7,Q7)),#NUM!,AVERAGE(P7,Q7))</f>
        <v>0.55600000000000005</v>
      </c>
      <c r="S7" s="134">
        <f t="shared" ref="S7:S15" si="8">Q7-P7</f>
        <v>2.0000000000000018E-2</v>
      </c>
      <c r="T7" s="137"/>
      <c r="U7" s="134">
        <v>0.55299999999999994</v>
      </c>
      <c r="V7" s="137"/>
      <c r="W7" s="134">
        <v>0.55600000000000005</v>
      </c>
      <c r="X7" s="66" t="e">
        <f>_xll.qlSimpleQuoteSetValue(F7,W7/100,Trigger)</f>
        <v>#N/A</v>
      </c>
      <c r="Y7" s="101"/>
      <c r="Z7" s="147"/>
      <c r="AA7" s="147"/>
    </row>
    <row r="8" spans="1:27" x14ac:dyDescent="0.2">
      <c r="A8" s="26"/>
      <c r="B8" s="57"/>
      <c r="C8" s="57">
        <f t="shared" si="2"/>
        <v>4</v>
      </c>
      <c r="D8" s="58" t="str">
        <f t="shared" si="3"/>
        <v>x7F</v>
      </c>
      <c r="E8" s="57" t="str">
        <f t="shared" si="0"/>
        <v>USD4x7F_LCHQuote</v>
      </c>
      <c r="F8" s="41" t="str">
        <f>_xll.qlSimpleQuote(E8,,RateTickValue,Permanent,Trigger,ObjectOverwrite)</f>
        <v>USD4x7F_LCHQuote#0002</v>
      </c>
      <c r="G8" s="158" t="str">
        <f>_xll.ohRangeRetrieveError(F8)</f>
        <v/>
      </c>
      <c r="H8" s="95"/>
      <c r="J8" s="80"/>
      <c r="K8" s="203">
        <f t="shared" si="4"/>
        <v>7</v>
      </c>
      <c r="L8" s="203">
        <v>4</v>
      </c>
      <c r="M8" s="203" t="s">
        <v>115</v>
      </c>
      <c r="N8" s="63" t="str">
        <f t="shared" si="1"/>
        <v>USD4X7F</v>
      </c>
      <c r="O8" s="63" t="str">
        <v>USD4X7F=PYNY</v>
      </c>
      <c r="P8" s="370">
        <v>0.59800000000000009</v>
      </c>
      <c r="Q8" s="370">
        <v>0.61799999999999999</v>
      </c>
      <c r="R8" s="64">
        <f t="shared" si="7"/>
        <v>0.6080000000000001</v>
      </c>
      <c r="S8" s="134">
        <f t="shared" si="8"/>
        <v>1.9999999999999907E-2</v>
      </c>
      <c r="T8" s="137"/>
      <c r="U8" s="134">
        <v>0.60299999999999998</v>
      </c>
      <c r="V8" s="137"/>
      <c r="W8" s="134">
        <v>0.6080000000000001</v>
      </c>
      <c r="X8" s="66" t="e">
        <f>_xll.qlSimpleQuoteSetValue(F8,W8/100,Trigger)</f>
        <v>#N/A</v>
      </c>
      <c r="Y8" s="101"/>
      <c r="Z8" s="147"/>
      <c r="AA8" s="147"/>
    </row>
    <row r="9" spans="1:27" x14ac:dyDescent="0.2">
      <c r="A9" s="26"/>
      <c r="B9" s="57"/>
      <c r="C9" s="57">
        <f t="shared" si="2"/>
        <v>5</v>
      </c>
      <c r="D9" s="58" t="str">
        <f t="shared" si="3"/>
        <v>x8F</v>
      </c>
      <c r="E9" s="57" t="str">
        <f t="shared" si="0"/>
        <v>USD5x8F_LCHQuote</v>
      </c>
      <c r="F9" s="41" t="str">
        <f>_xll.qlSimpleQuote(E9,,RateTickValue,Permanent,Trigger,ObjectOverwrite)</f>
        <v>USD5x8F_LCHQuote#0002</v>
      </c>
      <c r="G9" s="158" t="str">
        <f>_xll.ohRangeRetrieveError(F9)</f>
        <v/>
      </c>
      <c r="H9" s="95"/>
      <c r="J9" s="80"/>
      <c r="K9" s="203">
        <f t="shared" si="4"/>
        <v>8</v>
      </c>
      <c r="L9" s="203">
        <v>5</v>
      </c>
      <c r="M9" s="203" t="s">
        <v>115</v>
      </c>
      <c r="N9" s="63" t="str">
        <f t="shared" si="1"/>
        <v>USD5X8F</v>
      </c>
      <c r="O9" s="63" t="str">
        <v>USD5X8F=PYNY</v>
      </c>
      <c r="P9" s="370">
        <v>0.65300000000000002</v>
      </c>
      <c r="Q9" s="370">
        <v>0.67300000000000004</v>
      </c>
      <c r="R9" s="64">
        <f t="shared" si="7"/>
        <v>0.66300000000000003</v>
      </c>
      <c r="S9" s="134">
        <f t="shared" si="8"/>
        <v>2.0000000000000018E-2</v>
      </c>
      <c r="T9" s="137"/>
      <c r="U9" s="134">
        <v>0.65799999999999992</v>
      </c>
      <c r="V9" s="137"/>
      <c r="W9" s="134">
        <v>0.66300000000000003</v>
      </c>
      <c r="X9" s="66" t="e">
        <f>_xll.qlSimpleQuoteSetValue(F9,W9/100,Trigger)</f>
        <v>#N/A</v>
      </c>
      <c r="Y9" s="101"/>
      <c r="Z9" s="147"/>
      <c r="AA9" s="147"/>
    </row>
    <row r="10" spans="1:27" x14ac:dyDescent="0.2">
      <c r="A10" s="26"/>
      <c r="B10" s="57"/>
      <c r="C10" s="57">
        <f t="shared" si="2"/>
        <v>6</v>
      </c>
      <c r="D10" s="58" t="str">
        <f t="shared" si="3"/>
        <v>x9F</v>
      </c>
      <c r="E10" s="57" t="str">
        <f t="shared" si="0"/>
        <v>USD6x9F_LCHQuote</v>
      </c>
      <c r="F10" s="41" t="str">
        <f>_xll.qlSimpleQuote(E10,,RateTickValue,Permanent,Trigger,ObjectOverwrite)</f>
        <v>USD6x9F_LCHQuote#0002</v>
      </c>
      <c r="G10" s="158" t="str">
        <f>_xll.ohRangeRetrieveError(F10)</f>
        <v/>
      </c>
      <c r="H10" s="95"/>
      <c r="J10" s="80"/>
      <c r="K10" s="203">
        <f t="shared" si="4"/>
        <v>9</v>
      </c>
      <c r="L10" s="203">
        <v>6</v>
      </c>
      <c r="M10" s="203" t="s">
        <v>115</v>
      </c>
      <c r="N10" s="63" t="str">
        <f t="shared" si="1"/>
        <v>USD6X9F</v>
      </c>
      <c r="O10" s="63" t="str">
        <v>USD6X9F=PYNY</v>
      </c>
      <c r="P10" s="370">
        <v>0.7</v>
      </c>
      <c r="Q10" s="370">
        <v>0.72</v>
      </c>
      <c r="R10" s="64">
        <f t="shared" si="7"/>
        <v>0.71</v>
      </c>
      <c r="S10" s="134">
        <f t="shared" si="8"/>
        <v>2.0000000000000018E-2</v>
      </c>
      <c r="T10" s="137"/>
      <c r="U10" s="134">
        <v>0.70599999999999996</v>
      </c>
      <c r="V10" s="137"/>
      <c r="W10" s="134">
        <v>0.71</v>
      </c>
      <c r="X10" s="66" t="e">
        <f>_xll.qlSimpleQuoteSetValue(F10,W10/100,Trigger)</f>
        <v>#N/A</v>
      </c>
      <c r="Y10" s="101"/>
      <c r="Z10" s="147"/>
      <c r="AA10" s="147"/>
    </row>
    <row r="11" spans="1:27" x14ac:dyDescent="0.2">
      <c r="A11" s="26"/>
      <c r="B11" s="57"/>
      <c r="C11" s="57">
        <f t="shared" si="2"/>
        <v>7</v>
      </c>
      <c r="D11" s="58" t="str">
        <f t="shared" si="3"/>
        <v>x10F</v>
      </c>
      <c r="E11" s="57" t="str">
        <f t="shared" si="0"/>
        <v>USD7x10F_LCHQuote</v>
      </c>
      <c r="F11" s="41" t="str">
        <f>_xll.qlSimpleQuote(E11,,RateTickValue,Permanent,Trigger,ObjectOverwrite)</f>
        <v>USD7x10F_LCHQuote#0002</v>
      </c>
      <c r="G11" s="158" t="str">
        <f>_xll.ohRangeRetrieveError(F11)</f>
        <v/>
      </c>
      <c r="H11" s="95"/>
      <c r="J11" s="80"/>
      <c r="K11" s="203">
        <f t="shared" si="4"/>
        <v>10</v>
      </c>
      <c r="L11" s="203">
        <v>7</v>
      </c>
      <c r="M11" s="203" t="s">
        <v>115</v>
      </c>
      <c r="N11" s="63" t="str">
        <f t="shared" si="1"/>
        <v>USD7X10F</v>
      </c>
      <c r="O11" s="63" t="str">
        <v>USD7X10F=PYNY</v>
      </c>
      <c r="P11" s="370">
        <v>0.753</v>
      </c>
      <c r="Q11" s="370">
        <v>0.77300000000000002</v>
      </c>
      <c r="R11" s="64">
        <f t="shared" si="7"/>
        <v>0.76300000000000001</v>
      </c>
      <c r="S11" s="134">
        <f t="shared" si="8"/>
        <v>2.0000000000000018E-2</v>
      </c>
      <c r="T11" s="137"/>
      <c r="U11" s="134">
        <v>0.76200000000000001</v>
      </c>
      <c r="V11" s="137"/>
      <c r="W11" s="134">
        <v>0.76300000000000001</v>
      </c>
      <c r="X11" s="66" t="e">
        <f>_xll.qlSimpleQuoteSetValue(F11,W11/100,Trigger)</f>
        <v>#N/A</v>
      </c>
      <c r="Y11" s="101"/>
      <c r="Z11" s="147"/>
      <c r="AA11" s="147"/>
    </row>
    <row r="12" spans="1:27" x14ac:dyDescent="0.2">
      <c r="A12" s="26"/>
      <c r="B12" s="57"/>
      <c r="C12" s="57">
        <f t="shared" si="2"/>
        <v>8</v>
      </c>
      <c r="D12" s="58" t="str">
        <f t="shared" si="3"/>
        <v>x11F</v>
      </c>
      <c r="E12" s="57" t="str">
        <f t="shared" si="0"/>
        <v>USD8x11F_LCHQuote</v>
      </c>
      <c r="F12" s="41" t="str">
        <f>_xll.qlSimpleQuote(E12,,RateTickValue,Permanent,Trigger,ObjectOverwrite)</f>
        <v>USD8x11F_LCHQuote#0002</v>
      </c>
      <c r="G12" s="158" t="str">
        <f>_xll.ohRangeRetrieveError(F12)</f>
        <v/>
      </c>
      <c r="H12" s="95"/>
      <c r="J12" s="80"/>
      <c r="K12" s="203">
        <f t="shared" si="4"/>
        <v>11</v>
      </c>
      <c r="L12" s="203">
        <v>8</v>
      </c>
      <c r="M12" s="203" t="s">
        <v>115</v>
      </c>
      <c r="N12" s="63" t="str">
        <f t="shared" si="1"/>
        <v>USD8X11F</v>
      </c>
      <c r="O12" s="63" t="str">
        <v>USD8X11F=PYNY</v>
      </c>
      <c r="P12" s="370">
        <v>0.80199999999999994</v>
      </c>
      <c r="Q12" s="370">
        <v>0.82200000000000006</v>
      </c>
      <c r="R12" s="64">
        <f t="shared" si="7"/>
        <v>0.81200000000000006</v>
      </c>
      <c r="S12" s="134">
        <f t="shared" si="8"/>
        <v>2.0000000000000129E-2</v>
      </c>
      <c r="T12" s="137"/>
      <c r="U12" s="134">
        <v>0.81</v>
      </c>
      <c r="V12" s="137"/>
      <c r="W12" s="134">
        <v>0.81200000000000006</v>
      </c>
      <c r="X12" s="66" t="e">
        <f>_xll.qlSimpleQuoteSetValue(F12,W12/100,Trigger)</f>
        <v>#N/A</v>
      </c>
      <c r="Y12" s="101"/>
      <c r="Z12" s="147"/>
      <c r="AA12" s="147"/>
    </row>
    <row r="13" spans="1:27" x14ac:dyDescent="0.2">
      <c r="A13" s="26"/>
      <c r="B13" s="57"/>
      <c r="C13" s="57">
        <f t="shared" si="2"/>
        <v>9</v>
      </c>
      <c r="D13" s="58" t="str">
        <f t="shared" si="3"/>
        <v>x12F</v>
      </c>
      <c r="E13" s="57" t="str">
        <f t="shared" si="0"/>
        <v>USD9x12F_LCHQuote</v>
      </c>
      <c r="F13" s="41" t="str">
        <f>_xll.qlSimpleQuote(E13,,RateTickValue,Permanent,Trigger,ObjectOverwrite)</f>
        <v>USD9x12F_LCHQuote#0002</v>
      </c>
      <c r="G13" s="158" t="str">
        <f>_xll.ohRangeRetrieveError(F13)</f>
        <v/>
      </c>
      <c r="H13" s="95"/>
      <c r="J13" s="80"/>
      <c r="K13" s="203">
        <f t="shared" si="4"/>
        <v>12</v>
      </c>
      <c r="L13" s="203">
        <v>9</v>
      </c>
      <c r="M13" s="203" t="s">
        <v>115</v>
      </c>
      <c r="N13" s="63" t="str">
        <f t="shared" si="1"/>
        <v>USD9X12F</v>
      </c>
      <c r="O13" s="63" t="str">
        <v>USD9X12F=PYNY</v>
      </c>
      <c r="P13" s="370">
        <v>0.85099999999999998</v>
      </c>
      <c r="Q13" s="370">
        <v>0.87100000000000011</v>
      </c>
      <c r="R13" s="64">
        <f t="shared" si="7"/>
        <v>0.86099999999999999</v>
      </c>
      <c r="S13" s="134">
        <f t="shared" si="8"/>
        <v>2.0000000000000129E-2</v>
      </c>
      <c r="T13" s="137"/>
      <c r="U13" s="134">
        <v>0.85999999999999988</v>
      </c>
      <c r="V13" s="137"/>
      <c r="W13" s="134">
        <v>0.86099999999999999</v>
      </c>
      <c r="X13" s="66" t="e">
        <f>_xll.qlSimpleQuoteSetValue(F13,W13/100,Trigger)</f>
        <v>#N/A</v>
      </c>
      <c r="Y13" s="101"/>
      <c r="Z13" s="147"/>
      <c r="AA13" s="147"/>
    </row>
    <row r="14" spans="1:27" x14ac:dyDescent="0.2">
      <c r="A14" s="26"/>
      <c r="B14" s="57"/>
      <c r="C14" s="57">
        <f t="shared" si="2"/>
        <v>10</v>
      </c>
      <c r="D14" s="58" t="str">
        <f t="shared" si="3"/>
        <v>x13F</v>
      </c>
      <c r="E14" s="57" t="str">
        <f t="shared" si="0"/>
        <v>USD10x13F_LCHQuote</v>
      </c>
      <c r="F14" s="41" t="str">
        <f>_xll.qlSimpleQuote(E14,,RateTickValue,Permanent,Trigger,ObjectOverwrite)</f>
        <v>USD10x13F_LCHQuote#0002</v>
      </c>
      <c r="G14" s="158" t="str">
        <f>_xll.ohRangeRetrieveError(F14)</f>
        <v/>
      </c>
      <c r="H14" s="95"/>
      <c r="J14" s="80"/>
      <c r="K14" s="203">
        <f t="shared" si="4"/>
        <v>13</v>
      </c>
      <c r="L14" s="203">
        <v>10</v>
      </c>
      <c r="M14" s="203" t="s">
        <v>115</v>
      </c>
      <c r="N14" s="63" t="str">
        <f t="shared" si="1"/>
        <v>USD10X13F</v>
      </c>
      <c r="O14" s="63" t="str">
        <v>USD10X13F=PYNY</v>
      </c>
      <c r="P14" s="370">
        <v>0.90700000000000003</v>
      </c>
      <c r="Q14" s="370">
        <v>0.92699999999999994</v>
      </c>
      <c r="R14" s="64">
        <f t="shared" si="7"/>
        <v>0.91700000000000004</v>
      </c>
      <c r="S14" s="134">
        <f t="shared" si="8"/>
        <v>1.9999999999999907E-2</v>
      </c>
      <c r="T14" s="137"/>
      <c r="U14" s="134">
        <v>0.91599999999999993</v>
      </c>
      <c r="V14" s="137"/>
      <c r="W14" s="134">
        <v>0.91700000000000004</v>
      </c>
      <c r="X14" s="66" t="e">
        <f>_xll.qlSimpleQuoteSetValue(F14,W14/100,Trigger)</f>
        <v>#N/A</v>
      </c>
      <c r="Y14" s="101"/>
      <c r="Z14" s="147"/>
      <c r="AA14" s="147"/>
    </row>
    <row r="15" spans="1:27" x14ac:dyDescent="0.2">
      <c r="A15" s="26"/>
      <c r="B15" s="57"/>
      <c r="C15" s="57">
        <f t="shared" si="2"/>
        <v>11</v>
      </c>
      <c r="D15" s="58" t="str">
        <f t="shared" si="3"/>
        <v>x14F</v>
      </c>
      <c r="E15" s="57" t="str">
        <f t="shared" si="0"/>
        <v>USD11x14F_LCHQuote</v>
      </c>
      <c r="F15" s="41" t="str">
        <f>_xll.qlSimpleQuote(E15,,RateTickValue,Permanent,Trigger,ObjectOverwrite)</f>
        <v>USD11x14F_LCHQuote#0002</v>
      </c>
      <c r="G15" s="158" t="str">
        <f>_xll.ohRangeRetrieveError(F15)</f>
        <v/>
      </c>
      <c r="H15" s="95"/>
      <c r="J15" s="80"/>
      <c r="K15" s="203">
        <f t="shared" si="4"/>
        <v>14</v>
      </c>
      <c r="L15" s="203">
        <v>11</v>
      </c>
      <c r="M15" s="203" t="s">
        <v>115</v>
      </c>
      <c r="N15" s="63" t="str">
        <f t="shared" si="1"/>
        <v>USD11X14F</v>
      </c>
      <c r="O15" s="63" t="str">
        <v>USD11X14F=PYNY</v>
      </c>
      <c r="P15" s="370">
        <v>0.96099999999999997</v>
      </c>
      <c r="Q15" s="370">
        <v>0.98100000000000009</v>
      </c>
      <c r="R15" s="64">
        <f t="shared" si="7"/>
        <v>0.97100000000000009</v>
      </c>
      <c r="S15" s="134">
        <f t="shared" si="8"/>
        <v>2.0000000000000129E-2</v>
      </c>
      <c r="T15" s="137"/>
      <c r="U15" s="134">
        <v>0.96899999999999986</v>
      </c>
      <c r="V15" s="137"/>
      <c r="W15" s="134">
        <v>0.97100000000000009</v>
      </c>
      <c r="X15" s="66" t="e">
        <f>_xll.qlSimpleQuoteSetValue(F15,W15/100,Trigger)</f>
        <v>#N/A</v>
      </c>
      <c r="Y15" s="101"/>
      <c r="Z15" s="147"/>
      <c r="AA15" s="147"/>
    </row>
    <row r="16" spans="1:27" x14ac:dyDescent="0.2">
      <c r="A16" s="26"/>
      <c r="B16" s="59"/>
      <c r="C16" s="59">
        <f t="shared" si="2"/>
        <v>12</v>
      </c>
      <c r="D16" s="322" t="str">
        <f t="shared" si="3"/>
        <v>x15F</v>
      </c>
      <c r="E16" s="59" t="str">
        <f t="shared" si="0"/>
        <v>USD12x15F_LCHQuote</v>
      </c>
      <c r="F16" s="42" t="str">
        <f>_xll.qlSimpleQuote(E16,,RateTickValue,Permanent,Trigger,ObjectOverwrite)</f>
        <v>USD12x15F_LCHQuote#0002</v>
      </c>
      <c r="G16" s="159" t="str">
        <f>_xll.ohRangeRetrieveError(F16)</f>
        <v/>
      </c>
      <c r="H16" s="95"/>
      <c r="J16" s="80"/>
      <c r="K16" s="204">
        <f t="shared" si="4"/>
        <v>15</v>
      </c>
      <c r="L16" s="204">
        <v>12</v>
      </c>
      <c r="M16" s="204" t="s">
        <v>115</v>
      </c>
      <c r="N16" s="67" t="str">
        <f t="shared" si="1"/>
        <v>USD12X15F</v>
      </c>
      <c r="O16" s="67" t="str">
        <v>USD12X15F=PYNY</v>
      </c>
      <c r="P16" s="371">
        <v>1.0189999999999999</v>
      </c>
      <c r="Q16" s="371">
        <v>1.0389999999999999</v>
      </c>
      <c r="R16" s="71">
        <f t="shared" si="5"/>
        <v>1.0289999999999999</v>
      </c>
      <c r="S16" s="136">
        <f t="shared" si="6"/>
        <v>2.0000000000000018E-2</v>
      </c>
      <c r="T16" s="137"/>
      <c r="U16" s="136">
        <v>1.0249999999999999</v>
      </c>
      <c r="V16" s="137"/>
      <c r="W16" s="136">
        <v>1.0289999999999999</v>
      </c>
      <c r="X16" s="68" t="e">
        <f>_xll.qlSimpleQuoteSetValue(F16,W16/100,Trigger)</f>
        <v>#N/A</v>
      </c>
      <c r="Y16" s="101"/>
      <c r="Z16" s="147"/>
      <c r="AA16" s="147"/>
    </row>
    <row r="17" spans="1:25" x14ac:dyDescent="0.2">
      <c r="A17" s="84"/>
      <c r="B17" s="85"/>
      <c r="C17" s="85"/>
      <c r="D17" s="85"/>
      <c r="E17" s="85"/>
      <c r="F17" s="85"/>
      <c r="G17" s="97"/>
      <c r="H17" s="98"/>
      <c r="J17" s="84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6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215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_xll.ohTrigger(X5:X22)</f>
        <v>2994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_xll.RData(O5:O22,P4:Q4,"RTFEED:IDN",ReutersRtMode,,P5)</f>
        <v>Updated at 18:49:08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56" t="str">
        <f>"x"&amp;K5&amp;"F"</f>
        <v>x7F</v>
      </c>
      <c r="E5" s="55" t="str">
        <f t="shared" ref="E5:E22" si="0">Currency&amp;$C5&amp;$D5&amp;QuoteSuffix</f>
        <v>USD1x7F_LCHQuote</v>
      </c>
      <c r="F5" s="40" t="str">
        <f>_xll.qlSimpleQuote(E5,,RateTickValue,Permanent,Trigger,ObjectOverwrite)</f>
        <v>USD1x7F_LCHQuote#0002</v>
      </c>
      <c r="G5" s="157" t="str">
        <f>_xll.ohRangeRetrieveError(F5)</f>
        <v/>
      </c>
      <c r="H5" s="95"/>
      <c r="J5" s="80"/>
      <c r="K5" s="207">
        <f>L5+6</f>
        <v>7</v>
      </c>
      <c r="L5" s="207">
        <v>1</v>
      </c>
      <c r="M5" s="207" t="s">
        <v>115</v>
      </c>
      <c r="N5" s="69" t="str">
        <f t="shared" ref="N5:N22" si="1">Currency&amp;$L5&amp;$M5&amp;$K5&amp;"F"</f>
        <v>USD1X7F</v>
      </c>
      <c r="O5" s="69" t="str">
        <f t="array" ref="O5:O22">Instruments&amp;"="&amp;VLOOKUP(Contributor,ContributorTable,2,FALSE)</f>
        <v>USD1X7F=PYNY</v>
      </c>
      <c r="P5" s="369">
        <v>0.64500000000000002</v>
      </c>
      <c r="Q5" s="369">
        <v>0.68499999999999994</v>
      </c>
      <c r="R5" s="70">
        <f t="shared" ref="R5:R22" si="2">IF(ISERROR(AVERAGE(P5,Q5)),#NUM!,AVERAGE(P5,Q5))</f>
        <v>0.66500000000000004</v>
      </c>
      <c r="S5" s="135">
        <f t="shared" ref="S5:S22" si="3">Q5-P5</f>
        <v>3.9999999999999925E-2</v>
      </c>
      <c r="T5" s="137"/>
      <c r="U5" s="135">
        <v>0.66200000000000003</v>
      </c>
      <c r="V5" s="137"/>
      <c r="W5" s="135">
        <f t="array" ref="W5:W22">QuoteLive</f>
        <v>0.66500000000000004</v>
      </c>
      <c r="X5" s="65" t="e">
        <f>_xll.qlSimpleQuoteSetValue(F5,W5/100,Trigger)</f>
        <v>#N/A</v>
      </c>
      <c r="Y5" s="101"/>
      <c r="Z5" s="147"/>
      <c r="AA5" s="147"/>
    </row>
    <row r="6" spans="1:27" x14ac:dyDescent="0.2">
      <c r="A6" s="26"/>
      <c r="B6" s="57"/>
      <c r="C6" s="57">
        <f t="shared" ref="C6:C22" si="4">L6</f>
        <v>2</v>
      </c>
      <c r="D6" s="58" t="str">
        <f t="shared" ref="D6:D22" si="5">"x"&amp;K6&amp;"F"</f>
        <v>x8F</v>
      </c>
      <c r="E6" s="57" t="str">
        <f t="shared" si="0"/>
        <v>USD2x8F_LCHQuote</v>
      </c>
      <c r="F6" s="41" t="str">
        <f>_xll.qlSimpleQuote(E6,,RateTickValue,Permanent,Trigger,ObjectOverwrite)</f>
        <v>USD2x8F_LCHQuote#0002</v>
      </c>
      <c r="G6" s="158" t="str">
        <f>_xll.ohRangeRetrieveError(F6)</f>
        <v/>
      </c>
      <c r="H6" s="95"/>
      <c r="J6" s="80"/>
      <c r="K6" s="203">
        <f t="shared" ref="K6:K22" si="6">L6+6</f>
        <v>8</v>
      </c>
      <c r="L6" s="203">
        <v>2</v>
      </c>
      <c r="M6" s="203" t="s">
        <v>115</v>
      </c>
      <c r="N6" s="63" t="str">
        <f t="shared" si="1"/>
        <v>USD2X8F</v>
      </c>
      <c r="O6" s="63" t="str">
        <v>USD2X8F=PYNY</v>
      </c>
      <c r="P6" s="370">
        <v>0.71</v>
      </c>
      <c r="Q6" s="370">
        <v>0.75</v>
      </c>
      <c r="R6" s="64">
        <f t="shared" si="2"/>
        <v>0.73</v>
      </c>
      <c r="S6" s="134">
        <f t="shared" si="3"/>
        <v>4.0000000000000036E-2</v>
      </c>
      <c r="T6" s="137"/>
      <c r="U6" s="134">
        <v>0.72700000000000009</v>
      </c>
      <c r="V6" s="137"/>
      <c r="W6" s="134">
        <v>0.73</v>
      </c>
      <c r="X6" s="66" t="e">
        <f>_xll.qlSimpleQuoteSetValue(F6,W6/100,Trigger)</f>
        <v>#N/A</v>
      </c>
      <c r="Y6" s="101"/>
      <c r="Z6" s="147"/>
      <c r="AA6" s="147"/>
    </row>
    <row r="7" spans="1:27" x14ac:dyDescent="0.2">
      <c r="A7" s="26"/>
      <c r="B7" s="57"/>
      <c r="C7" s="57">
        <f t="shared" si="4"/>
        <v>3</v>
      </c>
      <c r="D7" s="58" t="str">
        <f t="shared" si="5"/>
        <v>x9F</v>
      </c>
      <c r="E7" s="57" t="str">
        <f t="shared" si="0"/>
        <v>USD3x9F_LCHQuote</v>
      </c>
      <c r="F7" s="41" t="str">
        <f>_xll.qlSimpleQuote(E7,,RateTickValue,Permanent,Trigger,ObjectOverwrite)</f>
        <v>USD3x9F_LCHQuote#0002</v>
      </c>
      <c r="G7" s="158" t="str">
        <f>_xll.ohRangeRetrieveError(F7)</f>
        <v/>
      </c>
      <c r="H7" s="95"/>
      <c r="J7" s="80"/>
      <c r="K7" s="203">
        <f t="shared" si="6"/>
        <v>9</v>
      </c>
      <c r="L7" s="203">
        <v>3</v>
      </c>
      <c r="M7" s="203" t="s">
        <v>115</v>
      </c>
      <c r="N7" s="63" t="str">
        <f t="shared" si="1"/>
        <v>USD3X9F</v>
      </c>
      <c r="O7" s="63" t="str">
        <v>USD3X9F=PYNY</v>
      </c>
      <c r="P7" s="370">
        <v>0.75700000000000001</v>
      </c>
      <c r="Q7" s="370">
        <v>0.79699999999999993</v>
      </c>
      <c r="R7" s="64">
        <f t="shared" si="2"/>
        <v>0.77699999999999991</v>
      </c>
      <c r="S7" s="134">
        <f t="shared" si="3"/>
        <v>3.9999999999999925E-2</v>
      </c>
      <c r="T7" s="137"/>
      <c r="U7" s="134">
        <v>0.77400000000000002</v>
      </c>
      <c r="V7" s="137"/>
      <c r="W7" s="134">
        <v>0.77699999999999991</v>
      </c>
      <c r="X7" s="66" t="e">
        <f>_xll.qlSimpleQuoteSetValue(F7,W7/100,Trigger)</f>
        <v>#N/A</v>
      </c>
      <c r="Y7" s="101"/>
      <c r="Z7" s="147"/>
      <c r="AA7" s="147"/>
    </row>
    <row r="8" spans="1:27" x14ac:dyDescent="0.2">
      <c r="A8" s="26"/>
      <c r="B8" s="57"/>
      <c r="C8" s="57">
        <f t="shared" si="4"/>
        <v>4</v>
      </c>
      <c r="D8" s="58" t="str">
        <f t="shared" si="5"/>
        <v>x10F</v>
      </c>
      <c r="E8" s="57" t="str">
        <f t="shared" si="0"/>
        <v>USD4x10F_LCHQuote</v>
      </c>
      <c r="F8" s="41" t="str">
        <f>_xll.qlSimpleQuote(E8,,RateTickValue,Permanent,Trigger,ObjectOverwrite)</f>
        <v>USD4x10F_LCHQuote#0002</v>
      </c>
      <c r="G8" s="158" t="str">
        <f>_xll.ohRangeRetrieveError(F8)</f>
        <v/>
      </c>
      <c r="H8" s="95"/>
      <c r="J8" s="80"/>
      <c r="K8" s="203">
        <f t="shared" si="6"/>
        <v>10</v>
      </c>
      <c r="L8" s="203">
        <v>4</v>
      </c>
      <c r="M8" s="203" t="s">
        <v>115</v>
      </c>
      <c r="N8" s="63" t="str">
        <f t="shared" si="1"/>
        <v>USD4X10F</v>
      </c>
      <c r="O8" s="63" t="str">
        <v>USD4X10F=PYNY</v>
      </c>
      <c r="P8" s="370">
        <v>0.80199999999999994</v>
      </c>
      <c r="Q8" s="370">
        <v>0.84199999999999997</v>
      </c>
      <c r="R8" s="64">
        <f t="shared" si="2"/>
        <v>0.82199999999999995</v>
      </c>
      <c r="S8" s="134">
        <f t="shared" si="3"/>
        <v>4.0000000000000036E-2</v>
      </c>
      <c r="T8" s="137"/>
      <c r="U8" s="134">
        <v>0.81900000000000006</v>
      </c>
      <c r="V8" s="137"/>
      <c r="W8" s="134">
        <v>0.82199999999999995</v>
      </c>
      <c r="X8" s="66" t="e">
        <f>_xll.qlSimpleQuoteSetValue(F8,W8/100,Trigger)</f>
        <v>#N/A</v>
      </c>
      <c r="Y8" s="101"/>
      <c r="Z8" s="147"/>
      <c r="AA8" s="147"/>
    </row>
    <row r="9" spans="1:27" x14ac:dyDescent="0.2">
      <c r="A9" s="26"/>
      <c r="B9" s="57"/>
      <c r="C9" s="57">
        <f t="shared" si="4"/>
        <v>5</v>
      </c>
      <c r="D9" s="58" t="str">
        <f t="shared" si="5"/>
        <v>x11F</v>
      </c>
      <c r="E9" s="57" t="str">
        <f t="shared" si="0"/>
        <v>USD5x11F_LCHQuote</v>
      </c>
      <c r="F9" s="41" t="str">
        <f>_xll.qlSimpleQuote(E9,,RateTickValue,Permanent,Trigger,ObjectOverwrite)</f>
        <v>USD5x11F_LCHQuote#0002</v>
      </c>
      <c r="G9" s="158" t="str">
        <f>_xll.ohRangeRetrieveError(F9)</f>
        <v/>
      </c>
      <c r="H9" s="95"/>
      <c r="J9" s="80"/>
      <c r="K9" s="203">
        <f t="shared" si="6"/>
        <v>11</v>
      </c>
      <c r="L9" s="203">
        <v>5</v>
      </c>
      <c r="M9" s="203" t="s">
        <v>115</v>
      </c>
      <c r="N9" s="63" t="str">
        <f t="shared" si="1"/>
        <v>USD5X11F</v>
      </c>
      <c r="O9" s="63" t="str">
        <v>USD5X11F=PYNY</v>
      </c>
      <c r="P9" s="370">
        <v>0.83900000000000008</v>
      </c>
      <c r="Q9" s="370">
        <v>0.87899999999999989</v>
      </c>
      <c r="R9" s="64">
        <f t="shared" si="2"/>
        <v>0.85899999999999999</v>
      </c>
      <c r="S9" s="134">
        <f t="shared" si="3"/>
        <v>3.9999999999999813E-2</v>
      </c>
      <c r="T9" s="137"/>
      <c r="U9" s="134">
        <v>0.85699999999999998</v>
      </c>
      <c r="V9" s="137"/>
      <c r="W9" s="134">
        <v>0.85899999999999999</v>
      </c>
      <c r="X9" s="66" t="e">
        <f>_xll.qlSimpleQuoteSetValue(F9,W9/100,Trigger)</f>
        <v>#N/A</v>
      </c>
      <c r="Y9" s="101"/>
      <c r="Z9" s="147"/>
      <c r="AA9" s="147"/>
    </row>
    <row r="10" spans="1:27" x14ac:dyDescent="0.2">
      <c r="A10" s="26"/>
      <c r="B10" s="57"/>
      <c r="C10" s="57">
        <f t="shared" si="4"/>
        <v>6</v>
      </c>
      <c r="D10" s="58" t="str">
        <f t="shared" si="5"/>
        <v>x12F</v>
      </c>
      <c r="E10" s="57" t="str">
        <f t="shared" si="0"/>
        <v>USD6x12F_LCHQuote</v>
      </c>
      <c r="F10" s="41" t="str">
        <f>_xll.qlSimpleQuote(E10,,RateTickValue,Permanent,Trigger,ObjectOverwrite)</f>
        <v>USD6x12F_LCHQuote#0002</v>
      </c>
      <c r="G10" s="158" t="str">
        <f>_xll.ohRangeRetrieveError(F10)</f>
        <v/>
      </c>
      <c r="H10" s="95"/>
      <c r="J10" s="80"/>
      <c r="K10" s="203">
        <f t="shared" si="6"/>
        <v>12</v>
      </c>
      <c r="L10" s="203">
        <v>6</v>
      </c>
      <c r="M10" s="203" t="s">
        <v>115</v>
      </c>
      <c r="N10" s="63" t="str">
        <f t="shared" si="1"/>
        <v>USD6X12F</v>
      </c>
      <c r="O10" s="63" t="str">
        <v>USD6X12F=PYNY</v>
      </c>
      <c r="P10" s="370">
        <v>0.88800000000000012</v>
      </c>
      <c r="Q10" s="370">
        <v>0.92799999999999994</v>
      </c>
      <c r="R10" s="64">
        <f t="shared" si="2"/>
        <v>0.90800000000000003</v>
      </c>
      <c r="S10" s="134">
        <f t="shared" si="3"/>
        <v>3.9999999999999813E-2</v>
      </c>
      <c r="T10" s="137"/>
      <c r="U10" s="134">
        <v>0.90599999999999992</v>
      </c>
      <c r="V10" s="137"/>
      <c r="W10" s="134">
        <v>0.90800000000000003</v>
      </c>
      <c r="X10" s="66" t="e">
        <f>_xll.qlSimpleQuoteSetValue(F10,W10/100,Trigger)</f>
        <v>#N/A</v>
      </c>
      <c r="Y10" s="101"/>
      <c r="Z10" s="147"/>
      <c r="AA10" s="147"/>
    </row>
    <row r="11" spans="1:27" x14ac:dyDescent="0.2">
      <c r="A11" s="26"/>
      <c r="B11" s="57"/>
      <c r="C11" s="57">
        <f t="shared" si="4"/>
        <v>7</v>
      </c>
      <c r="D11" s="58" t="str">
        <f t="shared" si="5"/>
        <v>x13F</v>
      </c>
      <c r="E11" s="57" t="str">
        <f t="shared" si="0"/>
        <v>USD7x13F_LCHQuote</v>
      </c>
      <c r="F11" s="41" t="str">
        <f>_xll.qlSimpleQuote(E11,,RateTickValue,Permanent,Trigger,ObjectOverwrite)</f>
        <v>USD7x13F_LCHQuote#0002</v>
      </c>
      <c r="G11" s="158" t="str">
        <f>_xll.ohRangeRetrieveError(F11)</f>
        <v/>
      </c>
      <c r="H11" s="95"/>
      <c r="J11" s="80"/>
      <c r="K11" s="203">
        <f t="shared" si="6"/>
        <v>13</v>
      </c>
      <c r="L11" s="203">
        <v>7</v>
      </c>
      <c r="M11" s="203" t="s">
        <v>115</v>
      </c>
      <c r="N11" s="63" t="str">
        <f t="shared" si="1"/>
        <v>USD7X13F</v>
      </c>
      <c r="O11" s="63" t="str">
        <v>USD7X13F=PYNY</v>
      </c>
      <c r="P11" s="370">
        <v>0.93699999999999994</v>
      </c>
      <c r="Q11" s="370">
        <v>0.97699999999999998</v>
      </c>
      <c r="R11" s="64">
        <f t="shared" si="2"/>
        <v>0.95699999999999996</v>
      </c>
      <c r="S11" s="134">
        <f t="shared" si="3"/>
        <v>4.0000000000000036E-2</v>
      </c>
      <c r="T11" s="137"/>
      <c r="U11" s="134">
        <v>0.95599999999999996</v>
      </c>
      <c r="V11" s="137"/>
      <c r="W11" s="134">
        <v>0.95699999999999996</v>
      </c>
      <c r="X11" s="66" t="e">
        <f>_xll.qlSimpleQuoteSetValue(F11,W11/100,Trigger)</f>
        <v>#N/A</v>
      </c>
      <c r="Y11" s="101"/>
      <c r="Z11" s="147"/>
      <c r="AA11" s="147"/>
    </row>
    <row r="12" spans="1:27" x14ac:dyDescent="0.2">
      <c r="A12" s="26"/>
      <c r="B12" s="57"/>
      <c r="C12" s="57">
        <f t="shared" si="4"/>
        <v>8</v>
      </c>
      <c r="D12" s="58" t="str">
        <f t="shared" si="5"/>
        <v>x14F</v>
      </c>
      <c r="E12" s="57" t="str">
        <f t="shared" si="0"/>
        <v>USD8x14F_LCHQuote</v>
      </c>
      <c r="F12" s="41" t="str">
        <f>_xll.qlSimpleQuote(E12,,RateTickValue,Permanent,Trigger,ObjectOverwrite)</f>
        <v>USD8x14F_LCHQuote#0002</v>
      </c>
      <c r="G12" s="158" t="str">
        <f>_xll.ohRangeRetrieveError(F12)</f>
        <v/>
      </c>
      <c r="H12" s="95"/>
      <c r="J12" s="80"/>
      <c r="K12" s="203">
        <f t="shared" si="6"/>
        <v>14</v>
      </c>
      <c r="L12" s="203">
        <v>8</v>
      </c>
      <c r="M12" s="203" t="s">
        <v>115</v>
      </c>
      <c r="N12" s="63" t="str">
        <f t="shared" si="1"/>
        <v>USD8X14F</v>
      </c>
      <c r="O12" s="63" t="str">
        <v>USD8X14F=PYNY</v>
      </c>
      <c r="P12" s="370">
        <v>0.9890000000000001</v>
      </c>
      <c r="Q12" s="370">
        <v>1.0289999999999999</v>
      </c>
      <c r="R12" s="64">
        <f t="shared" si="2"/>
        <v>1.0089999999999999</v>
      </c>
      <c r="S12" s="134">
        <f t="shared" si="3"/>
        <v>3.9999999999999813E-2</v>
      </c>
      <c r="T12" s="137"/>
      <c r="U12" s="134">
        <v>1.0069999999999999</v>
      </c>
      <c r="V12" s="137"/>
      <c r="W12" s="134">
        <v>1.0089999999999999</v>
      </c>
      <c r="X12" s="66" t="e">
        <f>_xll.qlSimpleQuoteSetValue(F12,W12/100,Trigger)</f>
        <v>#N/A</v>
      </c>
      <c r="Y12" s="101"/>
      <c r="Z12" s="147"/>
      <c r="AA12" s="147"/>
    </row>
    <row r="13" spans="1:27" x14ac:dyDescent="0.2">
      <c r="A13" s="26"/>
      <c r="B13" s="57"/>
      <c r="C13" s="57">
        <f t="shared" si="4"/>
        <v>9</v>
      </c>
      <c r="D13" s="58" t="str">
        <f t="shared" si="5"/>
        <v>x15F</v>
      </c>
      <c r="E13" s="57" t="str">
        <f t="shared" si="0"/>
        <v>USD9x15F_LCHQuote</v>
      </c>
      <c r="F13" s="41" t="str">
        <f>_xll.qlSimpleQuote(E13,,RateTickValue,Permanent,Trigger,ObjectOverwrite)</f>
        <v>USD9x15F_LCHQuote#0002</v>
      </c>
      <c r="G13" s="158" t="str">
        <f>_xll.ohRangeRetrieveError(F13)</f>
        <v/>
      </c>
      <c r="H13" s="95"/>
      <c r="J13" s="80"/>
      <c r="K13" s="203">
        <f t="shared" si="6"/>
        <v>15</v>
      </c>
      <c r="L13" s="203">
        <v>9</v>
      </c>
      <c r="M13" s="203" t="s">
        <v>115</v>
      </c>
      <c r="N13" s="63" t="str">
        <f t="shared" si="1"/>
        <v>USD9X15F</v>
      </c>
      <c r="O13" s="63" t="str">
        <v>USD9X15F=PYNY</v>
      </c>
      <c r="P13" s="370">
        <v>1.0369999999999999</v>
      </c>
      <c r="Q13" s="370">
        <v>1.077</v>
      </c>
      <c r="R13" s="64">
        <f t="shared" si="2"/>
        <v>1.0569999999999999</v>
      </c>
      <c r="S13" s="134">
        <f t="shared" si="3"/>
        <v>4.0000000000000036E-2</v>
      </c>
      <c r="T13" s="137"/>
      <c r="U13" s="134">
        <v>1.0549999999999999</v>
      </c>
      <c r="V13" s="137"/>
      <c r="W13" s="134">
        <v>1.0569999999999999</v>
      </c>
      <c r="X13" s="66" t="e">
        <f>_xll.qlSimpleQuoteSetValue(F13,W13/100,Trigger)</f>
        <v>#N/A</v>
      </c>
      <c r="Y13" s="101"/>
      <c r="Z13" s="147"/>
      <c r="AA13" s="147"/>
    </row>
    <row r="14" spans="1:27" x14ac:dyDescent="0.2">
      <c r="A14" s="26"/>
      <c r="B14" s="57"/>
      <c r="C14" s="57">
        <f t="shared" si="4"/>
        <v>10</v>
      </c>
      <c r="D14" s="58" t="str">
        <f t="shared" si="5"/>
        <v>x16F</v>
      </c>
      <c r="E14" s="57" t="str">
        <f t="shared" si="0"/>
        <v>USD10x16F_LCHQuote</v>
      </c>
      <c r="F14" s="41" t="str">
        <f>_xll.qlSimpleQuote(E14,,RateTickValue,Permanent,Trigger,ObjectOverwrite)</f>
        <v>USD10x16F_LCHQuote#0002</v>
      </c>
      <c r="G14" s="158" t="str">
        <f>_xll.ohRangeRetrieveError(F14)</f>
        <v/>
      </c>
      <c r="H14" s="95"/>
      <c r="J14" s="80"/>
      <c r="K14" s="203">
        <f t="shared" si="6"/>
        <v>16</v>
      </c>
      <c r="L14" s="203">
        <v>10</v>
      </c>
      <c r="M14" s="203" t="s">
        <v>115</v>
      </c>
      <c r="N14" s="63" t="str">
        <f t="shared" si="1"/>
        <v>USD10X16F</v>
      </c>
      <c r="O14" s="63" t="str">
        <v>USD10X16F=PYNY</v>
      </c>
      <c r="P14" s="370">
        <v>1.087</v>
      </c>
      <c r="Q14" s="370">
        <v>1.127</v>
      </c>
      <c r="R14" s="64">
        <f t="shared" si="2"/>
        <v>1.107</v>
      </c>
      <c r="S14" s="134">
        <f t="shared" si="3"/>
        <v>4.0000000000000036E-2</v>
      </c>
      <c r="T14" s="137"/>
      <c r="U14" s="134">
        <v>1.1040000000000001</v>
      </c>
      <c r="V14" s="137"/>
      <c r="W14" s="134">
        <v>1.107</v>
      </c>
      <c r="X14" s="66" t="e">
        <f>_xll.qlSimpleQuoteSetValue(F14,W14/100,Trigger)</f>
        <v>#N/A</v>
      </c>
      <c r="Y14" s="101"/>
      <c r="Z14" s="147"/>
      <c r="AA14" s="147"/>
    </row>
    <row r="15" spans="1:27" x14ac:dyDescent="0.2">
      <c r="A15" s="26"/>
      <c r="B15" s="57"/>
      <c r="C15" s="57">
        <f t="shared" si="4"/>
        <v>11</v>
      </c>
      <c r="D15" s="58" t="str">
        <f t="shared" si="5"/>
        <v>x17F</v>
      </c>
      <c r="E15" s="57" t="str">
        <f t="shared" si="0"/>
        <v>USD11x17F_LCHQuote</v>
      </c>
      <c r="F15" s="41" t="str">
        <f>_xll.qlSimpleQuote(E15,,RateTickValue,Permanent,Trigger,ObjectOverwrite)</f>
        <v>USD11x17F_LCHQuote#0002</v>
      </c>
      <c r="G15" s="158" t="str">
        <f>_xll.ohRangeRetrieveError(F15)</f>
        <v/>
      </c>
      <c r="H15" s="95"/>
      <c r="J15" s="80"/>
      <c r="K15" s="203">
        <f t="shared" si="6"/>
        <v>17</v>
      </c>
      <c r="L15" s="203">
        <v>11</v>
      </c>
      <c r="M15" s="203" t="s">
        <v>115</v>
      </c>
      <c r="N15" s="63" t="str">
        <f t="shared" si="1"/>
        <v>USD11X17F</v>
      </c>
      <c r="O15" s="63" t="str">
        <v>USD11X17F=PYNY</v>
      </c>
      <c r="P15" s="370">
        <v>1.139</v>
      </c>
      <c r="Q15" s="370">
        <v>1.179</v>
      </c>
      <c r="R15" s="64">
        <f t="shared" si="2"/>
        <v>1.159</v>
      </c>
      <c r="S15" s="134">
        <f t="shared" si="3"/>
        <v>4.0000000000000036E-2</v>
      </c>
      <c r="T15" s="137"/>
      <c r="U15" s="134">
        <v>1.155</v>
      </c>
      <c r="V15" s="137"/>
      <c r="W15" s="134">
        <v>1.159</v>
      </c>
      <c r="X15" s="66" t="e">
        <f>_xll.qlSimpleQuoteSetValue(F15,W15/100,Trigger)</f>
        <v>#N/A</v>
      </c>
      <c r="Y15" s="101"/>
      <c r="Z15" s="147"/>
      <c r="AA15" s="147"/>
    </row>
    <row r="16" spans="1:27" x14ac:dyDescent="0.2">
      <c r="A16" s="26"/>
      <c r="B16" s="57"/>
      <c r="C16" s="57">
        <f t="shared" si="4"/>
        <v>12</v>
      </c>
      <c r="D16" s="58" t="str">
        <f t="shared" si="5"/>
        <v>x18F</v>
      </c>
      <c r="E16" s="57" t="str">
        <f t="shared" si="0"/>
        <v>USD12x18F_LCHQuote</v>
      </c>
      <c r="F16" s="41" t="str">
        <f>_xll.qlSimpleQuote(E16,,RateTickValue,Permanent,Trigger,ObjectOverwrite)</f>
        <v>USD12x18F_LCHQuote#0002</v>
      </c>
      <c r="G16" s="158" t="str">
        <f>_xll.ohRangeRetrieveError(F16)</f>
        <v/>
      </c>
      <c r="H16" s="95"/>
      <c r="J16" s="80"/>
      <c r="K16" s="203">
        <f t="shared" si="6"/>
        <v>18</v>
      </c>
      <c r="L16" s="203">
        <v>12</v>
      </c>
      <c r="M16" s="203" t="s">
        <v>115</v>
      </c>
      <c r="N16" s="63" t="str">
        <f t="shared" si="1"/>
        <v>USD12X18F</v>
      </c>
      <c r="O16" s="63" t="str">
        <v>USD12X18F=PYNY</v>
      </c>
      <c r="P16" s="370">
        <v>1.19</v>
      </c>
      <c r="Q16" s="370">
        <v>1.23</v>
      </c>
      <c r="R16" s="64">
        <f t="shared" si="2"/>
        <v>1.21</v>
      </c>
      <c r="S16" s="134">
        <f t="shared" si="3"/>
        <v>4.0000000000000036E-2</v>
      </c>
      <c r="T16" s="137"/>
      <c r="U16" s="134">
        <v>1.2050000000000001</v>
      </c>
      <c r="V16" s="137"/>
      <c r="W16" s="134">
        <v>1.21</v>
      </c>
      <c r="X16" s="66" t="e">
        <f>_xll.qlSimpleQuoteSetValue(F16,W16/100,Trigger)</f>
        <v>#N/A</v>
      </c>
      <c r="Y16" s="101"/>
      <c r="Z16" s="147"/>
      <c r="AA16" s="147"/>
    </row>
    <row r="17" spans="1:27" x14ac:dyDescent="0.2">
      <c r="A17" s="26"/>
      <c r="B17" s="57"/>
      <c r="C17" s="57">
        <f t="shared" si="4"/>
        <v>13</v>
      </c>
      <c r="D17" s="58" t="str">
        <f t="shared" si="5"/>
        <v>x19F</v>
      </c>
      <c r="E17" s="57" t="str">
        <f t="shared" si="0"/>
        <v>USD13x19F_LCHQuote</v>
      </c>
      <c r="F17" s="41" t="str">
        <f>_xll.qlSimpleQuote(E17,,RateTickValue,Permanent,Trigger,ObjectOverwrite)</f>
        <v>USD13x19F_LCHQuote#0002</v>
      </c>
      <c r="G17" s="158" t="str">
        <f>_xll.ohRangeRetrieveError(F17)</f>
        <v/>
      </c>
      <c r="H17" s="95"/>
      <c r="J17" s="80"/>
      <c r="K17" s="203">
        <f t="shared" si="6"/>
        <v>19</v>
      </c>
      <c r="L17" s="203">
        <v>13</v>
      </c>
      <c r="M17" s="203" t="s">
        <v>115</v>
      </c>
      <c r="N17" s="63" t="str">
        <f t="shared" si="1"/>
        <v>USD13X19F</v>
      </c>
      <c r="O17" s="63" t="str">
        <v>USD13X19F=PYNY</v>
      </c>
      <c r="P17" s="370">
        <v>1.2450000000000001</v>
      </c>
      <c r="Q17" s="370">
        <v>1.2850000000000001</v>
      </c>
      <c r="R17" s="64">
        <f t="shared" si="2"/>
        <v>1.2650000000000001</v>
      </c>
      <c r="S17" s="134">
        <f t="shared" si="3"/>
        <v>4.0000000000000036E-2</v>
      </c>
      <c r="T17" s="137"/>
      <c r="U17" s="134">
        <v>1.26</v>
      </c>
      <c r="V17" s="137"/>
      <c r="W17" s="134">
        <v>1.2650000000000001</v>
      </c>
      <c r="X17" s="66" t="e">
        <f>_xll.qlSimpleQuoteSetValue(F17,W17/100,Trigger)</f>
        <v>#N/A</v>
      </c>
      <c r="Y17" s="101"/>
      <c r="Z17" s="147"/>
      <c r="AA17" s="147"/>
    </row>
    <row r="18" spans="1:27" x14ac:dyDescent="0.2">
      <c r="A18" s="26"/>
      <c r="B18" s="57"/>
      <c r="C18" s="57">
        <f t="shared" si="4"/>
        <v>14</v>
      </c>
      <c r="D18" s="58" t="str">
        <f t="shared" si="5"/>
        <v>x20F</v>
      </c>
      <c r="E18" s="57" t="str">
        <f t="shared" si="0"/>
        <v>USD14x20F_LCHQuote</v>
      </c>
      <c r="F18" s="41" t="str">
        <f>_xll.qlSimpleQuote(E18,,RateTickValue,Permanent,Trigger,ObjectOverwrite)</f>
        <v>USD14x20F_LCHQuote#0002</v>
      </c>
      <c r="G18" s="158" t="str">
        <f>_xll.ohRangeRetrieveError(F18)</f>
        <v/>
      </c>
      <c r="H18" s="95"/>
      <c r="J18" s="80"/>
      <c r="K18" s="203">
        <f t="shared" si="6"/>
        <v>20</v>
      </c>
      <c r="L18" s="203">
        <v>14</v>
      </c>
      <c r="M18" s="203" t="s">
        <v>115</v>
      </c>
      <c r="N18" s="63" t="str">
        <f t="shared" si="1"/>
        <v>USD14X20F</v>
      </c>
      <c r="O18" s="63" t="str">
        <v>USD14X20F=PYNY</v>
      </c>
      <c r="P18" s="370">
        <v>1.2890000000000001</v>
      </c>
      <c r="Q18" s="370">
        <v>1.329</v>
      </c>
      <c r="R18" s="64">
        <f t="shared" si="2"/>
        <v>1.3090000000000002</v>
      </c>
      <c r="S18" s="134">
        <f t="shared" si="3"/>
        <v>3.9999999999999813E-2</v>
      </c>
      <c r="T18" s="137"/>
      <c r="U18" s="134">
        <v>1.304</v>
      </c>
      <c r="V18" s="137"/>
      <c r="W18" s="134">
        <v>1.3090000000000002</v>
      </c>
      <c r="X18" s="66" t="e">
        <f>_xll.qlSimpleQuoteSetValue(F18,W18/100,Trigger)</f>
        <v>#N/A</v>
      </c>
      <c r="Y18" s="101"/>
      <c r="Z18" s="147"/>
      <c r="AA18" s="147"/>
    </row>
    <row r="19" spans="1:27" x14ac:dyDescent="0.2">
      <c r="A19" s="26"/>
      <c r="B19" s="57"/>
      <c r="C19" s="57">
        <f t="shared" si="4"/>
        <v>15</v>
      </c>
      <c r="D19" s="58" t="str">
        <f t="shared" si="5"/>
        <v>x21F</v>
      </c>
      <c r="E19" s="57" t="str">
        <f t="shared" si="0"/>
        <v>USD15x21F_LCHQuote</v>
      </c>
      <c r="F19" s="41" t="str">
        <f>_xll.qlSimpleQuote(E19,,RateTickValue,Permanent,Trigger,ObjectOverwrite)</f>
        <v>USD15x21F_LCHQuote#0002</v>
      </c>
      <c r="G19" s="158" t="str">
        <f>_xll.ohRangeRetrieveError(F19)</f>
        <v/>
      </c>
      <c r="H19" s="95"/>
      <c r="J19" s="80"/>
      <c r="K19" s="203">
        <f t="shared" si="6"/>
        <v>21</v>
      </c>
      <c r="L19" s="203">
        <v>15</v>
      </c>
      <c r="M19" s="203" t="s">
        <v>115</v>
      </c>
      <c r="N19" s="63" t="str">
        <f t="shared" si="1"/>
        <v>USD15X21F</v>
      </c>
      <c r="O19" s="63" t="str">
        <v>USD15X21F=PYNY</v>
      </c>
      <c r="P19" s="370">
        <v>1.3380000000000001</v>
      </c>
      <c r="Q19" s="370">
        <v>1.3780000000000001</v>
      </c>
      <c r="R19" s="64">
        <f t="shared" si="2"/>
        <v>1.3580000000000001</v>
      </c>
      <c r="S19" s="134">
        <f t="shared" si="3"/>
        <v>4.0000000000000036E-2</v>
      </c>
      <c r="T19" s="137"/>
      <c r="U19" s="134">
        <v>1.3519999999999999</v>
      </c>
      <c r="V19" s="137"/>
      <c r="W19" s="134">
        <v>1.3580000000000001</v>
      </c>
      <c r="X19" s="66" t="e">
        <f>_xll.qlSimpleQuoteSetValue(F19,W19/100,Trigger)</f>
        <v>#N/A</v>
      </c>
      <c r="Y19" s="101"/>
      <c r="Z19" s="147"/>
      <c r="AA19" s="147"/>
    </row>
    <row r="20" spans="1:27" x14ac:dyDescent="0.2">
      <c r="A20" s="26"/>
      <c r="B20" s="57"/>
      <c r="C20" s="57">
        <f t="shared" si="4"/>
        <v>16</v>
      </c>
      <c r="D20" s="58" t="str">
        <f t="shared" si="5"/>
        <v>x22F</v>
      </c>
      <c r="E20" s="57" t="str">
        <f t="shared" si="0"/>
        <v>USD16x22F_LCHQuote</v>
      </c>
      <c r="F20" s="41" t="str">
        <f>_xll.qlSimpleQuote(E20,,RateTickValue,Permanent,Trigger,ObjectOverwrite)</f>
        <v>USD16x22F_LCHQuote#0002</v>
      </c>
      <c r="G20" s="158" t="str">
        <f>_xll.ohRangeRetrieveError(F20)</f>
        <v/>
      </c>
      <c r="H20" s="95"/>
      <c r="J20" s="80"/>
      <c r="K20" s="203">
        <f t="shared" si="6"/>
        <v>22</v>
      </c>
      <c r="L20" s="203">
        <v>16</v>
      </c>
      <c r="M20" s="203" t="s">
        <v>115</v>
      </c>
      <c r="N20" s="63" t="str">
        <f t="shared" si="1"/>
        <v>USD16X22F</v>
      </c>
      <c r="O20" s="63" t="str">
        <v>USD16X22F=PYNY</v>
      </c>
      <c r="P20" s="370">
        <v>1.387</v>
      </c>
      <c r="Q20" s="370">
        <v>1.427</v>
      </c>
      <c r="R20" s="64">
        <f t="shared" si="2"/>
        <v>1.407</v>
      </c>
      <c r="S20" s="134">
        <f t="shared" si="3"/>
        <v>4.0000000000000036E-2</v>
      </c>
      <c r="T20" s="137"/>
      <c r="U20" s="134">
        <v>1.4020000000000001</v>
      </c>
      <c r="V20" s="137"/>
      <c r="W20" s="134">
        <v>1.407</v>
      </c>
      <c r="X20" s="66" t="e">
        <f>_xll.qlSimpleQuoteSetValue(F20,W20/100,Trigger)</f>
        <v>#N/A</v>
      </c>
      <c r="Y20" s="101"/>
      <c r="Z20" s="147"/>
      <c r="AA20" s="147"/>
    </row>
    <row r="21" spans="1:27" x14ac:dyDescent="0.2">
      <c r="A21" s="26"/>
      <c r="B21" s="57"/>
      <c r="C21" s="57">
        <f t="shared" si="4"/>
        <v>17</v>
      </c>
      <c r="D21" s="58" t="str">
        <f t="shared" si="5"/>
        <v>x23F</v>
      </c>
      <c r="E21" s="57" t="str">
        <f t="shared" si="0"/>
        <v>USD17x23F_LCHQuote</v>
      </c>
      <c r="F21" s="41" t="str">
        <f>_xll.qlSimpleQuote(E21,,RateTickValue,Permanent,Trigger,ObjectOverwrite)</f>
        <v>USD17x23F_LCHQuote#0002</v>
      </c>
      <c r="G21" s="158" t="str">
        <f>_xll.ohRangeRetrieveError(F21)</f>
        <v/>
      </c>
      <c r="H21" s="95"/>
      <c r="J21" s="80"/>
      <c r="K21" s="203">
        <f t="shared" si="6"/>
        <v>23</v>
      </c>
      <c r="L21" s="203">
        <v>17</v>
      </c>
      <c r="M21" s="203" t="s">
        <v>115</v>
      </c>
      <c r="N21" s="63" t="str">
        <f t="shared" si="1"/>
        <v>USD17X23F</v>
      </c>
      <c r="O21" s="63" t="str">
        <v>USD17X23F=PYNY</v>
      </c>
      <c r="P21" s="370">
        <v>1.4339999999999999</v>
      </c>
      <c r="Q21" s="370">
        <v>1.474</v>
      </c>
      <c r="R21" s="64">
        <f t="shared" si="2"/>
        <v>1.454</v>
      </c>
      <c r="S21" s="134">
        <f t="shared" si="3"/>
        <v>4.0000000000000036E-2</v>
      </c>
      <c r="T21" s="137"/>
      <c r="U21" s="134">
        <v>1.4490000000000001</v>
      </c>
      <c r="V21" s="137"/>
      <c r="W21" s="134">
        <v>1.454</v>
      </c>
      <c r="X21" s="66" t="e">
        <f>_xll.qlSimpleQuoteSetValue(F21,W21/100,Trigger)</f>
        <v>#N/A</v>
      </c>
      <c r="Y21" s="101"/>
      <c r="Z21" s="147"/>
      <c r="AA21" s="147"/>
    </row>
    <row r="22" spans="1:27" x14ac:dyDescent="0.2">
      <c r="A22" s="26"/>
      <c r="B22" s="59"/>
      <c r="C22" s="59">
        <f t="shared" si="4"/>
        <v>18</v>
      </c>
      <c r="D22" s="322" t="str">
        <f t="shared" si="5"/>
        <v>x24F</v>
      </c>
      <c r="E22" s="59" t="str">
        <f t="shared" si="0"/>
        <v>USD18x24F_LCHQuote</v>
      </c>
      <c r="F22" s="42" t="str">
        <f>_xll.qlSimpleQuote(E22,,RateTickValue,Permanent,Trigger,ObjectOverwrite)</f>
        <v>USD18x24F_LCHQuote#0002</v>
      </c>
      <c r="G22" s="159" t="str">
        <f>_xll.ohRangeRetrieveError(F22)</f>
        <v/>
      </c>
      <c r="H22" s="95"/>
      <c r="J22" s="80"/>
      <c r="K22" s="204">
        <f t="shared" si="6"/>
        <v>24</v>
      </c>
      <c r="L22" s="204">
        <v>18</v>
      </c>
      <c r="M22" s="204" t="s">
        <v>115</v>
      </c>
      <c r="N22" s="67" t="str">
        <f t="shared" si="1"/>
        <v>USD18X24F</v>
      </c>
      <c r="O22" s="67" t="str">
        <v>USD18X24F=PYNY</v>
      </c>
      <c r="P22" s="371">
        <v>1.48</v>
      </c>
      <c r="Q22" s="371">
        <v>1.52</v>
      </c>
      <c r="R22" s="71">
        <f t="shared" si="2"/>
        <v>1.5</v>
      </c>
      <c r="S22" s="136">
        <f t="shared" si="3"/>
        <v>4.0000000000000036E-2</v>
      </c>
      <c r="T22" s="137"/>
      <c r="U22" s="136">
        <v>1.494</v>
      </c>
      <c r="V22" s="137"/>
      <c r="W22" s="136">
        <v>1.5</v>
      </c>
      <c r="X22" s="68" t="e">
        <f>_xll.qlSimpleQuoteSetValue(F22,W22/100,Trigger)</f>
        <v>#N/A</v>
      </c>
      <c r="Y22" s="101"/>
      <c r="Z22" s="147"/>
      <c r="AA22" s="147"/>
    </row>
    <row r="23" spans="1:27" x14ac:dyDescent="0.2">
      <c r="A23" s="84"/>
      <c r="B23" s="85"/>
      <c r="C23" s="85"/>
      <c r="D23" s="85"/>
      <c r="E23" s="85"/>
      <c r="F23" s="85"/>
      <c r="G23" s="97"/>
      <c r="H23" s="98"/>
      <c r="J23" s="84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6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3" width="3" style="143" hidden="1" customWidth="1" outlineLevel="1"/>
    <col min="4" max="4" width="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3" customWidth="1"/>
    <col min="12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26" width="14.140625" style="143" bestFit="1" customWidth="1"/>
    <col min="27" max="27" width="12" style="143" bestFit="1" customWidth="1"/>
    <col min="28" max="16384" width="9.140625" style="143"/>
  </cols>
  <sheetData>
    <row r="1" spans="1:27" x14ac:dyDescent="0.2">
      <c r="A1" s="24"/>
      <c r="B1" s="24"/>
      <c r="C1" s="78"/>
      <c r="D1" s="78"/>
      <c r="E1" s="78"/>
      <c r="F1" s="78"/>
      <c r="G1" s="92"/>
      <c r="H1" s="93"/>
      <c r="J1" s="103" t="s">
        <v>216</v>
      </c>
      <c r="K1" s="25"/>
      <c r="L1" s="25"/>
      <c r="M1" s="25"/>
      <c r="N1" s="25"/>
      <c r="O1" s="88" t="str">
        <f>VLOOKUP($J$1,AreaTable,AreaIndex,0)</f>
        <v>ICAP NY</v>
      </c>
      <c r="P1" s="25"/>
      <c r="Q1" s="25"/>
      <c r="R1" s="25"/>
      <c r="S1" s="25"/>
      <c r="T1" s="25"/>
      <c r="U1" s="25"/>
      <c r="V1" s="25"/>
      <c r="W1" s="25"/>
      <c r="X1" s="25"/>
      <c r="Y1" s="79"/>
    </row>
    <row r="2" spans="1:27" x14ac:dyDescent="0.2">
      <c r="A2" s="26"/>
      <c r="B2" s="14"/>
      <c r="C2" s="81"/>
      <c r="D2" s="81"/>
      <c r="E2" s="81"/>
      <c r="F2" s="81"/>
      <c r="G2" s="94"/>
      <c r="H2" s="95"/>
      <c r="J2" s="80"/>
      <c r="K2" s="81"/>
      <c r="L2" s="81"/>
      <c r="M2" s="3"/>
      <c r="N2" s="3"/>
      <c r="O2" s="186" t="s">
        <v>180</v>
      </c>
      <c r="P2" s="3"/>
      <c r="Q2" s="3"/>
      <c r="R2" s="14"/>
      <c r="S2" s="14"/>
      <c r="T2" s="14"/>
      <c r="U2" s="14"/>
      <c r="V2" s="14"/>
      <c r="W2" s="14"/>
      <c r="X2" s="54">
        <f>_xll.ohTrigger(X5:X28)</f>
        <v>2391</v>
      </c>
      <c r="Y2" s="99"/>
      <c r="Z2" s="147"/>
      <c r="AA2" s="147"/>
    </row>
    <row r="3" spans="1:27" x14ac:dyDescent="0.2">
      <c r="A3" s="26"/>
      <c r="B3" s="14"/>
      <c r="C3" s="81"/>
      <c r="D3" s="81"/>
      <c r="E3" s="81"/>
      <c r="F3" s="81"/>
      <c r="G3" s="94"/>
      <c r="H3" s="95"/>
      <c r="J3" s="80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1"/>
      <c r="Y3" s="100"/>
      <c r="Z3" s="147"/>
      <c r="AA3" s="147"/>
    </row>
    <row r="4" spans="1:27" ht="22.5" x14ac:dyDescent="0.2">
      <c r="A4" s="26"/>
      <c r="B4" s="43"/>
      <c r="C4" s="43"/>
      <c r="D4" s="44"/>
      <c r="E4" s="47" t="s">
        <v>184</v>
      </c>
      <c r="F4" s="48" t="s">
        <v>185</v>
      </c>
      <c r="G4" s="48" t="s">
        <v>199</v>
      </c>
      <c r="H4" s="95"/>
      <c r="J4" s="80"/>
      <c r="K4" s="186"/>
      <c r="L4" s="49"/>
      <c r="M4" s="49"/>
      <c r="N4" s="49" t="s">
        <v>201</v>
      </c>
      <c r="O4" s="51" t="str">
        <f>_xll.RData(O5:O28,P4:Q4,"RTFEED:IDN",ReutersRtMode,,P5)</f>
        <v>Updated at 18:49:07</v>
      </c>
      <c r="P4" s="37" t="s">
        <v>100</v>
      </c>
      <c r="Q4" s="37" t="s">
        <v>99</v>
      </c>
      <c r="R4" s="39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52" t="s">
        <v>112</v>
      </c>
      <c r="Y4" s="100"/>
      <c r="Z4" s="147"/>
      <c r="AA4" s="147"/>
    </row>
    <row r="5" spans="1:27" x14ac:dyDescent="0.2">
      <c r="A5" s="26"/>
      <c r="B5" s="55"/>
      <c r="C5" s="55">
        <f>L5</f>
        <v>1</v>
      </c>
      <c r="D5" s="60" t="str">
        <f>"x"&amp;K5&amp;"F"</f>
        <v>x13F</v>
      </c>
      <c r="E5" s="55" t="str">
        <f t="shared" ref="E5:E28" si="0">Currency&amp;$C5&amp;$D5&amp;QuoteSuffix</f>
        <v>USD1x13F_LCHQuote</v>
      </c>
      <c r="F5" s="40" t="str">
        <f>_xll.qlSimpleQuote(E5,,RateTickValue,Permanent,Trigger,ObjectOverwrite)</f>
        <v>USD1x13F_LCHQuote#0002</v>
      </c>
      <c r="G5" s="157" t="str">
        <f>_xll.ohRangeRetrieveError(F5)</f>
        <v/>
      </c>
      <c r="H5" s="95"/>
      <c r="J5" s="80"/>
      <c r="K5" s="207">
        <f>L5+12</f>
        <v>13</v>
      </c>
      <c r="L5" s="207">
        <v>1</v>
      </c>
      <c r="M5" s="207" t="s">
        <v>115</v>
      </c>
      <c r="N5" s="69" t="str">
        <f t="shared" ref="N5:N28" si="1">Currency&amp;$L5&amp;$M5&amp;$K5&amp;"F"</f>
        <v>USD1X13F</v>
      </c>
      <c r="O5" s="69" t="str">
        <f t="array" ref="O5:O28">Instruments&amp;"="&amp;VLOOKUP(Contributor,ContributorTable,2,FALSE)</f>
        <v>USD1X13F=PYNY</v>
      </c>
      <c r="P5" s="370">
        <v>0.89399999999999991</v>
      </c>
      <c r="Q5" s="370">
        <v>0.93399999999999994</v>
      </c>
      <c r="R5" s="70">
        <f t="shared" ref="R5:R28" si="2">IF(ISERROR(AVERAGE(P5,Q5)),#NUM!,AVERAGE(P5,Q5))</f>
        <v>0.91399999999999992</v>
      </c>
      <c r="S5" s="134">
        <f t="shared" ref="S5:S28" si="3">Q5-P5</f>
        <v>4.0000000000000036E-2</v>
      </c>
      <c r="T5" s="137"/>
      <c r="U5" s="135">
        <v>0.91200000000000003</v>
      </c>
      <c r="V5" s="137"/>
      <c r="W5" s="135">
        <f t="array" ref="W5:W28">QuoteLive</f>
        <v>0.91399999999999992</v>
      </c>
      <c r="X5" s="65" t="e">
        <f>_xll.qlSimpleQuoteSetValue(F5,W5/100,Trigger)</f>
        <v>#N/A</v>
      </c>
      <c r="Y5" s="102"/>
    </row>
    <row r="6" spans="1:27" x14ac:dyDescent="0.2">
      <c r="A6" s="26"/>
      <c r="B6" s="57"/>
      <c r="C6" s="57">
        <f t="shared" ref="C6:C28" si="4">L6</f>
        <v>2</v>
      </c>
      <c r="D6" s="61" t="str">
        <f t="shared" ref="D6:D28" si="5">"x"&amp;K6&amp;"F"</f>
        <v>x14F</v>
      </c>
      <c r="E6" s="57" t="str">
        <f t="shared" si="0"/>
        <v>USD2x14F_LCHQuote</v>
      </c>
      <c r="F6" s="41" t="str">
        <f>_xll.qlSimpleQuote(E6,,RateTickValue,Permanent,Trigger,ObjectOverwrite)</f>
        <v>USD2x14F_LCHQuote#0002</v>
      </c>
      <c r="G6" s="158" t="str">
        <f>_xll.ohRangeRetrieveError(F6)</f>
        <v/>
      </c>
      <c r="H6" s="95"/>
      <c r="J6" s="80"/>
      <c r="K6" s="203">
        <f t="shared" ref="K6:K28" si="6">L6+12</f>
        <v>14</v>
      </c>
      <c r="L6" s="203">
        <v>2</v>
      </c>
      <c r="M6" s="203" t="s">
        <v>115</v>
      </c>
      <c r="N6" s="63" t="str">
        <f t="shared" si="1"/>
        <v>USD2X14F</v>
      </c>
      <c r="O6" s="63" t="str">
        <v>USD2X14F=PYNY</v>
      </c>
      <c r="P6" s="370">
        <v>0.95199999999999996</v>
      </c>
      <c r="Q6" s="370">
        <v>0.99199999999999999</v>
      </c>
      <c r="R6" s="64">
        <f t="shared" si="2"/>
        <v>0.97199999999999998</v>
      </c>
      <c r="S6" s="134">
        <f t="shared" si="3"/>
        <v>4.0000000000000036E-2</v>
      </c>
      <c r="T6" s="137"/>
      <c r="U6" s="134">
        <v>0.96900000000000008</v>
      </c>
      <c r="V6" s="137"/>
      <c r="W6" s="134">
        <v>0.97199999999999998</v>
      </c>
      <c r="X6" s="66" t="e">
        <f>_xll.qlSimpleQuoteSetValue(F6,W6/100,Trigger)</f>
        <v>#N/A</v>
      </c>
      <c r="Y6" s="102"/>
    </row>
    <row r="7" spans="1:27" x14ac:dyDescent="0.2">
      <c r="A7" s="26"/>
      <c r="B7" s="57"/>
      <c r="C7" s="57">
        <f t="shared" si="4"/>
        <v>3</v>
      </c>
      <c r="D7" s="61" t="str">
        <f t="shared" si="5"/>
        <v>x15F</v>
      </c>
      <c r="E7" s="57" t="str">
        <f t="shared" si="0"/>
        <v>USD3x15F_LCHQuote</v>
      </c>
      <c r="F7" s="41" t="str">
        <f>_xll.qlSimpleQuote(E7,,RateTickValue,Permanent,Trigger,ObjectOverwrite)</f>
        <v>USD3x15F_LCHQuote#0002</v>
      </c>
      <c r="G7" s="158" t="str">
        <f>_xll.ohRangeRetrieveError(F7)</f>
        <v/>
      </c>
      <c r="H7" s="95"/>
      <c r="J7" s="80"/>
      <c r="K7" s="203">
        <f t="shared" si="6"/>
        <v>15</v>
      </c>
      <c r="L7" s="203">
        <v>3</v>
      </c>
      <c r="M7" s="203" t="s">
        <v>115</v>
      </c>
      <c r="N7" s="63" t="str">
        <f t="shared" si="1"/>
        <v>USD3X15F</v>
      </c>
      <c r="O7" s="63" t="str">
        <v>USD3X15F=PYNY</v>
      </c>
      <c r="P7" s="370">
        <v>1.004</v>
      </c>
      <c r="Q7" s="370">
        <v>1.044</v>
      </c>
      <c r="R7" s="64">
        <f t="shared" si="2"/>
        <v>1.024</v>
      </c>
      <c r="S7" s="134">
        <f t="shared" si="3"/>
        <v>4.0000000000000036E-2</v>
      </c>
      <c r="T7" s="137"/>
      <c r="U7" s="134">
        <v>1.022</v>
      </c>
      <c r="V7" s="137"/>
      <c r="W7" s="134">
        <v>1.024</v>
      </c>
      <c r="X7" s="66" t="e">
        <f>_xll.qlSimpleQuoteSetValue(F7,W7/100,Trigger)</f>
        <v>#N/A</v>
      </c>
      <c r="Y7" s="102"/>
    </row>
    <row r="8" spans="1:27" x14ac:dyDescent="0.2">
      <c r="A8" s="26"/>
      <c r="B8" s="57"/>
      <c r="C8" s="57">
        <f t="shared" si="4"/>
        <v>4</v>
      </c>
      <c r="D8" s="61" t="str">
        <f t="shared" si="5"/>
        <v>x16F</v>
      </c>
      <c r="E8" s="57" t="str">
        <f t="shared" si="0"/>
        <v>USD4x16F_LCHQuote</v>
      </c>
      <c r="F8" s="41" t="str">
        <f>_xll.qlSimpleQuote(E8,,RateTickValue,Permanent,Trigger,ObjectOverwrite)</f>
        <v>USD4x16F_LCHQuote#0002</v>
      </c>
      <c r="G8" s="158" t="str">
        <f>_xll.ohRangeRetrieveError(F8)</f>
        <v/>
      </c>
      <c r="H8" s="95"/>
      <c r="J8" s="80"/>
      <c r="K8" s="203">
        <f t="shared" si="6"/>
        <v>16</v>
      </c>
      <c r="L8" s="203">
        <v>4</v>
      </c>
      <c r="M8" s="203" t="s">
        <v>115</v>
      </c>
      <c r="N8" s="63" t="str">
        <f t="shared" si="1"/>
        <v>USD4X16F</v>
      </c>
      <c r="O8" s="63" t="str">
        <v>USD4X16F=PYNY</v>
      </c>
      <c r="P8" s="370">
        <v>1.052</v>
      </c>
      <c r="Q8" s="370">
        <v>1.0920000000000001</v>
      </c>
      <c r="R8" s="64">
        <f t="shared" si="2"/>
        <v>1.0720000000000001</v>
      </c>
      <c r="S8" s="134">
        <f t="shared" si="3"/>
        <v>4.0000000000000036E-2</v>
      </c>
      <c r="T8" s="137"/>
      <c r="U8" s="134">
        <v>1.069</v>
      </c>
      <c r="V8" s="137"/>
      <c r="W8" s="134">
        <v>1.0720000000000001</v>
      </c>
      <c r="X8" s="66" t="e">
        <f>_xll.qlSimpleQuoteSetValue(F8,W8/100,Trigger)</f>
        <v>#N/A</v>
      </c>
      <c r="Y8" s="102"/>
    </row>
    <row r="9" spans="1:27" x14ac:dyDescent="0.2">
      <c r="A9" s="26"/>
      <c r="B9" s="57"/>
      <c r="C9" s="57">
        <f t="shared" si="4"/>
        <v>5</v>
      </c>
      <c r="D9" s="61" t="str">
        <f t="shared" si="5"/>
        <v>x17F</v>
      </c>
      <c r="E9" s="57" t="str">
        <f t="shared" si="0"/>
        <v>USD5x17F_LCHQuote</v>
      </c>
      <c r="F9" s="41" t="str">
        <f>_xll.qlSimpleQuote(E9,,RateTickValue,Permanent,Trigger,ObjectOverwrite)</f>
        <v>USD5x17F_LCHQuote#0002</v>
      </c>
      <c r="G9" s="158" t="str">
        <f>_xll.ohRangeRetrieveError(F9)</f>
        <v/>
      </c>
      <c r="H9" s="95"/>
      <c r="J9" s="80"/>
      <c r="K9" s="203">
        <f t="shared" si="6"/>
        <v>17</v>
      </c>
      <c r="L9" s="203">
        <v>5</v>
      </c>
      <c r="M9" s="203" t="s">
        <v>115</v>
      </c>
      <c r="N9" s="63" t="str">
        <f t="shared" si="1"/>
        <v>USD5X17F</v>
      </c>
      <c r="O9" s="63" t="str">
        <v>USD5X17F=PYNY</v>
      </c>
      <c r="P9" s="370">
        <v>1.1080000000000001</v>
      </c>
      <c r="Q9" s="370">
        <v>1.1479999999999999</v>
      </c>
      <c r="R9" s="64">
        <f t="shared" si="2"/>
        <v>1.1280000000000001</v>
      </c>
      <c r="S9" s="134">
        <f t="shared" si="3"/>
        <v>3.9999999999999813E-2</v>
      </c>
      <c r="T9" s="137"/>
      <c r="U9" s="134">
        <v>1.125</v>
      </c>
      <c r="V9" s="137"/>
      <c r="W9" s="134">
        <v>1.1280000000000001</v>
      </c>
      <c r="X9" s="66" t="e">
        <f>_xll.qlSimpleQuoteSetValue(F9,W9/100,Trigger)</f>
        <v>#N/A</v>
      </c>
      <c r="Y9" s="102"/>
    </row>
    <row r="10" spans="1:27" x14ac:dyDescent="0.2">
      <c r="A10" s="26"/>
      <c r="B10" s="57"/>
      <c r="C10" s="57">
        <f t="shared" si="4"/>
        <v>6</v>
      </c>
      <c r="D10" s="61" t="str">
        <f t="shared" si="5"/>
        <v>x18F</v>
      </c>
      <c r="E10" s="57" t="str">
        <f t="shared" si="0"/>
        <v>USD6x18F_LCHQuote</v>
      </c>
      <c r="F10" s="41" t="str">
        <f>_xll.qlSimpleQuote(E10,,RateTickValue,Permanent,Trigger,ObjectOverwrite)</f>
        <v>USD6x18F_LCHQuote#0002</v>
      </c>
      <c r="G10" s="158" t="str">
        <f>_xll.ohRangeRetrieveError(F10)</f>
        <v/>
      </c>
      <c r="H10" s="95"/>
      <c r="J10" s="80"/>
      <c r="K10" s="203">
        <f t="shared" si="6"/>
        <v>18</v>
      </c>
      <c r="L10" s="203">
        <v>6</v>
      </c>
      <c r="M10" s="203" t="s">
        <v>115</v>
      </c>
      <c r="N10" s="63" t="str">
        <f t="shared" si="1"/>
        <v>USD6X18F</v>
      </c>
      <c r="O10" s="63" t="str">
        <v>USD6X18F=PYNY</v>
      </c>
      <c r="P10" s="370">
        <v>1.159</v>
      </c>
      <c r="Q10" s="370">
        <v>1.1990000000000001</v>
      </c>
      <c r="R10" s="64">
        <f t="shared" si="2"/>
        <v>1.179</v>
      </c>
      <c r="S10" s="134">
        <f t="shared" si="3"/>
        <v>4.0000000000000036E-2</v>
      </c>
      <c r="T10" s="137"/>
      <c r="U10" s="134">
        <v>1.175</v>
      </c>
      <c r="V10" s="137"/>
      <c r="W10" s="134">
        <v>1.179</v>
      </c>
      <c r="X10" s="66" t="e">
        <f>_xll.qlSimpleQuoteSetValue(F10,W10/100,Trigger)</f>
        <v>#N/A</v>
      </c>
      <c r="Y10" s="102"/>
    </row>
    <row r="11" spans="1:27" x14ac:dyDescent="0.2">
      <c r="A11" s="26"/>
      <c r="B11" s="57"/>
      <c r="C11" s="57">
        <f t="shared" si="4"/>
        <v>7</v>
      </c>
      <c r="D11" s="61" t="str">
        <f t="shared" si="5"/>
        <v>x19F</v>
      </c>
      <c r="E11" s="57" t="str">
        <f t="shared" si="0"/>
        <v>USD7x19F_LCHQuote</v>
      </c>
      <c r="F11" s="41" t="str">
        <f>_xll.qlSimpleQuote(E11,,RateTickValue,Permanent,Trigger,ObjectOverwrite)</f>
        <v>USD7x19F_LCHQuote#0002</v>
      </c>
      <c r="G11" s="158" t="str">
        <f>_xll.ohRangeRetrieveError(F11)</f>
        <v/>
      </c>
      <c r="H11" s="95"/>
      <c r="J11" s="80"/>
      <c r="K11" s="203">
        <f t="shared" si="6"/>
        <v>19</v>
      </c>
      <c r="L11" s="203">
        <v>7</v>
      </c>
      <c r="M11" s="203" t="s">
        <v>115</v>
      </c>
      <c r="N11" s="63" t="str">
        <f t="shared" si="1"/>
        <v>USD7X19F</v>
      </c>
      <c r="O11" s="63" t="str">
        <v>USD7X19F=PYNY</v>
      </c>
      <c r="P11" s="370">
        <v>1.214</v>
      </c>
      <c r="Q11" s="370">
        <v>1.254</v>
      </c>
      <c r="R11" s="64">
        <f t="shared" si="2"/>
        <v>1.234</v>
      </c>
      <c r="S11" s="134">
        <f t="shared" si="3"/>
        <v>4.0000000000000036E-2</v>
      </c>
      <c r="T11" s="137"/>
      <c r="U11" s="134">
        <v>1.23</v>
      </c>
      <c r="V11" s="137"/>
      <c r="W11" s="134">
        <v>1.234</v>
      </c>
      <c r="X11" s="66" t="e">
        <f>_xll.qlSimpleQuoteSetValue(F11,W11/100,Trigger)</f>
        <v>#N/A</v>
      </c>
      <c r="Y11" s="102"/>
    </row>
    <row r="12" spans="1:27" x14ac:dyDescent="0.2">
      <c r="A12" s="26"/>
      <c r="B12" s="57"/>
      <c r="C12" s="57">
        <f t="shared" si="4"/>
        <v>8</v>
      </c>
      <c r="D12" s="61" t="str">
        <f t="shared" si="5"/>
        <v>x20F</v>
      </c>
      <c r="E12" s="57" t="str">
        <f t="shared" si="0"/>
        <v>USD8x20F_LCHQuote</v>
      </c>
      <c r="F12" s="41" t="str">
        <f>_xll.qlSimpleQuote(E12,,RateTickValue,Permanent,Trigger,ObjectOverwrite)</f>
        <v>USD8x20F_LCHQuote#0002</v>
      </c>
      <c r="G12" s="158" t="str">
        <f>_xll.ohRangeRetrieveError(F12)</f>
        <v/>
      </c>
      <c r="H12" s="95"/>
      <c r="J12" s="80"/>
      <c r="K12" s="203">
        <f t="shared" si="6"/>
        <v>20</v>
      </c>
      <c r="L12" s="203">
        <v>8</v>
      </c>
      <c r="M12" s="203" t="s">
        <v>115</v>
      </c>
      <c r="N12" s="63" t="str">
        <f t="shared" si="1"/>
        <v>USD8X20F</v>
      </c>
      <c r="O12" s="63" t="str">
        <v>USD8X20F=PYNY</v>
      </c>
      <c r="P12" s="370">
        <v>1.2650000000000001</v>
      </c>
      <c r="Q12" s="370">
        <v>1.3049999999999999</v>
      </c>
      <c r="R12" s="64">
        <f t="shared" si="2"/>
        <v>1.2850000000000001</v>
      </c>
      <c r="S12" s="134">
        <f t="shared" si="3"/>
        <v>3.9999999999999813E-2</v>
      </c>
      <c r="T12" s="137"/>
      <c r="U12" s="134">
        <v>1.2810000000000001</v>
      </c>
      <c r="V12" s="137"/>
      <c r="W12" s="134">
        <v>1.2850000000000001</v>
      </c>
      <c r="X12" s="66" t="e">
        <f>_xll.qlSimpleQuoteSetValue(F12,W12/100,Trigger)</f>
        <v>#N/A</v>
      </c>
      <c r="Y12" s="102"/>
    </row>
    <row r="13" spans="1:27" x14ac:dyDescent="0.2">
      <c r="A13" s="26"/>
      <c r="B13" s="57"/>
      <c r="C13" s="57">
        <f t="shared" si="4"/>
        <v>9</v>
      </c>
      <c r="D13" s="61" t="str">
        <f t="shared" si="5"/>
        <v>x21F</v>
      </c>
      <c r="E13" s="57" t="str">
        <f t="shared" si="0"/>
        <v>USD9x21F_LCHQuote</v>
      </c>
      <c r="F13" s="41" t="str">
        <f>_xll.qlSimpleQuote(E13,,RateTickValue,Permanent,Trigger,ObjectOverwrite)</f>
        <v>USD9x21F_LCHQuote#0002</v>
      </c>
      <c r="G13" s="158" t="str">
        <f>_xll.ohRangeRetrieveError(F13)</f>
        <v/>
      </c>
      <c r="H13" s="95"/>
      <c r="J13" s="80"/>
      <c r="K13" s="203">
        <f t="shared" si="6"/>
        <v>21</v>
      </c>
      <c r="L13" s="203">
        <v>9</v>
      </c>
      <c r="M13" s="203" t="s">
        <v>115</v>
      </c>
      <c r="N13" s="63" t="str">
        <f t="shared" si="1"/>
        <v>USD9X21F</v>
      </c>
      <c r="O13" s="63" t="str">
        <v>USD9X21F=PYNY</v>
      </c>
      <c r="P13" s="370">
        <v>1.3169999999999999</v>
      </c>
      <c r="Q13" s="370">
        <v>1.357</v>
      </c>
      <c r="R13" s="64">
        <f t="shared" si="2"/>
        <v>1.337</v>
      </c>
      <c r="S13" s="134">
        <f t="shared" si="3"/>
        <v>4.0000000000000036E-2</v>
      </c>
      <c r="T13" s="137"/>
      <c r="U13" s="134">
        <v>1.333</v>
      </c>
      <c r="V13" s="137"/>
      <c r="W13" s="134">
        <v>1.337</v>
      </c>
      <c r="X13" s="66" t="e">
        <f>_xll.qlSimpleQuoteSetValue(F13,W13/100,Trigger)</f>
        <v>#N/A</v>
      </c>
      <c r="Y13" s="102"/>
    </row>
    <row r="14" spans="1:27" x14ac:dyDescent="0.2">
      <c r="A14" s="26"/>
      <c r="B14" s="57"/>
      <c r="C14" s="57">
        <f t="shared" si="4"/>
        <v>10</v>
      </c>
      <c r="D14" s="61" t="str">
        <f t="shared" si="5"/>
        <v>x22F</v>
      </c>
      <c r="E14" s="57" t="str">
        <f t="shared" si="0"/>
        <v>USD10x22F_LCHQuote</v>
      </c>
      <c r="F14" s="41" t="str">
        <f>_xll.qlSimpleQuote(E14,,RateTickValue,Permanent,Trigger,ObjectOverwrite)</f>
        <v>USD10x22F_LCHQuote#0002</v>
      </c>
      <c r="G14" s="158" t="str">
        <f>_xll.ohRangeRetrieveError(F14)</f>
        <v/>
      </c>
      <c r="H14" s="95"/>
      <c r="J14" s="80"/>
      <c r="K14" s="203">
        <f t="shared" si="6"/>
        <v>22</v>
      </c>
      <c r="L14" s="203">
        <v>10</v>
      </c>
      <c r="M14" s="203" t="s">
        <v>115</v>
      </c>
      <c r="N14" s="63" t="str">
        <f t="shared" si="1"/>
        <v>USD10X22F</v>
      </c>
      <c r="O14" s="63" t="str">
        <v>USD10X22F=PYNY</v>
      </c>
      <c r="P14" s="370">
        <v>1.3719999999999999</v>
      </c>
      <c r="Q14" s="370">
        <v>1.4119999999999999</v>
      </c>
      <c r="R14" s="64">
        <f t="shared" si="2"/>
        <v>1.3919999999999999</v>
      </c>
      <c r="S14" s="134">
        <f t="shared" si="3"/>
        <v>4.0000000000000036E-2</v>
      </c>
      <c r="T14" s="137"/>
      <c r="U14" s="134">
        <v>1.3879999999999999</v>
      </c>
      <c r="V14" s="137"/>
      <c r="W14" s="134">
        <v>1.3919999999999999</v>
      </c>
      <c r="X14" s="66" t="e">
        <f>_xll.qlSimpleQuoteSetValue(F14,W14/100,Trigger)</f>
        <v>#N/A</v>
      </c>
      <c r="Y14" s="102"/>
    </row>
    <row r="15" spans="1:27" x14ac:dyDescent="0.2">
      <c r="A15" s="26"/>
      <c r="B15" s="57"/>
      <c r="C15" s="57">
        <f t="shared" si="4"/>
        <v>11</v>
      </c>
      <c r="D15" s="61" t="str">
        <f t="shared" si="5"/>
        <v>x23F</v>
      </c>
      <c r="E15" s="57" t="str">
        <f t="shared" si="0"/>
        <v>USD11x23F_LCHQuote</v>
      </c>
      <c r="F15" s="41" t="str">
        <f>_xll.qlSimpleQuote(E15,,RateTickValue,Permanent,Trigger,ObjectOverwrite)</f>
        <v>USD11x23F_LCHQuote#0002</v>
      </c>
      <c r="G15" s="158" t="str">
        <f>_xll.ohRangeRetrieveError(F15)</f>
        <v/>
      </c>
      <c r="H15" s="95"/>
      <c r="J15" s="80"/>
      <c r="K15" s="203">
        <f t="shared" si="6"/>
        <v>23</v>
      </c>
      <c r="L15" s="203">
        <v>11</v>
      </c>
      <c r="M15" s="203" t="s">
        <v>115</v>
      </c>
      <c r="N15" s="63" t="str">
        <f t="shared" si="1"/>
        <v>USD11X23F</v>
      </c>
      <c r="O15" s="63" t="str">
        <v>USD11X23F=PYNY</v>
      </c>
      <c r="P15" s="370">
        <v>1.42</v>
      </c>
      <c r="Q15" s="370">
        <v>1.46</v>
      </c>
      <c r="R15" s="64">
        <f t="shared" si="2"/>
        <v>1.44</v>
      </c>
      <c r="S15" s="134">
        <f t="shared" si="3"/>
        <v>4.0000000000000036E-2</v>
      </c>
      <c r="T15" s="137"/>
      <c r="U15" s="134">
        <v>1.4359999999999999</v>
      </c>
      <c r="V15" s="137"/>
      <c r="W15" s="134">
        <v>1.44</v>
      </c>
      <c r="X15" s="66" t="e">
        <f>_xll.qlSimpleQuoteSetValue(F15,W15/100,Trigger)</f>
        <v>#N/A</v>
      </c>
      <c r="Y15" s="102"/>
    </row>
    <row r="16" spans="1:27" x14ac:dyDescent="0.2">
      <c r="A16" s="26"/>
      <c r="B16" s="57"/>
      <c r="C16" s="57">
        <f t="shared" si="4"/>
        <v>12</v>
      </c>
      <c r="D16" s="61" t="str">
        <f t="shared" si="5"/>
        <v>x24F</v>
      </c>
      <c r="E16" s="57" t="str">
        <f t="shared" si="0"/>
        <v>USD12x24F_LCHQuote</v>
      </c>
      <c r="F16" s="41" t="str">
        <f>_xll.qlSimpleQuote(E16,,RateTickValue,Permanent,Trigger,ObjectOverwrite)</f>
        <v>USD12x24F_LCHQuote#0002</v>
      </c>
      <c r="G16" s="158" t="str">
        <f>_xll.ohRangeRetrieveError(F16)</f>
        <v/>
      </c>
      <c r="H16" s="95"/>
      <c r="J16" s="80"/>
      <c r="K16" s="203">
        <f t="shared" si="6"/>
        <v>24</v>
      </c>
      <c r="L16" s="203">
        <v>12</v>
      </c>
      <c r="M16" s="203" t="s">
        <v>115</v>
      </c>
      <c r="N16" s="63" t="str">
        <f t="shared" si="1"/>
        <v>USD12X24F</v>
      </c>
      <c r="O16" s="63" t="str">
        <v>USD12X24F=PYNY</v>
      </c>
      <c r="P16" s="370">
        <v>1.4730000000000001</v>
      </c>
      <c r="Q16" s="370">
        <v>1.5129999999999999</v>
      </c>
      <c r="R16" s="64">
        <f t="shared" si="2"/>
        <v>1.4929999999999999</v>
      </c>
      <c r="S16" s="134">
        <f t="shared" si="3"/>
        <v>3.9999999999999813E-2</v>
      </c>
      <c r="T16" s="137"/>
      <c r="U16" s="134">
        <v>1.4870000000000001</v>
      </c>
      <c r="V16" s="137"/>
      <c r="W16" s="134">
        <v>1.4929999999999999</v>
      </c>
      <c r="X16" s="66" t="e">
        <f>_xll.qlSimpleQuoteSetValue(F16,W16/100,Trigger)</f>
        <v>#N/A</v>
      </c>
      <c r="Y16" s="102"/>
    </row>
    <row r="17" spans="1:25" x14ac:dyDescent="0.2">
      <c r="A17" s="26"/>
      <c r="B17" s="57"/>
      <c r="C17" s="57">
        <f t="shared" si="4"/>
        <v>13</v>
      </c>
      <c r="D17" s="61" t="str">
        <f t="shared" si="5"/>
        <v>x25F</v>
      </c>
      <c r="E17" s="57" t="str">
        <f t="shared" si="0"/>
        <v>USD13x25F_LCHQuote</v>
      </c>
      <c r="F17" s="41" t="str">
        <f>_xll.qlSimpleQuote(E17,,RateTickValue,Permanent,Trigger,ObjectOverwrite)</f>
        <v>USD13x25F_LCHQuote#0002</v>
      </c>
      <c r="G17" s="158" t="str">
        <f>_xll.ohRangeRetrieveError(F17)</f>
        <v/>
      </c>
      <c r="H17" s="95"/>
      <c r="J17" s="80"/>
      <c r="K17" s="203">
        <f t="shared" si="6"/>
        <v>25</v>
      </c>
      <c r="L17" s="203">
        <v>13</v>
      </c>
      <c r="M17" s="203" t="s">
        <v>115</v>
      </c>
      <c r="N17" s="63" t="str">
        <f t="shared" si="1"/>
        <v>USD13X25F</v>
      </c>
      <c r="O17" s="63" t="str">
        <v>USD13X25F=PYNY</v>
      </c>
      <c r="P17" s="370" t="s">
        <v>213</v>
      </c>
      <c r="Q17" s="370" t="s">
        <v>213</v>
      </c>
      <c r="R17" s="64" t="e">
        <f t="shared" si="2"/>
        <v>#NUM!</v>
      </c>
      <c r="S17" s="134" t="e">
        <f t="shared" si="3"/>
        <v>#VALUE!</v>
      </c>
      <c r="T17" s="137"/>
      <c r="U17" s="134" t="e">
        <v>#NUM!</v>
      </c>
      <c r="V17" s="137"/>
      <c r="W17" s="134" t="e">
        <v>#NUM!</v>
      </c>
      <c r="X17" s="66">
        <f>_xll.qlSimpleQuoteSetValue(F17,W17/100,Trigger)</f>
        <v>0</v>
      </c>
      <c r="Y17" s="102"/>
    </row>
    <row r="18" spans="1:25" x14ac:dyDescent="0.2">
      <c r="A18" s="26"/>
      <c r="B18" s="57"/>
      <c r="C18" s="57">
        <f t="shared" si="4"/>
        <v>14</v>
      </c>
      <c r="D18" s="61" t="str">
        <f t="shared" si="5"/>
        <v>x26F</v>
      </c>
      <c r="E18" s="57" t="str">
        <f t="shared" si="0"/>
        <v>USD14x26F_LCHQuote</v>
      </c>
      <c r="F18" s="41" t="str">
        <f>_xll.qlSimpleQuote(E18,,RateTickValue,Permanent,Trigger,ObjectOverwrite)</f>
        <v>USD14x26F_LCHQuote#0002</v>
      </c>
      <c r="G18" s="158" t="str">
        <f>_xll.ohRangeRetrieveError(F18)</f>
        <v/>
      </c>
      <c r="H18" s="95"/>
      <c r="J18" s="80"/>
      <c r="K18" s="203">
        <f t="shared" si="6"/>
        <v>26</v>
      </c>
      <c r="L18" s="203">
        <v>14</v>
      </c>
      <c r="M18" s="203" t="s">
        <v>115</v>
      </c>
      <c r="N18" s="63" t="str">
        <f t="shared" si="1"/>
        <v>USD14X26F</v>
      </c>
      <c r="O18" s="63" t="str">
        <v>USD14X26F=PYNY</v>
      </c>
      <c r="P18" s="370" t="s">
        <v>213</v>
      </c>
      <c r="Q18" s="370" t="s">
        <v>213</v>
      </c>
      <c r="R18" s="64" t="e">
        <f t="shared" si="2"/>
        <v>#NUM!</v>
      </c>
      <c r="S18" s="134" t="e">
        <f t="shared" si="3"/>
        <v>#VALUE!</v>
      </c>
      <c r="T18" s="137"/>
      <c r="U18" s="134" t="e">
        <v>#NUM!</v>
      </c>
      <c r="V18" s="137"/>
      <c r="W18" s="134" t="e">
        <v>#NUM!</v>
      </c>
      <c r="X18" s="66">
        <f>_xll.qlSimpleQuoteSetValue(F18,W18/100,Trigger)</f>
        <v>0</v>
      </c>
      <c r="Y18" s="102"/>
    </row>
    <row r="19" spans="1:25" x14ac:dyDescent="0.2">
      <c r="A19" s="26"/>
      <c r="B19" s="57"/>
      <c r="C19" s="57">
        <f t="shared" si="4"/>
        <v>15</v>
      </c>
      <c r="D19" s="61" t="str">
        <f t="shared" si="5"/>
        <v>x27F</v>
      </c>
      <c r="E19" s="57" t="str">
        <f t="shared" si="0"/>
        <v>USD15x27F_LCHQuote</v>
      </c>
      <c r="F19" s="41" t="str">
        <f>_xll.qlSimpleQuote(E19,,RateTickValue,Permanent,Trigger,ObjectOverwrite)</f>
        <v>USD15x27F_LCHQuote#0002</v>
      </c>
      <c r="G19" s="158" t="str">
        <f>_xll.ohRangeRetrieveError(F19)</f>
        <v/>
      </c>
      <c r="H19" s="95"/>
      <c r="J19" s="80"/>
      <c r="K19" s="203">
        <f t="shared" si="6"/>
        <v>27</v>
      </c>
      <c r="L19" s="203">
        <v>15</v>
      </c>
      <c r="M19" s="203" t="s">
        <v>115</v>
      </c>
      <c r="N19" s="63" t="str">
        <f t="shared" si="1"/>
        <v>USD15X27F</v>
      </c>
      <c r="O19" s="63" t="str">
        <v>USD15X27F=PYNY</v>
      </c>
      <c r="P19" s="370" t="s">
        <v>213</v>
      </c>
      <c r="Q19" s="370" t="s">
        <v>213</v>
      </c>
      <c r="R19" s="64" t="e">
        <f t="shared" si="2"/>
        <v>#NUM!</v>
      </c>
      <c r="S19" s="134" t="e">
        <f t="shared" si="3"/>
        <v>#VALUE!</v>
      </c>
      <c r="T19" s="137"/>
      <c r="U19" s="134" t="e">
        <v>#NUM!</v>
      </c>
      <c r="V19" s="137"/>
      <c r="W19" s="134" t="e">
        <v>#NUM!</v>
      </c>
      <c r="X19" s="66">
        <f>_xll.qlSimpleQuoteSetValue(F19,W19/100,Trigger)</f>
        <v>0</v>
      </c>
      <c r="Y19" s="102"/>
    </row>
    <row r="20" spans="1:25" x14ac:dyDescent="0.2">
      <c r="A20" s="26"/>
      <c r="B20" s="57"/>
      <c r="C20" s="57">
        <f t="shared" si="4"/>
        <v>16</v>
      </c>
      <c r="D20" s="61" t="str">
        <f t="shared" si="5"/>
        <v>x28F</v>
      </c>
      <c r="E20" s="57" t="str">
        <f t="shared" si="0"/>
        <v>USD16x28F_LCHQuote</v>
      </c>
      <c r="F20" s="41" t="str">
        <f>_xll.qlSimpleQuote(E20,,RateTickValue,Permanent,Trigger,ObjectOverwrite)</f>
        <v>USD16x28F_LCHQuote#0002</v>
      </c>
      <c r="G20" s="158" t="str">
        <f>_xll.ohRangeRetrieveError(F20)</f>
        <v/>
      </c>
      <c r="H20" s="95"/>
      <c r="J20" s="80"/>
      <c r="K20" s="203">
        <f t="shared" si="6"/>
        <v>28</v>
      </c>
      <c r="L20" s="203">
        <v>16</v>
      </c>
      <c r="M20" s="203" t="s">
        <v>115</v>
      </c>
      <c r="N20" s="63" t="str">
        <f t="shared" si="1"/>
        <v>USD16X28F</v>
      </c>
      <c r="O20" s="63" t="str">
        <v>USD16X28F=PYNY</v>
      </c>
      <c r="P20" s="370" t="s">
        <v>213</v>
      </c>
      <c r="Q20" s="370" t="s">
        <v>213</v>
      </c>
      <c r="R20" s="64" t="e">
        <f t="shared" si="2"/>
        <v>#NUM!</v>
      </c>
      <c r="S20" s="134" t="e">
        <f t="shared" si="3"/>
        <v>#VALUE!</v>
      </c>
      <c r="T20" s="137"/>
      <c r="U20" s="134" t="e">
        <v>#NUM!</v>
      </c>
      <c r="V20" s="137"/>
      <c r="W20" s="134" t="e">
        <v>#NUM!</v>
      </c>
      <c r="X20" s="66">
        <f>_xll.qlSimpleQuoteSetValue(F20,W20/100,Trigger)</f>
        <v>0</v>
      </c>
      <c r="Y20" s="102"/>
    </row>
    <row r="21" spans="1:25" x14ac:dyDescent="0.2">
      <c r="A21" s="26"/>
      <c r="B21" s="57"/>
      <c r="C21" s="57">
        <f t="shared" si="4"/>
        <v>17</v>
      </c>
      <c r="D21" s="61" t="str">
        <f t="shared" si="5"/>
        <v>x29F</v>
      </c>
      <c r="E21" s="57" t="str">
        <f t="shared" si="0"/>
        <v>USD17x29F_LCHQuote</v>
      </c>
      <c r="F21" s="41" t="str">
        <f>_xll.qlSimpleQuote(E21,,RateTickValue,Permanent,Trigger,ObjectOverwrite)</f>
        <v>USD17x29F_LCHQuote#0002</v>
      </c>
      <c r="G21" s="158" t="str">
        <f>_xll.ohRangeRetrieveError(F21)</f>
        <v/>
      </c>
      <c r="H21" s="95"/>
      <c r="J21" s="80"/>
      <c r="K21" s="203">
        <f t="shared" si="6"/>
        <v>29</v>
      </c>
      <c r="L21" s="203">
        <v>17</v>
      </c>
      <c r="M21" s="203" t="s">
        <v>115</v>
      </c>
      <c r="N21" s="63" t="str">
        <f t="shared" si="1"/>
        <v>USD17X29F</v>
      </c>
      <c r="O21" s="63" t="str">
        <v>USD17X29F=PYNY</v>
      </c>
      <c r="P21" s="370" t="s">
        <v>213</v>
      </c>
      <c r="Q21" s="370" t="s">
        <v>213</v>
      </c>
      <c r="R21" s="64" t="e">
        <f t="shared" si="2"/>
        <v>#NUM!</v>
      </c>
      <c r="S21" s="134" t="e">
        <f t="shared" si="3"/>
        <v>#VALUE!</v>
      </c>
      <c r="T21" s="137"/>
      <c r="U21" s="134" t="e">
        <v>#NUM!</v>
      </c>
      <c r="V21" s="137"/>
      <c r="W21" s="134" t="e">
        <v>#NUM!</v>
      </c>
      <c r="X21" s="66">
        <f>_xll.qlSimpleQuoteSetValue(F21,W21/100,Trigger)</f>
        <v>0</v>
      </c>
      <c r="Y21" s="102"/>
    </row>
    <row r="22" spans="1:25" x14ac:dyDescent="0.2">
      <c r="A22" s="26"/>
      <c r="B22" s="57"/>
      <c r="C22" s="57">
        <f t="shared" si="4"/>
        <v>18</v>
      </c>
      <c r="D22" s="61" t="str">
        <f t="shared" si="5"/>
        <v>x30F</v>
      </c>
      <c r="E22" s="57" t="str">
        <f t="shared" si="0"/>
        <v>USD18x30F_LCHQuote</v>
      </c>
      <c r="F22" s="41" t="str">
        <f>_xll.qlSimpleQuote(E22,,RateTickValue,Permanent,Trigger,ObjectOverwrite)</f>
        <v>USD18x30F_LCHQuote#0002</v>
      </c>
      <c r="G22" s="158" t="str">
        <f>_xll.ohRangeRetrieveError(F22)</f>
        <v/>
      </c>
      <c r="H22" s="95"/>
      <c r="J22" s="80"/>
      <c r="K22" s="203">
        <f t="shared" si="6"/>
        <v>30</v>
      </c>
      <c r="L22" s="203">
        <v>18</v>
      </c>
      <c r="M22" s="203" t="s">
        <v>115</v>
      </c>
      <c r="N22" s="63" t="str">
        <f t="shared" si="1"/>
        <v>USD18X30F</v>
      </c>
      <c r="O22" s="63" t="str">
        <v>USD18X30F=PYNY</v>
      </c>
      <c r="P22" s="370" t="s">
        <v>213</v>
      </c>
      <c r="Q22" s="370" t="s">
        <v>213</v>
      </c>
      <c r="R22" s="64" t="e">
        <f t="shared" si="2"/>
        <v>#NUM!</v>
      </c>
      <c r="S22" s="134" t="e">
        <f t="shared" si="3"/>
        <v>#VALUE!</v>
      </c>
      <c r="T22" s="137"/>
      <c r="U22" s="134" t="e">
        <v>#NUM!</v>
      </c>
      <c r="V22" s="137"/>
      <c r="W22" s="134" t="e">
        <v>#NUM!</v>
      </c>
      <c r="X22" s="66">
        <f>_xll.qlSimpleQuoteSetValue(F22,W22/100,Trigger)</f>
        <v>0</v>
      </c>
      <c r="Y22" s="102"/>
    </row>
    <row r="23" spans="1:25" x14ac:dyDescent="0.2">
      <c r="A23" s="26"/>
      <c r="B23" s="57"/>
      <c r="C23" s="57">
        <f t="shared" si="4"/>
        <v>19</v>
      </c>
      <c r="D23" s="61" t="str">
        <f t="shared" si="5"/>
        <v>x31F</v>
      </c>
      <c r="E23" s="57" t="str">
        <f t="shared" si="0"/>
        <v>USD19x31F_LCHQuote</v>
      </c>
      <c r="F23" s="41" t="str">
        <f>_xll.qlSimpleQuote(E23,,RateTickValue,Permanent,Trigger,ObjectOverwrite)</f>
        <v>USD19x31F_LCHQuote#0002</v>
      </c>
      <c r="G23" s="158" t="str">
        <f>_xll.ohRangeRetrieveError(F23)</f>
        <v/>
      </c>
      <c r="H23" s="95"/>
      <c r="J23" s="80"/>
      <c r="K23" s="203">
        <f t="shared" si="6"/>
        <v>31</v>
      </c>
      <c r="L23" s="203">
        <v>19</v>
      </c>
      <c r="M23" s="203" t="s">
        <v>115</v>
      </c>
      <c r="N23" s="63" t="str">
        <f t="shared" si="1"/>
        <v>USD19X31F</v>
      </c>
      <c r="O23" s="63" t="str">
        <v>USD19X31F=PYNY</v>
      </c>
      <c r="P23" s="370" t="s">
        <v>213</v>
      </c>
      <c r="Q23" s="370" t="s">
        <v>213</v>
      </c>
      <c r="R23" s="64" t="e">
        <f t="shared" si="2"/>
        <v>#NUM!</v>
      </c>
      <c r="S23" s="134" t="e">
        <f t="shared" si="3"/>
        <v>#VALUE!</v>
      </c>
      <c r="T23" s="137"/>
      <c r="U23" s="134" t="e">
        <v>#NUM!</v>
      </c>
      <c r="V23" s="137"/>
      <c r="W23" s="134" t="e">
        <v>#NUM!</v>
      </c>
      <c r="X23" s="66">
        <f>_xll.qlSimpleQuoteSetValue(F23,W23/100,Trigger)</f>
        <v>0</v>
      </c>
      <c r="Y23" s="102"/>
    </row>
    <row r="24" spans="1:25" x14ac:dyDescent="0.2">
      <c r="A24" s="26"/>
      <c r="B24" s="57"/>
      <c r="C24" s="57">
        <f t="shared" si="4"/>
        <v>20</v>
      </c>
      <c r="D24" s="61" t="str">
        <f t="shared" si="5"/>
        <v>x32F</v>
      </c>
      <c r="E24" s="57" t="str">
        <f t="shared" si="0"/>
        <v>USD20x32F_LCHQuote</v>
      </c>
      <c r="F24" s="41" t="str">
        <f>_xll.qlSimpleQuote(E24,,RateTickValue,Permanent,Trigger,ObjectOverwrite)</f>
        <v>USD20x32F_LCHQuote#0002</v>
      </c>
      <c r="G24" s="158" t="str">
        <f>_xll.ohRangeRetrieveError(F24)</f>
        <v/>
      </c>
      <c r="H24" s="95"/>
      <c r="J24" s="80"/>
      <c r="K24" s="203">
        <f t="shared" si="6"/>
        <v>32</v>
      </c>
      <c r="L24" s="203">
        <v>20</v>
      </c>
      <c r="M24" s="203" t="s">
        <v>115</v>
      </c>
      <c r="N24" s="63" t="str">
        <f t="shared" si="1"/>
        <v>USD20X32F</v>
      </c>
      <c r="O24" s="63" t="str">
        <v>USD20X32F=PYNY</v>
      </c>
      <c r="P24" s="370" t="s">
        <v>213</v>
      </c>
      <c r="Q24" s="370" t="s">
        <v>213</v>
      </c>
      <c r="R24" s="64" t="e">
        <f t="shared" si="2"/>
        <v>#NUM!</v>
      </c>
      <c r="S24" s="134" t="e">
        <f t="shared" si="3"/>
        <v>#VALUE!</v>
      </c>
      <c r="T24" s="137"/>
      <c r="U24" s="134" t="e">
        <v>#NUM!</v>
      </c>
      <c r="V24" s="137"/>
      <c r="W24" s="134" t="e">
        <v>#NUM!</v>
      </c>
      <c r="X24" s="66">
        <f>_xll.qlSimpleQuoteSetValue(F24,W24/100,Trigger)</f>
        <v>0</v>
      </c>
      <c r="Y24" s="102"/>
    </row>
    <row r="25" spans="1:25" x14ac:dyDescent="0.2">
      <c r="A25" s="26"/>
      <c r="B25" s="57"/>
      <c r="C25" s="57">
        <f t="shared" si="4"/>
        <v>21</v>
      </c>
      <c r="D25" s="61" t="str">
        <f t="shared" si="5"/>
        <v>x33F</v>
      </c>
      <c r="E25" s="57" t="str">
        <f t="shared" si="0"/>
        <v>USD21x33F_LCHQuote</v>
      </c>
      <c r="F25" s="41" t="str">
        <f>_xll.qlSimpleQuote(E25,,RateTickValue,Permanent,Trigger,ObjectOverwrite)</f>
        <v>USD21x33F_LCHQuote#0002</v>
      </c>
      <c r="G25" s="158" t="str">
        <f>_xll.ohRangeRetrieveError(F25)</f>
        <v/>
      </c>
      <c r="H25" s="95"/>
      <c r="J25" s="80"/>
      <c r="K25" s="203">
        <f t="shared" si="6"/>
        <v>33</v>
      </c>
      <c r="L25" s="203">
        <v>21</v>
      </c>
      <c r="M25" s="203" t="s">
        <v>115</v>
      </c>
      <c r="N25" s="63" t="str">
        <f t="shared" si="1"/>
        <v>USD21X33F</v>
      </c>
      <c r="O25" s="63" t="str">
        <v>USD21X33F=PYNY</v>
      </c>
      <c r="P25" s="370" t="s">
        <v>213</v>
      </c>
      <c r="Q25" s="370" t="s">
        <v>213</v>
      </c>
      <c r="R25" s="64" t="e">
        <f t="shared" si="2"/>
        <v>#NUM!</v>
      </c>
      <c r="S25" s="134" t="e">
        <f t="shared" si="3"/>
        <v>#VALUE!</v>
      </c>
      <c r="T25" s="137"/>
      <c r="U25" s="134" t="e">
        <v>#NUM!</v>
      </c>
      <c r="V25" s="137"/>
      <c r="W25" s="134" t="e">
        <v>#NUM!</v>
      </c>
      <c r="X25" s="66">
        <f>_xll.qlSimpleQuoteSetValue(F25,W25/100,Trigger)</f>
        <v>0</v>
      </c>
      <c r="Y25" s="102"/>
    </row>
    <row r="26" spans="1:25" x14ac:dyDescent="0.2">
      <c r="A26" s="26"/>
      <c r="B26" s="57"/>
      <c r="C26" s="57">
        <f t="shared" si="4"/>
        <v>22</v>
      </c>
      <c r="D26" s="61" t="str">
        <f t="shared" si="5"/>
        <v>x34F</v>
      </c>
      <c r="E26" s="57" t="str">
        <f t="shared" si="0"/>
        <v>USD22x34F_LCHQuote</v>
      </c>
      <c r="F26" s="41" t="str">
        <f>_xll.qlSimpleQuote(E26,,RateTickValue,Permanent,Trigger,ObjectOverwrite)</f>
        <v>USD22x34F_LCHQuote#0002</v>
      </c>
      <c r="G26" s="158" t="str">
        <f>_xll.ohRangeRetrieveError(F26)</f>
        <v/>
      </c>
      <c r="H26" s="95"/>
      <c r="J26" s="80"/>
      <c r="K26" s="203">
        <f t="shared" si="6"/>
        <v>34</v>
      </c>
      <c r="L26" s="203">
        <v>22</v>
      </c>
      <c r="M26" s="203" t="s">
        <v>115</v>
      </c>
      <c r="N26" s="63" t="str">
        <f t="shared" si="1"/>
        <v>USD22X34F</v>
      </c>
      <c r="O26" s="63" t="str">
        <v>USD22X34F=PYNY</v>
      </c>
      <c r="P26" s="370" t="s">
        <v>213</v>
      </c>
      <c r="Q26" s="370" t="s">
        <v>213</v>
      </c>
      <c r="R26" s="64" t="e">
        <f t="shared" si="2"/>
        <v>#NUM!</v>
      </c>
      <c r="S26" s="134" t="e">
        <f t="shared" si="3"/>
        <v>#VALUE!</v>
      </c>
      <c r="T26" s="137"/>
      <c r="U26" s="134" t="e">
        <v>#NUM!</v>
      </c>
      <c r="V26" s="137"/>
      <c r="W26" s="134" t="e">
        <v>#NUM!</v>
      </c>
      <c r="X26" s="66">
        <f>_xll.qlSimpleQuoteSetValue(F26,W26/100,Trigger)</f>
        <v>0</v>
      </c>
      <c r="Y26" s="102"/>
    </row>
    <row r="27" spans="1:25" x14ac:dyDescent="0.2">
      <c r="A27" s="26"/>
      <c r="B27" s="57"/>
      <c r="C27" s="57">
        <f t="shared" si="4"/>
        <v>23</v>
      </c>
      <c r="D27" s="61" t="str">
        <f t="shared" si="5"/>
        <v>x35F</v>
      </c>
      <c r="E27" s="57" t="str">
        <f t="shared" si="0"/>
        <v>USD23x35F_LCHQuote</v>
      </c>
      <c r="F27" s="41" t="str">
        <f>_xll.qlSimpleQuote(E27,,RateTickValue,Permanent,Trigger,ObjectOverwrite)</f>
        <v>USD23x35F_LCHQuote#0002</v>
      </c>
      <c r="G27" s="158" t="str">
        <f>_xll.ohRangeRetrieveError(F27)</f>
        <v/>
      </c>
      <c r="H27" s="95"/>
      <c r="J27" s="80"/>
      <c r="K27" s="203">
        <f t="shared" si="6"/>
        <v>35</v>
      </c>
      <c r="L27" s="203">
        <v>23</v>
      </c>
      <c r="M27" s="203" t="s">
        <v>115</v>
      </c>
      <c r="N27" s="63" t="str">
        <f t="shared" si="1"/>
        <v>USD23X35F</v>
      </c>
      <c r="O27" s="63" t="str">
        <v>USD23X35F=PYNY</v>
      </c>
      <c r="P27" s="370" t="s">
        <v>213</v>
      </c>
      <c r="Q27" s="370" t="s">
        <v>213</v>
      </c>
      <c r="R27" s="64" t="e">
        <f t="shared" si="2"/>
        <v>#NUM!</v>
      </c>
      <c r="S27" s="134" t="e">
        <f t="shared" si="3"/>
        <v>#VALUE!</v>
      </c>
      <c r="T27" s="137"/>
      <c r="U27" s="134" t="e">
        <v>#NUM!</v>
      </c>
      <c r="V27" s="137"/>
      <c r="W27" s="134" t="e">
        <v>#NUM!</v>
      </c>
      <c r="X27" s="66">
        <f>_xll.qlSimpleQuoteSetValue(F27,W27/100,Trigger)</f>
        <v>0</v>
      </c>
      <c r="Y27" s="102"/>
    </row>
    <row r="28" spans="1:25" x14ac:dyDescent="0.2">
      <c r="A28" s="26"/>
      <c r="B28" s="59"/>
      <c r="C28" s="59">
        <f t="shared" si="4"/>
        <v>24</v>
      </c>
      <c r="D28" s="62" t="str">
        <f t="shared" si="5"/>
        <v>x36F</v>
      </c>
      <c r="E28" s="59" t="str">
        <f t="shared" si="0"/>
        <v>USD24x36F_LCHQuote</v>
      </c>
      <c r="F28" s="42" t="str">
        <f>_xll.qlSimpleQuote(E28,,RateTickValue,Permanent,Trigger,ObjectOverwrite)</f>
        <v>USD24x36F_LCHQuote#0002</v>
      </c>
      <c r="G28" s="159" t="str">
        <f>_xll.ohRangeRetrieveError(F28)</f>
        <v/>
      </c>
      <c r="H28" s="96"/>
      <c r="I28" s="146"/>
      <c r="J28" s="80"/>
      <c r="K28" s="204">
        <f t="shared" si="6"/>
        <v>36</v>
      </c>
      <c r="L28" s="204">
        <v>24</v>
      </c>
      <c r="M28" s="204" t="s">
        <v>115</v>
      </c>
      <c r="N28" s="67" t="str">
        <f t="shared" si="1"/>
        <v>USD24X36F</v>
      </c>
      <c r="O28" s="67" t="str">
        <v>USD24X36F=PYNY</v>
      </c>
      <c r="P28" s="371" t="s">
        <v>213</v>
      </c>
      <c r="Q28" s="371" t="s">
        <v>213</v>
      </c>
      <c r="R28" s="71" t="e">
        <f t="shared" si="2"/>
        <v>#NUM!</v>
      </c>
      <c r="S28" s="136" t="e">
        <f t="shared" si="3"/>
        <v>#VALUE!</v>
      </c>
      <c r="T28" s="137"/>
      <c r="U28" s="136" t="e">
        <v>#NUM!</v>
      </c>
      <c r="V28" s="137"/>
      <c r="W28" s="136" t="e">
        <v>#NUM!</v>
      </c>
      <c r="X28" s="68">
        <f>_xll.qlSimpleQuoteSetValue(F28,W28/100,Trigger)</f>
        <v>0</v>
      </c>
      <c r="Y28" s="102"/>
    </row>
    <row r="29" spans="1:25" x14ac:dyDescent="0.2">
      <c r="A29" s="84"/>
      <c r="B29" s="85"/>
      <c r="C29" s="85"/>
      <c r="D29" s="85"/>
      <c r="E29" s="85"/>
      <c r="F29" s="85"/>
      <c r="G29" s="97"/>
      <c r="H29" s="98"/>
      <c r="J29" s="84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6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3" hidden="1" customWidth="1" outlineLevel="1"/>
    <col min="3" max="4" width="4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1" width="2.7109375" style="143" customWidth="1"/>
    <col min="12" max="13" width="4" style="143" bestFit="1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16384" width="9.140625" style="143"/>
  </cols>
  <sheetData>
    <row r="1" spans="1:25" x14ac:dyDescent="0.2">
      <c r="A1" s="87"/>
      <c r="B1" s="78"/>
      <c r="C1" s="78"/>
      <c r="D1" s="78"/>
      <c r="E1" s="78"/>
      <c r="F1" s="92"/>
      <c r="G1" s="78"/>
      <c r="H1" s="79"/>
      <c r="J1" s="112" t="s">
        <v>77</v>
      </c>
      <c r="K1" s="190"/>
      <c r="L1" s="25"/>
      <c r="M1" s="25"/>
      <c r="N1" s="25"/>
      <c r="O1" s="25" t="str">
        <f>VLOOKUP($J$1,AreaTable,AreaIndex,0)</f>
        <v>Tullet</v>
      </c>
      <c r="P1" s="25"/>
      <c r="Q1" s="25"/>
      <c r="R1" s="25"/>
      <c r="S1" s="25"/>
      <c r="T1" s="25"/>
      <c r="U1" s="25"/>
      <c r="V1" s="25"/>
      <c r="W1" s="25"/>
      <c r="X1" s="25"/>
      <c r="Y1" s="113"/>
    </row>
    <row r="2" spans="1:25" x14ac:dyDescent="0.2">
      <c r="A2" s="80"/>
      <c r="B2" s="81"/>
      <c r="C2" s="81"/>
      <c r="D2" s="81"/>
      <c r="E2" s="81"/>
      <c r="F2" s="94"/>
      <c r="G2" s="81"/>
      <c r="H2" s="82"/>
      <c r="J2" s="114"/>
      <c r="K2" s="3"/>
      <c r="L2" s="3"/>
      <c r="M2" s="3"/>
      <c r="N2" s="3"/>
      <c r="O2" s="186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4">
        <f>_xll.ohTrigger(X5:X58)</f>
        <v>4703</v>
      </c>
      <c r="Y2" s="115"/>
    </row>
    <row r="3" spans="1:25" x14ac:dyDescent="0.2">
      <c r="A3" s="83"/>
      <c r="B3" s="104"/>
      <c r="C3" s="3"/>
      <c r="D3" s="3"/>
      <c r="E3" s="81"/>
      <c r="F3" s="94"/>
      <c r="G3" s="81"/>
      <c r="H3" s="115"/>
      <c r="J3" s="26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4"/>
      <c r="Y3" s="27"/>
    </row>
    <row r="4" spans="1:25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191"/>
      <c r="L4" s="192"/>
      <c r="M4" s="121"/>
      <c r="N4" s="121" t="s">
        <v>201</v>
      </c>
      <c r="O4" s="122" t="str">
        <f>_xll.RData(O5:O58,P4:Q4,"RTFEED:IDN",ReutersRtMode,,P5)</f>
        <v>Updated at 18:49:34</v>
      </c>
      <c r="P4" s="123" t="s">
        <v>100</v>
      </c>
      <c r="Q4" s="123" t="s">
        <v>99</v>
      </c>
      <c r="R4" s="124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49" t="s">
        <v>112</v>
      </c>
      <c r="Y4" s="27"/>
    </row>
    <row r="5" spans="1:25" x14ac:dyDescent="0.2">
      <c r="A5" s="26"/>
      <c r="B5" s="40"/>
      <c r="C5" s="40" t="s">
        <v>77</v>
      </c>
      <c r="D5" s="40" t="str">
        <f>L5</f>
        <v>SW</v>
      </c>
      <c r="E5" s="57" t="str">
        <f t="shared" ref="E5:E36" si="0">Currency&amp;$C5&amp;$D5&amp;QuoteSuffix</f>
        <v>USDOISSW_LCHQuote</v>
      </c>
      <c r="F5" s="41" t="str">
        <f>_xll.qlSimpleQuote(Currency&amp;$C5&amp;$D5&amp;QuoteSuffix,,RateTickValue,Permanent,Trigger,ObjectOverwrite)</f>
        <v>USDOISSW_LCHQuote#0002</v>
      </c>
      <c r="G5" s="158" t="str">
        <f>_xll.ohRangeRetrieveError(F5)</f>
        <v/>
      </c>
      <c r="H5" s="115"/>
      <c r="J5" s="26"/>
      <c r="K5" s="28"/>
      <c r="L5" s="193" t="s">
        <v>19</v>
      </c>
      <c r="M5" s="125" t="s">
        <v>77</v>
      </c>
      <c r="N5" s="126" t="str">
        <f t="shared" ref="N5:N36" si="1">Currency&amp;$L5&amp;$M5</f>
        <v>USDSWOIS</v>
      </c>
      <c r="O5" s="126" t="str">
        <f t="array" ref="O5:O58">Instruments&amp;"="&amp;VLOOKUP(Contributor,ContributorTable,2,FALSE)</f>
        <v>USDSWOIS=TTKL</v>
      </c>
      <c r="P5" s="369">
        <v>0.10100000000000001</v>
      </c>
      <c r="Q5" s="369">
        <v>0.151</v>
      </c>
      <c r="R5" s="34">
        <f>IF(ISERROR(AVERAGE(P5,Q5)),#NUM!,AVERAGE(P5,Q5))</f>
        <v>0.126</v>
      </c>
      <c r="S5" s="35">
        <f>Q5-P5</f>
        <v>4.9999999999999989E-2</v>
      </c>
      <c r="T5" s="139"/>
      <c r="U5" s="140">
        <v>0.126</v>
      </c>
      <c r="V5" s="139"/>
      <c r="W5" s="34">
        <f t="array" ref="W5:W58">QuoteLive</f>
        <v>0.126</v>
      </c>
      <c r="X5" s="131" t="e">
        <f>_xll.qlSimpleQuoteSetValue(F5,W5/100,Trigger)</f>
        <v>#N/A</v>
      </c>
      <c r="Y5" s="27"/>
    </row>
    <row r="6" spans="1:25" x14ac:dyDescent="0.2">
      <c r="A6" s="26"/>
      <c r="B6" s="41"/>
      <c r="C6" s="41" t="s">
        <v>77</v>
      </c>
      <c r="D6" s="41" t="str">
        <f t="shared" ref="D6:D58" si="2">L6</f>
        <v>2W</v>
      </c>
      <c r="E6" s="57" t="str">
        <f t="shared" si="0"/>
        <v>USDOIS2W_LCHQuote</v>
      </c>
      <c r="F6" s="41" t="str">
        <f>_xll.qlSimpleQuote(Currency&amp;$C6&amp;$D6&amp;QuoteSuffix,,RateTickValue,Permanent,Trigger,ObjectOverwrite)</f>
        <v>USDOIS2W_LCHQuote#0002</v>
      </c>
      <c r="G6" s="158" t="str">
        <f>_xll.ohRangeRetrieveError(F6)</f>
        <v/>
      </c>
      <c r="H6" s="115"/>
      <c r="J6" s="26"/>
      <c r="K6" s="29"/>
      <c r="L6" s="194" t="s">
        <v>18</v>
      </c>
      <c r="M6" s="127" t="s">
        <v>77</v>
      </c>
      <c r="N6" s="128" t="str">
        <f t="shared" si="1"/>
        <v>USD2WOIS</v>
      </c>
      <c r="O6" s="128" t="str">
        <v>USD2WOIS=TTKL</v>
      </c>
      <c r="P6" s="370">
        <v>0.10100000000000001</v>
      </c>
      <c r="Q6" s="370">
        <v>0.151</v>
      </c>
      <c r="R6" s="35">
        <f t="shared" ref="R6:R58" si="3">IF(ISERROR(AVERAGE(P6,Q6)),#NUM!,AVERAGE(P6,Q6))</f>
        <v>0.126</v>
      </c>
      <c r="S6" s="35">
        <f t="shared" ref="S6:S58" si="4">Q6-P6</f>
        <v>4.9999999999999989E-2</v>
      </c>
      <c r="T6" s="139"/>
      <c r="U6" s="141">
        <v>0.126</v>
      </c>
      <c r="V6" s="139"/>
      <c r="W6" s="35">
        <v>0.126</v>
      </c>
      <c r="X6" s="132" t="e">
        <f>_xll.qlSimpleQuoteSetValue(F6,W6/100,Trigger)</f>
        <v>#N/A</v>
      </c>
      <c r="Y6" s="27"/>
    </row>
    <row r="7" spans="1:25" x14ac:dyDescent="0.2">
      <c r="A7" s="26"/>
      <c r="B7" s="41"/>
      <c r="C7" s="41" t="s">
        <v>77</v>
      </c>
      <c r="D7" s="41" t="str">
        <f t="shared" si="2"/>
        <v>3W</v>
      </c>
      <c r="E7" s="57" t="str">
        <f t="shared" si="0"/>
        <v>USDOIS3W_LCHQuote</v>
      </c>
      <c r="F7" s="41" t="str">
        <f>_xll.qlSimpleQuote(Currency&amp;$C7&amp;$D7&amp;QuoteSuffix,,RateTickValue,Permanent,Trigger,ObjectOverwrite)</f>
        <v>USDOIS3W_LCHQuote#0002</v>
      </c>
      <c r="G7" s="158" t="str">
        <f>_xll.ohRangeRetrieveError(F7)</f>
        <v/>
      </c>
      <c r="H7" s="115"/>
      <c r="J7" s="26"/>
      <c r="K7" s="29"/>
      <c r="L7" s="194" t="s">
        <v>17</v>
      </c>
      <c r="M7" s="127" t="s">
        <v>77</v>
      </c>
      <c r="N7" s="128" t="str">
        <f t="shared" si="1"/>
        <v>USD3WOIS</v>
      </c>
      <c r="O7" s="128" t="str">
        <v>USD3WOIS=TTKL</v>
      </c>
      <c r="P7" s="370">
        <v>0.10100000000000001</v>
      </c>
      <c r="Q7" s="370">
        <v>0.151</v>
      </c>
      <c r="R7" s="35">
        <f t="shared" si="3"/>
        <v>0.126</v>
      </c>
      <c r="S7" s="35">
        <f t="shared" si="4"/>
        <v>4.9999999999999989E-2</v>
      </c>
      <c r="T7" s="139"/>
      <c r="U7" s="141">
        <v>0.126</v>
      </c>
      <c r="V7" s="139"/>
      <c r="W7" s="35">
        <v>0.126</v>
      </c>
      <c r="X7" s="132" t="e">
        <f>_xll.qlSimpleQuoteSetValue(F7,W7/100,Trigger)</f>
        <v>#N/A</v>
      </c>
      <c r="Y7" s="27"/>
    </row>
    <row r="8" spans="1:25" x14ac:dyDescent="0.2">
      <c r="A8" s="26"/>
      <c r="B8" s="41"/>
      <c r="C8" s="41" t="s">
        <v>77</v>
      </c>
      <c r="D8" s="41" t="str">
        <f t="shared" si="2"/>
        <v>1M</v>
      </c>
      <c r="E8" s="57" t="str">
        <f t="shared" si="0"/>
        <v>USDOIS1M_LCHQuote</v>
      </c>
      <c r="F8" s="41" t="str">
        <f>_xll.qlSimpleQuote(Currency&amp;$C8&amp;$D8&amp;QuoteSuffix,,RateTickValue,Permanent,Trigger,ObjectOverwrite)</f>
        <v>USDOIS1M_LCHQuote#0002</v>
      </c>
      <c r="G8" s="158" t="str">
        <f>_xll.ohRangeRetrieveError(F8)</f>
        <v/>
      </c>
      <c r="H8" s="115"/>
      <c r="J8" s="26"/>
      <c r="K8" s="29"/>
      <c r="L8" s="194" t="s">
        <v>16</v>
      </c>
      <c r="M8" s="127" t="s">
        <v>77</v>
      </c>
      <c r="N8" s="128" t="str">
        <f t="shared" si="1"/>
        <v>USD1MOIS</v>
      </c>
      <c r="O8" s="128" t="str">
        <v>USD1MOIS=TTKL</v>
      </c>
      <c r="P8" s="370">
        <v>0.10800000000000001</v>
      </c>
      <c r="Q8" s="370">
        <v>0.158</v>
      </c>
      <c r="R8" s="35">
        <f t="shared" si="3"/>
        <v>0.13300000000000001</v>
      </c>
      <c r="S8" s="35">
        <f t="shared" si="4"/>
        <v>4.9999999999999989E-2</v>
      </c>
      <c r="T8" s="139"/>
      <c r="U8" s="141">
        <v>0.13300000000000001</v>
      </c>
      <c r="V8" s="139"/>
      <c r="W8" s="35">
        <v>0.13300000000000001</v>
      </c>
      <c r="X8" s="132" t="e">
        <f>_xll.qlSimpleQuoteSetValue(F8,W8/100,Trigger)</f>
        <v>#N/A</v>
      </c>
      <c r="Y8" s="27"/>
    </row>
    <row r="9" spans="1:25" x14ac:dyDescent="0.2">
      <c r="A9" s="26"/>
      <c r="B9" s="41"/>
      <c r="C9" s="41" t="s">
        <v>77</v>
      </c>
      <c r="D9" s="41" t="str">
        <f t="shared" si="2"/>
        <v>2M</v>
      </c>
      <c r="E9" s="57" t="str">
        <f t="shared" si="0"/>
        <v>USDOIS2M_LCHQuote</v>
      </c>
      <c r="F9" s="41" t="str">
        <f>_xll.qlSimpleQuote(Currency&amp;$C9&amp;$D9&amp;QuoteSuffix,,RateTickValue,Permanent,Trigger,ObjectOverwrite)</f>
        <v>USDOIS2M_LCHQuote#0002</v>
      </c>
      <c r="G9" s="158" t="str">
        <f>_xll.ohRangeRetrieveError(F9)</f>
        <v/>
      </c>
      <c r="H9" s="115"/>
      <c r="J9" s="26"/>
      <c r="K9" s="29"/>
      <c r="L9" s="194" t="s">
        <v>15</v>
      </c>
      <c r="M9" s="127" t="s">
        <v>77</v>
      </c>
      <c r="N9" s="128" t="str">
        <f t="shared" si="1"/>
        <v>USD2MOIS</v>
      </c>
      <c r="O9" s="128" t="str">
        <v>USD2MOIS=TTKL</v>
      </c>
      <c r="P9" s="370">
        <v>0.19400000000000001</v>
      </c>
      <c r="Q9" s="370">
        <v>0.22400000000000003</v>
      </c>
      <c r="R9" s="35">
        <f t="shared" si="3"/>
        <v>0.20900000000000002</v>
      </c>
      <c r="S9" s="35">
        <f t="shared" si="4"/>
        <v>3.0000000000000027E-2</v>
      </c>
      <c r="T9" s="139"/>
      <c r="U9" s="141">
        <v>0.20700000000000002</v>
      </c>
      <c r="V9" s="139"/>
      <c r="W9" s="35">
        <v>0.20900000000000002</v>
      </c>
      <c r="X9" s="132" t="e">
        <f>_xll.qlSimpleQuoteSetValue(F9,W9/100,Trigger)</f>
        <v>#N/A</v>
      </c>
      <c r="Y9" s="27"/>
    </row>
    <row r="10" spans="1:25" x14ac:dyDescent="0.2">
      <c r="A10" s="26"/>
      <c r="B10" s="41"/>
      <c r="C10" s="41" t="s">
        <v>77</v>
      </c>
      <c r="D10" s="41" t="str">
        <f t="shared" si="2"/>
        <v>3M</v>
      </c>
      <c r="E10" s="57" t="str">
        <f t="shared" si="0"/>
        <v>USDOIS3M_LCHQuote</v>
      </c>
      <c r="F10" s="41" t="str">
        <f>_xll.qlSimpleQuote(Currency&amp;$C10&amp;$D10&amp;QuoteSuffix,,RateTickValue,Permanent,Trigger,ObjectOverwrite)</f>
        <v>USDOIS3M_LCHQuote#0002</v>
      </c>
      <c r="G10" s="158" t="str">
        <f>_xll.ohRangeRetrieveError(F10)</f>
        <v/>
      </c>
      <c r="H10" s="115"/>
      <c r="J10" s="26"/>
      <c r="K10" s="29"/>
      <c r="L10" s="194" t="s">
        <v>14</v>
      </c>
      <c r="M10" s="127" t="s">
        <v>77</v>
      </c>
      <c r="N10" s="128" t="str">
        <f t="shared" si="1"/>
        <v>USD3MOIS</v>
      </c>
      <c r="O10" s="128" t="str">
        <v>USD3MOIS=TTKL</v>
      </c>
      <c r="P10" s="370">
        <v>0.22400000000000003</v>
      </c>
      <c r="Q10" s="370">
        <v>0.254</v>
      </c>
      <c r="R10" s="35">
        <f t="shared" si="3"/>
        <v>0.23900000000000002</v>
      </c>
      <c r="S10" s="35">
        <f t="shared" si="4"/>
        <v>2.9999999999999971E-2</v>
      </c>
      <c r="T10" s="139"/>
      <c r="U10" s="141">
        <v>0.23799999999999999</v>
      </c>
      <c r="V10" s="139"/>
      <c r="W10" s="35">
        <v>0.23900000000000002</v>
      </c>
      <c r="X10" s="132" t="e">
        <f>_xll.qlSimpleQuoteSetValue(F10,W10/100,Trigger)</f>
        <v>#N/A</v>
      </c>
      <c r="Y10" s="27"/>
    </row>
    <row r="11" spans="1:25" x14ac:dyDescent="0.2">
      <c r="A11" s="26"/>
      <c r="B11" s="41"/>
      <c r="C11" s="41" t="s">
        <v>77</v>
      </c>
      <c r="D11" s="41" t="str">
        <f t="shared" si="2"/>
        <v>4M</v>
      </c>
      <c r="E11" s="57" t="str">
        <f t="shared" si="0"/>
        <v>USDOIS4M_LCHQuote</v>
      </c>
      <c r="F11" s="41" t="str">
        <f>_xll.qlSimpleQuote(Currency&amp;$C11&amp;$D11&amp;QuoteSuffix,,RateTickValue,Permanent,Trigger,ObjectOverwrite)</f>
        <v>USDOIS4M_LCHQuote#0002</v>
      </c>
      <c r="G11" s="158" t="str">
        <f>_xll.ohRangeRetrieveError(F11)</f>
        <v/>
      </c>
      <c r="H11" s="115"/>
      <c r="J11" s="26"/>
      <c r="K11" s="29"/>
      <c r="L11" s="194" t="s">
        <v>13</v>
      </c>
      <c r="M11" s="127" t="s">
        <v>77</v>
      </c>
      <c r="N11" s="128" t="str">
        <f t="shared" si="1"/>
        <v>USD4MOIS</v>
      </c>
      <c r="O11" s="128" t="str">
        <v>USD4MOIS=TTKL</v>
      </c>
      <c r="P11" s="370">
        <v>0.24199999999999999</v>
      </c>
      <c r="Q11" s="370">
        <v>0.27199999999999996</v>
      </c>
      <c r="R11" s="35">
        <f t="shared" si="3"/>
        <v>0.25700000000000001</v>
      </c>
      <c r="S11" s="35">
        <f t="shared" si="4"/>
        <v>2.9999999999999971E-2</v>
      </c>
      <c r="T11" s="139"/>
      <c r="U11" s="141">
        <v>0.25600000000000001</v>
      </c>
      <c r="V11" s="139"/>
      <c r="W11" s="35">
        <v>0.25700000000000001</v>
      </c>
      <c r="X11" s="132" t="e">
        <f>_xll.qlSimpleQuoteSetValue(F11,W11/100,Trigger)</f>
        <v>#N/A</v>
      </c>
      <c r="Y11" s="27"/>
    </row>
    <row r="12" spans="1:25" x14ac:dyDescent="0.2">
      <c r="A12" s="26"/>
      <c r="B12" s="41"/>
      <c r="C12" s="41" t="s">
        <v>77</v>
      </c>
      <c r="D12" s="41" t="str">
        <f t="shared" si="2"/>
        <v>5M</v>
      </c>
      <c r="E12" s="57" t="str">
        <f t="shared" si="0"/>
        <v>USDOIS5M_LCHQuote</v>
      </c>
      <c r="F12" s="41" t="str">
        <f>_xll.qlSimpleQuote(Currency&amp;$C12&amp;$D12&amp;QuoteSuffix,,RateTickValue,Permanent,Trigger,ObjectOverwrite)</f>
        <v>USDOIS5M_LCHQuote#0002</v>
      </c>
      <c r="G12" s="158" t="str">
        <f>_xll.ohRangeRetrieveError(F12)</f>
        <v/>
      </c>
      <c r="H12" s="115"/>
      <c r="J12" s="26"/>
      <c r="K12" s="29"/>
      <c r="L12" s="194" t="s">
        <v>12</v>
      </c>
      <c r="M12" s="127" t="s">
        <v>77</v>
      </c>
      <c r="N12" s="128" t="str">
        <f t="shared" si="1"/>
        <v>USD5MOIS</v>
      </c>
      <c r="O12" s="128" t="str">
        <v>USD5MOIS=TTKL</v>
      </c>
      <c r="P12" s="370">
        <v>0.27599999999999997</v>
      </c>
      <c r="Q12" s="370">
        <v>0.30599999999999999</v>
      </c>
      <c r="R12" s="35">
        <f t="shared" si="3"/>
        <v>0.29099999999999998</v>
      </c>
      <c r="S12" s="35">
        <f t="shared" si="4"/>
        <v>3.0000000000000027E-2</v>
      </c>
      <c r="T12" s="139"/>
      <c r="U12" s="141">
        <v>0.28900000000000003</v>
      </c>
      <c r="V12" s="139"/>
      <c r="W12" s="35">
        <v>0.29099999999999998</v>
      </c>
      <c r="X12" s="132" t="e">
        <f>_xll.qlSimpleQuoteSetValue(F12,W12/100,Trigger)</f>
        <v>#N/A</v>
      </c>
      <c r="Y12" s="27"/>
    </row>
    <row r="13" spans="1:25" x14ac:dyDescent="0.2">
      <c r="A13" s="26"/>
      <c r="B13" s="41"/>
      <c r="C13" s="41" t="s">
        <v>77</v>
      </c>
      <c r="D13" s="41" t="str">
        <f t="shared" si="2"/>
        <v>6M</v>
      </c>
      <c r="E13" s="57" t="str">
        <f t="shared" si="0"/>
        <v>USDOIS6M_LCHQuote</v>
      </c>
      <c r="F13" s="41" t="str">
        <f>_xll.qlSimpleQuote(Currency&amp;$C13&amp;$D13&amp;QuoteSuffix,,RateTickValue,Permanent,Trigger,ObjectOverwrite)</f>
        <v>USDOIS6M_LCHQuote#0002</v>
      </c>
      <c r="G13" s="158" t="str">
        <f>_xll.ohRangeRetrieveError(F13)</f>
        <v/>
      </c>
      <c r="H13" s="115"/>
      <c r="J13" s="26"/>
      <c r="K13" s="29"/>
      <c r="L13" s="194" t="s">
        <v>11</v>
      </c>
      <c r="M13" s="127" t="s">
        <v>77</v>
      </c>
      <c r="N13" s="128" t="str">
        <f t="shared" si="1"/>
        <v>USD6MOIS</v>
      </c>
      <c r="O13" s="128" t="str">
        <v>USD6MOIS=TTKL</v>
      </c>
      <c r="P13" s="370">
        <v>0.30099999999999999</v>
      </c>
      <c r="Q13" s="370">
        <v>0.33100000000000002</v>
      </c>
      <c r="R13" s="35">
        <f t="shared" si="3"/>
        <v>0.316</v>
      </c>
      <c r="S13" s="35">
        <f t="shared" si="4"/>
        <v>3.0000000000000027E-2</v>
      </c>
      <c r="T13" s="139"/>
      <c r="U13" s="141">
        <v>0.31400000000000006</v>
      </c>
      <c r="V13" s="139"/>
      <c r="W13" s="35">
        <v>0.316</v>
      </c>
      <c r="X13" s="132" t="e">
        <f>_xll.qlSimpleQuoteSetValue(F13,W13/100,Trigger)</f>
        <v>#N/A</v>
      </c>
      <c r="Y13" s="27"/>
    </row>
    <row r="14" spans="1:25" x14ac:dyDescent="0.2">
      <c r="A14" s="26"/>
      <c r="B14" s="41"/>
      <c r="C14" s="41" t="s">
        <v>77</v>
      </c>
      <c r="D14" s="41" t="str">
        <f t="shared" si="2"/>
        <v>7M</v>
      </c>
      <c r="E14" s="57" t="str">
        <f t="shared" si="0"/>
        <v>USDOIS7M_LCHQuote</v>
      </c>
      <c r="F14" s="41" t="str">
        <f>_xll.qlSimpleQuote(Currency&amp;$C14&amp;$D14&amp;QuoteSuffix,,RateTickValue,Permanent,Trigger,ObjectOverwrite)</f>
        <v>USDOIS7M_LCHQuote#0002</v>
      </c>
      <c r="G14" s="158" t="str">
        <f>_xll.ohRangeRetrieveError(F14)</f>
        <v/>
      </c>
      <c r="H14" s="115"/>
      <c r="J14" s="26"/>
      <c r="K14" s="29"/>
      <c r="L14" s="194" t="s">
        <v>10</v>
      </c>
      <c r="M14" s="127" t="s">
        <v>77</v>
      </c>
      <c r="N14" s="128" t="str">
        <f t="shared" si="1"/>
        <v>USD7MOIS</v>
      </c>
      <c r="O14" s="128" t="str">
        <v>USD7MOIS=TTKL</v>
      </c>
      <c r="P14" s="370">
        <v>0.32400000000000001</v>
      </c>
      <c r="Q14" s="370">
        <v>0.35399999999999998</v>
      </c>
      <c r="R14" s="35">
        <f t="shared" si="3"/>
        <v>0.33899999999999997</v>
      </c>
      <c r="S14" s="35">
        <f t="shared" si="4"/>
        <v>2.9999999999999971E-2</v>
      </c>
      <c r="T14" s="139"/>
      <c r="U14" s="141">
        <v>0.33699999999999997</v>
      </c>
      <c r="V14" s="139"/>
      <c r="W14" s="35">
        <v>0.33899999999999997</v>
      </c>
      <c r="X14" s="132" t="e">
        <f>_xll.qlSimpleQuoteSetValue(F14,W14/100,Trigger)</f>
        <v>#N/A</v>
      </c>
      <c r="Y14" s="27"/>
    </row>
    <row r="15" spans="1:25" x14ac:dyDescent="0.2">
      <c r="A15" s="26"/>
      <c r="B15" s="41"/>
      <c r="C15" s="41" t="s">
        <v>77</v>
      </c>
      <c r="D15" s="41" t="str">
        <f t="shared" si="2"/>
        <v>8M</v>
      </c>
      <c r="E15" s="57" t="str">
        <f t="shared" si="0"/>
        <v>USDOIS8M_LCHQuote</v>
      </c>
      <c r="F15" s="41" t="str">
        <f>_xll.qlSimpleQuote(Currency&amp;$C15&amp;$D15&amp;QuoteSuffix,,RateTickValue,Permanent,Trigger,ObjectOverwrite)</f>
        <v>USDOIS8M_LCHQuote#0002</v>
      </c>
      <c r="G15" s="158" t="str">
        <f>_xll.ohRangeRetrieveError(F15)</f>
        <v/>
      </c>
      <c r="H15" s="115"/>
      <c r="J15" s="26"/>
      <c r="K15" s="29"/>
      <c r="L15" s="194" t="s">
        <v>9</v>
      </c>
      <c r="M15" s="127" t="s">
        <v>77</v>
      </c>
      <c r="N15" s="128" t="str">
        <f t="shared" si="1"/>
        <v>USD8MOIS</v>
      </c>
      <c r="O15" s="128" t="str">
        <v>USD8MOIS=TTKL</v>
      </c>
      <c r="P15" s="370">
        <v>0.35099999999999998</v>
      </c>
      <c r="Q15" s="370">
        <v>0.38100000000000001</v>
      </c>
      <c r="R15" s="35">
        <f t="shared" si="3"/>
        <v>0.36599999999999999</v>
      </c>
      <c r="S15" s="35">
        <f t="shared" si="4"/>
        <v>3.0000000000000027E-2</v>
      </c>
      <c r="T15" s="139"/>
      <c r="U15" s="141">
        <v>0.36399999999999999</v>
      </c>
      <c r="V15" s="139"/>
      <c r="W15" s="35">
        <v>0.36599999999999999</v>
      </c>
      <c r="X15" s="132" t="e">
        <f>_xll.qlSimpleQuoteSetValue(F15,W15/100,Trigger)</f>
        <v>#N/A</v>
      </c>
      <c r="Y15" s="27"/>
    </row>
    <row r="16" spans="1:25" x14ac:dyDescent="0.2">
      <c r="A16" s="26"/>
      <c r="B16" s="41"/>
      <c r="C16" s="41" t="s">
        <v>77</v>
      </c>
      <c r="D16" s="41" t="str">
        <f t="shared" si="2"/>
        <v>9M</v>
      </c>
      <c r="E16" s="57" t="str">
        <f t="shared" si="0"/>
        <v>USDOIS9M_LCHQuote</v>
      </c>
      <c r="F16" s="41" t="str">
        <f>_xll.qlSimpleQuote(Currency&amp;$C16&amp;$D16&amp;QuoteSuffix,,RateTickValue,Permanent,Trigger,ObjectOverwrite)</f>
        <v>USDOIS9M_LCHQuote#0002</v>
      </c>
      <c r="G16" s="158" t="str">
        <f>_xll.ohRangeRetrieveError(F16)</f>
        <v/>
      </c>
      <c r="H16" s="115"/>
      <c r="J16" s="26"/>
      <c r="K16" s="29"/>
      <c r="L16" s="194" t="s">
        <v>8</v>
      </c>
      <c r="M16" s="127" t="s">
        <v>77</v>
      </c>
      <c r="N16" s="128" t="str">
        <f t="shared" si="1"/>
        <v>USD9MOIS</v>
      </c>
      <c r="O16" s="128" t="str">
        <v>USD9MOIS=TTKL</v>
      </c>
      <c r="P16" s="370">
        <v>0.376</v>
      </c>
      <c r="Q16" s="370">
        <v>0.40599999999999997</v>
      </c>
      <c r="R16" s="35">
        <f t="shared" si="3"/>
        <v>0.39100000000000001</v>
      </c>
      <c r="S16" s="35">
        <f t="shared" si="4"/>
        <v>2.9999999999999971E-2</v>
      </c>
      <c r="T16" s="139"/>
      <c r="U16" s="141">
        <v>0.38900000000000001</v>
      </c>
      <c r="V16" s="139"/>
      <c r="W16" s="35">
        <v>0.39100000000000001</v>
      </c>
      <c r="X16" s="132" t="e">
        <f>_xll.qlSimpleQuoteSetValue(F16,W16/100,Trigger)</f>
        <v>#N/A</v>
      </c>
      <c r="Y16" s="27"/>
    </row>
    <row r="17" spans="1:25" x14ac:dyDescent="0.2">
      <c r="A17" s="26"/>
      <c r="B17" s="41"/>
      <c r="C17" s="41" t="s">
        <v>77</v>
      </c>
      <c r="D17" s="41" t="str">
        <f t="shared" si="2"/>
        <v>10M</v>
      </c>
      <c r="E17" s="57" t="str">
        <f t="shared" si="0"/>
        <v>USDOIS10M_LCHQuote</v>
      </c>
      <c r="F17" s="41" t="str">
        <f>_xll.qlSimpleQuote(Currency&amp;$C17&amp;$D17&amp;QuoteSuffix,,RateTickValue,Permanent,Trigger,ObjectOverwrite)</f>
        <v>USDOIS10M_LCHQuote#0002</v>
      </c>
      <c r="G17" s="158" t="str">
        <f>_xll.ohRangeRetrieveError(F17)</f>
        <v/>
      </c>
      <c r="H17" s="115"/>
      <c r="J17" s="26"/>
      <c r="K17" s="29"/>
      <c r="L17" s="194" t="s">
        <v>7</v>
      </c>
      <c r="M17" s="127" t="s">
        <v>77</v>
      </c>
      <c r="N17" s="128" t="str">
        <f t="shared" si="1"/>
        <v>USD10MOIS</v>
      </c>
      <c r="O17" s="128" t="str">
        <v>USD10MOIS=TTKL</v>
      </c>
      <c r="P17" s="370">
        <v>0.4</v>
      </c>
      <c r="Q17" s="370">
        <v>0.43</v>
      </c>
      <c r="R17" s="35">
        <f t="shared" si="3"/>
        <v>0.41500000000000004</v>
      </c>
      <c r="S17" s="35">
        <f t="shared" si="4"/>
        <v>2.9999999999999971E-2</v>
      </c>
      <c r="T17" s="139"/>
      <c r="U17" s="141">
        <v>0.41300000000000003</v>
      </c>
      <c r="V17" s="139"/>
      <c r="W17" s="35">
        <v>0.41500000000000004</v>
      </c>
      <c r="X17" s="132" t="e">
        <f>_xll.qlSimpleQuoteSetValue(F17,W17/100,Trigger)</f>
        <v>#N/A</v>
      </c>
      <c r="Y17" s="27"/>
    </row>
    <row r="18" spans="1:25" x14ac:dyDescent="0.2">
      <c r="A18" s="26"/>
      <c r="B18" s="41"/>
      <c r="C18" s="41" t="s">
        <v>77</v>
      </c>
      <c r="D18" s="41" t="str">
        <f t="shared" si="2"/>
        <v>11M</v>
      </c>
      <c r="E18" s="57" t="str">
        <f t="shared" si="0"/>
        <v>USDOIS11M_LCHQuote</v>
      </c>
      <c r="F18" s="41" t="str">
        <f>_xll.qlSimpleQuote(Currency&amp;$C18&amp;$D18&amp;QuoteSuffix,,RateTickValue,Permanent,Trigger,ObjectOverwrite)</f>
        <v>USDOIS11M_LCHQuote#0002</v>
      </c>
      <c r="G18" s="158" t="str">
        <f>_xll.ohRangeRetrieveError(F18)</f>
        <v/>
      </c>
      <c r="H18" s="115"/>
      <c r="J18" s="26"/>
      <c r="K18" s="29"/>
      <c r="L18" s="194" t="s">
        <v>6</v>
      </c>
      <c r="M18" s="127" t="s">
        <v>77</v>
      </c>
      <c r="N18" s="128" t="str">
        <f t="shared" si="1"/>
        <v>USD11MOIS</v>
      </c>
      <c r="O18" s="128" t="str">
        <v>USD11MOIS=TTKL</v>
      </c>
      <c r="P18" s="370">
        <v>0.42300000000000004</v>
      </c>
      <c r="Q18" s="370">
        <v>0.45300000000000001</v>
      </c>
      <c r="R18" s="35">
        <f t="shared" si="3"/>
        <v>0.43800000000000006</v>
      </c>
      <c r="S18" s="35">
        <f t="shared" si="4"/>
        <v>2.9999999999999971E-2</v>
      </c>
      <c r="T18" s="139"/>
      <c r="U18" s="141">
        <v>0.43599999999999994</v>
      </c>
      <c r="V18" s="139"/>
      <c r="W18" s="35">
        <v>0.43800000000000006</v>
      </c>
      <c r="X18" s="132" t="e">
        <f>_xll.qlSimpleQuoteSetValue(F18,W18/100,Trigger)</f>
        <v>#N/A</v>
      </c>
      <c r="Y18" s="27"/>
    </row>
    <row r="19" spans="1:25" x14ac:dyDescent="0.2">
      <c r="A19" s="26"/>
      <c r="B19" s="41"/>
      <c r="C19" s="41" t="s">
        <v>77</v>
      </c>
      <c r="D19" s="41" t="str">
        <f t="shared" si="2"/>
        <v>1Y</v>
      </c>
      <c r="E19" s="57" t="str">
        <f t="shared" si="0"/>
        <v>USDOIS1Y_LCHQuote</v>
      </c>
      <c r="F19" s="41" t="str">
        <f>_xll.qlSimpleQuote(Currency&amp;$C19&amp;$D19&amp;QuoteSuffix,,RateTickValue,Permanent,Trigger,ObjectOverwrite)</f>
        <v>USDOIS1Y_LCHQuote#0002</v>
      </c>
      <c r="G19" s="158" t="str">
        <f>_xll.ohRangeRetrieveError(F19)</f>
        <v/>
      </c>
      <c r="H19" s="115"/>
      <c r="J19" s="26"/>
      <c r="K19" s="29"/>
      <c r="L19" s="194" t="s">
        <v>5</v>
      </c>
      <c r="M19" s="127" t="s">
        <v>77</v>
      </c>
      <c r="N19" s="128" t="str">
        <f t="shared" si="1"/>
        <v>USD1YOIS</v>
      </c>
      <c r="O19" s="128" t="str">
        <v>USD1YOIS=TTKL</v>
      </c>
      <c r="P19" s="370">
        <v>0.44800000000000006</v>
      </c>
      <c r="Q19" s="370">
        <v>0.47800000000000004</v>
      </c>
      <c r="R19" s="35">
        <f t="shared" si="3"/>
        <v>0.46300000000000008</v>
      </c>
      <c r="S19" s="35">
        <f t="shared" si="4"/>
        <v>2.9999999999999971E-2</v>
      </c>
      <c r="T19" s="139"/>
      <c r="U19" s="141">
        <v>0.45999999999999996</v>
      </c>
      <c r="V19" s="139"/>
      <c r="W19" s="35">
        <v>0.46300000000000008</v>
      </c>
      <c r="X19" s="132" t="e">
        <f>_xll.qlSimpleQuoteSetValue(F19,W19/100,Trigger)</f>
        <v>#N/A</v>
      </c>
      <c r="Y19" s="27"/>
    </row>
    <row r="20" spans="1:25" x14ac:dyDescent="0.2">
      <c r="A20" s="26"/>
      <c r="B20" s="41"/>
      <c r="C20" s="41" t="s">
        <v>77</v>
      </c>
      <c r="D20" s="41" t="str">
        <f t="shared" si="2"/>
        <v>13M</v>
      </c>
      <c r="E20" s="57" t="str">
        <f t="shared" si="0"/>
        <v>USDOIS13M_LCHQuote</v>
      </c>
      <c r="F20" s="41" t="str">
        <f>_xll.qlSimpleQuote(Currency&amp;$C20&amp;$D20&amp;QuoteSuffix,,RateTickValue,Permanent,Trigger,ObjectOverwrite)</f>
        <v>USDOIS13M_LCHQuote#0002</v>
      </c>
      <c r="G20" s="158" t="str">
        <f>_xll.ohRangeRetrieveError(F20)</f>
        <v/>
      </c>
      <c r="H20" s="115"/>
      <c r="J20" s="26"/>
      <c r="K20" s="29"/>
      <c r="L20" s="194" t="s">
        <v>94</v>
      </c>
      <c r="M20" s="127" t="s">
        <v>77</v>
      </c>
      <c r="N20" s="128" t="str">
        <f t="shared" si="1"/>
        <v>USD13MOIS</v>
      </c>
      <c r="O20" s="128" t="str">
        <v>USD13MOIS=TTKL</v>
      </c>
      <c r="P20" s="370">
        <v>0.47400000000000003</v>
      </c>
      <c r="Q20" s="370">
        <v>0.504</v>
      </c>
      <c r="R20" s="35">
        <f t="shared" si="3"/>
        <v>0.48899999999999999</v>
      </c>
      <c r="S20" s="35">
        <f t="shared" si="4"/>
        <v>2.9999999999999971E-2</v>
      </c>
      <c r="T20" s="139"/>
      <c r="U20" s="141">
        <v>0.48599999999999999</v>
      </c>
      <c r="V20" s="139"/>
      <c r="W20" s="35">
        <v>0.48899999999999999</v>
      </c>
      <c r="X20" s="132" t="e">
        <f>_xll.qlSimpleQuoteSetValue(F20,W20/100,Trigger)</f>
        <v>#N/A</v>
      </c>
      <c r="Y20" s="27"/>
    </row>
    <row r="21" spans="1:25" x14ac:dyDescent="0.2">
      <c r="A21" s="26"/>
      <c r="B21" s="41"/>
      <c r="C21" s="41" t="s">
        <v>77</v>
      </c>
      <c r="D21" s="41" t="str">
        <f t="shared" si="2"/>
        <v>14M</v>
      </c>
      <c r="E21" s="57" t="str">
        <f t="shared" si="0"/>
        <v>USDOIS14M_LCHQuote</v>
      </c>
      <c r="F21" s="41" t="str">
        <f>_xll.qlSimpleQuote(Currency&amp;$C21&amp;$D21&amp;QuoteSuffix,,RateTickValue,Permanent,Trigger,ObjectOverwrite)</f>
        <v>USDOIS14M_LCHQuote#0002</v>
      </c>
      <c r="G21" s="158" t="str">
        <f>_xll.ohRangeRetrieveError(F21)</f>
        <v/>
      </c>
      <c r="H21" s="115"/>
      <c r="J21" s="26"/>
      <c r="K21" s="29"/>
      <c r="L21" s="194" t="s">
        <v>93</v>
      </c>
      <c r="M21" s="127" t="s">
        <v>77</v>
      </c>
      <c r="N21" s="128" t="str">
        <f t="shared" si="1"/>
        <v>USD14MOIS</v>
      </c>
      <c r="O21" s="128" t="str">
        <v>USD14MOIS=TTKL</v>
      </c>
      <c r="P21" s="370">
        <v>0.497</v>
      </c>
      <c r="Q21" s="370">
        <v>0.52699999999999991</v>
      </c>
      <c r="R21" s="35">
        <f t="shared" si="3"/>
        <v>0.51200000000000001</v>
      </c>
      <c r="S21" s="35">
        <f t="shared" si="4"/>
        <v>2.9999999999999916E-2</v>
      </c>
      <c r="T21" s="139"/>
      <c r="U21" s="141">
        <v>0.50800000000000001</v>
      </c>
      <c r="V21" s="139"/>
      <c r="W21" s="35">
        <v>0.51200000000000001</v>
      </c>
      <c r="X21" s="132" t="e">
        <f>_xll.qlSimpleQuoteSetValue(F21,W21/100,Trigger)</f>
        <v>#N/A</v>
      </c>
      <c r="Y21" s="27"/>
    </row>
    <row r="22" spans="1:25" x14ac:dyDescent="0.2">
      <c r="A22" s="26"/>
      <c r="B22" s="41"/>
      <c r="C22" s="41" t="s">
        <v>77</v>
      </c>
      <c r="D22" s="41" t="str">
        <f t="shared" si="2"/>
        <v>15M</v>
      </c>
      <c r="E22" s="57" t="str">
        <f t="shared" si="0"/>
        <v>USDOIS15M_LCHQuote</v>
      </c>
      <c r="F22" s="41" t="str">
        <f>_xll.qlSimpleQuote(Currency&amp;$C22&amp;$D22&amp;QuoteSuffix,,RateTickValue,Permanent,Trigger,ObjectOverwrite)</f>
        <v>USDOIS15M_LCHQuote#0002</v>
      </c>
      <c r="G22" s="158" t="str">
        <f>_xll.ohRangeRetrieveError(F22)</f>
        <v/>
      </c>
      <c r="H22" s="115"/>
      <c r="J22" s="26"/>
      <c r="K22" s="29"/>
      <c r="L22" s="194" t="s">
        <v>68</v>
      </c>
      <c r="M22" s="127" t="s">
        <v>77</v>
      </c>
      <c r="N22" s="128" t="str">
        <f t="shared" si="1"/>
        <v>USD15MOIS</v>
      </c>
      <c r="O22" s="128" t="str">
        <v>USD15MOIS=TTKL</v>
      </c>
      <c r="P22" s="370">
        <v>0.52100000000000002</v>
      </c>
      <c r="Q22" s="370">
        <v>0.55099999999999993</v>
      </c>
      <c r="R22" s="35">
        <f t="shared" si="3"/>
        <v>0.53600000000000003</v>
      </c>
      <c r="S22" s="35">
        <f t="shared" si="4"/>
        <v>2.9999999999999916E-2</v>
      </c>
      <c r="T22" s="139"/>
      <c r="U22" s="141">
        <v>0.53200000000000003</v>
      </c>
      <c r="V22" s="139"/>
      <c r="W22" s="35">
        <v>0.53600000000000003</v>
      </c>
      <c r="X22" s="132" t="e">
        <f>_xll.qlSimpleQuoteSetValue(F22,W22/100,Trigger)</f>
        <v>#N/A</v>
      </c>
      <c r="Y22" s="27"/>
    </row>
    <row r="23" spans="1:25" x14ac:dyDescent="0.2">
      <c r="A23" s="26"/>
      <c r="B23" s="41"/>
      <c r="C23" s="41" t="s">
        <v>77</v>
      </c>
      <c r="D23" s="41" t="str">
        <f t="shared" si="2"/>
        <v>16M</v>
      </c>
      <c r="E23" s="57" t="str">
        <f t="shared" si="0"/>
        <v>USDOIS16M_LCHQuote</v>
      </c>
      <c r="F23" s="41" t="str">
        <f>_xll.qlSimpleQuote(Currency&amp;$C23&amp;$D23&amp;QuoteSuffix,,RateTickValue,Permanent,Trigger,ObjectOverwrite)</f>
        <v>USDOIS16M_LCHQuote#0002</v>
      </c>
      <c r="G23" s="158" t="str">
        <f>_xll.ohRangeRetrieveError(F23)</f>
        <v/>
      </c>
      <c r="H23" s="115"/>
      <c r="J23" s="26"/>
      <c r="K23" s="29"/>
      <c r="L23" s="194" t="s">
        <v>92</v>
      </c>
      <c r="M23" s="127" t="s">
        <v>77</v>
      </c>
      <c r="N23" s="128" t="str">
        <f t="shared" si="1"/>
        <v>USD16MOIS</v>
      </c>
      <c r="O23" s="128" t="str">
        <v>USD16MOIS=TTKL</v>
      </c>
      <c r="P23" s="370">
        <v>0.54299999999999993</v>
      </c>
      <c r="Q23" s="370">
        <v>0.57300000000000006</v>
      </c>
      <c r="R23" s="35">
        <f t="shared" si="3"/>
        <v>0.55800000000000005</v>
      </c>
      <c r="S23" s="35">
        <f t="shared" si="4"/>
        <v>3.0000000000000138E-2</v>
      </c>
      <c r="T23" s="139"/>
      <c r="U23" s="141">
        <v>0.55400000000000005</v>
      </c>
      <c r="V23" s="139"/>
      <c r="W23" s="35">
        <v>0.55800000000000005</v>
      </c>
      <c r="X23" s="132" t="e">
        <f>_xll.qlSimpleQuoteSetValue(F23,W23/100,Trigger)</f>
        <v>#N/A</v>
      </c>
      <c r="Y23" s="27"/>
    </row>
    <row r="24" spans="1:25" x14ac:dyDescent="0.2">
      <c r="A24" s="26"/>
      <c r="B24" s="41"/>
      <c r="C24" s="41" t="s">
        <v>77</v>
      </c>
      <c r="D24" s="41" t="str">
        <f t="shared" si="2"/>
        <v>17M</v>
      </c>
      <c r="E24" s="57" t="str">
        <f t="shared" si="0"/>
        <v>USDOIS17M_LCHQuote</v>
      </c>
      <c r="F24" s="41" t="str">
        <f>_xll.qlSimpleQuote(Currency&amp;$C24&amp;$D24&amp;QuoteSuffix,,RateTickValue,Permanent,Trigger,ObjectOverwrite)</f>
        <v>USDOIS17M_LCHQuote#0002</v>
      </c>
      <c r="G24" s="158" t="str">
        <f>_xll.ohRangeRetrieveError(F24)</f>
        <v/>
      </c>
      <c r="H24" s="115"/>
      <c r="J24" s="26"/>
      <c r="K24" s="29"/>
      <c r="L24" s="194" t="s">
        <v>91</v>
      </c>
      <c r="M24" s="127" t="s">
        <v>77</v>
      </c>
      <c r="N24" s="128" t="str">
        <f t="shared" si="1"/>
        <v>USD17MOIS</v>
      </c>
      <c r="O24" s="128" t="str">
        <v>USD17MOIS=TTKL</v>
      </c>
      <c r="P24" s="370">
        <v>0.56799999999999995</v>
      </c>
      <c r="Q24" s="370">
        <v>0.59800000000000009</v>
      </c>
      <c r="R24" s="35">
        <f t="shared" si="3"/>
        <v>0.58299999999999996</v>
      </c>
      <c r="S24" s="35">
        <f t="shared" si="4"/>
        <v>3.0000000000000138E-2</v>
      </c>
      <c r="T24" s="139"/>
      <c r="U24" s="141">
        <v>0.57899999999999996</v>
      </c>
      <c r="V24" s="139"/>
      <c r="W24" s="35">
        <v>0.58299999999999996</v>
      </c>
      <c r="X24" s="132" t="e">
        <f>_xll.qlSimpleQuoteSetValue(F24,W24/100,Trigger)</f>
        <v>#N/A</v>
      </c>
      <c r="Y24" s="27"/>
    </row>
    <row r="25" spans="1:25" x14ac:dyDescent="0.2">
      <c r="A25" s="26"/>
      <c r="B25" s="41"/>
      <c r="C25" s="41" t="s">
        <v>77</v>
      </c>
      <c r="D25" s="41" t="str">
        <f t="shared" si="2"/>
        <v>18M</v>
      </c>
      <c r="E25" s="57" t="str">
        <f t="shared" si="0"/>
        <v>USDOIS18M_LCHQuote</v>
      </c>
      <c r="F25" s="41" t="str">
        <f>_xll.qlSimpleQuote(Currency&amp;$C25&amp;$D25&amp;QuoteSuffix,,RateTickValue,Permanent,Trigger,ObjectOverwrite)</f>
        <v>USDOIS18M_LCHQuote#0002</v>
      </c>
      <c r="G25" s="158" t="str">
        <f>_xll.ohRangeRetrieveError(F25)</f>
        <v/>
      </c>
      <c r="H25" s="115"/>
      <c r="J25" s="26"/>
      <c r="K25" s="29"/>
      <c r="L25" s="194" t="s">
        <v>67</v>
      </c>
      <c r="M25" s="127" t="s">
        <v>77</v>
      </c>
      <c r="N25" s="128" t="str">
        <f t="shared" si="1"/>
        <v>USD18MOIS</v>
      </c>
      <c r="O25" s="128" t="str">
        <v>USD18MOIS=TTKL</v>
      </c>
      <c r="P25" s="370">
        <v>0.59199999999999997</v>
      </c>
      <c r="Q25" s="370">
        <v>0.622</v>
      </c>
      <c r="R25" s="35">
        <f t="shared" si="3"/>
        <v>0.60699999999999998</v>
      </c>
      <c r="S25" s="35">
        <f t="shared" si="4"/>
        <v>3.0000000000000027E-2</v>
      </c>
      <c r="T25" s="139"/>
      <c r="U25" s="141">
        <v>0.60299999999999998</v>
      </c>
      <c r="V25" s="139"/>
      <c r="W25" s="35">
        <v>0.60699999999999998</v>
      </c>
      <c r="X25" s="132" t="e">
        <f>_xll.qlSimpleQuoteSetValue(F25,W25/100,Trigger)</f>
        <v>#N/A</v>
      </c>
      <c r="Y25" s="27"/>
    </row>
    <row r="26" spans="1:25" x14ac:dyDescent="0.2">
      <c r="A26" s="26"/>
      <c r="B26" s="41"/>
      <c r="C26" s="41" t="s">
        <v>77</v>
      </c>
      <c r="D26" s="41" t="str">
        <f t="shared" si="2"/>
        <v>19M</v>
      </c>
      <c r="E26" s="57" t="str">
        <f t="shared" si="0"/>
        <v>USDOIS19M_LCHQuote</v>
      </c>
      <c r="F26" s="41" t="str">
        <f>_xll.qlSimpleQuote(Currency&amp;$C26&amp;$D26&amp;QuoteSuffix,,RateTickValue,Permanent,Trigger,ObjectOverwrite)</f>
        <v>USDOIS19M_LCHQuote#0002</v>
      </c>
      <c r="G26" s="158" t="str">
        <f>_xll.ohRangeRetrieveError(F26)</f>
        <v/>
      </c>
      <c r="H26" s="115"/>
      <c r="J26" s="26"/>
      <c r="K26" s="29"/>
      <c r="L26" s="194" t="s">
        <v>90</v>
      </c>
      <c r="M26" s="127" t="s">
        <v>77</v>
      </c>
      <c r="N26" s="128" t="str">
        <f t="shared" si="1"/>
        <v>USD19MOIS</v>
      </c>
      <c r="O26" s="128" t="str">
        <v>USD19MOIS=TTKL</v>
      </c>
      <c r="P26" s="370">
        <v>0.61899999999999999</v>
      </c>
      <c r="Q26" s="370">
        <v>0.64900000000000002</v>
      </c>
      <c r="R26" s="35">
        <f t="shared" si="3"/>
        <v>0.63400000000000001</v>
      </c>
      <c r="S26" s="35">
        <f t="shared" si="4"/>
        <v>3.0000000000000027E-2</v>
      </c>
      <c r="T26" s="139"/>
      <c r="U26" s="141">
        <v>0.629</v>
      </c>
      <c r="V26" s="139"/>
      <c r="W26" s="35">
        <v>0.63400000000000001</v>
      </c>
      <c r="X26" s="132" t="e">
        <f>_xll.qlSimpleQuoteSetValue(F26,W26/100,Trigger)</f>
        <v>#N/A</v>
      </c>
      <c r="Y26" s="27"/>
    </row>
    <row r="27" spans="1:25" x14ac:dyDescent="0.2">
      <c r="A27" s="26"/>
      <c r="B27" s="41"/>
      <c r="C27" s="41" t="s">
        <v>77</v>
      </c>
      <c r="D27" s="41" t="str">
        <f t="shared" si="2"/>
        <v>20M</v>
      </c>
      <c r="E27" s="57" t="str">
        <f t="shared" si="0"/>
        <v>USDOIS20M_LCHQuote</v>
      </c>
      <c r="F27" s="41" t="str">
        <f>_xll.qlSimpleQuote(Currency&amp;$C27&amp;$D27&amp;QuoteSuffix,,RateTickValue,Permanent,Trigger,ObjectOverwrite)</f>
        <v>USDOIS20M_LCHQuote#0002</v>
      </c>
      <c r="G27" s="158" t="str">
        <f>_xll.ohRangeRetrieveError(F27)</f>
        <v/>
      </c>
      <c r="H27" s="115"/>
      <c r="J27" s="26"/>
      <c r="K27" s="29"/>
      <c r="L27" s="194" t="s">
        <v>89</v>
      </c>
      <c r="M27" s="127" t="s">
        <v>77</v>
      </c>
      <c r="N27" s="128" t="str">
        <f t="shared" si="1"/>
        <v>USD20MOIS</v>
      </c>
      <c r="O27" s="128" t="str">
        <v>USD20MOIS=TTKL</v>
      </c>
      <c r="P27" s="370">
        <v>0.64100000000000001</v>
      </c>
      <c r="Q27" s="370">
        <v>0.67100000000000004</v>
      </c>
      <c r="R27" s="35">
        <f t="shared" si="3"/>
        <v>0.65600000000000003</v>
      </c>
      <c r="S27" s="35">
        <f t="shared" si="4"/>
        <v>3.0000000000000027E-2</v>
      </c>
      <c r="T27" s="139"/>
      <c r="U27" s="141">
        <v>0.65200000000000002</v>
      </c>
      <c r="V27" s="139"/>
      <c r="W27" s="35">
        <v>0.65600000000000003</v>
      </c>
      <c r="X27" s="132" t="e">
        <f>_xll.qlSimpleQuoteSetValue(F27,W27/100,Trigger)</f>
        <v>#N/A</v>
      </c>
      <c r="Y27" s="27"/>
    </row>
    <row r="28" spans="1:25" x14ac:dyDescent="0.2">
      <c r="A28" s="26"/>
      <c r="B28" s="41"/>
      <c r="C28" s="41" t="s">
        <v>77</v>
      </c>
      <c r="D28" s="41" t="str">
        <f t="shared" si="2"/>
        <v>21M</v>
      </c>
      <c r="E28" s="57" t="str">
        <f t="shared" si="0"/>
        <v>USDOIS21M_LCHQuote</v>
      </c>
      <c r="F28" s="41" t="str">
        <f>_xll.qlSimpleQuote(Currency&amp;$C28&amp;$D28&amp;QuoteSuffix,,RateTickValue,Permanent,Trigger,ObjectOverwrite)</f>
        <v>USDOIS21M_LCHQuote#0002</v>
      </c>
      <c r="G28" s="158" t="str">
        <f>_xll.ohRangeRetrieveError(F28)</f>
        <v/>
      </c>
      <c r="H28" s="115"/>
      <c r="J28" s="26"/>
      <c r="K28" s="29"/>
      <c r="L28" s="194" t="s">
        <v>66</v>
      </c>
      <c r="M28" s="127" t="s">
        <v>77</v>
      </c>
      <c r="N28" s="128" t="str">
        <f t="shared" si="1"/>
        <v>USD21MOIS</v>
      </c>
      <c r="O28" s="128" t="str">
        <v>USD21MOIS=TTKL</v>
      </c>
      <c r="P28" s="370">
        <v>0.66500000000000004</v>
      </c>
      <c r="Q28" s="370">
        <v>0.69500000000000006</v>
      </c>
      <c r="R28" s="35">
        <f t="shared" si="3"/>
        <v>0.68</v>
      </c>
      <c r="S28" s="35">
        <f t="shared" si="4"/>
        <v>3.0000000000000027E-2</v>
      </c>
      <c r="T28" s="139"/>
      <c r="U28" s="141">
        <v>0.67600000000000005</v>
      </c>
      <c r="V28" s="139"/>
      <c r="W28" s="35">
        <v>0.68</v>
      </c>
      <c r="X28" s="132" t="e">
        <f>_xll.qlSimpleQuoteSetValue(F28,W28/100,Trigger)</f>
        <v>#N/A</v>
      </c>
      <c r="Y28" s="27"/>
    </row>
    <row r="29" spans="1:25" x14ac:dyDescent="0.2">
      <c r="A29" s="26"/>
      <c r="B29" s="41"/>
      <c r="C29" s="41" t="s">
        <v>77</v>
      </c>
      <c r="D29" s="41" t="str">
        <f t="shared" si="2"/>
        <v>22M</v>
      </c>
      <c r="E29" s="57" t="str">
        <f t="shared" si="0"/>
        <v>USDOIS22M_LCHQuote</v>
      </c>
      <c r="F29" s="41" t="str">
        <f>_xll.qlSimpleQuote(Currency&amp;$C29&amp;$D29&amp;QuoteSuffix,,RateTickValue,Permanent,Trigger,ObjectOverwrite)</f>
        <v>USDOIS22M_LCHQuote#0002</v>
      </c>
      <c r="G29" s="158" t="str">
        <f>_xll.ohRangeRetrieveError(F29)</f>
        <v/>
      </c>
      <c r="H29" s="115"/>
      <c r="J29" s="26"/>
      <c r="K29" s="29"/>
      <c r="L29" s="194" t="s">
        <v>88</v>
      </c>
      <c r="M29" s="127" t="s">
        <v>77</v>
      </c>
      <c r="N29" s="128" t="str">
        <f t="shared" si="1"/>
        <v>USD22MOIS</v>
      </c>
      <c r="O29" s="128" t="str">
        <v>USD22MOIS=TTKL</v>
      </c>
      <c r="P29" s="370">
        <v>0.69000000000000006</v>
      </c>
      <c r="Q29" s="370">
        <v>0.72</v>
      </c>
      <c r="R29" s="35">
        <f t="shared" si="3"/>
        <v>0.70500000000000007</v>
      </c>
      <c r="S29" s="35">
        <f t="shared" si="4"/>
        <v>2.9999999999999916E-2</v>
      </c>
      <c r="T29" s="139"/>
      <c r="U29" s="141">
        <v>0.70100000000000007</v>
      </c>
      <c r="V29" s="139"/>
      <c r="W29" s="35">
        <v>0.70500000000000007</v>
      </c>
      <c r="X29" s="132" t="e">
        <f>_xll.qlSimpleQuoteSetValue(F29,W29/100,Trigger)</f>
        <v>#N/A</v>
      </c>
      <c r="Y29" s="27"/>
    </row>
    <row r="30" spans="1:25" x14ac:dyDescent="0.2">
      <c r="A30" s="26"/>
      <c r="B30" s="41"/>
      <c r="C30" s="41" t="s">
        <v>77</v>
      </c>
      <c r="D30" s="41" t="str">
        <f t="shared" si="2"/>
        <v>23M</v>
      </c>
      <c r="E30" s="57" t="str">
        <f t="shared" si="0"/>
        <v>USDOIS23M_LCHQuote</v>
      </c>
      <c r="F30" s="41" t="str">
        <f>_xll.qlSimpleQuote(Currency&amp;$C30&amp;$D30&amp;QuoteSuffix,,RateTickValue,Permanent,Trigger,ObjectOverwrite)</f>
        <v>USDOIS23M_LCHQuote#0002</v>
      </c>
      <c r="G30" s="158" t="str">
        <f>_xll.ohRangeRetrieveError(F30)</f>
        <v/>
      </c>
      <c r="H30" s="115"/>
      <c r="J30" s="26"/>
      <c r="K30" s="29"/>
      <c r="L30" s="194" t="s">
        <v>87</v>
      </c>
      <c r="M30" s="127" t="s">
        <v>77</v>
      </c>
      <c r="N30" s="128" t="str">
        <f t="shared" si="1"/>
        <v>USD23MOIS</v>
      </c>
      <c r="O30" s="128" t="str">
        <v>USD23MOIS=TTKL</v>
      </c>
      <c r="P30" s="370">
        <v>0.71299999999999997</v>
      </c>
      <c r="Q30" s="370">
        <v>0.74299999999999999</v>
      </c>
      <c r="R30" s="35">
        <f t="shared" si="3"/>
        <v>0.72799999999999998</v>
      </c>
      <c r="S30" s="35">
        <f t="shared" si="4"/>
        <v>3.0000000000000027E-2</v>
      </c>
      <c r="T30" s="139"/>
      <c r="U30" s="141">
        <v>0.72399999999999998</v>
      </c>
      <c r="V30" s="139"/>
      <c r="W30" s="35">
        <v>0.72799999999999998</v>
      </c>
      <c r="X30" s="132" t="e">
        <f>_xll.qlSimpleQuoteSetValue(F30,W30/100,Trigger)</f>
        <v>#N/A</v>
      </c>
      <c r="Y30" s="27"/>
    </row>
    <row r="31" spans="1:25" x14ac:dyDescent="0.2">
      <c r="A31" s="26"/>
      <c r="B31" s="41"/>
      <c r="C31" s="41" t="s">
        <v>77</v>
      </c>
      <c r="D31" s="41" t="str">
        <f t="shared" si="2"/>
        <v>2Y</v>
      </c>
      <c r="E31" s="57" t="str">
        <f t="shared" si="0"/>
        <v>USDOIS2Y_LCHQuote</v>
      </c>
      <c r="F31" s="41" t="str">
        <f>_xll.qlSimpleQuote(Currency&amp;$C31&amp;$D31&amp;QuoteSuffix,,RateTickValue,Permanent,Trigger,ObjectOverwrite)</f>
        <v>USDOIS2Y_LCHQuote#0002</v>
      </c>
      <c r="G31" s="158" t="str">
        <f>_xll.ohRangeRetrieveError(F31)</f>
        <v/>
      </c>
      <c r="H31" s="115"/>
      <c r="J31" s="26"/>
      <c r="K31" s="29"/>
      <c r="L31" s="194" t="s">
        <v>56</v>
      </c>
      <c r="M31" s="127" t="s">
        <v>77</v>
      </c>
      <c r="N31" s="128" t="str">
        <f t="shared" si="1"/>
        <v>USD2YOIS</v>
      </c>
      <c r="O31" s="128" t="str">
        <v>USD2YOIS=TTKL</v>
      </c>
      <c r="P31" s="370">
        <v>0.73699999999999999</v>
      </c>
      <c r="Q31" s="370">
        <v>0.76700000000000002</v>
      </c>
      <c r="R31" s="35">
        <f t="shared" si="3"/>
        <v>0.752</v>
      </c>
      <c r="S31" s="35">
        <f t="shared" si="4"/>
        <v>3.0000000000000027E-2</v>
      </c>
      <c r="T31" s="139"/>
      <c r="U31" s="141">
        <v>0.747</v>
      </c>
      <c r="V31" s="139"/>
      <c r="W31" s="35">
        <v>0.752</v>
      </c>
      <c r="X31" s="132" t="e">
        <f>_xll.qlSimpleQuoteSetValue(F31,W31/100,Trigger)</f>
        <v>#N/A</v>
      </c>
      <c r="Y31" s="27"/>
    </row>
    <row r="32" spans="1:25" x14ac:dyDescent="0.2">
      <c r="A32" s="26"/>
      <c r="B32" s="41"/>
      <c r="C32" s="41" t="s">
        <v>77</v>
      </c>
      <c r="D32" s="41" t="str">
        <f t="shared" si="2"/>
        <v>27M</v>
      </c>
      <c r="E32" s="57" t="str">
        <f t="shared" si="0"/>
        <v>USDOIS27M_LCHQuote</v>
      </c>
      <c r="F32" s="41" t="str">
        <f>_xll.qlSimpleQuote(Currency&amp;$C32&amp;$D32&amp;QuoteSuffix,,RateTickValue,Permanent,Trigger,ObjectOverwrite)</f>
        <v>USDOIS27M_LCHQuote#0002</v>
      </c>
      <c r="G32" s="158" t="str">
        <f>_xll.ohRangeRetrieveError(F32)</f>
        <v/>
      </c>
      <c r="H32" s="115"/>
      <c r="J32" s="26"/>
      <c r="K32" s="29"/>
      <c r="L32" s="194" t="s">
        <v>86</v>
      </c>
      <c r="M32" s="127" t="s">
        <v>77</v>
      </c>
      <c r="N32" s="128" t="str">
        <f t="shared" si="1"/>
        <v>USD27MOIS</v>
      </c>
      <c r="O32" s="128" t="str">
        <v>USD27MOIS=TTKL</v>
      </c>
      <c r="P32" s="370">
        <v>0.79900000000000004</v>
      </c>
      <c r="Q32" s="370">
        <v>0.84899999999999998</v>
      </c>
      <c r="R32" s="35">
        <f t="shared" si="3"/>
        <v>0.82400000000000007</v>
      </c>
      <c r="S32" s="35">
        <f t="shared" si="4"/>
        <v>4.9999999999999933E-2</v>
      </c>
      <c r="T32" s="139"/>
      <c r="U32" s="141">
        <v>0.82000000000000006</v>
      </c>
      <c r="V32" s="139"/>
      <c r="W32" s="35">
        <v>0.82400000000000007</v>
      </c>
      <c r="X32" s="132" t="e">
        <f>_xll.qlSimpleQuoteSetValue(F32,W32/100,Trigger)</f>
        <v>#N/A</v>
      </c>
      <c r="Y32" s="27"/>
    </row>
    <row r="33" spans="1:25" x14ac:dyDescent="0.2">
      <c r="A33" s="26"/>
      <c r="B33" s="41"/>
      <c r="C33" s="41" t="s">
        <v>77</v>
      </c>
      <c r="D33" s="41" t="str">
        <f t="shared" si="2"/>
        <v>30M</v>
      </c>
      <c r="E33" s="57" t="str">
        <f t="shared" si="0"/>
        <v>USDOIS30M_LCHQuote</v>
      </c>
      <c r="F33" s="41" t="str">
        <f>_xll.qlSimpleQuote(Currency&amp;$C33&amp;$D33&amp;QuoteSuffix,,RateTickValue,Permanent,Trigger,ObjectOverwrite)</f>
        <v>USDOIS30M_LCHQuote#0002</v>
      </c>
      <c r="G33" s="158" t="str">
        <f>_xll.ohRangeRetrieveError(F33)</f>
        <v/>
      </c>
      <c r="H33" s="115"/>
      <c r="J33" s="26"/>
      <c r="K33" s="29"/>
      <c r="L33" s="194" t="s">
        <v>85</v>
      </c>
      <c r="M33" s="127" t="s">
        <v>77</v>
      </c>
      <c r="N33" s="128" t="str">
        <f t="shared" si="1"/>
        <v>USD30MOIS</v>
      </c>
      <c r="O33" s="128" t="str">
        <v>USD30MOIS=TTKL</v>
      </c>
      <c r="P33" s="370">
        <v>0.86199999999999988</v>
      </c>
      <c r="Q33" s="370">
        <v>0.91199999999999992</v>
      </c>
      <c r="R33" s="35">
        <f t="shared" si="3"/>
        <v>0.8869999999999999</v>
      </c>
      <c r="S33" s="35">
        <f t="shared" si="4"/>
        <v>5.0000000000000044E-2</v>
      </c>
      <c r="T33" s="139"/>
      <c r="U33" s="141">
        <v>0.88200000000000001</v>
      </c>
      <c r="V33" s="139"/>
      <c r="W33" s="35">
        <v>0.8869999999999999</v>
      </c>
      <c r="X33" s="132" t="e">
        <f>_xll.qlSimpleQuoteSetValue(F33,W33/100,Trigger)</f>
        <v>#N/A</v>
      </c>
      <c r="Y33" s="27"/>
    </row>
    <row r="34" spans="1:25" x14ac:dyDescent="0.2">
      <c r="A34" s="26"/>
      <c r="B34" s="41"/>
      <c r="C34" s="41" t="s">
        <v>77</v>
      </c>
      <c r="D34" s="41" t="str">
        <f t="shared" si="2"/>
        <v>33M</v>
      </c>
      <c r="E34" s="57" t="str">
        <f t="shared" si="0"/>
        <v>USDOIS33M_LCHQuote</v>
      </c>
      <c r="F34" s="41" t="str">
        <f>_xll.qlSimpleQuote(Currency&amp;$C34&amp;$D34&amp;QuoteSuffix,,RateTickValue,Permanent,Trigger,ObjectOverwrite)</f>
        <v>USDOIS33M_LCHQuote#0002</v>
      </c>
      <c r="G34" s="158" t="str">
        <f>_xll.ohRangeRetrieveError(F34)</f>
        <v/>
      </c>
      <c r="H34" s="115"/>
      <c r="J34" s="26"/>
      <c r="K34" s="29"/>
      <c r="L34" s="194" t="s">
        <v>84</v>
      </c>
      <c r="M34" s="127" t="s">
        <v>77</v>
      </c>
      <c r="N34" s="128" t="str">
        <f t="shared" si="1"/>
        <v>USD33MOIS</v>
      </c>
      <c r="O34" s="128" t="str">
        <v>USD33MOIS=TTKL</v>
      </c>
      <c r="P34" s="370">
        <v>0.92500000000000004</v>
      </c>
      <c r="Q34" s="370">
        <v>0.97499999999999998</v>
      </c>
      <c r="R34" s="35">
        <f t="shared" si="3"/>
        <v>0.95</v>
      </c>
      <c r="S34" s="35">
        <f t="shared" si="4"/>
        <v>4.9999999999999933E-2</v>
      </c>
      <c r="T34" s="139"/>
      <c r="U34" s="141">
        <v>0.94499999999999995</v>
      </c>
      <c r="V34" s="139"/>
      <c r="W34" s="35">
        <v>0.95</v>
      </c>
      <c r="X34" s="132" t="e">
        <f>_xll.qlSimpleQuoteSetValue(F34,W34/100,Trigger)</f>
        <v>#N/A</v>
      </c>
      <c r="Y34" s="27"/>
    </row>
    <row r="35" spans="1:25" x14ac:dyDescent="0.2">
      <c r="A35" s="26"/>
      <c r="B35" s="41"/>
      <c r="C35" s="41" t="s">
        <v>77</v>
      </c>
      <c r="D35" s="41" t="str">
        <f t="shared" si="2"/>
        <v>3Y</v>
      </c>
      <c r="E35" s="57" t="str">
        <f t="shared" si="0"/>
        <v>USDOIS3Y_LCHQuote</v>
      </c>
      <c r="F35" s="41" t="str">
        <f>_xll.qlSimpleQuote(Currency&amp;$C35&amp;$D35&amp;QuoteSuffix,,RateTickValue,Permanent,Trigger,ObjectOverwrite)</f>
        <v>USDOIS3Y_LCHQuote#0002</v>
      </c>
      <c r="G35" s="158" t="str">
        <f>_xll.ohRangeRetrieveError(F35)</f>
        <v/>
      </c>
      <c r="H35" s="115"/>
      <c r="J35" s="26"/>
      <c r="K35" s="29"/>
      <c r="L35" s="194" t="s">
        <v>55</v>
      </c>
      <c r="M35" s="127" t="s">
        <v>77</v>
      </c>
      <c r="N35" s="128" t="str">
        <f t="shared" si="1"/>
        <v>USD3YOIS</v>
      </c>
      <c r="O35" s="128" t="str">
        <v>USD3YOIS=TTKL</v>
      </c>
      <c r="P35" s="370">
        <v>0.98599999999999999</v>
      </c>
      <c r="Q35" s="370">
        <v>1.036</v>
      </c>
      <c r="R35" s="35">
        <f t="shared" si="3"/>
        <v>1.0110000000000001</v>
      </c>
      <c r="S35" s="35">
        <f t="shared" si="4"/>
        <v>5.0000000000000044E-2</v>
      </c>
      <c r="T35" s="139"/>
      <c r="U35" s="141">
        <v>1.006</v>
      </c>
      <c r="V35" s="139"/>
      <c r="W35" s="35">
        <v>1.0110000000000001</v>
      </c>
      <c r="X35" s="132" t="e">
        <f>_xll.qlSimpleQuoteSetValue(F35,W35/100,Trigger)</f>
        <v>#N/A</v>
      </c>
      <c r="Y35" s="27"/>
    </row>
    <row r="36" spans="1:25" x14ac:dyDescent="0.2">
      <c r="A36" s="26"/>
      <c r="B36" s="41"/>
      <c r="C36" s="41" t="s">
        <v>77</v>
      </c>
      <c r="D36" s="41" t="str">
        <f t="shared" si="2"/>
        <v>39M</v>
      </c>
      <c r="E36" s="57" t="str">
        <f t="shared" si="0"/>
        <v>USDOIS39M_LCHQuote</v>
      </c>
      <c r="F36" s="41" t="str">
        <f>_xll.qlSimpleQuote(Currency&amp;$C36&amp;$D36&amp;QuoteSuffix,,RateTickValue,Permanent,Trigger,ObjectOverwrite)</f>
        <v>USDOIS39M_LCHQuote#0002</v>
      </c>
      <c r="G36" s="158" t="str">
        <f>_xll.ohRangeRetrieveError(F36)</f>
        <v/>
      </c>
      <c r="H36" s="115"/>
      <c r="J36" s="26"/>
      <c r="K36" s="29"/>
      <c r="L36" s="194" t="s">
        <v>83</v>
      </c>
      <c r="M36" s="127" t="s">
        <v>77</v>
      </c>
      <c r="N36" s="128" t="str">
        <f t="shared" si="1"/>
        <v>USD39MOIS</v>
      </c>
      <c r="O36" s="128" t="str">
        <v>USD39MOIS=TTKL</v>
      </c>
      <c r="P36" s="370">
        <v>1.042</v>
      </c>
      <c r="Q36" s="370">
        <v>1.0920000000000001</v>
      </c>
      <c r="R36" s="35">
        <f t="shared" si="3"/>
        <v>1.0670000000000002</v>
      </c>
      <c r="S36" s="35">
        <f t="shared" si="4"/>
        <v>5.0000000000000044E-2</v>
      </c>
      <c r="T36" s="139"/>
      <c r="U36" s="141">
        <v>1.0619999999999998</v>
      </c>
      <c r="V36" s="139"/>
      <c r="W36" s="35">
        <v>1.0670000000000002</v>
      </c>
      <c r="X36" s="132" t="e">
        <f>_xll.qlSimpleQuoteSetValue(F36,W36/100,Trigger)</f>
        <v>#N/A</v>
      </c>
      <c r="Y36" s="27"/>
    </row>
    <row r="37" spans="1:25" x14ac:dyDescent="0.2">
      <c r="A37" s="26"/>
      <c r="B37" s="41"/>
      <c r="C37" s="41" t="s">
        <v>77</v>
      </c>
      <c r="D37" s="41" t="str">
        <f t="shared" si="2"/>
        <v>42M</v>
      </c>
      <c r="E37" s="57" t="str">
        <f t="shared" ref="E37:E58" si="5">Currency&amp;$C37&amp;$D37&amp;QuoteSuffix</f>
        <v>USDOIS42M_LCHQuote</v>
      </c>
      <c r="F37" s="41" t="str">
        <f>_xll.qlSimpleQuote(Currency&amp;$C37&amp;$D37&amp;QuoteSuffix,,RateTickValue,Permanent,Trigger,ObjectOverwrite)</f>
        <v>USDOIS42M_LCHQuote#0002</v>
      </c>
      <c r="G37" s="158" t="str">
        <f>_xll.ohRangeRetrieveError(F37)</f>
        <v/>
      </c>
      <c r="H37" s="115"/>
      <c r="J37" s="26"/>
      <c r="K37" s="29"/>
      <c r="L37" s="194" t="s">
        <v>82</v>
      </c>
      <c r="M37" s="127" t="s">
        <v>77</v>
      </c>
      <c r="N37" s="128" t="str">
        <f t="shared" ref="N37:N58" si="6">Currency&amp;$L37&amp;$M37</f>
        <v>USD42MOIS</v>
      </c>
      <c r="O37" s="128" t="str">
        <v>USD42MOIS=TTKL</v>
      </c>
      <c r="P37" s="370">
        <v>1.0880000000000001</v>
      </c>
      <c r="Q37" s="370">
        <v>1.1379999999999999</v>
      </c>
      <c r="R37" s="35">
        <f t="shared" si="3"/>
        <v>1.113</v>
      </c>
      <c r="S37" s="35">
        <f t="shared" si="4"/>
        <v>4.9999999999999822E-2</v>
      </c>
      <c r="T37" s="139"/>
      <c r="U37" s="141">
        <v>1.1099999999999999</v>
      </c>
      <c r="V37" s="139"/>
      <c r="W37" s="35">
        <v>1.113</v>
      </c>
      <c r="X37" s="132" t="e">
        <f>_xll.qlSimpleQuoteSetValue(F37,W37/100,Trigger)</f>
        <v>#N/A</v>
      </c>
      <c r="Y37" s="27"/>
    </row>
    <row r="38" spans="1:25" x14ac:dyDescent="0.2">
      <c r="A38" s="26"/>
      <c r="B38" s="41"/>
      <c r="C38" s="41" t="s">
        <v>77</v>
      </c>
      <c r="D38" s="41" t="str">
        <f t="shared" si="2"/>
        <v>45M</v>
      </c>
      <c r="E38" s="57" t="str">
        <f t="shared" si="5"/>
        <v>USDOIS45M_LCHQuote</v>
      </c>
      <c r="F38" s="41" t="str">
        <f>_xll.qlSimpleQuote(Currency&amp;$C38&amp;$D38&amp;QuoteSuffix,,RateTickValue,Permanent,Trigger,ObjectOverwrite)</f>
        <v>USDOIS45M_LCHQuote#0002</v>
      </c>
      <c r="G38" s="158" t="str">
        <f>_xll.ohRangeRetrieveError(F38)</f>
        <v/>
      </c>
      <c r="H38" s="115"/>
      <c r="J38" s="26"/>
      <c r="K38" s="29"/>
      <c r="L38" s="194" t="s">
        <v>81</v>
      </c>
      <c r="M38" s="127" t="s">
        <v>77</v>
      </c>
      <c r="N38" s="128" t="str">
        <f t="shared" si="6"/>
        <v>USD45MOIS</v>
      </c>
      <c r="O38" s="128" t="str">
        <v>USD45MOIS=TTKL</v>
      </c>
      <c r="P38" s="370">
        <v>1.1439999999999999</v>
      </c>
      <c r="Q38" s="370">
        <v>1.194</v>
      </c>
      <c r="R38" s="35">
        <f t="shared" si="3"/>
        <v>1.169</v>
      </c>
      <c r="S38" s="35">
        <f t="shared" si="4"/>
        <v>5.0000000000000044E-2</v>
      </c>
      <c r="T38" s="139"/>
      <c r="U38" s="141">
        <v>1.1629999999999998</v>
      </c>
      <c r="V38" s="139"/>
      <c r="W38" s="35">
        <v>1.169</v>
      </c>
      <c r="X38" s="132" t="e">
        <f>_xll.qlSimpleQuoteSetValue(F38,W38/100,Trigger)</f>
        <v>#N/A</v>
      </c>
      <c r="Y38" s="27"/>
    </row>
    <row r="39" spans="1:25" x14ac:dyDescent="0.2">
      <c r="A39" s="26"/>
      <c r="B39" s="41"/>
      <c r="C39" s="41" t="s">
        <v>77</v>
      </c>
      <c r="D39" s="41" t="str">
        <f t="shared" si="2"/>
        <v>4Y</v>
      </c>
      <c r="E39" s="57" t="str">
        <f t="shared" si="5"/>
        <v>USDOIS4Y_LCHQuote</v>
      </c>
      <c r="F39" s="41" t="str">
        <f>_xll.qlSimpleQuote(Currency&amp;$C39&amp;$D39&amp;QuoteSuffix,,RateTickValue,Permanent,Trigger,ObjectOverwrite)</f>
        <v>USDOIS4Y_LCHQuote#0002</v>
      </c>
      <c r="G39" s="158" t="str">
        <f>_xll.ohRangeRetrieveError(F39)</f>
        <v/>
      </c>
      <c r="H39" s="115"/>
      <c r="J39" s="26"/>
      <c r="K39" s="29"/>
      <c r="L39" s="194" t="s">
        <v>54</v>
      </c>
      <c r="M39" s="127" t="s">
        <v>77</v>
      </c>
      <c r="N39" s="128" t="str">
        <f t="shared" si="6"/>
        <v>USD4YOIS</v>
      </c>
      <c r="O39" s="128" t="str">
        <v>USD4YOIS=TTKL</v>
      </c>
      <c r="P39" s="370">
        <v>1.1879999999999999</v>
      </c>
      <c r="Q39" s="370">
        <v>1.238</v>
      </c>
      <c r="R39" s="35">
        <f t="shared" si="3"/>
        <v>1.2130000000000001</v>
      </c>
      <c r="S39" s="35">
        <f t="shared" si="4"/>
        <v>5.0000000000000044E-2</v>
      </c>
      <c r="T39" s="139"/>
      <c r="U39" s="141">
        <v>1.21</v>
      </c>
      <c r="V39" s="139"/>
      <c r="W39" s="35">
        <v>1.2130000000000001</v>
      </c>
      <c r="X39" s="132" t="e">
        <f>_xll.qlSimpleQuoteSetValue(F39,W39/100,Trigger)</f>
        <v>#N/A</v>
      </c>
      <c r="Y39" s="27"/>
    </row>
    <row r="40" spans="1:25" x14ac:dyDescent="0.2">
      <c r="A40" s="26"/>
      <c r="B40" s="41"/>
      <c r="C40" s="41" t="s">
        <v>77</v>
      </c>
      <c r="D40" s="41" t="str">
        <f t="shared" si="2"/>
        <v>51M</v>
      </c>
      <c r="E40" s="57" t="str">
        <f t="shared" si="5"/>
        <v>USDOIS51M_LCHQuote</v>
      </c>
      <c r="F40" s="41" t="str">
        <f>_xll.qlSimpleQuote(Currency&amp;$C40&amp;$D40&amp;QuoteSuffix,,RateTickValue,Permanent,Trigger,ObjectOverwrite)</f>
        <v>USDOIS51M_LCHQuote#0002</v>
      </c>
      <c r="G40" s="158" t="str">
        <f>_xll.ohRangeRetrieveError(F40)</f>
        <v/>
      </c>
      <c r="H40" s="115"/>
      <c r="J40" s="26"/>
      <c r="K40" s="29"/>
      <c r="L40" s="194" t="s">
        <v>80</v>
      </c>
      <c r="M40" s="127" t="s">
        <v>77</v>
      </c>
      <c r="N40" s="128" t="str">
        <f t="shared" si="6"/>
        <v>USD51MOIS</v>
      </c>
      <c r="O40" s="128" t="str">
        <v>USD51MOIS=TTKL</v>
      </c>
      <c r="P40" s="370">
        <v>1.2370000000000001</v>
      </c>
      <c r="Q40" s="370">
        <v>1.2869999999999999</v>
      </c>
      <c r="R40" s="35">
        <f t="shared" si="3"/>
        <v>1.262</v>
      </c>
      <c r="S40" s="35">
        <f t="shared" si="4"/>
        <v>4.9999999999999822E-2</v>
      </c>
      <c r="T40" s="139"/>
      <c r="U40" s="141">
        <v>1.2560000000000002</v>
      </c>
      <c r="V40" s="139"/>
      <c r="W40" s="35">
        <v>1.262</v>
      </c>
      <c r="X40" s="132" t="e">
        <f>_xll.qlSimpleQuoteSetValue(F40,W40/100,Trigger)</f>
        <v>#N/A</v>
      </c>
      <c r="Y40" s="27"/>
    </row>
    <row r="41" spans="1:25" x14ac:dyDescent="0.2">
      <c r="A41" s="26"/>
      <c r="B41" s="41"/>
      <c r="C41" s="41" t="s">
        <v>77</v>
      </c>
      <c r="D41" s="41" t="str">
        <f t="shared" si="2"/>
        <v>54M</v>
      </c>
      <c r="E41" s="57" t="str">
        <f t="shared" si="5"/>
        <v>USDOIS54M_LCHQuote</v>
      </c>
      <c r="F41" s="41" t="str">
        <f>_xll.qlSimpleQuote(Currency&amp;$C41&amp;$D41&amp;QuoteSuffix,,RateTickValue,Permanent,Trigger,ObjectOverwrite)</f>
        <v>USDOIS54M_LCHQuote#0002</v>
      </c>
      <c r="G41" s="158" t="str">
        <f>_xll.ohRangeRetrieveError(F41)</f>
        <v/>
      </c>
      <c r="H41" s="115"/>
      <c r="J41" s="26"/>
      <c r="K41" s="29"/>
      <c r="L41" s="194" t="s">
        <v>79</v>
      </c>
      <c r="M41" s="127" t="s">
        <v>77</v>
      </c>
      <c r="N41" s="128" t="str">
        <f t="shared" si="6"/>
        <v>USD54MOIS</v>
      </c>
      <c r="O41" s="128" t="str">
        <v>USD54MOIS=TTKL</v>
      </c>
      <c r="P41" s="370">
        <v>1.272</v>
      </c>
      <c r="Q41" s="370">
        <v>1.3220000000000001</v>
      </c>
      <c r="R41" s="35">
        <f t="shared" si="3"/>
        <v>1.2970000000000002</v>
      </c>
      <c r="S41" s="35">
        <f t="shared" si="4"/>
        <v>5.0000000000000044E-2</v>
      </c>
      <c r="T41" s="139"/>
      <c r="U41" s="141">
        <v>1.2930000000000001</v>
      </c>
      <c r="V41" s="139"/>
      <c r="W41" s="35">
        <v>1.2970000000000002</v>
      </c>
      <c r="X41" s="132" t="e">
        <f>_xll.qlSimpleQuoteSetValue(F41,W41/100,Trigger)</f>
        <v>#N/A</v>
      </c>
      <c r="Y41" s="27"/>
    </row>
    <row r="42" spans="1:25" x14ac:dyDescent="0.2">
      <c r="A42" s="26"/>
      <c r="B42" s="41"/>
      <c r="C42" s="41" t="s">
        <v>77</v>
      </c>
      <c r="D42" s="41" t="str">
        <f t="shared" si="2"/>
        <v>57M</v>
      </c>
      <c r="E42" s="57" t="str">
        <f t="shared" si="5"/>
        <v>USDOIS57M_LCHQuote</v>
      </c>
      <c r="F42" s="41" t="str">
        <f>_xll.qlSimpleQuote(Currency&amp;$C42&amp;$D42&amp;QuoteSuffix,,RateTickValue,Permanent,Trigger,ObjectOverwrite)</f>
        <v>USDOIS57M_LCHQuote#0002</v>
      </c>
      <c r="G42" s="158" t="str">
        <f>_xll.ohRangeRetrieveError(F42)</f>
        <v/>
      </c>
      <c r="H42" s="115"/>
      <c r="J42" s="26"/>
      <c r="K42" s="29"/>
      <c r="L42" s="194" t="s">
        <v>78</v>
      </c>
      <c r="M42" s="127" t="s">
        <v>77</v>
      </c>
      <c r="N42" s="128" t="str">
        <f t="shared" si="6"/>
        <v>USD57MOIS</v>
      </c>
      <c r="O42" s="128" t="str">
        <v>USD57MOIS=TTKL</v>
      </c>
      <c r="P42" s="370">
        <v>1.32</v>
      </c>
      <c r="Q42" s="370">
        <v>1.37</v>
      </c>
      <c r="R42" s="35">
        <f t="shared" si="3"/>
        <v>1.3450000000000002</v>
      </c>
      <c r="S42" s="35">
        <f t="shared" si="4"/>
        <v>5.0000000000000044E-2</v>
      </c>
      <c r="T42" s="139"/>
      <c r="U42" s="141">
        <v>1.3410000000000002</v>
      </c>
      <c r="V42" s="139"/>
      <c r="W42" s="35">
        <v>1.3450000000000002</v>
      </c>
      <c r="X42" s="132" t="e">
        <f>_xll.qlSimpleQuoteSetValue(F42,W42/100,Trigger)</f>
        <v>#N/A</v>
      </c>
      <c r="Y42" s="27"/>
    </row>
    <row r="43" spans="1:25" x14ac:dyDescent="0.2">
      <c r="A43" s="26"/>
      <c r="B43" s="41"/>
      <c r="C43" s="41" t="s">
        <v>77</v>
      </c>
      <c r="D43" s="41" t="str">
        <f t="shared" si="2"/>
        <v>5Y</v>
      </c>
      <c r="E43" s="57" t="str">
        <f t="shared" si="5"/>
        <v>USDOIS5Y_LCHQuote</v>
      </c>
      <c r="F43" s="41" t="str">
        <f>_xll.qlSimpleQuote(Currency&amp;$C43&amp;$D43&amp;QuoteSuffix,,RateTickValue,Permanent,Trigger,ObjectOverwrite)</f>
        <v>USDOIS5Y_LCHQuote#0002</v>
      </c>
      <c r="G43" s="158" t="str">
        <f>_xll.ohRangeRetrieveError(F43)</f>
        <v/>
      </c>
      <c r="H43" s="115"/>
      <c r="J43" s="26"/>
      <c r="K43" s="29"/>
      <c r="L43" s="194" t="s">
        <v>53</v>
      </c>
      <c r="M43" s="127" t="s">
        <v>77</v>
      </c>
      <c r="N43" s="128" t="str">
        <f t="shared" si="6"/>
        <v>USD5YOIS</v>
      </c>
      <c r="O43" s="128" t="str">
        <v>USD5YOIS=TTKL</v>
      </c>
      <c r="P43" s="370">
        <v>1.359</v>
      </c>
      <c r="Q43" s="370">
        <v>1.409</v>
      </c>
      <c r="R43" s="35">
        <f t="shared" si="3"/>
        <v>1.3839999999999999</v>
      </c>
      <c r="S43" s="35">
        <f t="shared" si="4"/>
        <v>5.0000000000000044E-2</v>
      </c>
      <c r="T43" s="139"/>
      <c r="U43" s="141">
        <v>1.3809999999999998</v>
      </c>
      <c r="V43" s="139"/>
      <c r="W43" s="35">
        <v>1.3839999999999999</v>
      </c>
      <c r="X43" s="132" t="e">
        <f>_xll.qlSimpleQuoteSetValue(F43,W43/100,Trigger)</f>
        <v>#N/A</v>
      </c>
      <c r="Y43" s="27"/>
    </row>
    <row r="44" spans="1:25" x14ac:dyDescent="0.2">
      <c r="A44" s="26"/>
      <c r="B44" s="41"/>
      <c r="C44" s="41" t="s">
        <v>77</v>
      </c>
      <c r="D44" s="41" t="str">
        <f t="shared" si="2"/>
        <v>6Y</v>
      </c>
      <c r="E44" s="57" t="str">
        <f t="shared" si="5"/>
        <v>USDOIS6Y_LCHQuote</v>
      </c>
      <c r="F44" s="41" t="str">
        <f>_xll.qlSimpleQuote(Currency&amp;$C44&amp;$D44&amp;QuoteSuffix,,RateTickValue,Permanent,Trigger,ObjectOverwrite)</f>
        <v>USDOIS6Y_LCHQuote#0002</v>
      </c>
      <c r="G44" s="158" t="str">
        <f>_xll.ohRangeRetrieveError(F44)</f>
        <v/>
      </c>
      <c r="H44" s="115"/>
      <c r="J44" s="26"/>
      <c r="K44" s="29"/>
      <c r="L44" s="194" t="s">
        <v>52</v>
      </c>
      <c r="M44" s="127" t="s">
        <v>77</v>
      </c>
      <c r="N44" s="128" t="str">
        <f t="shared" si="6"/>
        <v>USD6YOIS</v>
      </c>
      <c r="O44" s="128" t="str">
        <v>USD6YOIS=TTKL</v>
      </c>
      <c r="P44" s="370">
        <v>1.504</v>
      </c>
      <c r="Q44" s="370">
        <v>1.554</v>
      </c>
      <c r="R44" s="35">
        <f t="shared" si="3"/>
        <v>1.5289999999999999</v>
      </c>
      <c r="S44" s="35">
        <f t="shared" si="4"/>
        <v>5.0000000000000044E-2</v>
      </c>
      <c r="T44" s="139"/>
      <c r="U44" s="141">
        <v>1.5259999999999998</v>
      </c>
      <c r="V44" s="139"/>
      <c r="W44" s="35">
        <v>1.5289999999999999</v>
      </c>
      <c r="X44" s="132" t="e">
        <f>_xll.qlSimpleQuoteSetValue(F44,W44/100,Trigger)</f>
        <v>#N/A</v>
      </c>
      <c r="Y44" s="27"/>
    </row>
    <row r="45" spans="1:25" x14ac:dyDescent="0.2">
      <c r="A45" s="26"/>
      <c r="B45" s="41"/>
      <c r="C45" s="41" t="s">
        <v>77</v>
      </c>
      <c r="D45" s="41" t="str">
        <f t="shared" si="2"/>
        <v>7Y</v>
      </c>
      <c r="E45" s="57" t="str">
        <f t="shared" si="5"/>
        <v>USDOIS7Y_LCHQuote</v>
      </c>
      <c r="F45" s="41" t="str">
        <f>_xll.qlSimpleQuote(Currency&amp;$C45&amp;$D45&amp;QuoteSuffix,,RateTickValue,Permanent,Trigger,ObjectOverwrite)</f>
        <v>USDOIS7Y_LCHQuote#0002</v>
      </c>
      <c r="G45" s="158" t="str">
        <f>_xll.ohRangeRetrieveError(F45)</f>
        <v/>
      </c>
      <c r="H45" s="115"/>
      <c r="J45" s="26"/>
      <c r="K45" s="29"/>
      <c r="L45" s="194" t="s">
        <v>51</v>
      </c>
      <c r="M45" s="127" t="s">
        <v>77</v>
      </c>
      <c r="N45" s="128" t="str">
        <f t="shared" si="6"/>
        <v>USD7YOIS</v>
      </c>
      <c r="O45" s="128" t="str">
        <v>USD7YOIS=TTKL</v>
      </c>
      <c r="P45" s="370">
        <v>1.6259999999999999</v>
      </c>
      <c r="Q45" s="370">
        <v>1.6759999999999999</v>
      </c>
      <c r="R45" s="35">
        <f t="shared" si="3"/>
        <v>1.6509999999999998</v>
      </c>
      <c r="S45" s="35">
        <f t="shared" si="4"/>
        <v>5.0000000000000044E-2</v>
      </c>
      <c r="T45" s="139"/>
      <c r="U45" s="141">
        <v>1.649</v>
      </c>
      <c r="V45" s="139"/>
      <c r="W45" s="35">
        <v>1.6509999999999998</v>
      </c>
      <c r="X45" s="132" t="e">
        <f>_xll.qlSimpleQuoteSetValue(F45,W45/100,Trigger)</f>
        <v>#N/A</v>
      </c>
      <c r="Y45" s="27"/>
    </row>
    <row r="46" spans="1:25" x14ac:dyDescent="0.2">
      <c r="A46" s="26"/>
      <c r="B46" s="41"/>
      <c r="C46" s="41" t="s">
        <v>77</v>
      </c>
      <c r="D46" s="41" t="str">
        <f t="shared" si="2"/>
        <v>8Y</v>
      </c>
      <c r="E46" s="57" t="str">
        <f t="shared" si="5"/>
        <v>USDOIS8Y_LCHQuote</v>
      </c>
      <c r="F46" s="41" t="str">
        <f>_xll.qlSimpleQuote(Currency&amp;$C46&amp;$D46&amp;QuoteSuffix,,RateTickValue,Permanent,Trigger,ObjectOverwrite)</f>
        <v>USDOIS8Y_LCHQuote#0002</v>
      </c>
      <c r="G46" s="158" t="str">
        <f>_xll.ohRangeRetrieveError(F46)</f>
        <v/>
      </c>
      <c r="H46" s="115"/>
      <c r="J46" s="26"/>
      <c r="K46" s="29"/>
      <c r="L46" s="194" t="s">
        <v>50</v>
      </c>
      <c r="M46" s="127" t="s">
        <v>77</v>
      </c>
      <c r="N46" s="128" t="str">
        <f t="shared" si="6"/>
        <v>USD8YOIS</v>
      </c>
      <c r="O46" s="128" t="str">
        <v>USD8YOIS=TTKL</v>
      </c>
      <c r="P46" s="370">
        <v>1.732</v>
      </c>
      <c r="Q46" s="370">
        <v>1.782</v>
      </c>
      <c r="R46" s="35">
        <f t="shared" si="3"/>
        <v>1.7570000000000001</v>
      </c>
      <c r="S46" s="35">
        <f t="shared" si="4"/>
        <v>5.0000000000000044E-2</v>
      </c>
      <c r="T46" s="139"/>
      <c r="U46" s="141">
        <v>1.7549999999999999</v>
      </c>
      <c r="V46" s="139"/>
      <c r="W46" s="35">
        <v>1.7570000000000001</v>
      </c>
      <c r="X46" s="132" t="e">
        <f>_xll.qlSimpleQuoteSetValue(F46,W46/100,Trigger)</f>
        <v>#N/A</v>
      </c>
      <c r="Y46" s="27"/>
    </row>
    <row r="47" spans="1:25" x14ac:dyDescent="0.2">
      <c r="A47" s="26"/>
      <c r="B47" s="41"/>
      <c r="C47" s="41" t="s">
        <v>77</v>
      </c>
      <c r="D47" s="41" t="str">
        <f t="shared" si="2"/>
        <v>9Y</v>
      </c>
      <c r="E47" s="57" t="str">
        <f t="shared" si="5"/>
        <v>USDOIS9Y_LCHQuote</v>
      </c>
      <c r="F47" s="41" t="str">
        <f>_xll.qlSimpleQuote(Currency&amp;$C47&amp;$D47&amp;QuoteSuffix,,RateTickValue,Permanent,Trigger,ObjectOverwrite)</f>
        <v>USDOIS9Y_LCHQuote#0002</v>
      </c>
      <c r="G47" s="158" t="str">
        <f>_xll.ohRangeRetrieveError(F47)</f>
        <v/>
      </c>
      <c r="H47" s="115"/>
      <c r="J47" s="26"/>
      <c r="K47" s="29"/>
      <c r="L47" s="194" t="s">
        <v>49</v>
      </c>
      <c r="M47" s="127" t="s">
        <v>77</v>
      </c>
      <c r="N47" s="128" t="str">
        <f t="shared" si="6"/>
        <v>USD9YOIS</v>
      </c>
      <c r="O47" s="128" t="str">
        <v>USD9YOIS=TTKL</v>
      </c>
      <c r="P47" s="370">
        <v>1.8199999999999998</v>
      </c>
      <c r="Q47" s="370">
        <v>1.8699999999999999</v>
      </c>
      <c r="R47" s="35">
        <f t="shared" si="3"/>
        <v>1.8449999999999998</v>
      </c>
      <c r="S47" s="35">
        <f t="shared" si="4"/>
        <v>5.0000000000000044E-2</v>
      </c>
      <c r="T47" s="139"/>
      <c r="U47" s="141">
        <v>1.8420000000000001</v>
      </c>
      <c r="V47" s="139"/>
      <c r="W47" s="35">
        <v>1.8449999999999998</v>
      </c>
      <c r="X47" s="132" t="e">
        <f>_xll.qlSimpleQuoteSetValue(F47,W47/100,Trigger)</f>
        <v>#N/A</v>
      </c>
      <c r="Y47" s="27"/>
    </row>
    <row r="48" spans="1:25" x14ac:dyDescent="0.2">
      <c r="A48" s="26"/>
      <c r="B48" s="41"/>
      <c r="C48" s="41" t="s">
        <v>77</v>
      </c>
      <c r="D48" s="41" t="str">
        <f t="shared" si="2"/>
        <v>10Y</v>
      </c>
      <c r="E48" s="57" t="str">
        <f t="shared" si="5"/>
        <v>USDOIS10Y_LCHQuote</v>
      </c>
      <c r="F48" s="41" t="str">
        <f>_xll.qlSimpleQuote(Currency&amp;$C48&amp;$D48&amp;QuoteSuffix,,RateTickValue,Permanent,Trigger,ObjectOverwrite)</f>
        <v>USDOIS10Y_LCHQuote#0002</v>
      </c>
      <c r="G48" s="158" t="str">
        <f>_xll.ohRangeRetrieveError(F48)</f>
        <v/>
      </c>
      <c r="H48" s="115"/>
      <c r="J48" s="26"/>
      <c r="K48" s="29"/>
      <c r="L48" s="194" t="s">
        <v>48</v>
      </c>
      <c r="M48" s="127" t="s">
        <v>77</v>
      </c>
      <c r="N48" s="128" t="str">
        <f t="shared" si="6"/>
        <v>USD10YOIS</v>
      </c>
      <c r="O48" s="128" t="str">
        <v>USD10YOIS=TTKL</v>
      </c>
      <c r="P48" s="370">
        <v>1.897</v>
      </c>
      <c r="Q48" s="370">
        <v>1.9470000000000001</v>
      </c>
      <c r="R48" s="35">
        <f t="shared" si="3"/>
        <v>1.9220000000000002</v>
      </c>
      <c r="S48" s="35">
        <f t="shared" si="4"/>
        <v>5.0000000000000044E-2</v>
      </c>
      <c r="T48" s="139"/>
      <c r="U48" s="141">
        <v>1.9180000000000001</v>
      </c>
      <c r="V48" s="139"/>
      <c r="W48" s="35">
        <v>1.9220000000000002</v>
      </c>
      <c r="X48" s="132" t="e">
        <f>_xll.qlSimpleQuoteSetValue(F48,W48/100,Trigger)</f>
        <v>#N/A</v>
      </c>
      <c r="Y48" s="27"/>
    </row>
    <row r="49" spans="1:25" x14ac:dyDescent="0.2">
      <c r="A49" s="26"/>
      <c r="B49" s="41"/>
      <c r="C49" s="41" t="s">
        <v>77</v>
      </c>
      <c r="D49" s="41" t="str">
        <f t="shared" si="2"/>
        <v>12Y</v>
      </c>
      <c r="E49" s="57" t="str">
        <f t="shared" si="5"/>
        <v>USDOIS12Y_LCHQuote</v>
      </c>
      <c r="F49" s="41" t="str">
        <f>_xll.qlSimpleQuote(Currency&amp;$C49&amp;$D49&amp;QuoteSuffix,,RateTickValue,Permanent,Trigger,ObjectOverwrite)</f>
        <v>USDOIS12Y_LCHQuote#0002</v>
      </c>
      <c r="G49" s="158" t="str">
        <f>_xll.ohRangeRetrieveError(F49)</f>
        <v/>
      </c>
      <c r="H49" s="115"/>
      <c r="J49" s="26"/>
      <c r="K49" s="29"/>
      <c r="L49" s="194" t="s">
        <v>46</v>
      </c>
      <c r="M49" s="127" t="s">
        <v>77</v>
      </c>
      <c r="N49" s="128" t="str">
        <f t="shared" si="6"/>
        <v>USD12YOIS</v>
      </c>
      <c r="O49" s="128" t="str">
        <v>USD12YOIS=TTKL</v>
      </c>
      <c r="P49" s="370">
        <v>2.0179999999999998</v>
      </c>
      <c r="Q49" s="370">
        <v>2.0680000000000001</v>
      </c>
      <c r="R49" s="35">
        <f t="shared" si="3"/>
        <v>2.0430000000000001</v>
      </c>
      <c r="S49" s="35">
        <f t="shared" si="4"/>
        <v>5.0000000000000266E-2</v>
      </c>
      <c r="T49" s="139"/>
      <c r="U49" s="141">
        <v>2.0380000000000003</v>
      </c>
      <c r="V49" s="139"/>
      <c r="W49" s="35">
        <v>2.0430000000000001</v>
      </c>
      <c r="X49" s="132" t="e">
        <f>_xll.qlSimpleQuoteSetValue(F49,W49/100,Trigger)</f>
        <v>#N/A</v>
      </c>
      <c r="Y49" s="27"/>
    </row>
    <row r="50" spans="1:25" x14ac:dyDescent="0.2">
      <c r="A50" s="26"/>
      <c r="B50" s="41"/>
      <c r="C50" s="41" t="s">
        <v>77</v>
      </c>
      <c r="D50" s="41" t="str">
        <f t="shared" si="2"/>
        <v>15Y</v>
      </c>
      <c r="E50" s="57" t="str">
        <f t="shared" si="5"/>
        <v>USDOIS15Y_LCHQuote</v>
      </c>
      <c r="F50" s="41" t="str">
        <f>_xll.qlSimpleQuote(Currency&amp;$C50&amp;$D50&amp;QuoteSuffix,,RateTickValue,Permanent,Trigger,ObjectOverwrite)</f>
        <v>USDOIS15Y_LCHQuote#0002</v>
      </c>
      <c r="G50" s="158" t="str">
        <f>_xll.ohRangeRetrieveError(F50)</f>
        <v/>
      </c>
      <c r="H50" s="115"/>
      <c r="J50" s="26"/>
      <c r="K50" s="29"/>
      <c r="L50" s="194" t="s">
        <v>43</v>
      </c>
      <c r="M50" s="127" t="s">
        <v>77</v>
      </c>
      <c r="N50" s="128" t="str">
        <f t="shared" si="6"/>
        <v>USD15YOIS</v>
      </c>
      <c r="O50" s="128" t="str">
        <v>USD15YOIS=TTKL</v>
      </c>
      <c r="P50" s="370">
        <v>2.1440000000000001</v>
      </c>
      <c r="Q50" s="370">
        <v>2.194</v>
      </c>
      <c r="R50" s="35">
        <f t="shared" si="3"/>
        <v>2.169</v>
      </c>
      <c r="S50" s="35">
        <f t="shared" si="4"/>
        <v>4.9999999999999822E-2</v>
      </c>
      <c r="T50" s="139"/>
      <c r="U50" s="141">
        <v>2.1619999999999999</v>
      </c>
      <c r="V50" s="139"/>
      <c r="W50" s="35">
        <v>2.169</v>
      </c>
      <c r="X50" s="132" t="e">
        <f>_xll.qlSimpleQuoteSetValue(F50,W50/100,Trigger)</f>
        <v>#N/A</v>
      </c>
      <c r="Y50" s="27"/>
    </row>
    <row r="51" spans="1:25" x14ac:dyDescent="0.2">
      <c r="A51" s="26"/>
      <c r="B51" s="41"/>
      <c r="C51" s="41" t="s">
        <v>77</v>
      </c>
      <c r="D51" s="41" t="str">
        <f t="shared" si="2"/>
        <v>20Y</v>
      </c>
      <c r="E51" s="57" t="str">
        <f t="shared" si="5"/>
        <v>USDOIS20Y_LCHQuote</v>
      </c>
      <c r="F51" s="41" t="str">
        <f>_xll.qlSimpleQuote(Currency&amp;$C51&amp;$D51&amp;QuoteSuffix,,RateTickValue,Permanent,Trigger,ObjectOverwrite)</f>
        <v>USDOIS20Y_LCHQuote#0002</v>
      </c>
      <c r="G51" s="158" t="str">
        <f>_xll.ohRangeRetrieveError(F51)</f>
        <v/>
      </c>
      <c r="H51" s="115"/>
      <c r="J51" s="26"/>
      <c r="K51" s="29"/>
      <c r="L51" s="194" t="s">
        <v>38</v>
      </c>
      <c r="M51" s="127" t="s">
        <v>77</v>
      </c>
      <c r="N51" s="128" t="str">
        <f t="shared" si="6"/>
        <v>USD20YOIS</v>
      </c>
      <c r="O51" s="128" t="str">
        <v>USD20YOIS=TTKL</v>
      </c>
      <c r="P51" s="370">
        <v>2.2650000000000001</v>
      </c>
      <c r="Q51" s="370">
        <v>2.3149999999999999</v>
      </c>
      <c r="R51" s="35">
        <f t="shared" si="3"/>
        <v>2.29</v>
      </c>
      <c r="S51" s="35">
        <f t="shared" si="4"/>
        <v>4.9999999999999822E-2</v>
      </c>
      <c r="T51" s="139"/>
      <c r="U51" s="141">
        <v>2.282</v>
      </c>
      <c r="V51" s="139"/>
      <c r="W51" s="35">
        <v>2.29</v>
      </c>
      <c r="X51" s="132" t="e">
        <f>_xll.qlSimpleQuoteSetValue(F51,W51/100,Trigger)</f>
        <v>#N/A</v>
      </c>
      <c r="Y51" s="27"/>
    </row>
    <row r="52" spans="1:25" x14ac:dyDescent="0.2">
      <c r="A52" s="26"/>
      <c r="B52" s="41"/>
      <c r="C52" s="41" t="s">
        <v>77</v>
      </c>
      <c r="D52" s="41" t="str">
        <f t="shared" si="2"/>
        <v>25Y</v>
      </c>
      <c r="E52" s="57" t="str">
        <f t="shared" si="5"/>
        <v>USDOIS25Y_LCHQuote</v>
      </c>
      <c r="F52" s="41" t="str">
        <f>_xll.qlSimpleQuote(Currency&amp;$C52&amp;$D52&amp;QuoteSuffix,,RateTickValue,Permanent,Trigger,ObjectOverwrite)</f>
        <v>USDOIS25Y_LCHQuote#0002</v>
      </c>
      <c r="G52" s="158" t="str">
        <f>_xll.ohRangeRetrieveError(F52)</f>
        <v/>
      </c>
      <c r="H52" s="115"/>
      <c r="J52" s="26"/>
      <c r="K52" s="29"/>
      <c r="L52" s="194" t="s">
        <v>33</v>
      </c>
      <c r="M52" s="127" t="s">
        <v>77</v>
      </c>
      <c r="N52" s="128" t="str">
        <f t="shared" si="6"/>
        <v>USD25YOIS</v>
      </c>
      <c r="O52" s="128" t="str">
        <v>USD25YOIS=TTKL</v>
      </c>
      <c r="P52" s="370">
        <v>2.3220000000000001</v>
      </c>
      <c r="Q52" s="370">
        <v>2.3719999999999999</v>
      </c>
      <c r="R52" s="35">
        <f t="shared" si="3"/>
        <v>2.347</v>
      </c>
      <c r="S52" s="35">
        <f t="shared" si="4"/>
        <v>4.9999999999999822E-2</v>
      </c>
      <c r="T52" s="139"/>
      <c r="U52" s="141">
        <v>2.3369999999999997</v>
      </c>
      <c r="V52" s="139"/>
      <c r="W52" s="35">
        <v>2.347</v>
      </c>
      <c r="X52" s="132" t="e">
        <f>_xll.qlSimpleQuoteSetValue(F52,W52/100,Trigger)</f>
        <v>#N/A</v>
      </c>
      <c r="Y52" s="27"/>
    </row>
    <row r="53" spans="1:25" x14ac:dyDescent="0.2">
      <c r="A53" s="26"/>
      <c r="B53" s="41"/>
      <c r="C53" s="41" t="s">
        <v>77</v>
      </c>
      <c r="D53" s="41" t="str">
        <f t="shared" si="2"/>
        <v>27Y</v>
      </c>
      <c r="E53" s="57" t="str">
        <f t="shared" si="5"/>
        <v>USDOIS27Y_LCHQuote</v>
      </c>
      <c r="F53" s="41" t="str">
        <f>_xll.qlSimpleQuote(Currency&amp;$C53&amp;$D53&amp;QuoteSuffix,,RateTickValue,Permanent,Trigger,ObjectOverwrite)</f>
        <v>USDOIS27Y_LCHQuote#0002</v>
      </c>
      <c r="G53" s="158" t="str">
        <f>_xll.ohRangeRetrieveError(F53)</f>
        <v/>
      </c>
      <c r="H53" s="115"/>
      <c r="J53" s="26"/>
      <c r="K53" s="29"/>
      <c r="L53" s="194" t="s">
        <v>31</v>
      </c>
      <c r="M53" s="127" t="s">
        <v>77</v>
      </c>
      <c r="N53" s="128" t="str">
        <f t="shared" si="6"/>
        <v>USD27YOIS</v>
      </c>
      <c r="O53" s="128" t="str">
        <v>USD27YOIS=TTKL</v>
      </c>
      <c r="P53" s="370" t="s">
        <v>213</v>
      </c>
      <c r="Q53" s="370" t="s">
        <v>213</v>
      </c>
      <c r="R53" s="35" t="e">
        <f t="shared" si="3"/>
        <v>#NUM!</v>
      </c>
      <c r="S53" s="35" t="e">
        <f t="shared" si="4"/>
        <v>#VALUE!</v>
      </c>
      <c r="T53" s="139"/>
      <c r="U53" s="141" t="e">
        <v>#NUM!</v>
      </c>
      <c r="V53" s="139"/>
      <c r="W53" s="35" t="e">
        <v>#NUM!</v>
      </c>
      <c r="X53" s="132">
        <f>_xll.qlSimpleQuoteSetValue(F53,W53/100,Trigger)</f>
        <v>0</v>
      </c>
      <c r="Y53" s="27"/>
    </row>
    <row r="54" spans="1:25" x14ac:dyDescent="0.2">
      <c r="A54" s="26"/>
      <c r="B54" s="41"/>
      <c r="C54" s="41" t="s">
        <v>77</v>
      </c>
      <c r="D54" s="41" t="str">
        <f t="shared" si="2"/>
        <v>30Y</v>
      </c>
      <c r="E54" s="57" t="str">
        <f t="shared" si="5"/>
        <v>USDOIS30Y_LCHQuote</v>
      </c>
      <c r="F54" s="41" t="str">
        <f>_xll.qlSimpleQuote(Currency&amp;$C54&amp;$D54&amp;QuoteSuffix,,RateTickValue,Permanent,Trigger,ObjectOverwrite)</f>
        <v>USDOIS30Y_LCHQuote#0002</v>
      </c>
      <c r="G54" s="158" t="str">
        <f>_xll.ohRangeRetrieveError(F54)</f>
        <v/>
      </c>
      <c r="H54" s="115"/>
      <c r="J54" s="26"/>
      <c r="K54" s="29"/>
      <c r="L54" s="194" t="s">
        <v>28</v>
      </c>
      <c r="M54" s="127" t="s">
        <v>77</v>
      </c>
      <c r="N54" s="128" t="str">
        <f t="shared" si="6"/>
        <v>USD30YOIS</v>
      </c>
      <c r="O54" s="128" t="str">
        <v>USD30YOIS=TTKL</v>
      </c>
      <c r="P54" s="370">
        <v>2.3559999999999999</v>
      </c>
      <c r="Q54" s="370">
        <v>2.4060000000000001</v>
      </c>
      <c r="R54" s="35">
        <f t="shared" si="3"/>
        <v>2.3810000000000002</v>
      </c>
      <c r="S54" s="35">
        <f t="shared" si="4"/>
        <v>5.0000000000000266E-2</v>
      </c>
      <c r="T54" s="139"/>
      <c r="U54" s="141">
        <v>2.37</v>
      </c>
      <c r="V54" s="139"/>
      <c r="W54" s="35">
        <v>2.3810000000000002</v>
      </c>
      <c r="X54" s="132" t="e">
        <f>_xll.qlSimpleQuoteSetValue(F54,W54/100,Trigger)</f>
        <v>#N/A</v>
      </c>
      <c r="Y54" s="27"/>
    </row>
    <row r="55" spans="1:25" x14ac:dyDescent="0.2">
      <c r="A55" s="26"/>
      <c r="B55" s="41"/>
      <c r="C55" s="41" t="s">
        <v>77</v>
      </c>
      <c r="D55" s="41" t="str">
        <f t="shared" si="2"/>
        <v>35Y</v>
      </c>
      <c r="E55" s="57" t="str">
        <f t="shared" si="5"/>
        <v>USDOIS35Y_LCHQuote</v>
      </c>
      <c r="F55" s="41" t="str">
        <f>_xll.qlSimpleQuote(Currency&amp;$C55&amp;$D55&amp;QuoteSuffix,,RateTickValue,Permanent,Trigger,ObjectOverwrite)</f>
        <v>USDOIS35Y_LCHQuote#0002</v>
      </c>
      <c r="G55" s="158" t="str">
        <f>_xll.ohRangeRetrieveError(F55)</f>
        <v/>
      </c>
      <c r="H55" s="115"/>
      <c r="J55" s="26"/>
      <c r="K55" s="29"/>
      <c r="L55" s="194" t="s">
        <v>27</v>
      </c>
      <c r="M55" s="127" t="s">
        <v>77</v>
      </c>
      <c r="N55" s="128" t="str">
        <f t="shared" si="6"/>
        <v>USD35YOIS</v>
      </c>
      <c r="O55" s="128" t="str">
        <v>USD35YOIS=TTKL</v>
      </c>
      <c r="P55" s="370">
        <v>2.3679999999999999</v>
      </c>
      <c r="Q55" s="370">
        <v>2.4180000000000001</v>
      </c>
      <c r="R55" s="35">
        <f t="shared" si="3"/>
        <v>2.3929999999999998</v>
      </c>
      <c r="S55" s="35">
        <f t="shared" si="4"/>
        <v>5.0000000000000266E-2</v>
      </c>
      <c r="T55" s="139"/>
      <c r="U55" s="141">
        <v>2.3810000000000002</v>
      </c>
      <c r="V55" s="139"/>
      <c r="W55" s="35">
        <v>2.3929999999999998</v>
      </c>
      <c r="X55" s="132" t="e">
        <f>_xll.qlSimpleQuoteSetValue(F55,W55/100,Trigger)</f>
        <v>#N/A</v>
      </c>
      <c r="Y55" s="27"/>
    </row>
    <row r="56" spans="1:25" x14ac:dyDescent="0.2">
      <c r="A56" s="26"/>
      <c r="B56" s="41"/>
      <c r="C56" s="41" t="s">
        <v>77</v>
      </c>
      <c r="D56" s="41" t="str">
        <f t="shared" si="2"/>
        <v>40Y</v>
      </c>
      <c r="E56" s="57" t="str">
        <f t="shared" si="5"/>
        <v>USDOIS40Y_LCHQuote</v>
      </c>
      <c r="F56" s="41" t="str">
        <f>_xll.qlSimpleQuote(Currency&amp;$C56&amp;$D56&amp;QuoteSuffix,,RateTickValue,Permanent,Trigger,ObjectOverwrite)</f>
        <v>USDOIS40Y_LCHQuote#0002</v>
      </c>
      <c r="G56" s="158" t="str">
        <f>_xll.ohRangeRetrieveError(F56)</f>
        <v/>
      </c>
      <c r="H56" s="115"/>
      <c r="J56" s="26"/>
      <c r="K56" s="29"/>
      <c r="L56" s="194" t="s">
        <v>26</v>
      </c>
      <c r="M56" s="127" t="s">
        <v>77</v>
      </c>
      <c r="N56" s="128" t="str">
        <f t="shared" si="6"/>
        <v>USD40YOIS</v>
      </c>
      <c r="O56" s="128" t="str">
        <v>USD40YOIS=TTKL</v>
      </c>
      <c r="P56" s="370">
        <v>2.37</v>
      </c>
      <c r="Q56" s="370">
        <v>2.42</v>
      </c>
      <c r="R56" s="35">
        <f t="shared" si="3"/>
        <v>2.395</v>
      </c>
      <c r="S56" s="35">
        <f t="shared" si="4"/>
        <v>4.9999999999999822E-2</v>
      </c>
      <c r="T56" s="139"/>
      <c r="U56" s="141">
        <v>2.3839999999999999</v>
      </c>
      <c r="V56" s="139"/>
      <c r="W56" s="35">
        <v>2.395</v>
      </c>
      <c r="X56" s="132" t="e">
        <f>_xll.qlSimpleQuoteSetValue(F56,W56/100,Trigger)</f>
        <v>#N/A</v>
      </c>
      <c r="Y56" s="27"/>
    </row>
    <row r="57" spans="1:25" x14ac:dyDescent="0.2">
      <c r="A57" s="26"/>
      <c r="B57" s="41"/>
      <c r="C57" s="41" t="s">
        <v>77</v>
      </c>
      <c r="D57" s="41" t="str">
        <f t="shared" si="2"/>
        <v>45Y</v>
      </c>
      <c r="E57" s="57" t="str">
        <f t="shared" si="5"/>
        <v>USDOIS45Y_LCHQuote</v>
      </c>
      <c r="F57" s="41" t="str">
        <f>_xll.qlSimpleQuote(Currency&amp;$C57&amp;$D57&amp;QuoteSuffix,,RateTickValue,Permanent,Trigger,ObjectOverwrite)</f>
        <v>USDOIS45Y_LCHQuote#0002</v>
      </c>
      <c r="G57" s="158" t="str">
        <f>_xll.ohRangeRetrieveError(F57)</f>
        <v/>
      </c>
      <c r="H57" s="115"/>
      <c r="J57" s="26"/>
      <c r="K57" s="29"/>
      <c r="L57" s="194" t="s">
        <v>25</v>
      </c>
      <c r="M57" s="127" t="s">
        <v>77</v>
      </c>
      <c r="N57" s="128" t="str">
        <f t="shared" si="6"/>
        <v>USD45YOIS</v>
      </c>
      <c r="O57" s="128" t="str">
        <v>USD45YOIS=TTKL</v>
      </c>
      <c r="P57" s="370">
        <v>2.363</v>
      </c>
      <c r="Q57" s="370">
        <v>2.4129999999999998</v>
      </c>
      <c r="R57" s="35">
        <f t="shared" si="3"/>
        <v>2.3879999999999999</v>
      </c>
      <c r="S57" s="35">
        <f t="shared" si="4"/>
        <v>4.9999999999999822E-2</v>
      </c>
      <c r="T57" s="139"/>
      <c r="U57" s="141">
        <v>2.3759999999999999</v>
      </c>
      <c r="V57" s="139"/>
      <c r="W57" s="35">
        <v>2.3879999999999999</v>
      </c>
      <c r="X57" s="132" t="e">
        <f>_xll.qlSimpleQuoteSetValue(F57,W57/100,Trigger)</f>
        <v>#N/A</v>
      </c>
      <c r="Y57" s="27"/>
    </row>
    <row r="58" spans="1:25" x14ac:dyDescent="0.2">
      <c r="A58" s="26"/>
      <c r="B58" s="42"/>
      <c r="C58" s="42" t="s">
        <v>77</v>
      </c>
      <c r="D58" s="42" t="str">
        <f t="shared" si="2"/>
        <v>50Y</v>
      </c>
      <c r="E58" s="59" t="str">
        <f t="shared" si="5"/>
        <v>USDOIS50Y_LCHQuote</v>
      </c>
      <c r="F58" s="42" t="str">
        <f>_xll.qlSimpleQuote(Currency&amp;$C58&amp;$D58&amp;QuoteSuffix,,RateTickValue,Permanent,Trigger,ObjectOverwrite)</f>
        <v>USDOIS50Y_LCHQuote#0002</v>
      </c>
      <c r="G58" s="159" t="str">
        <f>_xll.ohRangeRetrieveError(F58)</f>
        <v/>
      </c>
      <c r="H58" s="115"/>
      <c r="J58" s="26"/>
      <c r="K58" s="30"/>
      <c r="L58" s="195" t="s">
        <v>24</v>
      </c>
      <c r="M58" s="129" t="s">
        <v>77</v>
      </c>
      <c r="N58" s="130" t="str">
        <f t="shared" si="6"/>
        <v>USD50YOIS</v>
      </c>
      <c r="O58" s="130" t="str">
        <v>USD50YOIS=TTKL</v>
      </c>
      <c r="P58" s="371">
        <v>2.3559999999999999</v>
      </c>
      <c r="Q58" s="371">
        <v>2.4060000000000001</v>
      </c>
      <c r="R58" s="36">
        <f t="shared" si="3"/>
        <v>2.3810000000000002</v>
      </c>
      <c r="S58" s="36">
        <f t="shared" si="4"/>
        <v>5.0000000000000266E-2</v>
      </c>
      <c r="T58" s="139"/>
      <c r="U58" s="145">
        <v>2.37</v>
      </c>
      <c r="V58" s="139"/>
      <c r="W58" s="36">
        <v>2.3810000000000002</v>
      </c>
      <c r="X58" s="133" t="e">
        <f>_xll.qlSimpleQuoteSetValue(F58,W58/100,Trigger)</f>
        <v>#N/A</v>
      </c>
      <c r="Y58" s="27"/>
    </row>
    <row r="59" spans="1:25" x14ac:dyDescent="0.2">
      <c r="A59" s="116"/>
      <c r="B59" s="117"/>
      <c r="C59" s="117"/>
      <c r="D59" s="117"/>
      <c r="E59" s="117"/>
      <c r="F59" s="118"/>
      <c r="G59" s="118"/>
      <c r="H59" s="119"/>
      <c r="J59" s="84"/>
      <c r="K59" s="85"/>
      <c r="L59" s="85"/>
      <c r="M59" s="85"/>
      <c r="N59" s="85"/>
      <c r="O59" s="85"/>
      <c r="P59" s="85"/>
      <c r="Q59" s="85"/>
      <c r="R59" s="138"/>
      <c r="S59" s="138"/>
      <c r="T59" s="138"/>
      <c r="U59" s="138"/>
      <c r="V59" s="138"/>
      <c r="W59" s="138"/>
      <c r="X59" s="85"/>
      <c r="Y59" s="86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3" hidden="1" customWidth="1" outlineLevel="1"/>
    <col min="2" max="2" width="3.7109375" style="143" hidden="1" customWidth="1" outlineLevel="1"/>
    <col min="3" max="3" width="6" style="143" hidden="1" customWidth="1" outlineLevel="1"/>
    <col min="4" max="4" width="7.28515625" style="143" hidden="1" customWidth="1" outlineLevel="1"/>
    <col min="5" max="5" width="16.7109375" style="143" hidden="1" customWidth="1" outlineLevel="1"/>
    <col min="6" max="6" width="22.7109375" style="143" hidden="1" customWidth="1" outlineLevel="1"/>
    <col min="7" max="7" width="20.7109375" style="143" hidden="1" customWidth="1" outlineLevel="1"/>
    <col min="8" max="8" width="24.42578125" style="143" hidden="1" customWidth="1" outlineLevel="1"/>
    <col min="9" max="9" width="31.7109375" style="143" hidden="1" customWidth="1" outlineLevel="1"/>
    <col min="10" max="10" width="20.7109375" style="143" hidden="1" customWidth="1" outlineLevel="1"/>
    <col min="11" max="11" width="2.7109375" style="143" hidden="1" customWidth="1" outlineLevel="1"/>
    <col min="12" max="12" width="2.7109375" style="143" customWidth="1" collapsed="1"/>
    <col min="13" max="13" width="2.7109375" style="143" customWidth="1"/>
    <col min="14" max="14" width="3" style="143" bestFit="1" customWidth="1"/>
    <col min="15" max="15" width="6" style="143" bestFit="1" customWidth="1"/>
    <col min="16" max="16" width="7.140625" style="143" customWidth="1"/>
    <col min="17" max="17" width="17.28515625" style="143" bestFit="1" customWidth="1"/>
    <col min="18" max="18" width="13.5703125" style="143" customWidth="1"/>
    <col min="19" max="19" width="11.140625" style="143" customWidth="1"/>
    <col min="20" max="25" width="10.7109375" style="143" customWidth="1"/>
    <col min="26" max="26" width="2.7109375" style="143" customWidth="1"/>
    <col min="27" max="27" width="10.7109375" style="143" customWidth="1"/>
    <col min="28" max="28" width="2.7109375" style="143" customWidth="1"/>
    <col min="29" max="30" width="10.7109375" style="143" customWidth="1"/>
    <col min="31" max="32" width="2.7109375" style="143" customWidth="1"/>
    <col min="33" max="16384" width="9.140625" style="143"/>
  </cols>
  <sheetData>
    <row r="1" spans="1:31" x14ac:dyDescent="0.2">
      <c r="A1" s="87"/>
      <c r="B1" s="78"/>
      <c r="C1" s="78"/>
      <c r="D1" s="78"/>
      <c r="E1" s="78"/>
      <c r="F1" s="78"/>
      <c r="G1" s="78"/>
      <c r="H1" s="186" t="s">
        <v>98</v>
      </c>
      <c r="I1" s="54" t="str">
        <f>FuturesHWConvAdj!C5</f>
        <v>USDHW_Volatility_LCHQuote#0002</v>
      </c>
      <c r="J1" s="78"/>
      <c r="K1" s="79"/>
      <c r="M1" s="361" t="s">
        <v>205</v>
      </c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6"/>
      <c r="AA1" s="356"/>
      <c r="AB1" s="353"/>
      <c r="AC1" s="353"/>
      <c r="AD1" s="353"/>
      <c r="AE1" s="362"/>
    </row>
    <row r="2" spans="1:31" x14ac:dyDescent="0.2">
      <c r="A2" s="80"/>
      <c r="B2" s="81"/>
      <c r="C2" s="81"/>
      <c r="D2" s="81"/>
      <c r="E2" s="81"/>
      <c r="F2" s="81"/>
      <c r="G2" s="81"/>
      <c r="H2" s="186" t="s">
        <v>97</v>
      </c>
      <c r="I2" s="54" t="str">
        <f>FuturesHWConvAdj!C6</f>
        <v>USDHW_MeanReversion_LCHQuote#0002</v>
      </c>
      <c r="J2" s="81"/>
      <c r="K2" s="82"/>
      <c r="M2" s="349"/>
      <c r="N2" s="341"/>
      <c r="O2" s="357"/>
      <c r="P2" s="357"/>
      <c r="Q2" s="341"/>
      <c r="R2" s="341"/>
      <c r="S2" s="341"/>
      <c r="T2" s="341"/>
      <c r="U2" s="341"/>
      <c r="V2" s="341"/>
      <c r="W2" s="341"/>
      <c r="X2" s="341"/>
      <c r="Y2" s="341"/>
      <c r="Z2" s="343"/>
      <c r="AA2" s="343"/>
      <c r="AB2" s="341"/>
      <c r="AC2" s="343"/>
      <c r="AD2" s="348">
        <f>_xll.ohTrigger(AD5:AD46)</f>
        <v>2188</v>
      </c>
      <c r="AE2" s="363"/>
    </row>
    <row r="3" spans="1:31" x14ac:dyDescent="0.2">
      <c r="A3" s="80"/>
      <c r="B3" s="81"/>
      <c r="C3" s="81"/>
      <c r="D3" s="189" t="s">
        <v>76</v>
      </c>
      <c r="E3" s="189" t="s">
        <v>14</v>
      </c>
      <c r="F3" s="81"/>
      <c r="G3" s="81"/>
      <c r="H3" s="186" t="s">
        <v>60</v>
      </c>
      <c r="I3" s="54" t="str">
        <f>Libor!H10</f>
        <v>UsdLibor3M_cubicLCH#0002</v>
      </c>
      <c r="J3" s="81"/>
      <c r="K3" s="82"/>
      <c r="M3" s="349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3"/>
      <c r="AA3" s="343"/>
      <c r="AB3" s="341"/>
      <c r="AC3" s="341"/>
      <c r="AD3" s="341"/>
      <c r="AE3" s="363"/>
    </row>
    <row r="4" spans="1:31" ht="22.5" customHeight="1" x14ac:dyDescent="0.2">
      <c r="A4" s="114" t="str">
        <f>_xll.ohRangeRetrieveError(F5)</f>
        <v/>
      </c>
      <c r="B4" s="49" t="s">
        <v>75</v>
      </c>
      <c r="C4" s="52" t="s">
        <v>74</v>
      </c>
      <c r="D4" s="52" t="s">
        <v>73</v>
      </c>
      <c r="E4" s="48" t="s">
        <v>184</v>
      </c>
      <c r="F4" s="48" t="s">
        <v>185</v>
      </c>
      <c r="G4" s="275" t="s">
        <v>199</v>
      </c>
      <c r="H4" s="48" t="s">
        <v>206</v>
      </c>
      <c r="I4" s="48" t="s">
        <v>207</v>
      </c>
      <c r="J4" s="275" t="s">
        <v>199</v>
      </c>
      <c r="K4" s="115"/>
      <c r="M4" s="349"/>
      <c r="N4" s="123" t="s">
        <v>75</v>
      </c>
      <c r="O4" s="123" t="s">
        <v>74</v>
      </c>
      <c r="P4" s="123" t="s">
        <v>73</v>
      </c>
      <c r="Q4" s="123" t="s">
        <v>119</v>
      </c>
      <c r="R4" s="355" t="str">
        <f>_xll.RData(R5:R46,S4:W4,"RTFEED:IDN",ReutersRtMode,,S5)</f>
        <v>Updated at 18:49:01</v>
      </c>
      <c r="S4" s="123" t="s">
        <v>118</v>
      </c>
      <c r="T4" s="123" t="s">
        <v>100</v>
      </c>
      <c r="U4" s="123" t="s">
        <v>99</v>
      </c>
      <c r="V4" s="123" t="s">
        <v>109</v>
      </c>
      <c r="W4" s="123" t="s">
        <v>117</v>
      </c>
      <c r="X4" s="124" t="s">
        <v>116</v>
      </c>
      <c r="Y4" s="38" t="s">
        <v>200</v>
      </c>
      <c r="Z4" s="342"/>
      <c r="AA4" s="123" t="s">
        <v>114</v>
      </c>
      <c r="AB4" s="342"/>
      <c r="AC4" s="123" t="s">
        <v>113</v>
      </c>
      <c r="AD4" s="123" t="s">
        <v>112</v>
      </c>
      <c r="AE4" s="350"/>
    </row>
    <row r="5" spans="1:31" x14ac:dyDescent="0.2">
      <c r="A5" s="245"/>
      <c r="B5" s="246">
        <v>1</v>
      </c>
      <c r="C5" s="197" t="b">
        <v>0</v>
      </c>
      <c r="D5" s="10" t="str">
        <f t="array" ref="D5:D46">_xll.qlIMMNextCodes(_xll.qlSettingsEvaluationDate(Trigger)-1,$C5:$C46)</f>
        <v>X5</v>
      </c>
      <c r="E5" s="247" t="str">
        <f t="shared" ref="E5:E46" si="0">Currency&amp;$D$3&amp;$E$3&amp;$D5&amp;QuoteSuffix</f>
        <v>USDFUT3MX5_LCHQuote</v>
      </c>
      <c r="F5" s="248" t="str">
        <f>_xll.qlSimpleQuote(E5,,PriceTickValue,Permanent,Trigger,ObjectOverwrite)</f>
        <v>USDFUT3MX5_LCHQuote#0002</v>
      </c>
      <c r="G5" s="257"/>
      <c r="H5" s="253" t="str">
        <f t="shared" ref="H5:H46" si="1">Currency&amp;$D$3&amp;$E$3&amp;$D5&amp;"ConvAdj"&amp;QuoteSuffix</f>
        <v>USDFUT3MX5ConvAdj_LCHQuote</v>
      </c>
      <c r="I5" s="254" t="str">
        <f>_xll.qlFuturesConvAdjustmentQuote(H5,IborIndex,D5,F5,Volatility,MeanReversion,Permanent,AND(ISERROR(AD5),ISERROR(FuturesHWConvAdj!U5:U6)),ObjectOverwrite)</f>
        <v>USDFUT3MX5ConvAdj_LCHQuote#4434</v>
      </c>
      <c r="J5" s="208" t="str">
        <f>_xll.ohRangeRetrieveError(I5)</f>
        <v/>
      </c>
      <c r="K5" s="115"/>
      <c r="M5" s="358"/>
      <c r="N5" s="249">
        <v>1</v>
      </c>
      <c r="O5" s="249" t="b">
        <v>0</v>
      </c>
      <c r="P5" s="200" t="str">
        <f t="array" ref="P5:P46">_xll.qlIMMcode(FuturesDates)</f>
        <v>X5</v>
      </c>
      <c r="Q5" s="250">
        <f t="array" ref="Q5:Q46">_xll.qlIMMNextDates(_xll.qlSettingsEvaluationDate(Trigger)-1,$O5:$O46)</f>
        <v>42326</v>
      </c>
      <c r="R5" s="200" t="str">
        <f t="array" ref="R5:R46">"ED"&amp;FuturesCodes</f>
        <v>EDX5</v>
      </c>
      <c r="S5" s="372">
        <v>42324</v>
      </c>
      <c r="T5" s="369">
        <v>99.632499999999993</v>
      </c>
      <c r="U5" s="369">
        <v>99.635000000000005</v>
      </c>
      <c r="V5" s="369">
        <v>99.635000000000005</v>
      </c>
      <c r="W5" s="369">
        <v>99.63</v>
      </c>
      <c r="X5" s="34">
        <f>_xll.qlMidSafe(T5,U5,Trigger)</f>
        <v>99.633749999999992</v>
      </c>
      <c r="Y5" s="35">
        <f>U5-T5</f>
        <v>2.5000000000119371E-3</v>
      </c>
      <c r="Z5" s="359"/>
      <c r="AA5" s="252">
        <v>99.633749999999992</v>
      </c>
      <c r="AB5" s="359"/>
      <c r="AC5" s="34">
        <f t="array" ref="AC5:AC46">QuoteLive</f>
        <v>99.633749999999992</v>
      </c>
      <c r="AD5" s="200" t="e">
        <f>_xll.qlSimpleQuoteSetValue(F5,AC5,Trigger)</f>
        <v>#N/A</v>
      </c>
      <c r="AE5" s="350"/>
    </row>
    <row r="6" spans="1:31" x14ac:dyDescent="0.2">
      <c r="A6" s="245"/>
      <c r="B6" s="255">
        <v>2</v>
      </c>
      <c r="C6" s="14" t="b">
        <v>0</v>
      </c>
      <c r="D6" s="11" t="str">
        <v>Z5</v>
      </c>
      <c r="E6" s="83" t="str">
        <f t="shared" si="0"/>
        <v>USDFUT3MZ5_LCHQuote</v>
      </c>
      <c r="F6" s="256" t="str">
        <f>_xll.qlSimpleQuote(E6,,PriceTickValue,Permanent,Trigger,ObjectOverwrite)</f>
        <v>USDFUT3MZ5_LCHQuote#0002</v>
      </c>
      <c r="G6" s="257" t="str">
        <f>_xll.ohRangeRetrieveError(F6)</f>
        <v/>
      </c>
      <c r="H6" s="261" t="str">
        <f t="shared" si="1"/>
        <v>USDFUT3MZ5ConvAdj_LCHQuote</v>
      </c>
      <c r="I6" s="262" t="str">
        <f>_xll.qlFuturesConvAdjustmentQuote(H6,IborIndex,D6,F6,Volatility,MeanReversion,Permanent,AND(ISERROR(AD6),ISERROR(FuturesHWConvAdj!U6:U7)),ObjectOverwrite)</f>
        <v>USDFUT3MZ5ConvAdj_LCHQuote#4434</v>
      </c>
      <c r="J6" s="211" t="str">
        <f>_xll.ohRangeRetrieveError(I6)</f>
        <v/>
      </c>
      <c r="K6" s="115"/>
      <c r="M6" s="358"/>
      <c r="N6" s="258">
        <v>2</v>
      </c>
      <c r="O6" s="258" t="b">
        <v>0</v>
      </c>
      <c r="P6" s="187" t="str">
        <v>Z5</v>
      </c>
      <c r="Q6" s="259">
        <v>42354</v>
      </c>
      <c r="R6" s="187" t="str">
        <v>EDZ5</v>
      </c>
      <c r="S6" s="373">
        <v>42352</v>
      </c>
      <c r="T6" s="370">
        <v>99.56</v>
      </c>
      <c r="U6" s="370">
        <v>99.564999999999998</v>
      </c>
      <c r="V6" s="370">
        <v>99.564999999999998</v>
      </c>
      <c r="W6" s="370">
        <v>99.56</v>
      </c>
      <c r="X6" s="35">
        <f>_xll.qlMidSafe(T6,U6,Trigger)</f>
        <v>99.5625</v>
      </c>
      <c r="Y6" s="35">
        <f t="shared" ref="Y6:Y46" si="2">U6-T6</f>
        <v>4.9999999999954525E-3</v>
      </c>
      <c r="Z6" s="359"/>
      <c r="AA6" s="260">
        <v>99.5625</v>
      </c>
      <c r="AB6" s="359"/>
      <c r="AC6" s="35">
        <v>99.5625</v>
      </c>
      <c r="AD6" s="187" t="e">
        <f>_xll.qlSimpleQuoteSetValue(F6,AC6,Trigger)</f>
        <v>#N/A</v>
      </c>
      <c r="AE6" s="350"/>
    </row>
    <row r="7" spans="1:31" x14ac:dyDescent="0.2">
      <c r="A7" s="245"/>
      <c r="B7" s="255">
        <v>3</v>
      </c>
      <c r="C7" s="14" t="b">
        <v>0</v>
      </c>
      <c r="D7" s="11" t="str">
        <v>F6</v>
      </c>
      <c r="E7" s="83" t="str">
        <f t="shared" si="0"/>
        <v>USDFUT3MF6_LCHQuote</v>
      </c>
      <c r="F7" s="256" t="str">
        <f>_xll.qlSimpleQuote(E7,,PriceTickValue,Permanent,Trigger,ObjectOverwrite)</f>
        <v>USDFUT3MF6_LCHQuote#0002</v>
      </c>
      <c r="G7" s="257" t="str">
        <f>_xll.ohRangeRetrieveError(F7)</f>
        <v/>
      </c>
      <c r="H7" s="261" t="str">
        <f t="shared" si="1"/>
        <v>USDFUT3MF6ConvAdj_LCHQuote</v>
      </c>
      <c r="I7" s="262" t="str">
        <f>_xll.qlFuturesConvAdjustmentQuote(H7,IborIndex,D7,F7,Volatility,MeanReversion,Permanent,AND(ISERROR(AD7),ISERROR(FuturesHWConvAdj!U7:U8)),ObjectOverwrite)</f>
        <v>USDFUT3MF6ConvAdj_LCHQuote#2189</v>
      </c>
      <c r="J7" s="211" t="str">
        <f>_xll.ohRangeRetrieveError(I7)</f>
        <v/>
      </c>
      <c r="K7" s="115"/>
      <c r="M7" s="358"/>
      <c r="N7" s="258">
        <v>3</v>
      </c>
      <c r="O7" s="258" t="b">
        <v>0</v>
      </c>
      <c r="P7" s="187" t="str">
        <v>F6</v>
      </c>
      <c r="Q7" s="259">
        <v>42389</v>
      </c>
      <c r="R7" s="187" t="str">
        <v>EDF6</v>
      </c>
      <c r="S7" s="373">
        <v>42387</v>
      </c>
      <c r="T7" s="370">
        <v>99.484999999999999</v>
      </c>
      <c r="U7" s="370">
        <v>99.495000000000005</v>
      </c>
      <c r="V7" s="370">
        <v>99.49</v>
      </c>
      <c r="W7" s="370">
        <v>99.49</v>
      </c>
      <c r="X7" s="35">
        <f>_xll.qlMidSafe(T7,U7,Trigger)</f>
        <v>99.490000000000009</v>
      </c>
      <c r="Y7" s="35">
        <f t="shared" si="2"/>
        <v>1.0000000000005116E-2</v>
      </c>
      <c r="Z7" s="359"/>
      <c r="AA7" s="260">
        <v>99.490000000000009</v>
      </c>
      <c r="AB7" s="359"/>
      <c r="AC7" s="35">
        <v>99.490000000000009</v>
      </c>
      <c r="AD7" s="187" t="e">
        <f>_xll.qlSimpleQuoteSetValue(F7,AC7,Trigger)</f>
        <v>#N/A</v>
      </c>
      <c r="AE7" s="350"/>
    </row>
    <row r="8" spans="1:31" x14ac:dyDescent="0.2">
      <c r="A8" s="245"/>
      <c r="B8" s="255">
        <v>4</v>
      </c>
      <c r="C8" s="14" t="b">
        <v>0</v>
      </c>
      <c r="D8" s="11" t="str">
        <v>G6</v>
      </c>
      <c r="E8" s="83" t="str">
        <f t="shared" si="0"/>
        <v>USDFUT3MG6_LCHQuote</v>
      </c>
      <c r="F8" s="256" t="str">
        <f>_xll.qlSimpleQuote(E8,,PriceTickValue,Permanent,Trigger,ObjectOverwrite)</f>
        <v>USDFUT3MG6_LCHQuote#0002</v>
      </c>
      <c r="G8" s="257" t="str">
        <f>_xll.ohRangeRetrieveError(F8)</f>
        <v/>
      </c>
      <c r="H8" s="261" t="str">
        <f t="shared" si="1"/>
        <v>USDFUT3MG6ConvAdj_LCHQuote</v>
      </c>
      <c r="I8" s="262" t="str">
        <f>_xll.qlFuturesConvAdjustmentQuote(H8,IborIndex,D8,F8,Volatility,MeanReversion,Permanent,AND(ISERROR(AD8),ISERROR(FuturesHWConvAdj!U8:U9)),ObjectOverwrite)</f>
        <v>USDFUT3MG6ConvAdj_LCHQuote#2189</v>
      </c>
      <c r="J8" s="211" t="str">
        <f>_xll.ohRangeRetrieveError(I8)</f>
        <v/>
      </c>
      <c r="K8" s="115"/>
      <c r="M8" s="358"/>
      <c r="N8" s="258">
        <v>4</v>
      </c>
      <c r="O8" s="258" t="b">
        <v>0</v>
      </c>
      <c r="P8" s="187" t="str">
        <v>G6</v>
      </c>
      <c r="Q8" s="259">
        <v>42417</v>
      </c>
      <c r="R8" s="187" t="str">
        <v>EDG6</v>
      </c>
      <c r="S8" s="373">
        <v>42415</v>
      </c>
      <c r="T8" s="370">
        <v>99.44</v>
      </c>
      <c r="U8" s="370">
        <v>99.45</v>
      </c>
      <c r="V8" s="370">
        <v>0</v>
      </c>
      <c r="W8" s="370">
        <v>99.435000000000002</v>
      </c>
      <c r="X8" s="35">
        <f>_xll.qlMidSafe(T8,U8,Trigger)</f>
        <v>99.444999999999993</v>
      </c>
      <c r="Y8" s="35">
        <f t="shared" si="2"/>
        <v>1.0000000000005116E-2</v>
      </c>
      <c r="Z8" s="359"/>
      <c r="AA8" s="260">
        <v>99.444999999999993</v>
      </c>
      <c r="AB8" s="359"/>
      <c r="AC8" s="35">
        <v>99.444999999999993</v>
      </c>
      <c r="AD8" s="187" t="e">
        <f>_xll.qlSimpleQuoteSetValue(F8,AC8,Trigger)</f>
        <v>#N/A</v>
      </c>
      <c r="AE8" s="350"/>
    </row>
    <row r="9" spans="1:31" x14ac:dyDescent="0.2">
      <c r="A9" s="245"/>
      <c r="B9" s="255">
        <v>5</v>
      </c>
      <c r="C9" s="14" t="b">
        <v>0</v>
      </c>
      <c r="D9" s="11" t="str">
        <v>H6</v>
      </c>
      <c r="E9" s="83" t="str">
        <f t="shared" si="0"/>
        <v>USDFUT3MH6_LCHQuote</v>
      </c>
      <c r="F9" s="256" t="str">
        <f>_xll.qlSimpleQuote(E9,,PriceTickValue,Permanent,Trigger,ObjectOverwrite)</f>
        <v>USDFUT3MH6_LCHQuote#0002</v>
      </c>
      <c r="G9" s="257" t="str">
        <f>_xll.ohRangeRetrieveError(F9)</f>
        <v/>
      </c>
      <c r="H9" s="261" t="str">
        <f t="shared" si="1"/>
        <v>USDFUT3MH6ConvAdj_LCHQuote</v>
      </c>
      <c r="I9" s="262" t="str">
        <f>_xll.qlFuturesConvAdjustmentQuote(H9,IborIndex,D9,F9,Volatility,MeanReversion,Permanent,AND(ISERROR(AD9),ISERROR(FuturesHWConvAdj!U9:U10)),ObjectOverwrite)</f>
        <v>USDFUT3MH6ConvAdj_LCHQuote#2189</v>
      </c>
      <c r="J9" s="211" t="str">
        <f>_xll.ohRangeRetrieveError(I9)</f>
        <v/>
      </c>
      <c r="K9" s="115"/>
      <c r="L9" s="263"/>
      <c r="M9" s="358"/>
      <c r="N9" s="258">
        <v>5</v>
      </c>
      <c r="O9" s="258" t="b">
        <v>0</v>
      </c>
      <c r="P9" s="187" t="str">
        <v>H6</v>
      </c>
      <c r="Q9" s="259">
        <v>42445</v>
      </c>
      <c r="R9" s="187" t="str">
        <v>EDH6</v>
      </c>
      <c r="S9" s="373">
        <v>42443</v>
      </c>
      <c r="T9" s="370">
        <v>99.39</v>
      </c>
      <c r="U9" s="370">
        <v>99.394999999999996</v>
      </c>
      <c r="V9" s="370">
        <v>99.394999999999996</v>
      </c>
      <c r="W9" s="370">
        <v>99.385000000000005</v>
      </c>
      <c r="X9" s="35">
        <f>_xll.qlMidSafe(T9,U9,Trigger)</f>
        <v>99.392499999999998</v>
      </c>
      <c r="Y9" s="35">
        <f t="shared" si="2"/>
        <v>4.9999999999954525E-3</v>
      </c>
      <c r="Z9" s="359"/>
      <c r="AA9" s="264">
        <v>99.397500000000008</v>
      </c>
      <c r="AB9" s="359"/>
      <c r="AC9" s="35">
        <v>99.392499999999998</v>
      </c>
      <c r="AD9" s="187" t="e">
        <f>_xll.qlSimpleQuoteSetValue(F9,AC9,Trigger)</f>
        <v>#N/A</v>
      </c>
      <c r="AE9" s="350"/>
    </row>
    <row r="10" spans="1:31" x14ac:dyDescent="0.2">
      <c r="A10" s="245"/>
      <c r="B10" s="255">
        <v>6</v>
      </c>
      <c r="C10" s="14" t="b">
        <v>0</v>
      </c>
      <c r="D10" s="11" t="str">
        <v>J6</v>
      </c>
      <c r="E10" s="83" t="str">
        <f t="shared" si="0"/>
        <v>USDFUT3MJ6_LCHQuote</v>
      </c>
      <c r="F10" s="256" t="str">
        <f>_xll.qlSimpleQuote(E10,,PriceTickValue,Permanent,Trigger,ObjectOverwrite)</f>
        <v>USDFUT3MJ6_LCHQuote#0002</v>
      </c>
      <c r="G10" s="257" t="str">
        <f>_xll.ohRangeRetrieveError(F10)</f>
        <v/>
      </c>
      <c r="H10" s="261" t="str">
        <f t="shared" si="1"/>
        <v>USDFUT3MJ6ConvAdj_LCHQuote</v>
      </c>
      <c r="I10" s="262" t="str">
        <f>_xll.qlFuturesConvAdjustmentQuote(H10,IborIndex,D10,F10,Volatility,MeanReversion,Permanent,AND(ISERROR(AD10),ISERROR(FuturesHWConvAdj!U10:U11)),ObjectOverwrite)</f>
        <v>USDFUT3MJ6ConvAdj_LCHQuote#2189</v>
      </c>
      <c r="J10" s="211" t="str">
        <f>_xll.ohRangeRetrieveError(I10)</f>
        <v/>
      </c>
      <c r="K10" s="115"/>
      <c r="M10" s="358"/>
      <c r="N10" s="258">
        <v>6</v>
      </c>
      <c r="O10" s="258" t="b">
        <v>0</v>
      </c>
      <c r="P10" s="187" t="str">
        <v>J6</v>
      </c>
      <c r="Q10" s="259">
        <v>42480</v>
      </c>
      <c r="R10" s="187" t="str">
        <v>EDJ6</v>
      </c>
      <c r="S10" s="373">
        <v>42478</v>
      </c>
      <c r="T10" s="370">
        <v>99.33</v>
      </c>
      <c r="U10" s="370">
        <v>99.344999999999999</v>
      </c>
      <c r="V10" s="370">
        <v>0</v>
      </c>
      <c r="W10" s="370">
        <v>99.325000000000003</v>
      </c>
      <c r="X10" s="35">
        <f>_xll.qlMidSafe(T10,U10,Trigger)</f>
        <v>99.337500000000006</v>
      </c>
      <c r="Y10" s="35">
        <f t="shared" si="2"/>
        <v>1.5000000000000568E-2</v>
      </c>
      <c r="Z10" s="359"/>
      <c r="AA10" s="264">
        <v>99.344999999999999</v>
      </c>
      <c r="AB10" s="359"/>
      <c r="AC10" s="35">
        <v>99.337500000000006</v>
      </c>
      <c r="AD10" s="187" t="e">
        <f>_xll.qlSimpleQuoteSetValue(F10,AC10,Trigger)</f>
        <v>#N/A</v>
      </c>
      <c r="AE10" s="350"/>
    </row>
    <row r="11" spans="1:31" x14ac:dyDescent="0.2">
      <c r="A11" s="245"/>
      <c r="B11" s="255">
        <v>7</v>
      </c>
      <c r="C11" s="14" t="b">
        <v>0</v>
      </c>
      <c r="D11" s="11" t="str">
        <v>K6</v>
      </c>
      <c r="E11" s="83" t="str">
        <f t="shared" si="0"/>
        <v>USDFUT3MK6_LCHQuote</v>
      </c>
      <c r="F11" s="256" t="str">
        <f>_xll.qlSimpleQuote(E11,,PriceTickValue,Permanent,Trigger,ObjectOverwrite)</f>
        <v>USDFUT3MK6_LCHQuote#0002</v>
      </c>
      <c r="G11" s="257" t="str">
        <f>_xll.ohRangeRetrieveError(F11)</f>
        <v/>
      </c>
      <c r="H11" s="261" t="str">
        <f t="shared" si="1"/>
        <v>USDFUT3MK6ConvAdj_LCHQuote</v>
      </c>
      <c r="I11" s="262" t="str">
        <f>_xll.qlFuturesConvAdjustmentQuote(H11,IborIndex,D11,F11,Volatility,MeanReversion,Permanent,AND(ISERROR(AD11),ISERROR(FuturesHWConvAdj!U11:U12)),ObjectOverwrite)</f>
        <v>USDFUT3MK6ConvAdj_LCHQuote#2189</v>
      </c>
      <c r="J11" s="211" t="str">
        <f>_xll.ohRangeRetrieveError(I11)</f>
        <v/>
      </c>
      <c r="K11" s="115"/>
      <c r="M11" s="358"/>
      <c r="N11" s="258">
        <v>7</v>
      </c>
      <c r="O11" s="258" t="b">
        <v>0</v>
      </c>
      <c r="P11" s="187" t="str">
        <v>K6</v>
      </c>
      <c r="Q11" s="259">
        <v>42508</v>
      </c>
      <c r="R11" s="187" t="str">
        <v>EDK6</v>
      </c>
      <c r="S11" s="373" t="s">
        <v>213</v>
      </c>
      <c r="T11" s="370" t="s">
        <v>213</v>
      </c>
      <c r="U11" s="370" t="s">
        <v>213</v>
      </c>
      <c r="V11" s="370" t="s">
        <v>213</v>
      </c>
      <c r="W11" s="370" t="s">
        <v>213</v>
      </c>
      <c r="X11" s="35" t="e">
        <f>_xll.qlMidSafe(T11,U11,Trigger)</f>
        <v>#NUM!</v>
      </c>
      <c r="Y11" s="35" t="e">
        <f t="shared" si="2"/>
        <v>#VALUE!</v>
      </c>
      <c r="Z11" s="359"/>
      <c r="AA11" s="264" t="e">
        <v>#NUM!</v>
      </c>
      <c r="AB11" s="359"/>
      <c r="AC11" s="35" t="e">
        <v>#NUM!</v>
      </c>
      <c r="AD11" s="187">
        <f>_xll.qlSimpleQuoteSetValue(F11,AC11,Trigger)</f>
        <v>0</v>
      </c>
      <c r="AE11" s="350"/>
    </row>
    <row r="12" spans="1:31" x14ac:dyDescent="0.2">
      <c r="A12" s="245"/>
      <c r="B12" s="255">
        <v>8</v>
      </c>
      <c r="C12" s="14" t="b">
        <v>0</v>
      </c>
      <c r="D12" s="11" t="str">
        <v>M6</v>
      </c>
      <c r="E12" s="83" t="str">
        <f t="shared" si="0"/>
        <v>USDFUT3MM6_LCHQuote</v>
      </c>
      <c r="F12" s="256" t="str">
        <f>_xll.qlSimpleQuote(E12,,PriceTickValue,Permanent,Trigger,ObjectOverwrite)</f>
        <v>USDFUT3MM6_LCHQuote#0002</v>
      </c>
      <c r="G12" s="257" t="str">
        <f>_xll.ohRangeRetrieveError(F12)</f>
        <v/>
      </c>
      <c r="H12" s="261" t="str">
        <f t="shared" si="1"/>
        <v>USDFUT3MM6ConvAdj_LCHQuote</v>
      </c>
      <c r="I12" s="262" t="str">
        <f>_xll.qlFuturesConvAdjustmentQuote(H12,IborIndex,D12,F12,Volatility,MeanReversion,Permanent,AND(ISERROR(AD12),ISERROR(FuturesHWConvAdj!U12:U13)),ObjectOverwrite)</f>
        <v>USDFUT3MM6ConvAdj_LCHQuote#2189</v>
      </c>
      <c r="J12" s="211" t="str">
        <f>_xll.ohRangeRetrieveError(I12)</f>
        <v/>
      </c>
      <c r="K12" s="115"/>
      <c r="M12" s="358"/>
      <c r="N12" s="258">
        <v>8</v>
      </c>
      <c r="O12" s="258" t="b">
        <v>0</v>
      </c>
      <c r="P12" s="187" t="str">
        <v>M6</v>
      </c>
      <c r="Q12" s="259">
        <v>42536</v>
      </c>
      <c r="R12" s="187" t="str">
        <v>EDM6</v>
      </c>
      <c r="S12" s="373">
        <v>42534</v>
      </c>
      <c r="T12" s="370">
        <v>99.234999999999999</v>
      </c>
      <c r="U12" s="370">
        <v>99.24</v>
      </c>
      <c r="V12" s="370">
        <v>99.24</v>
      </c>
      <c r="W12" s="370">
        <v>99.22</v>
      </c>
      <c r="X12" s="35">
        <f>_xll.qlMidSafe(T12,U12,Trigger)</f>
        <v>99.237499999999997</v>
      </c>
      <c r="Y12" s="35">
        <f t="shared" si="2"/>
        <v>4.9999999999954525E-3</v>
      </c>
      <c r="Z12" s="359"/>
      <c r="AA12" s="264">
        <v>99.237499999999997</v>
      </c>
      <c r="AB12" s="359"/>
      <c r="AC12" s="35">
        <v>99.237499999999997</v>
      </c>
      <c r="AD12" s="187" t="e">
        <f>_xll.qlSimpleQuoteSetValue(F12,AC12,Trigger)</f>
        <v>#N/A</v>
      </c>
      <c r="AE12" s="350"/>
    </row>
    <row r="13" spans="1:31" x14ac:dyDescent="0.2">
      <c r="A13" s="245"/>
      <c r="B13" s="255">
        <v>9</v>
      </c>
      <c r="C13" s="14" t="b">
        <v>0</v>
      </c>
      <c r="D13" s="11" t="str">
        <v>N6</v>
      </c>
      <c r="E13" s="83" t="str">
        <f t="shared" si="0"/>
        <v>USDFUT3MN6_LCHQuote</v>
      </c>
      <c r="F13" s="256" t="str">
        <f>_xll.qlSimpleQuote(E13,,PriceTickValue,Permanent,Trigger,ObjectOverwrite)</f>
        <v>USDFUT3MN6_LCHQuote#0002</v>
      </c>
      <c r="G13" s="257" t="str">
        <f>_xll.ohRangeRetrieveError(F13)</f>
        <v/>
      </c>
      <c r="H13" s="261" t="str">
        <f t="shared" si="1"/>
        <v>USDFUT3MN6ConvAdj_LCHQuote</v>
      </c>
      <c r="I13" s="262" t="str">
        <f>_xll.qlFuturesConvAdjustmentQuote(H13,IborIndex,D13,F13,Volatility,MeanReversion,Permanent,AND(ISERROR(AD13),ISERROR(FuturesHWConvAdj!U13:U14)),ObjectOverwrite)</f>
        <v>USDFUT3MN6ConvAdj_LCHQuote#2189</v>
      </c>
      <c r="J13" s="211" t="str">
        <f>_xll.ohRangeRetrieveError(I13)</f>
        <v/>
      </c>
      <c r="K13" s="115"/>
      <c r="M13" s="358"/>
      <c r="N13" s="258">
        <v>9</v>
      </c>
      <c r="O13" s="258" t="b">
        <v>0</v>
      </c>
      <c r="P13" s="187" t="str">
        <v>N6</v>
      </c>
      <c r="Q13" s="259">
        <v>42571</v>
      </c>
      <c r="R13" s="187" t="str">
        <v>EDN6</v>
      </c>
      <c r="S13" s="373" t="s">
        <v>213</v>
      </c>
      <c r="T13" s="370" t="s">
        <v>213</v>
      </c>
      <c r="U13" s="370" t="s">
        <v>213</v>
      </c>
      <c r="V13" s="370" t="s">
        <v>213</v>
      </c>
      <c r="W13" s="370" t="s">
        <v>213</v>
      </c>
      <c r="X13" s="35" t="e">
        <f>_xll.qlMidSafe(T13,U13,Trigger)</f>
        <v>#NUM!</v>
      </c>
      <c r="Y13" s="35" t="e">
        <f t="shared" si="2"/>
        <v>#VALUE!</v>
      </c>
      <c r="Z13" s="359"/>
      <c r="AA13" s="264" t="e">
        <v>#NUM!</v>
      </c>
      <c r="AB13" s="359"/>
      <c r="AC13" s="35" t="e">
        <v>#NUM!</v>
      </c>
      <c r="AD13" s="187">
        <f>_xll.qlSimpleQuoteSetValue(F13,AC13,Trigger)</f>
        <v>0</v>
      </c>
      <c r="AE13" s="350"/>
    </row>
    <row r="14" spans="1:31" x14ac:dyDescent="0.2">
      <c r="A14" s="245"/>
      <c r="B14" s="255">
        <v>10</v>
      </c>
      <c r="C14" s="14" t="b">
        <v>0</v>
      </c>
      <c r="D14" s="11" t="str">
        <v>Q6</v>
      </c>
      <c r="E14" s="83" t="str">
        <f t="shared" si="0"/>
        <v>USDFUT3MQ6_LCHQuote</v>
      </c>
      <c r="F14" s="256" t="str">
        <f>_xll.qlSimpleQuote(E14,,PriceTickValue,Permanent,Trigger,ObjectOverwrite)</f>
        <v>USDFUT3MQ6_LCHQuote#0002</v>
      </c>
      <c r="G14" s="257" t="str">
        <f>_xll.ohRangeRetrieveError(F14)</f>
        <v/>
      </c>
      <c r="H14" s="261" t="str">
        <f t="shared" si="1"/>
        <v>USDFUT3MQ6ConvAdj_LCHQuote</v>
      </c>
      <c r="I14" s="262" t="str">
        <f>_xll.qlFuturesConvAdjustmentQuote(H14,IborIndex,D14,F14,Volatility,MeanReversion,Permanent,AND(ISERROR(AD14),ISERROR(FuturesHWConvAdj!U14:U15)),ObjectOverwrite)</f>
        <v>USDFUT3MQ6ConvAdj_LCHQuote#2189</v>
      </c>
      <c r="J14" s="211" t="str">
        <f>_xll.ohRangeRetrieveError(I14)</f>
        <v/>
      </c>
      <c r="K14" s="115"/>
      <c r="M14" s="358"/>
      <c r="N14" s="258">
        <v>10</v>
      </c>
      <c r="O14" s="258" t="b">
        <v>0</v>
      </c>
      <c r="P14" s="187" t="str">
        <v>Q6</v>
      </c>
      <c r="Q14" s="259">
        <v>42599</v>
      </c>
      <c r="R14" s="187" t="str">
        <v>EDQ6</v>
      </c>
      <c r="S14" s="373" t="s">
        <v>213</v>
      </c>
      <c r="T14" s="370" t="s">
        <v>213</v>
      </c>
      <c r="U14" s="370" t="s">
        <v>213</v>
      </c>
      <c r="V14" s="370" t="s">
        <v>213</v>
      </c>
      <c r="W14" s="370" t="s">
        <v>213</v>
      </c>
      <c r="X14" s="35" t="e">
        <f>_xll.qlMidSafe(T14,U14,Trigger)</f>
        <v>#NUM!</v>
      </c>
      <c r="Y14" s="35" t="e">
        <f t="shared" si="2"/>
        <v>#VALUE!</v>
      </c>
      <c r="Z14" s="359"/>
      <c r="AA14" s="264" t="e">
        <v>#NUM!</v>
      </c>
      <c r="AB14" s="359"/>
      <c r="AC14" s="35" t="e">
        <v>#NUM!</v>
      </c>
      <c r="AD14" s="187">
        <f>_xll.qlSimpleQuoteSetValue(F14,AC14,Trigger)</f>
        <v>0</v>
      </c>
      <c r="AE14" s="350"/>
    </row>
    <row r="15" spans="1:31" x14ac:dyDescent="0.2">
      <c r="A15" s="245"/>
      <c r="B15" s="255">
        <v>11</v>
      </c>
      <c r="C15" s="14" t="b">
        <v>0</v>
      </c>
      <c r="D15" s="11" t="str">
        <v>U6</v>
      </c>
      <c r="E15" s="83" t="str">
        <f t="shared" si="0"/>
        <v>USDFUT3MU6_LCHQuote</v>
      </c>
      <c r="F15" s="256" t="str">
        <f>_xll.qlSimpleQuote(E15,,PriceTickValue,Permanent,Trigger,ObjectOverwrite)</f>
        <v>USDFUT3MU6_LCHQuote#0002</v>
      </c>
      <c r="G15" s="257" t="str">
        <f>_xll.ohRangeRetrieveError(F15)</f>
        <v/>
      </c>
      <c r="H15" s="261" t="str">
        <f t="shared" si="1"/>
        <v>USDFUT3MU6ConvAdj_LCHQuote</v>
      </c>
      <c r="I15" s="262" t="str">
        <f>_xll.qlFuturesConvAdjustmentQuote(H15,IborIndex,D15,F15,Volatility,MeanReversion,Permanent,AND(ISERROR(AD15),ISERROR(FuturesHWConvAdj!U15:U16)),ObjectOverwrite)</f>
        <v>USDFUT3MU6ConvAdj_LCHQuote#2189</v>
      </c>
      <c r="J15" s="211" t="str">
        <f>_xll.ohRangeRetrieveError(I15)</f>
        <v/>
      </c>
      <c r="K15" s="115"/>
      <c r="M15" s="358"/>
      <c r="N15" s="258">
        <v>11</v>
      </c>
      <c r="O15" s="258" t="b">
        <v>0</v>
      </c>
      <c r="P15" s="187" t="str">
        <v>U6</v>
      </c>
      <c r="Q15" s="259">
        <v>42634</v>
      </c>
      <c r="R15" s="187" t="str">
        <v>EDU6</v>
      </c>
      <c r="S15" s="373">
        <v>42632</v>
      </c>
      <c r="T15" s="370">
        <v>99.07</v>
      </c>
      <c r="U15" s="370">
        <v>99.075000000000003</v>
      </c>
      <c r="V15" s="370">
        <v>99.075000000000003</v>
      </c>
      <c r="W15" s="370">
        <v>99.045000000000002</v>
      </c>
      <c r="X15" s="35">
        <f>_xll.qlMidSafe(T15,U15,Trigger)</f>
        <v>99.072499999999991</v>
      </c>
      <c r="Y15" s="35">
        <f t="shared" si="2"/>
        <v>5.0000000000096634E-3</v>
      </c>
      <c r="Z15" s="359"/>
      <c r="AA15" s="264">
        <v>99.077500000000001</v>
      </c>
      <c r="AB15" s="359"/>
      <c r="AC15" s="35">
        <v>99.072499999999991</v>
      </c>
      <c r="AD15" s="187" t="e">
        <f>_xll.qlSimpleQuoteSetValue(F15,AC15,Trigger)</f>
        <v>#N/A</v>
      </c>
      <c r="AE15" s="350"/>
    </row>
    <row r="16" spans="1:31" x14ac:dyDescent="0.2">
      <c r="A16" s="245"/>
      <c r="B16" s="255">
        <v>12</v>
      </c>
      <c r="C16" s="14" t="b">
        <v>0</v>
      </c>
      <c r="D16" s="11" t="str">
        <v>V6</v>
      </c>
      <c r="E16" s="83" t="str">
        <f t="shared" si="0"/>
        <v>USDFUT3MV6_LCHQuote</v>
      </c>
      <c r="F16" s="256" t="str">
        <f>_xll.qlSimpleQuote(E16,,PriceTickValue,Permanent,Trigger,ObjectOverwrite)</f>
        <v>USDFUT3MV6_LCHQuote#0002</v>
      </c>
      <c r="G16" s="257" t="str">
        <f>_xll.ohRangeRetrieveError(F16)</f>
        <v/>
      </c>
      <c r="H16" s="261" t="str">
        <f t="shared" si="1"/>
        <v>USDFUT3MV6ConvAdj_LCHQuote</v>
      </c>
      <c r="I16" s="262" t="str">
        <f>_xll.qlFuturesConvAdjustmentQuote(H16,IborIndex,D16,F16,Volatility,MeanReversion,Permanent,AND(ISERROR(AD16),ISERROR(FuturesHWConvAdj!U16:U17)),ObjectOverwrite)</f>
        <v>USDFUT3MV6ConvAdj_LCHQuote#2189</v>
      </c>
      <c r="J16" s="211" t="str">
        <f>_xll.ohRangeRetrieveError(I16)</f>
        <v/>
      </c>
      <c r="K16" s="115"/>
      <c r="M16" s="358"/>
      <c r="N16" s="258">
        <v>12</v>
      </c>
      <c r="O16" s="258" t="b">
        <v>0</v>
      </c>
      <c r="P16" s="187" t="str">
        <v>V6</v>
      </c>
      <c r="Q16" s="259">
        <v>42662</v>
      </c>
      <c r="R16" s="187" t="str">
        <v>EDV6</v>
      </c>
      <c r="S16" s="373" t="s">
        <v>213</v>
      </c>
      <c r="T16" s="370" t="s">
        <v>213</v>
      </c>
      <c r="U16" s="370" t="s">
        <v>213</v>
      </c>
      <c r="V16" s="370" t="s">
        <v>213</v>
      </c>
      <c r="W16" s="370" t="s">
        <v>213</v>
      </c>
      <c r="X16" s="35" t="e">
        <f>_xll.qlMidSafe(T16,U16,Trigger)</f>
        <v>#NUM!</v>
      </c>
      <c r="Y16" s="35" t="e">
        <f t="shared" si="2"/>
        <v>#VALUE!</v>
      </c>
      <c r="Z16" s="359"/>
      <c r="AA16" s="264" t="e">
        <v>#NUM!</v>
      </c>
      <c r="AB16" s="359"/>
      <c r="AC16" s="35" t="e">
        <v>#NUM!</v>
      </c>
      <c r="AD16" s="187">
        <f>_xll.qlSimpleQuoteSetValue(F16,AC16,Trigger)</f>
        <v>0</v>
      </c>
      <c r="AE16" s="350"/>
    </row>
    <row r="17" spans="1:31" x14ac:dyDescent="0.2">
      <c r="A17" s="245"/>
      <c r="B17" s="255">
        <v>13</v>
      </c>
      <c r="C17" s="14" t="b">
        <v>1</v>
      </c>
      <c r="D17" s="11" t="str">
        <v>Z6</v>
      </c>
      <c r="E17" s="83" t="str">
        <f t="shared" si="0"/>
        <v>USDFUT3MZ6_LCHQuote</v>
      </c>
      <c r="F17" s="256" t="str">
        <f>_xll.qlSimpleQuote(E17,,PriceTickValue,Permanent,Trigger,ObjectOverwrite)</f>
        <v>USDFUT3MZ6_LCHQuote#0002</v>
      </c>
      <c r="G17" s="257" t="str">
        <f>_xll.ohRangeRetrieveError(F17)</f>
        <v/>
      </c>
      <c r="H17" s="261" t="str">
        <f t="shared" si="1"/>
        <v>USDFUT3MZ6ConvAdj_LCHQuote</v>
      </c>
      <c r="I17" s="262" t="str">
        <f>_xll.qlFuturesConvAdjustmentQuote(H17,IborIndex,D17,F17,Volatility,MeanReversion,Permanent,AND(ISERROR(AD17),ISERROR(FuturesHWConvAdj!U17:U18)),ObjectOverwrite)</f>
        <v>USDFUT3MZ6ConvAdj_LCHQuote#2189</v>
      </c>
      <c r="J17" s="211" t="str">
        <f>_xll.ohRangeRetrieveError(I17)</f>
        <v/>
      </c>
      <c r="K17" s="115"/>
      <c r="M17" s="358"/>
      <c r="N17" s="258">
        <v>13</v>
      </c>
      <c r="O17" s="258" t="b">
        <v>1</v>
      </c>
      <c r="P17" s="187" t="str">
        <v>Z6</v>
      </c>
      <c r="Q17" s="259">
        <v>42725</v>
      </c>
      <c r="R17" s="187" t="str">
        <v>EDZ6</v>
      </c>
      <c r="S17" s="373">
        <v>42723</v>
      </c>
      <c r="T17" s="370">
        <v>98.9</v>
      </c>
      <c r="U17" s="370">
        <v>98.905000000000001</v>
      </c>
      <c r="V17" s="370">
        <v>98.905000000000001</v>
      </c>
      <c r="W17" s="370">
        <v>98.864999999999995</v>
      </c>
      <c r="X17" s="35">
        <f>_xll.qlMidSafe(T17,U17,Trigger)</f>
        <v>98.902500000000003</v>
      </c>
      <c r="Y17" s="35">
        <f t="shared" si="2"/>
        <v>4.9999999999954525E-3</v>
      </c>
      <c r="Z17" s="359"/>
      <c r="AA17" s="264">
        <v>98.907499999999999</v>
      </c>
      <c r="AB17" s="359"/>
      <c r="AC17" s="35">
        <v>98.902500000000003</v>
      </c>
      <c r="AD17" s="187" t="e">
        <f>_xll.qlSimpleQuoteSetValue(F17,AC17,Trigger)</f>
        <v>#N/A</v>
      </c>
      <c r="AE17" s="350"/>
    </row>
    <row r="18" spans="1:31" x14ac:dyDescent="0.2">
      <c r="A18" s="245"/>
      <c r="B18" s="255">
        <v>14</v>
      </c>
      <c r="C18" s="14" t="b">
        <v>1</v>
      </c>
      <c r="D18" s="11" t="str">
        <v>H7</v>
      </c>
      <c r="E18" s="83" t="str">
        <f t="shared" si="0"/>
        <v>USDFUT3MH7_LCHQuote</v>
      </c>
      <c r="F18" s="256" t="str">
        <f>_xll.qlSimpleQuote(E18,,PriceTickValue,Permanent,Trigger,ObjectOverwrite)</f>
        <v>USDFUT3MH7_LCHQuote#0002</v>
      </c>
      <c r="G18" s="257" t="str">
        <f>_xll.ohRangeRetrieveError(F18)</f>
        <v/>
      </c>
      <c r="H18" s="261" t="str">
        <f t="shared" si="1"/>
        <v>USDFUT3MH7ConvAdj_LCHQuote</v>
      </c>
      <c r="I18" s="262" t="str">
        <f>_xll.qlFuturesConvAdjustmentQuote(H18,IborIndex,D18,F18,Volatility,MeanReversion,Permanent,AND(ISERROR(AD18),ISERROR(FuturesHWConvAdj!U18:U19)),ObjectOverwrite)</f>
        <v>USDFUT3MH7ConvAdj_LCHQuote#2189</v>
      </c>
      <c r="J18" s="211" t="str">
        <f>_xll.ohRangeRetrieveError(I18)</f>
        <v/>
      </c>
      <c r="K18" s="115"/>
      <c r="M18" s="358"/>
      <c r="N18" s="258">
        <v>14</v>
      </c>
      <c r="O18" s="258" t="b">
        <v>1</v>
      </c>
      <c r="P18" s="187" t="str">
        <v>H7</v>
      </c>
      <c r="Q18" s="259">
        <v>42809</v>
      </c>
      <c r="R18" s="187" t="str">
        <v>EDH7</v>
      </c>
      <c r="S18" s="373">
        <v>42807</v>
      </c>
      <c r="T18" s="370">
        <v>98.75</v>
      </c>
      <c r="U18" s="370">
        <v>98.754999999999995</v>
      </c>
      <c r="V18" s="370">
        <v>98.754999999999995</v>
      </c>
      <c r="W18" s="370">
        <v>98.71</v>
      </c>
      <c r="X18" s="35">
        <f>_xll.qlMidSafe(T18,U18,Trigger)</f>
        <v>98.752499999999998</v>
      </c>
      <c r="Y18" s="35">
        <f t="shared" si="2"/>
        <v>4.9999999999954525E-3</v>
      </c>
      <c r="Z18" s="359"/>
      <c r="AA18" s="264">
        <v>98.757499999999993</v>
      </c>
      <c r="AB18" s="359"/>
      <c r="AC18" s="35">
        <v>98.752499999999998</v>
      </c>
      <c r="AD18" s="187" t="e">
        <f>_xll.qlSimpleQuoteSetValue(F18,AC18,Trigger)</f>
        <v>#N/A</v>
      </c>
      <c r="AE18" s="350"/>
    </row>
    <row r="19" spans="1:31" x14ac:dyDescent="0.2">
      <c r="A19" s="245"/>
      <c r="B19" s="255">
        <v>15</v>
      </c>
      <c r="C19" s="14" t="b">
        <v>1</v>
      </c>
      <c r="D19" s="11" t="str">
        <v>M7</v>
      </c>
      <c r="E19" s="83" t="str">
        <f t="shared" si="0"/>
        <v>USDFUT3MM7_LCHQuote</v>
      </c>
      <c r="F19" s="256" t="str">
        <f>_xll.qlSimpleQuote(E19,,PriceTickValue,Permanent,Trigger,ObjectOverwrite)</f>
        <v>USDFUT3MM7_LCHQuote#0002</v>
      </c>
      <c r="G19" s="257" t="str">
        <f>_xll.ohRangeRetrieveError(F19)</f>
        <v/>
      </c>
      <c r="H19" s="261" t="str">
        <f t="shared" si="1"/>
        <v>USDFUT3MM7ConvAdj_LCHQuote</v>
      </c>
      <c r="I19" s="262" t="str">
        <f>_xll.qlFuturesConvAdjustmentQuote(H19,IborIndex,D19,F19,Volatility,MeanReversion,Permanent,AND(ISERROR(AD19),ISERROR(FuturesHWConvAdj!U19:U20)),ObjectOverwrite)</f>
        <v>USDFUT3MM7ConvAdj_LCHQuote#2189</v>
      </c>
      <c r="J19" s="211" t="str">
        <f>_xll.ohRangeRetrieveError(I19)</f>
        <v/>
      </c>
      <c r="K19" s="115"/>
      <c r="M19" s="358"/>
      <c r="N19" s="258">
        <v>15</v>
      </c>
      <c r="O19" s="258" t="b">
        <v>1</v>
      </c>
      <c r="P19" s="187" t="str">
        <v>M7</v>
      </c>
      <c r="Q19" s="259">
        <v>42907</v>
      </c>
      <c r="R19" s="187" t="str">
        <v>EDM7</v>
      </c>
      <c r="S19" s="373">
        <v>42905</v>
      </c>
      <c r="T19" s="370">
        <v>98.594999999999999</v>
      </c>
      <c r="U19" s="370">
        <v>98.6</v>
      </c>
      <c r="V19" s="370">
        <v>98.594999999999999</v>
      </c>
      <c r="W19" s="370">
        <v>98.545000000000002</v>
      </c>
      <c r="X19" s="35">
        <f>_xll.qlMidSafe(T19,U19,Trigger)</f>
        <v>98.597499999999997</v>
      </c>
      <c r="Y19" s="35">
        <f t="shared" si="2"/>
        <v>4.9999999999954525E-3</v>
      </c>
      <c r="Z19" s="359"/>
      <c r="AA19" s="264">
        <v>98.602499999999992</v>
      </c>
      <c r="AB19" s="359"/>
      <c r="AC19" s="35">
        <v>98.597499999999997</v>
      </c>
      <c r="AD19" s="187" t="e">
        <f>_xll.qlSimpleQuoteSetValue(F19,AC19,Trigger)</f>
        <v>#N/A</v>
      </c>
      <c r="AE19" s="350"/>
    </row>
    <row r="20" spans="1:31" x14ac:dyDescent="0.2">
      <c r="A20" s="245"/>
      <c r="B20" s="255">
        <v>16</v>
      </c>
      <c r="C20" s="14" t="b">
        <v>1</v>
      </c>
      <c r="D20" s="11" t="str">
        <v>U7</v>
      </c>
      <c r="E20" s="83" t="str">
        <f t="shared" si="0"/>
        <v>USDFUT3MU7_LCHQuote</v>
      </c>
      <c r="F20" s="256" t="str">
        <f>_xll.qlSimpleQuote(E20,,PriceTickValue,Permanent,Trigger,ObjectOverwrite)</f>
        <v>USDFUT3MU7_LCHQuote#0002</v>
      </c>
      <c r="G20" s="257" t="str">
        <f>_xll.ohRangeRetrieveError(F20)</f>
        <v/>
      </c>
      <c r="H20" s="261" t="str">
        <f t="shared" si="1"/>
        <v>USDFUT3MU7ConvAdj_LCHQuote</v>
      </c>
      <c r="I20" s="262" t="str">
        <f>_xll.qlFuturesConvAdjustmentQuote(H20,IborIndex,D20,F20,Volatility,MeanReversion,Permanent,AND(ISERROR(AD20),ISERROR(FuturesHWConvAdj!U20:U21)),ObjectOverwrite)</f>
        <v>USDFUT3MU7ConvAdj_LCHQuote#2189</v>
      </c>
      <c r="J20" s="211" t="str">
        <f>_xll.ohRangeRetrieveError(I20)</f>
        <v/>
      </c>
      <c r="K20" s="115"/>
      <c r="M20" s="358"/>
      <c r="N20" s="258">
        <v>16</v>
      </c>
      <c r="O20" s="258" t="b">
        <v>1</v>
      </c>
      <c r="P20" s="187" t="str">
        <v>U7</v>
      </c>
      <c r="Q20" s="259">
        <v>42998</v>
      </c>
      <c r="R20" s="187" t="str">
        <v>EDU7</v>
      </c>
      <c r="S20" s="373">
        <v>42996</v>
      </c>
      <c r="T20" s="370">
        <v>98.45</v>
      </c>
      <c r="U20" s="370">
        <v>98.454999999999998</v>
      </c>
      <c r="V20" s="370">
        <v>98.45</v>
      </c>
      <c r="W20" s="370">
        <v>98.394999999999996</v>
      </c>
      <c r="X20" s="35">
        <f>_xll.qlMidSafe(T20,U20,Trigger)</f>
        <v>98.452500000000001</v>
      </c>
      <c r="Y20" s="35">
        <f t="shared" si="2"/>
        <v>4.9999999999954525E-3</v>
      </c>
      <c r="Z20" s="359"/>
      <c r="AA20" s="264">
        <v>98.457499999999996</v>
      </c>
      <c r="AB20" s="359"/>
      <c r="AC20" s="35">
        <v>98.452500000000001</v>
      </c>
      <c r="AD20" s="187" t="e">
        <f>_xll.qlSimpleQuoteSetValue(F20,AC20,Trigger)</f>
        <v>#N/A</v>
      </c>
      <c r="AE20" s="350"/>
    </row>
    <row r="21" spans="1:31" x14ac:dyDescent="0.2">
      <c r="A21" s="245"/>
      <c r="B21" s="255">
        <v>17</v>
      </c>
      <c r="C21" s="14" t="b">
        <v>1</v>
      </c>
      <c r="D21" s="11" t="str">
        <v>Z7</v>
      </c>
      <c r="E21" s="83" t="str">
        <f t="shared" si="0"/>
        <v>USDFUT3MZ7_LCHQuote</v>
      </c>
      <c r="F21" s="256" t="str">
        <f>_xll.qlSimpleQuote(E21,,PriceTickValue,Permanent,Trigger,ObjectOverwrite)</f>
        <v>USDFUT3MZ7_LCHQuote#0002</v>
      </c>
      <c r="G21" s="257" t="str">
        <f>_xll.ohRangeRetrieveError(F21)</f>
        <v/>
      </c>
      <c r="H21" s="261" t="str">
        <f t="shared" si="1"/>
        <v>USDFUT3MZ7ConvAdj_LCHQuote</v>
      </c>
      <c r="I21" s="262" t="str">
        <f>_xll.qlFuturesConvAdjustmentQuote(H21,IborIndex,D21,F21,Volatility,MeanReversion,Permanent,AND(ISERROR(AD21),ISERROR(FuturesHWConvAdj!U21:U22)),ObjectOverwrite)</f>
        <v>USDFUT3MZ7ConvAdj_LCHQuote#2189</v>
      </c>
      <c r="J21" s="211" t="str">
        <f>_xll.ohRangeRetrieveError(I21)</f>
        <v/>
      </c>
      <c r="K21" s="115"/>
      <c r="M21" s="358"/>
      <c r="N21" s="258">
        <v>17</v>
      </c>
      <c r="O21" s="258" t="b">
        <v>1</v>
      </c>
      <c r="P21" s="187" t="str">
        <v>Z7</v>
      </c>
      <c r="Q21" s="259">
        <v>43089</v>
      </c>
      <c r="R21" s="187" t="str">
        <v>EDZ7</v>
      </c>
      <c r="S21" s="373">
        <v>43087</v>
      </c>
      <c r="T21" s="370">
        <v>98.305000000000007</v>
      </c>
      <c r="U21" s="370">
        <v>98.31</v>
      </c>
      <c r="V21" s="370">
        <v>98.31</v>
      </c>
      <c r="W21" s="370">
        <v>98.25</v>
      </c>
      <c r="X21" s="35">
        <f>_xll.qlMidSafe(T21,U21,Trigger)</f>
        <v>98.307500000000005</v>
      </c>
      <c r="Y21" s="35">
        <f t="shared" si="2"/>
        <v>4.9999999999954525E-3</v>
      </c>
      <c r="Z21" s="359"/>
      <c r="AA21" s="264">
        <v>98.317499999999995</v>
      </c>
      <c r="AB21" s="359"/>
      <c r="AC21" s="35">
        <v>98.307500000000005</v>
      </c>
      <c r="AD21" s="187" t="e">
        <f>_xll.qlSimpleQuoteSetValue(F21,AC21,Trigger)</f>
        <v>#N/A</v>
      </c>
      <c r="AE21" s="350"/>
    </row>
    <row r="22" spans="1:31" x14ac:dyDescent="0.2">
      <c r="A22" s="245"/>
      <c r="B22" s="255">
        <v>18</v>
      </c>
      <c r="C22" s="14" t="b">
        <v>1</v>
      </c>
      <c r="D22" s="11" t="str">
        <v>H8</v>
      </c>
      <c r="E22" s="83" t="str">
        <f t="shared" si="0"/>
        <v>USDFUT3MH8_LCHQuote</v>
      </c>
      <c r="F22" s="256" t="str">
        <f>_xll.qlSimpleQuote(E22,,PriceTickValue,Permanent,Trigger,ObjectOverwrite)</f>
        <v>USDFUT3MH8_LCHQuote#0002</v>
      </c>
      <c r="G22" s="257" t="str">
        <f>_xll.ohRangeRetrieveError(F22)</f>
        <v/>
      </c>
      <c r="H22" s="261" t="str">
        <f t="shared" si="1"/>
        <v>USDFUT3MH8ConvAdj_LCHQuote</v>
      </c>
      <c r="I22" s="262" t="str">
        <f>_xll.qlFuturesConvAdjustmentQuote(H22,IborIndex,D22,F22,Volatility,MeanReversion,Permanent,AND(ISERROR(AD22),ISERROR(FuturesHWConvAdj!U22:U23)),ObjectOverwrite)</f>
        <v>USDFUT3MH8ConvAdj_LCHQuote#2189</v>
      </c>
      <c r="J22" s="211" t="str">
        <f>_xll.ohRangeRetrieveError(I22)</f>
        <v/>
      </c>
      <c r="K22" s="115"/>
      <c r="M22" s="358"/>
      <c r="N22" s="258">
        <v>18</v>
      </c>
      <c r="O22" s="258" t="b">
        <v>1</v>
      </c>
      <c r="P22" s="187" t="str">
        <v>H8</v>
      </c>
      <c r="Q22" s="259">
        <v>43180</v>
      </c>
      <c r="R22" s="187" t="str">
        <v>EDH8</v>
      </c>
      <c r="S22" s="373">
        <v>43178</v>
      </c>
      <c r="T22" s="370">
        <v>98.194999999999993</v>
      </c>
      <c r="U22" s="370">
        <v>98.2</v>
      </c>
      <c r="V22" s="370">
        <v>98.194999999999993</v>
      </c>
      <c r="W22" s="370">
        <v>98.135000000000005</v>
      </c>
      <c r="X22" s="35">
        <f>_xll.qlMidSafe(T22,U22,Trigger)</f>
        <v>98.197499999999991</v>
      </c>
      <c r="Y22" s="35">
        <f t="shared" si="2"/>
        <v>5.0000000000096634E-3</v>
      </c>
      <c r="Z22" s="359"/>
      <c r="AA22" s="264">
        <v>98.202500000000001</v>
      </c>
      <c r="AB22" s="359"/>
      <c r="AC22" s="35">
        <v>98.197499999999991</v>
      </c>
      <c r="AD22" s="187" t="e">
        <f>_xll.qlSimpleQuoteSetValue(F22,AC22,Trigger)</f>
        <v>#N/A</v>
      </c>
      <c r="AE22" s="350"/>
    </row>
    <row r="23" spans="1:31" x14ac:dyDescent="0.2">
      <c r="A23" s="245"/>
      <c r="B23" s="255">
        <v>19</v>
      </c>
      <c r="C23" s="14" t="b">
        <v>1</v>
      </c>
      <c r="D23" s="11" t="str">
        <v>M8</v>
      </c>
      <c r="E23" s="83" t="str">
        <f t="shared" si="0"/>
        <v>USDFUT3MM8_LCHQuote</v>
      </c>
      <c r="F23" s="256" t="str">
        <f>_xll.qlSimpleQuote(E23,,PriceTickValue,Permanent,Trigger,ObjectOverwrite)</f>
        <v>USDFUT3MM8_LCHQuote#0002</v>
      </c>
      <c r="G23" s="257" t="str">
        <f>_xll.ohRangeRetrieveError(F23)</f>
        <v/>
      </c>
      <c r="H23" s="261" t="str">
        <f t="shared" si="1"/>
        <v>USDFUT3MM8ConvAdj_LCHQuote</v>
      </c>
      <c r="I23" s="262" t="str">
        <f>_xll.qlFuturesConvAdjustmentQuote(H23,IborIndex,D23,F23,Volatility,MeanReversion,Permanent,AND(ISERROR(AD23),ISERROR(FuturesHWConvAdj!U23:U24)),ObjectOverwrite)</f>
        <v>USDFUT3MM8ConvAdj_LCHQuote#2189</v>
      </c>
      <c r="J23" s="211" t="str">
        <f>_xll.ohRangeRetrieveError(I23)</f>
        <v/>
      </c>
      <c r="K23" s="115"/>
      <c r="M23" s="358"/>
      <c r="N23" s="258">
        <v>19</v>
      </c>
      <c r="O23" s="258" t="b">
        <v>1</v>
      </c>
      <c r="P23" s="187" t="str">
        <v>M8</v>
      </c>
      <c r="Q23" s="259">
        <v>43271</v>
      </c>
      <c r="R23" s="187" t="str">
        <v>EDM8</v>
      </c>
      <c r="S23" s="373">
        <v>43269</v>
      </c>
      <c r="T23" s="370">
        <v>98.09</v>
      </c>
      <c r="U23" s="370">
        <v>98.094999999999999</v>
      </c>
      <c r="V23" s="370">
        <v>98.09</v>
      </c>
      <c r="W23" s="370">
        <v>98.03</v>
      </c>
      <c r="X23" s="35">
        <f>_xll.qlMidSafe(T23,U23,Trigger)</f>
        <v>98.092500000000001</v>
      </c>
      <c r="Y23" s="35">
        <f t="shared" si="2"/>
        <v>4.9999999999954525E-3</v>
      </c>
      <c r="Z23" s="359"/>
      <c r="AA23" s="264">
        <v>98.097499999999997</v>
      </c>
      <c r="AB23" s="359"/>
      <c r="AC23" s="35">
        <v>98.092500000000001</v>
      </c>
      <c r="AD23" s="187" t="e">
        <f>_xll.qlSimpleQuoteSetValue(F23,AC23,Trigger)</f>
        <v>#N/A</v>
      </c>
      <c r="AE23" s="350"/>
    </row>
    <row r="24" spans="1:31" x14ac:dyDescent="0.2">
      <c r="A24" s="245"/>
      <c r="B24" s="255">
        <v>20</v>
      </c>
      <c r="C24" s="14" t="b">
        <v>1</v>
      </c>
      <c r="D24" s="11" t="str">
        <v>U8</v>
      </c>
      <c r="E24" s="83" t="str">
        <f t="shared" si="0"/>
        <v>USDFUT3MU8_LCHQuote</v>
      </c>
      <c r="F24" s="256" t="str">
        <f>_xll.qlSimpleQuote(E24,,PriceTickValue,Permanent,Trigger,ObjectOverwrite)</f>
        <v>USDFUT3MU8_LCHQuote#0002</v>
      </c>
      <c r="G24" s="257" t="str">
        <f>_xll.ohRangeRetrieveError(F24)</f>
        <v/>
      </c>
      <c r="H24" s="261" t="str">
        <f t="shared" si="1"/>
        <v>USDFUT3MU8ConvAdj_LCHQuote</v>
      </c>
      <c r="I24" s="262" t="str">
        <f>_xll.qlFuturesConvAdjustmentQuote(H24,IborIndex,D24,F24,Volatility,MeanReversion,Permanent,AND(ISERROR(AD24),ISERROR(FuturesHWConvAdj!U24:U25)),ObjectOverwrite)</f>
        <v>USDFUT3MU8ConvAdj_LCHQuote#2189</v>
      </c>
      <c r="J24" s="211" t="str">
        <f>_xll.ohRangeRetrieveError(I24)</f>
        <v/>
      </c>
      <c r="K24" s="115"/>
      <c r="M24" s="358"/>
      <c r="N24" s="258">
        <v>20</v>
      </c>
      <c r="O24" s="258" t="b">
        <v>1</v>
      </c>
      <c r="P24" s="187" t="str">
        <v>U8</v>
      </c>
      <c r="Q24" s="259">
        <v>43362</v>
      </c>
      <c r="R24" s="187" t="str">
        <v>EDU8</v>
      </c>
      <c r="S24" s="373">
        <v>43360</v>
      </c>
      <c r="T24" s="370">
        <v>97.995000000000005</v>
      </c>
      <c r="U24" s="370">
        <v>98</v>
      </c>
      <c r="V24" s="370">
        <v>98</v>
      </c>
      <c r="W24" s="370">
        <v>97.935000000000002</v>
      </c>
      <c r="X24" s="35">
        <f>_xll.qlMidSafe(T24,U24,Trigger)</f>
        <v>97.997500000000002</v>
      </c>
      <c r="Y24" s="35">
        <f t="shared" si="2"/>
        <v>4.9999999999954525E-3</v>
      </c>
      <c r="Z24" s="359"/>
      <c r="AA24" s="264">
        <v>98.002499999999998</v>
      </c>
      <c r="AB24" s="359"/>
      <c r="AC24" s="35">
        <v>97.997500000000002</v>
      </c>
      <c r="AD24" s="187" t="e">
        <f>_xll.qlSimpleQuoteSetValue(F24,AC24,Trigger)</f>
        <v>#N/A</v>
      </c>
      <c r="AE24" s="350"/>
    </row>
    <row r="25" spans="1:31" x14ac:dyDescent="0.2">
      <c r="A25" s="245"/>
      <c r="B25" s="255">
        <v>21</v>
      </c>
      <c r="C25" s="14" t="b">
        <v>1</v>
      </c>
      <c r="D25" s="11" t="str">
        <v>Z8</v>
      </c>
      <c r="E25" s="83" t="str">
        <f t="shared" si="0"/>
        <v>USDFUT3MZ8_LCHQuote</v>
      </c>
      <c r="F25" s="256" t="str">
        <f>_xll.qlSimpleQuote(E25,,PriceTickValue,Permanent,Trigger,ObjectOverwrite)</f>
        <v>USDFUT3MZ8_LCHQuote#0002</v>
      </c>
      <c r="G25" s="257" t="str">
        <f>_xll.ohRangeRetrieveError(F25)</f>
        <v/>
      </c>
      <c r="H25" s="261" t="str">
        <f t="shared" si="1"/>
        <v>USDFUT3MZ8ConvAdj_LCHQuote</v>
      </c>
      <c r="I25" s="262" t="str">
        <f>_xll.qlFuturesConvAdjustmentQuote(H25,IborIndex,D25,F25,Volatility,MeanReversion,Permanent,AND(ISERROR(AD25),ISERROR(FuturesHWConvAdj!U25:U26)),ObjectOverwrite)</f>
        <v>USDFUT3MZ8ConvAdj_LCHQuote#2189</v>
      </c>
      <c r="J25" s="211" t="str">
        <f>_xll.ohRangeRetrieveError(I25)</f>
        <v/>
      </c>
      <c r="K25" s="115"/>
      <c r="M25" s="358"/>
      <c r="N25" s="258">
        <v>21</v>
      </c>
      <c r="O25" s="258" t="b">
        <v>1</v>
      </c>
      <c r="P25" s="187" t="str">
        <v>Z8</v>
      </c>
      <c r="Q25" s="259">
        <v>43453</v>
      </c>
      <c r="R25" s="187" t="str">
        <v>EDZ8</v>
      </c>
      <c r="S25" s="373">
        <v>43451</v>
      </c>
      <c r="T25" s="370">
        <v>97.905000000000001</v>
      </c>
      <c r="U25" s="370">
        <v>97.91</v>
      </c>
      <c r="V25" s="370">
        <v>97.91</v>
      </c>
      <c r="W25" s="370">
        <v>97.84</v>
      </c>
      <c r="X25" s="35">
        <f>_xll.qlMidSafe(T25,U25,Trigger)</f>
        <v>97.907499999999999</v>
      </c>
      <c r="Y25" s="35">
        <f t="shared" si="2"/>
        <v>4.9999999999954525E-3</v>
      </c>
      <c r="Z25" s="359"/>
      <c r="AA25" s="264">
        <v>97.912499999999994</v>
      </c>
      <c r="AB25" s="359"/>
      <c r="AC25" s="35">
        <v>97.907499999999999</v>
      </c>
      <c r="AD25" s="187" t="e">
        <f>_xll.qlSimpleQuoteSetValue(F25,AC25,Trigger)</f>
        <v>#N/A</v>
      </c>
      <c r="AE25" s="350"/>
    </row>
    <row r="26" spans="1:31" x14ac:dyDescent="0.2">
      <c r="A26" s="245"/>
      <c r="B26" s="255">
        <v>22</v>
      </c>
      <c r="C26" s="14" t="b">
        <v>1</v>
      </c>
      <c r="D26" s="11" t="str">
        <v>H9</v>
      </c>
      <c r="E26" s="83" t="str">
        <f t="shared" si="0"/>
        <v>USDFUT3MH9_LCHQuote</v>
      </c>
      <c r="F26" s="256" t="str">
        <f>_xll.qlSimpleQuote(E26,,PriceTickValue,Permanent,Trigger,ObjectOverwrite)</f>
        <v>USDFUT3MH9_LCHQuote#0002</v>
      </c>
      <c r="G26" s="257" t="str">
        <f>_xll.ohRangeRetrieveError(F26)</f>
        <v/>
      </c>
      <c r="H26" s="261" t="str">
        <f t="shared" si="1"/>
        <v>USDFUT3MH9ConvAdj_LCHQuote</v>
      </c>
      <c r="I26" s="262" t="str">
        <f>_xll.qlFuturesConvAdjustmentQuote(H26,IborIndex,D26,F26,Volatility,MeanReversion,Permanent,AND(ISERROR(AD26),ISERROR(FuturesHWConvAdj!U26:U27)),ObjectOverwrite)</f>
        <v>USDFUT3MH9ConvAdj_LCHQuote#2189</v>
      </c>
      <c r="J26" s="211" t="str">
        <f>_xll.ohRangeRetrieveError(I26)</f>
        <v/>
      </c>
      <c r="K26" s="115"/>
      <c r="M26" s="358"/>
      <c r="N26" s="258">
        <v>22</v>
      </c>
      <c r="O26" s="258" t="b">
        <v>1</v>
      </c>
      <c r="P26" s="187" t="str">
        <v>H9</v>
      </c>
      <c r="Q26" s="259">
        <v>43544</v>
      </c>
      <c r="R26" s="187" t="str">
        <v>EDH9</v>
      </c>
      <c r="S26" s="373">
        <v>43542</v>
      </c>
      <c r="T26" s="370">
        <v>97.83</v>
      </c>
      <c r="U26" s="370">
        <v>97.84</v>
      </c>
      <c r="V26" s="370">
        <v>97.834999999999994</v>
      </c>
      <c r="W26" s="370">
        <v>97.77</v>
      </c>
      <c r="X26" s="35">
        <f>_xll.qlMidSafe(T26,U26,Trigger)</f>
        <v>97.835000000000008</v>
      </c>
      <c r="Y26" s="35">
        <f t="shared" si="2"/>
        <v>1.0000000000005116E-2</v>
      </c>
      <c r="Z26" s="359"/>
      <c r="AA26" s="264">
        <v>97.837500000000006</v>
      </c>
      <c r="AB26" s="359"/>
      <c r="AC26" s="35">
        <v>97.835000000000008</v>
      </c>
      <c r="AD26" s="187" t="e">
        <f>_xll.qlSimpleQuoteSetValue(F26,AC26,Trigger)</f>
        <v>#N/A</v>
      </c>
      <c r="AE26" s="350"/>
    </row>
    <row r="27" spans="1:31" x14ac:dyDescent="0.2">
      <c r="A27" s="245"/>
      <c r="B27" s="255">
        <v>23</v>
      </c>
      <c r="C27" s="14" t="b">
        <v>1</v>
      </c>
      <c r="D27" s="11" t="str">
        <v>M9</v>
      </c>
      <c r="E27" s="83" t="str">
        <f t="shared" si="0"/>
        <v>USDFUT3MM9_LCHQuote</v>
      </c>
      <c r="F27" s="256" t="str">
        <f>_xll.qlSimpleQuote(E27,,PriceTickValue,Permanent,Trigger,ObjectOverwrite)</f>
        <v>USDFUT3MM9_LCHQuote#0002</v>
      </c>
      <c r="G27" s="257" t="str">
        <f>_xll.ohRangeRetrieveError(F27)</f>
        <v/>
      </c>
      <c r="H27" s="261" t="str">
        <f t="shared" si="1"/>
        <v>USDFUT3MM9ConvAdj_LCHQuote</v>
      </c>
      <c r="I27" s="262" t="str">
        <f>_xll.qlFuturesConvAdjustmentQuote(H27,IborIndex,D27,F27,Volatility,MeanReversion,Permanent,AND(ISERROR(AD27),ISERROR(FuturesHWConvAdj!U27:U28)),ObjectOverwrite)</f>
        <v>USDFUT3MM9ConvAdj_LCHQuote#2189</v>
      </c>
      <c r="J27" s="211" t="str">
        <f>_xll.ohRangeRetrieveError(I27)</f>
        <v/>
      </c>
      <c r="K27" s="115"/>
      <c r="M27" s="358"/>
      <c r="N27" s="258">
        <v>23</v>
      </c>
      <c r="O27" s="258" t="b">
        <v>1</v>
      </c>
      <c r="P27" s="187" t="str">
        <v>M9</v>
      </c>
      <c r="Q27" s="259">
        <v>43635</v>
      </c>
      <c r="R27" s="187" t="str">
        <v>EDM9</v>
      </c>
      <c r="S27" s="373">
        <v>43633</v>
      </c>
      <c r="T27" s="370">
        <v>97.76</v>
      </c>
      <c r="U27" s="370">
        <v>97.765000000000001</v>
      </c>
      <c r="V27" s="370">
        <v>97.765000000000001</v>
      </c>
      <c r="W27" s="370">
        <v>97.7</v>
      </c>
      <c r="X27" s="35">
        <f>_xll.qlMidSafe(T27,U27,Trigger)</f>
        <v>97.762500000000003</v>
      </c>
      <c r="Y27" s="35">
        <f t="shared" si="2"/>
        <v>4.9999999999954525E-3</v>
      </c>
      <c r="Z27" s="359"/>
      <c r="AA27" s="264">
        <v>97.765000000000001</v>
      </c>
      <c r="AB27" s="359"/>
      <c r="AC27" s="35">
        <v>97.762500000000003</v>
      </c>
      <c r="AD27" s="187" t="e">
        <f>_xll.qlSimpleQuoteSetValue(F27,AC27,Trigger)</f>
        <v>#N/A</v>
      </c>
      <c r="AE27" s="350"/>
    </row>
    <row r="28" spans="1:31" x14ac:dyDescent="0.2">
      <c r="A28" s="245"/>
      <c r="B28" s="255">
        <v>24</v>
      </c>
      <c r="C28" s="14" t="b">
        <v>1</v>
      </c>
      <c r="D28" s="11" t="str">
        <v>U9</v>
      </c>
      <c r="E28" s="83" t="str">
        <f t="shared" si="0"/>
        <v>USDFUT3MU9_LCHQuote</v>
      </c>
      <c r="F28" s="256" t="str">
        <f>_xll.qlSimpleQuote(E28,,PriceTickValue,Permanent,Trigger,ObjectOverwrite)</f>
        <v>USDFUT3MU9_LCHQuote#0002</v>
      </c>
      <c r="G28" s="257" t="str">
        <f>_xll.ohRangeRetrieveError(F28)</f>
        <v/>
      </c>
      <c r="H28" s="261" t="str">
        <f t="shared" si="1"/>
        <v>USDFUT3MU9ConvAdj_LCHQuote</v>
      </c>
      <c r="I28" s="262" t="str">
        <f>_xll.qlFuturesConvAdjustmentQuote(H28,IborIndex,D28,F28,Volatility,MeanReversion,Permanent,AND(ISERROR(AD28),ISERROR(FuturesHWConvAdj!U28:U29)),ObjectOverwrite)</f>
        <v>USDFUT3MU9ConvAdj_LCHQuote#2189</v>
      </c>
      <c r="J28" s="211" t="str">
        <f>_xll.ohRangeRetrieveError(I28)</f>
        <v/>
      </c>
      <c r="K28" s="115"/>
      <c r="M28" s="358"/>
      <c r="N28" s="258">
        <v>24</v>
      </c>
      <c r="O28" s="258" t="b">
        <v>1</v>
      </c>
      <c r="P28" s="187" t="str">
        <v>U9</v>
      </c>
      <c r="Q28" s="259">
        <v>43726</v>
      </c>
      <c r="R28" s="187" t="str">
        <v>EDU9</v>
      </c>
      <c r="S28" s="373">
        <v>43724</v>
      </c>
      <c r="T28" s="370">
        <v>97.69</v>
      </c>
      <c r="U28" s="370">
        <v>97.694999999999993</v>
      </c>
      <c r="V28" s="370">
        <v>97.694999999999993</v>
      </c>
      <c r="W28" s="370">
        <v>97.63</v>
      </c>
      <c r="X28" s="35">
        <f>_xll.qlMidSafe(T28,U28,Trigger)</f>
        <v>97.692499999999995</v>
      </c>
      <c r="Y28" s="35">
        <f t="shared" si="2"/>
        <v>4.9999999999954525E-3</v>
      </c>
      <c r="Z28" s="359"/>
      <c r="AA28" s="264">
        <v>97.697499999999991</v>
      </c>
      <c r="AB28" s="359"/>
      <c r="AC28" s="35">
        <v>97.692499999999995</v>
      </c>
      <c r="AD28" s="187" t="e">
        <f>_xll.qlSimpleQuoteSetValue(F28,AC28,Trigger)</f>
        <v>#N/A</v>
      </c>
      <c r="AE28" s="350"/>
    </row>
    <row r="29" spans="1:31" x14ac:dyDescent="0.2">
      <c r="A29" s="245"/>
      <c r="B29" s="255">
        <v>25</v>
      </c>
      <c r="C29" s="14" t="b">
        <v>1</v>
      </c>
      <c r="D29" s="11" t="str">
        <v>Z9</v>
      </c>
      <c r="E29" s="83" t="str">
        <f t="shared" si="0"/>
        <v>USDFUT3MZ9_LCHQuote</v>
      </c>
      <c r="F29" s="256" t="str">
        <f>_xll.qlSimpleQuote(E29,,PriceTickValue,Permanent,Trigger,ObjectOverwrite)</f>
        <v>USDFUT3MZ9_LCHQuote#0002</v>
      </c>
      <c r="G29" s="257" t="str">
        <f>_xll.ohRangeRetrieveError(F29)</f>
        <v/>
      </c>
      <c r="H29" s="261" t="str">
        <f t="shared" si="1"/>
        <v>USDFUT3MZ9ConvAdj_LCHQuote</v>
      </c>
      <c r="I29" s="262" t="str">
        <f>_xll.qlFuturesConvAdjustmentQuote(H29,IborIndex,D29,F29,Volatility,MeanReversion,Permanent,AND(ISERROR(AD29),ISERROR(FuturesHWConvAdj!U29:U30)),ObjectOverwrite)</f>
        <v>USDFUT3MZ9ConvAdj_LCHQuote#2189</v>
      </c>
      <c r="J29" s="211" t="str">
        <f>_xll.ohRangeRetrieveError(I29)</f>
        <v/>
      </c>
      <c r="K29" s="115"/>
      <c r="M29" s="358"/>
      <c r="N29" s="258">
        <v>25</v>
      </c>
      <c r="O29" s="258" t="b">
        <v>1</v>
      </c>
      <c r="P29" s="187" t="str">
        <v>Z9</v>
      </c>
      <c r="Q29" s="259">
        <v>43817</v>
      </c>
      <c r="R29" s="187" t="str">
        <v>EDZ9</v>
      </c>
      <c r="S29" s="373">
        <v>43815</v>
      </c>
      <c r="T29" s="370">
        <v>97.62</v>
      </c>
      <c r="U29" s="370">
        <v>97.625</v>
      </c>
      <c r="V29" s="370">
        <v>97.625</v>
      </c>
      <c r="W29" s="370">
        <v>97.56</v>
      </c>
      <c r="X29" s="35">
        <f>_xll.qlMidSafe(T29,U29,Trigger)</f>
        <v>97.622500000000002</v>
      </c>
      <c r="Y29" s="35">
        <f t="shared" si="2"/>
        <v>4.9999999999954525E-3</v>
      </c>
      <c r="Z29" s="359"/>
      <c r="AA29" s="264">
        <v>97.622500000000002</v>
      </c>
      <c r="AB29" s="359"/>
      <c r="AC29" s="35">
        <v>97.622500000000002</v>
      </c>
      <c r="AD29" s="187" t="e">
        <f>_xll.qlSimpleQuoteSetValue(F29,AC29,Trigger)</f>
        <v>#N/A</v>
      </c>
      <c r="AE29" s="350"/>
    </row>
    <row r="30" spans="1:31" x14ac:dyDescent="0.2">
      <c r="A30" s="245"/>
      <c r="B30" s="255">
        <v>26</v>
      </c>
      <c r="C30" s="14" t="b">
        <v>1</v>
      </c>
      <c r="D30" s="11" t="str">
        <v>H0</v>
      </c>
      <c r="E30" s="83" t="str">
        <f t="shared" si="0"/>
        <v>USDFUT3MH0_LCHQuote</v>
      </c>
      <c r="F30" s="256" t="str">
        <f>_xll.qlSimpleQuote(E30,,PriceTickValue,Permanent,Trigger,ObjectOverwrite)</f>
        <v>USDFUT3MH0_LCHQuote#0002</v>
      </c>
      <c r="G30" s="257" t="str">
        <f>_xll.ohRangeRetrieveError(F30)</f>
        <v/>
      </c>
      <c r="H30" s="261" t="str">
        <f t="shared" si="1"/>
        <v>USDFUT3MH0ConvAdj_LCHQuote</v>
      </c>
      <c r="I30" s="262" t="str">
        <f>_xll.qlFuturesConvAdjustmentQuote(H30,IborIndex,D30,F30,Volatility,MeanReversion,Permanent,AND(ISERROR(AD30),ISERROR(FuturesHWConvAdj!U30:U31)),ObjectOverwrite)</f>
        <v>USDFUT3MH0ConvAdj_LCHQuote#2189</v>
      </c>
      <c r="J30" s="211" t="str">
        <f>_xll.ohRangeRetrieveError(I30)</f>
        <v/>
      </c>
      <c r="K30" s="115"/>
      <c r="M30" s="358"/>
      <c r="N30" s="258">
        <v>26</v>
      </c>
      <c r="O30" s="258" t="b">
        <v>1</v>
      </c>
      <c r="P30" s="187" t="str">
        <v>H0</v>
      </c>
      <c r="Q30" s="259">
        <v>43908</v>
      </c>
      <c r="R30" s="187" t="str">
        <v>EDH0</v>
      </c>
      <c r="S30" s="373">
        <v>43906</v>
      </c>
      <c r="T30" s="370">
        <v>97.555000000000007</v>
      </c>
      <c r="U30" s="370">
        <v>97.56</v>
      </c>
      <c r="V30" s="370">
        <v>97.56</v>
      </c>
      <c r="W30" s="370">
        <v>97.495000000000005</v>
      </c>
      <c r="X30" s="35">
        <f>_xll.qlMidSafe(T30,U30,Trigger)</f>
        <v>97.557500000000005</v>
      </c>
      <c r="Y30" s="35">
        <f t="shared" si="2"/>
        <v>4.9999999999954525E-3</v>
      </c>
      <c r="Z30" s="359"/>
      <c r="AA30" s="264">
        <v>97.56</v>
      </c>
      <c r="AB30" s="359"/>
      <c r="AC30" s="35">
        <v>97.557500000000005</v>
      </c>
      <c r="AD30" s="187" t="e">
        <f>_xll.qlSimpleQuoteSetValue(F30,AC30,Trigger)</f>
        <v>#N/A</v>
      </c>
      <c r="AE30" s="350"/>
    </row>
    <row r="31" spans="1:31" x14ac:dyDescent="0.2">
      <c r="A31" s="245"/>
      <c r="B31" s="255">
        <v>27</v>
      </c>
      <c r="C31" s="14" t="b">
        <v>1</v>
      </c>
      <c r="D31" s="11" t="str">
        <v>M0</v>
      </c>
      <c r="E31" s="83" t="str">
        <f t="shared" si="0"/>
        <v>USDFUT3MM0_LCHQuote</v>
      </c>
      <c r="F31" s="256" t="str">
        <f>_xll.qlSimpleQuote(E31,,PriceTickValue,Permanent,Trigger,ObjectOverwrite)</f>
        <v>USDFUT3MM0_LCHQuote#0002</v>
      </c>
      <c r="G31" s="257" t="str">
        <f>_xll.ohRangeRetrieveError(F31)</f>
        <v/>
      </c>
      <c r="H31" s="261" t="str">
        <f t="shared" si="1"/>
        <v>USDFUT3MM0ConvAdj_LCHQuote</v>
      </c>
      <c r="I31" s="262" t="str">
        <f>_xll.qlFuturesConvAdjustmentQuote(H31,IborIndex,D31,F31,Volatility,MeanReversion,Permanent,AND(ISERROR(AD31),ISERROR(FuturesHWConvAdj!U31:U32)),ObjectOverwrite)</f>
        <v>USDFUT3MM0ConvAdj_LCHQuote#2189</v>
      </c>
      <c r="J31" s="211" t="str">
        <f>_xll.ohRangeRetrieveError(I31)</f>
        <v/>
      </c>
      <c r="K31" s="115"/>
      <c r="M31" s="358"/>
      <c r="N31" s="258">
        <v>27</v>
      </c>
      <c r="O31" s="258" t="b">
        <v>1</v>
      </c>
      <c r="P31" s="187" t="str">
        <v>M0</v>
      </c>
      <c r="Q31" s="259">
        <v>43999</v>
      </c>
      <c r="R31" s="187" t="str">
        <v>EDM0</v>
      </c>
      <c r="S31" s="373">
        <v>43997</v>
      </c>
      <c r="T31" s="370">
        <v>97.49</v>
      </c>
      <c r="U31" s="370">
        <v>97.5</v>
      </c>
      <c r="V31" s="370">
        <v>97.495000000000005</v>
      </c>
      <c r="W31" s="370">
        <v>97.435000000000002</v>
      </c>
      <c r="X31" s="35">
        <f>_xll.qlMidSafe(T31,U31,Trigger)</f>
        <v>97.495000000000005</v>
      </c>
      <c r="Y31" s="35">
        <f t="shared" si="2"/>
        <v>1.0000000000005116E-2</v>
      </c>
      <c r="Z31" s="359"/>
      <c r="AA31" s="264">
        <v>97.497500000000002</v>
      </c>
      <c r="AB31" s="359"/>
      <c r="AC31" s="35">
        <v>97.495000000000005</v>
      </c>
      <c r="AD31" s="187" t="e">
        <f>_xll.qlSimpleQuoteSetValue(F31,AC31,Trigger)</f>
        <v>#N/A</v>
      </c>
      <c r="AE31" s="350"/>
    </row>
    <row r="32" spans="1:31" x14ac:dyDescent="0.2">
      <c r="A32" s="245"/>
      <c r="B32" s="255">
        <v>28</v>
      </c>
      <c r="C32" s="14" t="b">
        <v>1</v>
      </c>
      <c r="D32" s="11" t="str">
        <v>U0</v>
      </c>
      <c r="E32" s="83" t="str">
        <f t="shared" si="0"/>
        <v>USDFUT3MU0_LCHQuote</v>
      </c>
      <c r="F32" s="256" t="str">
        <f>_xll.qlSimpleQuote(E32,,PriceTickValue,Permanent,Trigger,ObjectOverwrite)</f>
        <v>USDFUT3MU0_LCHQuote#0002</v>
      </c>
      <c r="G32" s="257" t="str">
        <f>_xll.ohRangeRetrieveError(F32)</f>
        <v/>
      </c>
      <c r="H32" s="261" t="str">
        <f t="shared" si="1"/>
        <v>USDFUT3MU0ConvAdj_LCHQuote</v>
      </c>
      <c r="I32" s="262" t="str">
        <f>_xll.qlFuturesConvAdjustmentQuote(H32,IborIndex,D32,F32,Volatility,MeanReversion,Permanent,AND(ISERROR(AD32),ISERROR(FuturesHWConvAdj!U32:U33)),ObjectOverwrite)</f>
        <v>USDFUT3MU0ConvAdj_LCHQuote#2189</v>
      </c>
      <c r="J32" s="211" t="str">
        <f>_xll.ohRangeRetrieveError(I32)</f>
        <v/>
      </c>
      <c r="K32" s="115"/>
      <c r="M32" s="358"/>
      <c r="N32" s="258">
        <v>28</v>
      </c>
      <c r="O32" s="258" t="b">
        <v>1</v>
      </c>
      <c r="P32" s="187" t="str">
        <v>U0</v>
      </c>
      <c r="Q32" s="259">
        <v>44090</v>
      </c>
      <c r="R32" s="187" t="str">
        <v>EDU0</v>
      </c>
      <c r="S32" s="373">
        <v>44088</v>
      </c>
      <c r="T32" s="370">
        <v>97.43</v>
      </c>
      <c r="U32" s="370">
        <v>97.435000000000002</v>
      </c>
      <c r="V32" s="370">
        <v>97.435000000000002</v>
      </c>
      <c r="W32" s="370">
        <v>97.375</v>
      </c>
      <c r="X32" s="35">
        <f>_xll.qlMidSafe(T32,U32,Trigger)</f>
        <v>97.432500000000005</v>
      </c>
      <c r="Y32" s="35">
        <f t="shared" si="2"/>
        <v>4.9999999999954525E-3</v>
      </c>
      <c r="Z32" s="359"/>
      <c r="AA32" s="264">
        <v>97.432500000000005</v>
      </c>
      <c r="AB32" s="359"/>
      <c r="AC32" s="35">
        <v>97.432500000000005</v>
      </c>
      <c r="AD32" s="187" t="e">
        <f>_xll.qlSimpleQuoteSetValue(F32,AC32,Trigger)</f>
        <v>#N/A</v>
      </c>
      <c r="AE32" s="350"/>
    </row>
    <row r="33" spans="1:31" x14ac:dyDescent="0.2">
      <c r="A33" s="245"/>
      <c r="B33" s="255">
        <v>29</v>
      </c>
      <c r="C33" s="14" t="b">
        <v>1</v>
      </c>
      <c r="D33" s="11" t="str">
        <v>Z0</v>
      </c>
      <c r="E33" s="83" t="str">
        <f t="shared" si="0"/>
        <v>USDFUT3MZ0_LCHQuote</v>
      </c>
      <c r="F33" s="256" t="str">
        <f>_xll.qlSimpleQuote(E33,,PriceTickValue,Permanent,Trigger,ObjectOverwrite)</f>
        <v>USDFUT3MZ0_LCHQuote#0002</v>
      </c>
      <c r="G33" s="257" t="str">
        <f>_xll.ohRangeRetrieveError(F33)</f>
        <v/>
      </c>
      <c r="H33" s="261" t="str">
        <f t="shared" si="1"/>
        <v>USDFUT3MZ0ConvAdj_LCHQuote</v>
      </c>
      <c r="I33" s="262" t="str">
        <f>_xll.qlFuturesConvAdjustmentQuote(H33,IborIndex,D33,F33,Volatility,MeanReversion,Permanent,AND(ISERROR(AD33),ISERROR(FuturesHWConvAdj!U33:U34)),ObjectOverwrite)</f>
        <v>USDFUT3MZ0ConvAdj_LCHQuote#2189</v>
      </c>
      <c r="J33" s="211" t="str">
        <f>_xll.ohRangeRetrieveError(I33)</f>
        <v/>
      </c>
      <c r="K33" s="115"/>
      <c r="M33" s="358"/>
      <c r="N33" s="258">
        <v>29</v>
      </c>
      <c r="O33" s="258" t="b">
        <v>1</v>
      </c>
      <c r="P33" s="187" t="str">
        <v>Z0</v>
      </c>
      <c r="Q33" s="259">
        <v>44181</v>
      </c>
      <c r="R33" s="187" t="str">
        <v>EDZ0</v>
      </c>
      <c r="S33" s="373">
        <v>44179</v>
      </c>
      <c r="T33" s="370">
        <v>97.364999999999995</v>
      </c>
      <c r="U33" s="370">
        <v>97.37</v>
      </c>
      <c r="V33" s="370">
        <v>97.37</v>
      </c>
      <c r="W33" s="370">
        <v>97.31</v>
      </c>
      <c r="X33" s="35">
        <f>_xll.qlMidSafe(T33,U33,Trigger)</f>
        <v>97.367500000000007</v>
      </c>
      <c r="Y33" s="35">
        <f t="shared" si="2"/>
        <v>5.0000000000096634E-3</v>
      </c>
      <c r="Z33" s="359"/>
      <c r="AA33" s="264">
        <v>97.367500000000007</v>
      </c>
      <c r="AB33" s="359"/>
      <c r="AC33" s="35">
        <v>97.367500000000007</v>
      </c>
      <c r="AD33" s="187" t="e">
        <f>_xll.qlSimpleQuoteSetValue(F33,AC33,Trigger)</f>
        <v>#N/A</v>
      </c>
      <c r="AE33" s="350"/>
    </row>
    <row r="34" spans="1:31" x14ac:dyDescent="0.2">
      <c r="A34" s="245"/>
      <c r="B34" s="255">
        <v>30</v>
      </c>
      <c r="C34" s="14" t="b">
        <v>1</v>
      </c>
      <c r="D34" s="11" t="str">
        <v>H1</v>
      </c>
      <c r="E34" s="83" t="str">
        <f t="shared" si="0"/>
        <v>USDFUT3MH1_LCHQuote</v>
      </c>
      <c r="F34" s="256" t="str">
        <f>_xll.qlSimpleQuote(E34,,PriceTickValue,Permanent,Trigger,ObjectOverwrite)</f>
        <v>USDFUT3MH1_LCHQuote#0002</v>
      </c>
      <c r="G34" s="257" t="str">
        <f>_xll.ohRangeRetrieveError(F34)</f>
        <v/>
      </c>
      <c r="H34" s="261" t="str">
        <f t="shared" si="1"/>
        <v>USDFUT3MH1ConvAdj_LCHQuote</v>
      </c>
      <c r="I34" s="262" t="str">
        <f>_xll.qlFuturesConvAdjustmentQuote(H34,IborIndex,D34,F34,Volatility,MeanReversion,Permanent,AND(ISERROR(AD34),ISERROR(FuturesHWConvAdj!U34:U35)),ObjectOverwrite)</f>
        <v>USDFUT3MH1ConvAdj_LCHQuote#2189</v>
      </c>
      <c r="J34" s="211" t="str">
        <f>_xll.ohRangeRetrieveError(I34)</f>
        <v/>
      </c>
      <c r="K34" s="115"/>
      <c r="M34" s="358"/>
      <c r="N34" s="258">
        <v>30</v>
      </c>
      <c r="O34" s="258" t="b">
        <v>1</v>
      </c>
      <c r="P34" s="187" t="str">
        <v>H1</v>
      </c>
      <c r="Q34" s="259">
        <v>44272</v>
      </c>
      <c r="R34" s="187" t="str">
        <v>EDH1</v>
      </c>
      <c r="S34" s="373">
        <v>44270</v>
      </c>
      <c r="T34" s="370">
        <v>97.305000000000007</v>
      </c>
      <c r="U34" s="370">
        <v>97.31</v>
      </c>
      <c r="V34" s="370">
        <v>97.305000000000007</v>
      </c>
      <c r="W34" s="370">
        <v>97.254999999999995</v>
      </c>
      <c r="X34" s="35">
        <f>_xll.qlMidSafe(T34,U34,Trigger)</f>
        <v>97.307500000000005</v>
      </c>
      <c r="Y34" s="35">
        <f t="shared" si="2"/>
        <v>4.9999999999954525E-3</v>
      </c>
      <c r="Z34" s="359"/>
      <c r="AA34" s="264">
        <v>97.31</v>
      </c>
      <c r="AB34" s="359"/>
      <c r="AC34" s="35">
        <v>97.307500000000005</v>
      </c>
      <c r="AD34" s="187" t="e">
        <f>_xll.qlSimpleQuoteSetValue(F34,AC34,Trigger)</f>
        <v>#N/A</v>
      </c>
      <c r="AE34" s="350"/>
    </row>
    <row r="35" spans="1:31" x14ac:dyDescent="0.2">
      <c r="A35" s="245"/>
      <c r="B35" s="255">
        <v>31</v>
      </c>
      <c r="C35" s="14" t="b">
        <v>1</v>
      </c>
      <c r="D35" s="11" t="str">
        <v>M1</v>
      </c>
      <c r="E35" s="83" t="str">
        <f t="shared" si="0"/>
        <v>USDFUT3MM1_LCHQuote</v>
      </c>
      <c r="F35" s="256" t="str">
        <f>_xll.qlSimpleQuote(E35,,PriceTickValue,Permanent,Trigger,ObjectOverwrite)</f>
        <v>USDFUT3MM1_LCHQuote#0002</v>
      </c>
      <c r="G35" s="257" t="str">
        <f>_xll.ohRangeRetrieveError(F35)</f>
        <v/>
      </c>
      <c r="H35" s="261" t="str">
        <f t="shared" si="1"/>
        <v>USDFUT3MM1ConvAdj_LCHQuote</v>
      </c>
      <c r="I35" s="262" t="str">
        <f>_xll.qlFuturesConvAdjustmentQuote(H35,IborIndex,D35,F35,Volatility,MeanReversion,Permanent,AND(ISERROR(AD35),ISERROR(FuturesHWConvAdj!U35:U36)),ObjectOverwrite)</f>
        <v>USDFUT3MM1ConvAdj_LCHQuote#2189</v>
      </c>
      <c r="J35" s="211" t="str">
        <f>_xll.ohRangeRetrieveError(I35)</f>
        <v/>
      </c>
      <c r="K35" s="115"/>
      <c r="M35" s="358"/>
      <c r="N35" s="258">
        <v>31</v>
      </c>
      <c r="O35" s="258" t="b">
        <v>1</v>
      </c>
      <c r="P35" s="187" t="str">
        <v>M1</v>
      </c>
      <c r="Q35" s="259">
        <v>44363</v>
      </c>
      <c r="R35" s="187" t="str">
        <v>EDM1</v>
      </c>
      <c r="S35" s="373">
        <v>44361</v>
      </c>
      <c r="T35" s="370">
        <v>97.25</v>
      </c>
      <c r="U35" s="370">
        <v>97.26</v>
      </c>
      <c r="V35" s="370">
        <v>97.254999999999995</v>
      </c>
      <c r="W35" s="370">
        <v>97.2</v>
      </c>
      <c r="X35" s="35">
        <f>_xll.qlMidSafe(T35,U35,Trigger)</f>
        <v>97.254999999999995</v>
      </c>
      <c r="Y35" s="35">
        <f t="shared" si="2"/>
        <v>1.0000000000005116E-2</v>
      </c>
      <c r="Z35" s="359"/>
      <c r="AA35" s="264">
        <v>97.257499999999993</v>
      </c>
      <c r="AB35" s="359"/>
      <c r="AC35" s="35">
        <v>97.254999999999995</v>
      </c>
      <c r="AD35" s="187" t="e">
        <f>_xll.qlSimpleQuoteSetValue(F35,AC35,Trigger)</f>
        <v>#N/A</v>
      </c>
      <c r="AE35" s="350"/>
    </row>
    <row r="36" spans="1:31" x14ac:dyDescent="0.2">
      <c r="A36" s="245"/>
      <c r="B36" s="255">
        <v>32</v>
      </c>
      <c r="C36" s="14" t="b">
        <v>1</v>
      </c>
      <c r="D36" s="11" t="str">
        <v>U1</v>
      </c>
      <c r="E36" s="83" t="str">
        <f t="shared" si="0"/>
        <v>USDFUT3MU1_LCHQuote</v>
      </c>
      <c r="F36" s="256" t="str">
        <f>_xll.qlSimpleQuote(E36,,PriceTickValue,Permanent,Trigger,ObjectOverwrite)</f>
        <v>USDFUT3MU1_LCHQuote#0002</v>
      </c>
      <c r="G36" s="257" t="str">
        <f>_xll.ohRangeRetrieveError(F36)</f>
        <v/>
      </c>
      <c r="H36" s="261" t="str">
        <f t="shared" si="1"/>
        <v>USDFUT3MU1ConvAdj_LCHQuote</v>
      </c>
      <c r="I36" s="262" t="str">
        <f>_xll.qlFuturesConvAdjustmentQuote(H36,IborIndex,D36,F36,Volatility,MeanReversion,Permanent,AND(ISERROR(AD36),ISERROR(FuturesHWConvAdj!U36:U37)),ObjectOverwrite)</f>
        <v>USDFUT3MU1ConvAdj_LCHQuote#2189</v>
      </c>
      <c r="J36" s="211" t="str">
        <f>_xll.ohRangeRetrieveError(I36)</f>
        <v/>
      </c>
      <c r="K36" s="115"/>
      <c r="M36" s="358"/>
      <c r="N36" s="258">
        <v>32</v>
      </c>
      <c r="O36" s="258" t="b">
        <v>1</v>
      </c>
      <c r="P36" s="187" t="str">
        <v>U1</v>
      </c>
      <c r="Q36" s="259">
        <v>44454</v>
      </c>
      <c r="R36" s="187" t="str">
        <v>EDU1</v>
      </c>
      <c r="S36" s="373">
        <v>44452</v>
      </c>
      <c r="T36" s="370">
        <v>97.204999999999998</v>
      </c>
      <c r="U36" s="370">
        <v>97.21</v>
      </c>
      <c r="V36" s="370">
        <v>97.2</v>
      </c>
      <c r="W36" s="370">
        <v>97.155000000000001</v>
      </c>
      <c r="X36" s="35">
        <f>_xll.qlMidSafe(T36,U36,Trigger)</f>
        <v>97.207499999999996</v>
      </c>
      <c r="Y36" s="35">
        <f t="shared" si="2"/>
        <v>4.9999999999954525E-3</v>
      </c>
      <c r="Z36" s="359"/>
      <c r="AA36" s="264">
        <v>97.207499999999996</v>
      </c>
      <c r="AB36" s="359"/>
      <c r="AC36" s="35">
        <v>97.207499999999996</v>
      </c>
      <c r="AD36" s="187" t="e">
        <f>_xll.qlSimpleQuoteSetValue(F36,AC36,Trigger)</f>
        <v>#N/A</v>
      </c>
      <c r="AE36" s="350"/>
    </row>
    <row r="37" spans="1:31" x14ac:dyDescent="0.2">
      <c r="A37" s="245"/>
      <c r="B37" s="255">
        <v>33</v>
      </c>
      <c r="C37" s="14" t="b">
        <v>1</v>
      </c>
      <c r="D37" s="11" t="str">
        <v>Z1</v>
      </c>
      <c r="E37" s="83" t="str">
        <f t="shared" si="0"/>
        <v>USDFUT3MZ1_LCHQuote</v>
      </c>
      <c r="F37" s="256" t="str">
        <f>_xll.qlSimpleQuote(E37,,PriceTickValue,Permanent,Trigger,ObjectOverwrite)</f>
        <v>USDFUT3MZ1_LCHQuote#0002</v>
      </c>
      <c r="G37" s="257" t="str">
        <f>_xll.ohRangeRetrieveError(F37)</f>
        <v/>
      </c>
      <c r="H37" s="261" t="str">
        <f t="shared" si="1"/>
        <v>USDFUT3MZ1ConvAdj_LCHQuote</v>
      </c>
      <c r="I37" s="262" t="str">
        <f>_xll.qlFuturesConvAdjustmentQuote(H37,IborIndex,D37,F37,Volatility,MeanReversion,Permanent,AND(ISERROR(AD37),ISERROR(FuturesHWConvAdj!U37:U38)),ObjectOverwrite)</f>
        <v>USDFUT3MZ1ConvAdj_LCHQuote#2189</v>
      </c>
      <c r="J37" s="211" t="str">
        <f>_xll.ohRangeRetrieveError(I37)</f>
        <v/>
      </c>
      <c r="K37" s="115"/>
      <c r="M37" s="358"/>
      <c r="N37" s="258">
        <v>33</v>
      </c>
      <c r="O37" s="258" t="b">
        <v>1</v>
      </c>
      <c r="P37" s="187" t="str">
        <v>Z1</v>
      </c>
      <c r="Q37" s="259">
        <v>44545</v>
      </c>
      <c r="R37" s="187" t="str">
        <v>EDZ1</v>
      </c>
      <c r="S37" s="373">
        <v>44543</v>
      </c>
      <c r="T37" s="370">
        <v>97.155000000000001</v>
      </c>
      <c r="U37" s="370">
        <v>97.165000000000006</v>
      </c>
      <c r="V37" s="370">
        <v>97.155000000000001</v>
      </c>
      <c r="W37" s="370">
        <v>97.11</v>
      </c>
      <c r="X37" s="35">
        <f>_xll.qlMidSafe(T37,U37,Trigger)</f>
        <v>97.16</v>
      </c>
      <c r="Y37" s="35">
        <f t="shared" si="2"/>
        <v>1.0000000000005116E-2</v>
      </c>
      <c r="Z37" s="359"/>
      <c r="AA37" s="264">
        <v>97.16</v>
      </c>
      <c r="AB37" s="359"/>
      <c r="AC37" s="35">
        <v>97.16</v>
      </c>
      <c r="AD37" s="187" t="e">
        <f>_xll.qlSimpleQuoteSetValue(F37,AC37,Trigger)</f>
        <v>#N/A</v>
      </c>
      <c r="AE37" s="350"/>
    </row>
    <row r="38" spans="1:31" x14ac:dyDescent="0.2">
      <c r="A38" s="245"/>
      <c r="B38" s="255">
        <v>34</v>
      </c>
      <c r="C38" s="14" t="b">
        <v>1</v>
      </c>
      <c r="D38" s="11" t="str">
        <v>H2</v>
      </c>
      <c r="E38" s="83" t="str">
        <f t="shared" si="0"/>
        <v>USDFUT3MH2_LCHQuote</v>
      </c>
      <c r="F38" s="256" t="str">
        <f>_xll.qlSimpleQuote(E38,,PriceTickValue,Permanent,Trigger,ObjectOverwrite)</f>
        <v>USDFUT3MH2_LCHQuote#0002</v>
      </c>
      <c r="G38" s="257" t="str">
        <f>_xll.ohRangeRetrieveError(F38)</f>
        <v/>
      </c>
      <c r="H38" s="261" t="str">
        <f t="shared" si="1"/>
        <v>USDFUT3MH2ConvAdj_LCHQuote</v>
      </c>
      <c r="I38" s="262" t="str">
        <f>_xll.qlFuturesConvAdjustmentQuote(H38,IborIndex,D38,F38,Volatility,MeanReversion,Permanent,AND(ISERROR(AD38),ISERROR(FuturesHWConvAdj!U38:U39)),ObjectOverwrite)</f>
        <v>USDFUT3MH2ConvAdj_LCHQuote#2189</v>
      </c>
      <c r="J38" s="211" t="str">
        <f>_xll.ohRangeRetrieveError(I38)</f>
        <v/>
      </c>
      <c r="K38" s="115"/>
      <c r="M38" s="358"/>
      <c r="N38" s="258">
        <v>34</v>
      </c>
      <c r="O38" s="258" t="b">
        <v>1</v>
      </c>
      <c r="P38" s="187" t="str">
        <v>H2</v>
      </c>
      <c r="Q38" s="259">
        <v>44636</v>
      </c>
      <c r="R38" s="187" t="str">
        <v>EDH2</v>
      </c>
      <c r="S38" s="373">
        <v>44634</v>
      </c>
      <c r="T38" s="370">
        <v>97.12</v>
      </c>
      <c r="U38" s="370">
        <v>97.13</v>
      </c>
      <c r="V38" s="370">
        <v>97.12</v>
      </c>
      <c r="W38" s="370">
        <v>97.075000000000003</v>
      </c>
      <c r="X38" s="35">
        <f>_xll.qlMidSafe(T38,U38,Trigger)</f>
        <v>97.125</v>
      </c>
      <c r="Y38" s="35">
        <f t="shared" si="2"/>
        <v>9.9999999999909051E-3</v>
      </c>
      <c r="Z38" s="359"/>
      <c r="AA38" s="264">
        <v>97.127499999999998</v>
      </c>
      <c r="AB38" s="359"/>
      <c r="AC38" s="35">
        <v>97.125</v>
      </c>
      <c r="AD38" s="187" t="e">
        <f>_xll.qlSimpleQuoteSetValue(F38,AC38,Trigger)</f>
        <v>#N/A</v>
      </c>
      <c r="AE38" s="350"/>
    </row>
    <row r="39" spans="1:31" x14ac:dyDescent="0.2">
      <c r="A39" s="245"/>
      <c r="B39" s="255">
        <v>35</v>
      </c>
      <c r="C39" s="14" t="b">
        <v>1</v>
      </c>
      <c r="D39" s="11" t="str">
        <v>M2</v>
      </c>
      <c r="E39" s="83" t="str">
        <f t="shared" si="0"/>
        <v>USDFUT3MM2_LCHQuote</v>
      </c>
      <c r="F39" s="256" t="str">
        <f>_xll.qlSimpleQuote(E39,,PriceTickValue,Permanent,Trigger,ObjectOverwrite)</f>
        <v>USDFUT3MM2_LCHQuote#0002</v>
      </c>
      <c r="G39" s="257" t="str">
        <f>_xll.ohRangeRetrieveError(F39)</f>
        <v/>
      </c>
      <c r="H39" s="261" t="str">
        <f t="shared" si="1"/>
        <v>USDFUT3MM2ConvAdj_LCHQuote</v>
      </c>
      <c r="I39" s="262" t="str">
        <f>_xll.qlFuturesConvAdjustmentQuote(H39,IborIndex,D39,F39,Volatility,MeanReversion,Permanent,AND(ISERROR(AD39),ISERROR(FuturesHWConvAdj!U39:U40)),ObjectOverwrite)</f>
        <v>USDFUT3MM2ConvAdj_LCHQuote#2189</v>
      </c>
      <c r="J39" s="211" t="str">
        <f>_xll.ohRangeRetrieveError(I39)</f>
        <v/>
      </c>
      <c r="K39" s="115"/>
      <c r="M39" s="358"/>
      <c r="N39" s="258">
        <v>35</v>
      </c>
      <c r="O39" s="258" t="b">
        <v>1</v>
      </c>
      <c r="P39" s="187" t="str">
        <v>M2</v>
      </c>
      <c r="Q39" s="259">
        <v>44727</v>
      </c>
      <c r="R39" s="187" t="str">
        <v>EDM2</v>
      </c>
      <c r="S39" s="373">
        <v>44725</v>
      </c>
      <c r="T39" s="370">
        <v>97.08</v>
      </c>
      <c r="U39" s="370">
        <v>97.094999999999999</v>
      </c>
      <c r="V39" s="370">
        <v>97.084999999999994</v>
      </c>
      <c r="W39" s="370">
        <v>97.034999999999997</v>
      </c>
      <c r="X39" s="35">
        <f>_xll.qlMidSafe(T39,U39,Trigger)</f>
        <v>97.087500000000006</v>
      </c>
      <c r="Y39" s="35">
        <f t="shared" si="2"/>
        <v>1.5000000000000568E-2</v>
      </c>
      <c r="Z39" s="359"/>
      <c r="AA39" s="264">
        <v>97.09</v>
      </c>
      <c r="AB39" s="359"/>
      <c r="AC39" s="35">
        <v>97.087500000000006</v>
      </c>
      <c r="AD39" s="187" t="e">
        <f>_xll.qlSimpleQuoteSetValue(F39,AC39,Trigger)</f>
        <v>#N/A</v>
      </c>
      <c r="AE39" s="350"/>
    </row>
    <row r="40" spans="1:31" x14ac:dyDescent="0.2">
      <c r="A40" s="245"/>
      <c r="B40" s="255">
        <v>36</v>
      </c>
      <c r="C40" s="14" t="b">
        <v>1</v>
      </c>
      <c r="D40" s="11" t="str">
        <v>U2</v>
      </c>
      <c r="E40" s="83" t="str">
        <f t="shared" si="0"/>
        <v>USDFUT3MU2_LCHQuote</v>
      </c>
      <c r="F40" s="256" t="str">
        <f>_xll.qlSimpleQuote(E40,,PriceTickValue,Permanent,Trigger,ObjectOverwrite)</f>
        <v>USDFUT3MU2_LCHQuote#0002</v>
      </c>
      <c r="G40" s="257" t="str">
        <f>_xll.ohRangeRetrieveError(F40)</f>
        <v/>
      </c>
      <c r="H40" s="261" t="str">
        <f t="shared" si="1"/>
        <v>USDFUT3MU2ConvAdj_LCHQuote</v>
      </c>
      <c r="I40" s="262" t="str">
        <f>_xll.qlFuturesConvAdjustmentQuote(H40,IborIndex,D40,F40,Volatility,MeanReversion,Permanent,AND(ISERROR(AD40),ISERROR(FuturesHWConvAdj!U40:U41)),ObjectOverwrite)</f>
        <v>USDFUT3MU2ConvAdj_LCHQuote#2189</v>
      </c>
      <c r="J40" s="211" t="str">
        <f>_xll.ohRangeRetrieveError(I40)</f>
        <v/>
      </c>
      <c r="K40" s="115"/>
      <c r="M40" s="358"/>
      <c r="N40" s="258">
        <v>36</v>
      </c>
      <c r="O40" s="258" t="b">
        <v>1</v>
      </c>
      <c r="P40" s="187" t="str">
        <v>U2</v>
      </c>
      <c r="Q40" s="259">
        <v>44825</v>
      </c>
      <c r="R40" s="187" t="str">
        <v>EDU2</v>
      </c>
      <c r="S40" s="373">
        <v>44823</v>
      </c>
      <c r="T40" s="370">
        <v>97.045000000000002</v>
      </c>
      <c r="U40" s="370">
        <v>97.06</v>
      </c>
      <c r="V40" s="370">
        <v>97.05</v>
      </c>
      <c r="W40" s="370">
        <v>97.004999999999995</v>
      </c>
      <c r="X40" s="35">
        <f>_xll.qlMidSafe(T40,U40,Trigger)</f>
        <v>97.052500000000009</v>
      </c>
      <c r="Y40" s="35">
        <f t="shared" si="2"/>
        <v>1.5000000000000568E-2</v>
      </c>
      <c r="Z40" s="359"/>
      <c r="AA40" s="264">
        <v>97.055000000000007</v>
      </c>
      <c r="AB40" s="359"/>
      <c r="AC40" s="35">
        <v>97.052500000000009</v>
      </c>
      <c r="AD40" s="187" t="e">
        <f>_xll.qlSimpleQuoteSetValue(F40,AC40,Trigger)</f>
        <v>#N/A</v>
      </c>
      <c r="AE40" s="350"/>
    </row>
    <row r="41" spans="1:31" x14ac:dyDescent="0.2">
      <c r="A41" s="245"/>
      <c r="B41" s="255">
        <v>37</v>
      </c>
      <c r="C41" s="14" t="b">
        <v>1</v>
      </c>
      <c r="D41" s="11" t="str">
        <v>Z2</v>
      </c>
      <c r="E41" s="83" t="str">
        <f t="shared" si="0"/>
        <v>USDFUT3MZ2_LCHQuote</v>
      </c>
      <c r="F41" s="256" t="str">
        <f>_xll.qlSimpleQuote(E41,,PriceTickValue,Permanent,Trigger,ObjectOverwrite)</f>
        <v>USDFUT3MZ2_LCHQuote#0002</v>
      </c>
      <c r="G41" s="257" t="str">
        <f>_xll.ohRangeRetrieveError(F41)</f>
        <v/>
      </c>
      <c r="H41" s="261" t="str">
        <f t="shared" si="1"/>
        <v>USDFUT3MZ2ConvAdj_LCHQuote</v>
      </c>
      <c r="I41" s="262" t="str">
        <f>_xll.qlFuturesConvAdjustmentQuote(H41,IborIndex,D41,F41,Volatility,MeanReversion,Permanent,AND(ISERROR(AD41),ISERROR(FuturesHWConvAdj!U41:U42)),ObjectOverwrite)</f>
        <v>USDFUT3MZ2ConvAdj_LCHQuote#2189</v>
      </c>
      <c r="J41" s="211" t="str">
        <f>_xll.ohRangeRetrieveError(I41)</f>
        <v/>
      </c>
      <c r="K41" s="115"/>
      <c r="M41" s="358"/>
      <c r="N41" s="258">
        <v>37</v>
      </c>
      <c r="O41" s="258" t="b">
        <v>1</v>
      </c>
      <c r="P41" s="187" t="str">
        <v>Z2</v>
      </c>
      <c r="Q41" s="259">
        <v>44916</v>
      </c>
      <c r="R41" s="187" t="str">
        <v>EDZ2</v>
      </c>
      <c r="S41" s="373">
        <v>44914</v>
      </c>
      <c r="T41" s="370">
        <v>97.015000000000001</v>
      </c>
      <c r="U41" s="370">
        <v>97.034999999999997</v>
      </c>
      <c r="V41" s="370">
        <v>0</v>
      </c>
      <c r="W41" s="370">
        <v>96.98</v>
      </c>
      <c r="X41" s="35">
        <f>_xll.qlMidSafe(T41,U41,Trigger)</f>
        <v>97.025000000000006</v>
      </c>
      <c r="Y41" s="35">
        <f t="shared" si="2"/>
        <v>1.9999999999996021E-2</v>
      </c>
      <c r="Z41" s="359"/>
      <c r="AA41" s="264">
        <v>97.032499999999999</v>
      </c>
      <c r="AB41" s="359"/>
      <c r="AC41" s="35">
        <v>97.025000000000006</v>
      </c>
      <c r="AD41" s="187" t="e">
        <f>_xll.qlSimpleQuoteSetValue(F41,AC41,Trigger)</f>
        <v>#N/A</v>
      </c>
      <c r="AE41" s="350"/>
    </row>
    <row r="42" spans="1:31" x14ac:dyDescent="0.2">
      <c r="A42" s="245"/>
      <c r="B42" s="255">
        <v>38</v>
      </c>
      <c r="C42" s="14" t="b">
        <v>1</v>
      </c>
      <c r="D42" s="11" t="str">
        <v>H3</v>
      </c>
      <c r="E42" s="83" t="str">
        <f t="shared" si="0"/>
        <v>USDFUT3MH3_LCHQuote</v>
      </c>
      <c r="F42" s="256" t="str">
        <f>_xll.qlSimpleQuote(E42,,PriceTickValue,Permanent,Trigger,ObjectOverwrite)</f>
        <v>USDFUT3MH3_LCHQuote#0002</v>
      </c>
      <c r="G42" s="257" t="str">
        <f>_xll.ohRangeRetrieveError(F42)</f>
        <v/>
      </c>
      <c r="H42" s="261" t="str">
        <f t="shared" si="1"/>
        <v>USDFUT3MH3ConvAdj_LCHQuote</v>
      </c>
      <c r="I42" s="262" t="str">
        <f>_xll.qlFuturesConvAdjustmentQuote(H42,IborIndex,D42,F42,Volatility,MeanReversion,Permanent,AND(ISERROR(AD42),ISERROR(FuturesHWConvAdj!U42:U43)),ObjectOverwrite)</f>
        <v>USDFUT3MH3ConvAdj_LCHQuote#2189</v>
      </c>
      <c r="J42" s="211" t="str">
        <f>_xll.ohRangeRetrieveError(I42)</f>
        <v/>
      </c>
      <c r="K42" s="115"/>
      <c r="M42" s="358"/>
      <c r="N42" s="258">
        <v>38</v>
      </c>
      <c r="O42" s="258" t="b">
        <v>1</v>
      </c>
      <c r="P42" s="187" t="str">
        <v>H3</v>
      </c>
      <c r="Q42" s="259">
        <v>45000</v>
      </c>
      <c r="R42" s="187" t="str">
        <v>EDH3</v>
      </c>
      <c r="S42" s="373">
        <v>44998</v>
      </c>
      <c r="T42" s="370">
        <v>96.995000000000005</v>
      </c>
      <c r="U42" s="370">
        <v>97.02</v>
      </c>
      <c r="V42" s="370">
        <v>0</v>
      </c>
      <c r="W42" s="370">
        <v>96.96</v>
      </c>
      <c r="X42" s="35">
        <f>_xll.qlMidSafe(T42,U42,Trigger)</f>
        <v>97.007499999999993</v>
      </c>
      <c r="Y42" s="35">
        <f t="shared" si="2"/>
        <v>2.4999999999991473E-2</v>
      </c>
      <c r="Z42" s="359"/>
      <c r="AA42" s="264">
        <v>97.012499999999989</v>
      </c>
      <c r="AB42" s="359"/>
      <c r="AC42" s="35">
        <v>97.007499999999993</v>
      </c>
      <c r="AD42" s="187" t="e">
        <f>_xll.qlSimpleQuoteSetValue(F42,AC42,Trigger)</f>
        <v>#N/A</v>
      </c>
      <c r="AE42" s="350"/>
    </row>
    <row r="43" spans="1:31" x14ac:dyDescent="0.2">
      <c r="A43" s="245"/>
      <c r="B43" s="255">
        <v>39</v>
      </c>
      <c r="C43" s="14" t="b">
        <v>1</v>
      </c>
      <c r="D43" s="11" t="str">
        <v>M3</v>
      </c>
      <c r="E43" s="83" t="str">
        <f t="shared" si="0"/>
        <v>USDFUT3MM3_LCHQuote</v>
      </c>
      <c r="F43" s="256" t="str">
        <f>_xll.qlSimpleQuote(E43,,PriceTickValue,Permanent,Trigger,ObjectOverwrite)</f>
        <v>USDFUT3MM3_LCHQuote#0002</v>
      </c>
      <c r="G43" s="257" t="str">
        <f>_xll.ohRangeRetrieveError(F43)</f>
        <v/>
      </c>
      <c r="H43" s="261" t="str">
        <f t="shared" si="1"/>
        <v>USDFUT3MM3ConvAdj_LCHQuote</v>
      </c>
      <c r="I43" s="262" t="str">
        <f>_xll.qlFuturesConvAdjustmentQuote(H43,IborIndex,D43,F43,Volatility,MeanReversion,Permanent,AND(ISERROR(AD43),ISERROR(FuturesHWConvAdj!U43:U44)),ObjectOverwrite)</f>
        <v>USDFUT3MM3ConvAdj_LCHQuote#2189</v>
      </c>
      <c r="J43" s="211" t="str">
        <f>_xll.ohRangeRetrieveError(I43)</f>
        <v/>
      </c>
      <c r="K43" s="115"/>
      <c r="M43" s="358"/>
      <c r="N43" s="258">
        <v>39</v>
      </c>
      <c r="O43" s="258" t="b">
        <v>1</v>
      </c>
      <c r="P43" s="187" t="str">
        <v>M3</v>
      </c>
      <c r="Q43" s="259">
        <v>45098</v>
      </c>
      <c r="R43" s="187" t="str">
        <v>EDM3</v>
      </c>
      <c r="S43" s="373">
        <v>45096</v>
      </c>
      <c r="T43" s="370">
        <v>96.98</v>
      </c>
      <c r="U43" s="370">
        <v>97.004999999999995</v>
      </c>
      <c r="V43" s="370">
        <v>96.984999999999999</v>
      </c>
      <c r="W43" s="370">
        <v>96.944999999999993</v>
      </c>
      <c r="X43" s="35">
        <f>_xll.qlMidSafe(T43,U43,Trigger)</f>
        <v>96.992500000000007</v>
      </c>
      <c r="Y43" s="35">
        <f t="shared" si="2"/>
        <v>2.4999999999991473E-2</v>
      </c>
      <c r="Z43" s="359"/>
      <c r="AA43" s="264">
        <v>96.997500000000002</v>
      </c>
      <c r="AB43" s="359"/>
      <c r="AC43" s="35">
        <v>96.992500000000007</v>
      </c>
      <c r="AD43" s="187" t="e">
        <f>_xll.qlSimpleQuoteSetValue(F43,AC43,Trigger)</f>
        <v>#N/A</v>
      </c>
      <c r="AE43" s="350"/>
    </row>
    <row r="44" spans="1:31" x14ac:dyDescent="0.2">
      <c r="A44" s="245"/>
      <c r="B44" s="255">
        <v>40</v>
      </c>
      <c r="C44" s="14" t="b">
        <v>1</v>
      </c>
      <c r="D44" s="11" t="str">
        <v>U3</v>
      </c>
      <c r="E44" s="83" t="str">
        <f t="shared" si="0"/>
        <v>USDFUT3MU3_LCHQuote</v>
      </c>
      <c r="F44" s="256" t="str">
        <f>_xll.qlSimpleQuote(E44,,PriceTickValue,Permanent,Trigger,ObjectOverwrite)</f>
        <v>USDFUT3MU3_LCHQuote#0002</v>
      </c>
      <c r="G44" s="257" t="str">
        <f>_xll.ohRangeRetrieveError(F44)</f>
        <v/>
      </c>
      <c r="H44" s="261" t="str">
        <f t="shared" si="1"/>
        <v>USDFUT3MU3ConvAdj_LCHQuote</v>
      </c>
      <c r="I44" s="262" t="str">
        <f>_xll.qlFuturesConvAdjustmentQuote(H44,IborIndex,D44,F44,Volatility,MeanReversion,Permanent,AND(ISERROR(AD44),ISERROR(FuturesHWConvAdj!U44:U45)),ObjectOverwrite)</f>
        <v>USDFUT3MU3ConvAdj_LCHQuote#2189</v>
      </c>
      <c r="J44" s="211" t="str">
        <f>_xll.ohRangeRetrieveError(I44)</f>
        <v/>
      </c>
      <c r="K44" s="115"/>
      <c r="M44" s="358"/>
      <c r="N44" s="258">
        <v>40</v>
      </c>
      <c r="O44" s="258" t="b">
        <v>1</v>
      </c>
      <c r="P44" s="187" t="str">
        <v>U3</v>
      </c>
      <c r="Q44" s="259">
        <v>45189</v>
      </c>
      <c r="R44" s="187" t="str">
        <v>EDU3</v>
      </c>
      <c r="S44" s="373">
        <v>45187</v>
      </c>
      <c r="T44" s="370">
        <v>96.954999999999998</v>
      </c>
      <c r="U44" s="370">
        <v>96.984999999999999</v>
      </c>
      <c r="V44" s="370">
        <v>0</v>
      </c>
      <c r="W44" s="370">
        <v>96.924999999999997</v>
      </c>
      <c r="X44" s="35">
        <f>_xll.qlMidSafe(T44,U44,Trigger)</f>
        <v>96.97</v>
      </c>
      <c r="Y44" s="35">
        <f t="shared" si="2"/>
        <v>3.0000000000001137E-2</v>
      </c>
      <c r="Z44" s="359"/>
      <c r="AA44" s="264">
        <v>96.974999999999994</v>
      </c>
      <c r="AB44" s="359"/>
      <c r="AC44" s="35">
        <v>96.97</v>
      </c>
      <c r="AD44" s="187" t="e">
        <f>_xll.qlSimpleQuoteSetValue(F44,AC44,Trigger)</f>
        <v>#N/A</v>
      </c>
      <c r="AE44" s="350"/>
    </row>
    <row r="45" spans="1:31" x14ac:dyDescent="0.2">
      <c r="A45" s="245"/>
      <c r="B45" s="255">
        <v>41</v>
      </c>
      <c r="C45" s="14" t="b">
        <v>1</v>
      </c>
      <c r="D45" s="11" t="str">
        <v>Z3</v>
      </c>
      <c r="E45" s="83" t="str">
        <f t="shared" si="0"/>
        <v>USDFUT3MZ3_LCHQuote</v>
      </c>
      <c r="F45" s="256" t="str">
        <f>_xll.qlSimpleQuote(E45,,PriceTickValue,Permanent,Trigger,ObjectOverwrite)</f>
        <v>USDFUT3MZ3_LCHQuote#0002</v>
      </c>
      <c r="G45" s="257" t="str">
        <f>_xll.ohRangeRetrieveError(F45)</f>
        <v/>
      </c>
      <c r="H45" s="261" t="str">
        <f t="shared" si="1"/>
        <v>USDFUT3MZ3ConvAdj_LCHQuote</v>
      </c>
      <c r="I45" s="262" t="str">
        <f>_xll.qlFuturesConvAdjustmentQuote(H45,IborIndex,D45,F45,Volatility,MeanReversion,Permanent,AND(ISERROR(AD45),ISERROR(FuturesHWConvAdj!U45:U46)),ObjectOverwrite)</f>
        <v>USDFUT3MZ3ConvAdj_LCHQuote#2189</v>
      </c>
      <c r="J45" s="211" t="str">
        <f>_xll.ohRangeRetrieveError(I45)</f>
        <v/>
      </c>
      <c r="K45" s="115"/>
      <c r="M45" s="358"/>
      <c r="N45" s="258">
        <v>41</v>
      </c>
      <c r="O45" s="258" t="b">
        <v>1</v>
      </c>
      <c r="P45" s="187" t="str">
        <v>Z3</v>
      </c>
      <c r="Q45" s="259">
        <v>45280</v>
      </c>
      <c r="R45" s="187" t="str">
        <v>EDZ3</v>
      </c>
      <c r="S45" s="373">
        <v>45278</v>
      </c>
      <c r="T45" s="370">
        <v>96.935000000000002</v>
      </c>
      <c r="U45" s="370">
        <v>96.965000000000003</v>
      </c>
      <c r="V45" s="370">
        <v>0</v>
      </c>
      <c r="W45" s="370">
        <v>96.905000000000001</v>
      </c>
      <c r="X45" s="35">
        <f>_xll.qlMidSafe(T45,U45,Trigger)</f>
        <v>96.95</v>
      </c>
      <c r="Y45" s="35">
        <f t="shared" si="2"/>
        <v>3.0000000000001137E-2</v>
      </c>
      <c r="Z45" s="359"/>
      <c r="AA45" s="264">
        <v>96.954999999999998</v>
      </c>
      <c r="AB45" s="359"/>
      <c r="AC45" s="35">
        <v>96.95</v>
      </c>
      <c r="AD45" s="187" t="e">
        <f>_xll.qlSimpleQuoteSetValue(F45,AC45,Trigger)</f>
        <v>#N/A</v>
      </c>
      <c r="AE45" s="350"/>
    </row>
    <row r="46" spans="1:31" x14ac:dyDescent="0.2">
      <c r="A46" s="245"/>
      <c r="B46" s="265">
        <v>42</v>
      </c>
      <c r="C46" s="199" t="b">
        <v>1</v>
      </c>
      <c r="D46" s="12" t="str">
        <v>H4</v>
      </c>
      <c r="E46" s="266" t="str">
        <f t="shared" si="0"/>
        <v>USDFUT3MH4_LCHQuote</v>
      </c>
      <c r="F46" s="267" t="str">
        <f>_xll.qlSimpleQuote(E46,,PriceTickValue,Permanent,Trigger,ObjectOverwrite)</f>
        <v>USDFUT3MH4_LCHQuote#0002</v>
      </c>
      <c r="G46" s="268" t="str">
        <f>_xll.ohRangeRetrieveError(F46)</f>
        <v/>
      </c>
      <c r="H46" s="272" t="str">
        <f t="shared" si="1"/>
        <v>USDFUT3MH4ConvAdj_LCHQuote</v>
      </c>
      <c r="I46" s="273" t="str">
        <f>_xll.qlFuturesConvAdjustmentQuote(H46,IborIndex,D46,F46,Volatility,MeanReversion,Permanent,AND(ISERROR(AD46),ISERROR(FuturesHWConvAdj!U46:U47)),ObjectOverwrite)</f>
        <v>USDFUT3MH4ConvAdj_LCHQuote#2189</v>
      </c>
      <c r="J46" s="213" t="str">
        <f>_xll.ohRangeRetrieveError(I46)</f>
        <v/>
      </c>
      <c r="K46" s="115"/>
      <c r="M46" s="358"/>
      <c r="N46" s="269">
        <v>42</v>
      </c>
      <c r="O46" s="269" t="b">
        <v>1</v>
      </c>
      <c r="P46" s="188" t="str">
        <v>H4</v>
      </c>
      <c r="Q46" s="270">
        <v>45371</v>
      </c>
      <c r="R46" s="188" t="str">
        <v>EDH4</v>
      </c>
      <c r="S46" s="374" t="s">
        <v>213</v>
      </c>
      <c r="T46" s="371" t="s">
        <v>213</v>
      </c>
      <c r="U46" s="371" t="s">
        <v>213</v>
      </c>
      <c r="V46" s="371" t="s">
        <v>213</v>
      </c>
      <c r="W46" s="371" t="s">
        <v>213</v>
      </c>
      <c r="X46" s="36" t="e">
        <f>_xll.qlMidSafe(T46,U46,Trigger)</f>
        <v>#NUM!</v>
      </c>
      <c r="Y46" s="36" t="e">
        <f t="shared" si="2"/>
        <v>#VALUE!</v>
      </c>
      <c r="Z46" s="359"/>
      <c r="AA46" s="271" t="e">
        <v>#NUM!</v>
      </c>
      <c r="AB46" s="359"/>
      <c r="AC46" s="36" t="e">
        <v>#NUM!</v>
      </c>
      <c r="AD46" s="188">
        <f>_xll.qlSimpleQuoteSetValue(F46,AC46,Trigger)</f>
        <v>0</v>
      </c>
      <c r="AE46" s="350"/>
    </row>
    <row r="47" spans="1:31" x14ac:dyDescent="0.2">
      <c r="A47" s="274"/>
      <c r="B47" s="117"/>
      <c r="C47" s="117"/>
      <c r="D47" s="117"/>
      <c r="E47" s="117"/>
      <c r="F47" s="117"/>
      <c r="G47" s="117"/>
      <c r="H47" s="117"/>
      <c r="I47" s="117"/>
      <c r="J47" s="117"/>
      <c r="K47" s="119"/>
      <c r="M47" s="360"/>
      <c r="N47" s="351"/>
      <c r="O47" s="351"/>
      <c r="P47" s="351"/>
      <c r="Q47" s="351"/>
      <c r="R47" s="351"/>
      <c r="S47" s="351"/>
      <c r="T47" s="351"/>
      <c r="U47" s="351"/>
      <c r="V47" s="351"/>
      <c r="W47" s="351"/>
      <c r="X47" s="351"/>
      <c r="Y47" s="351"/>
      <c r="Z47" s="351"/>
      <c r="AA47" s="351"/>
      <c r="AB47" s="351"/>
      <c r="AC47" s="351"/>
      <c r="AD47" s="351"/>
      <c r="AE47" s="352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3" hidden="1" customWidth="1" outlineLevel="1"/>
    <col min="2" max="2" width="4" style="143" hidden="1" customWidth="1" outlineLevel="1"/>
    <col min="3" max="3" width="3.7109375" style="143" hidden="1" customWidth="1" outlineLevel="1"/>
    <col min="4" max="4" width="4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1.7109375" style="143" customWidth="1"/>
    <col min="11" max="11" width="4" style="143" bestFit="1" customWidth="1"/>
    <col min="12" max="12" width="3.7109375" style="143" customWidth="1"/>
    <col min="13" max="13" width="4" style="143" customWidth="1"/>
    <col min="14" max="14" width="11.7109375" style="143" customWidth="1"/>
    <col min="15" max="15" width="16.7109375" style="143" customWidth="1"/>
    <col min="16" max="19" width="10.7109375" style="143" customWidth="1"/>
    <col min="20" max="20" width="2.7109375" style="143" customWidth="1"/>
    <col min="21" max="21" width="10.7109375" style="143" customWidth="1"/>
    <col min="22" max="22" width="2.7109375" style="143" customWidth="1"/>
    <col min="23" max="24" width="10.7109375" style="143" customWidth="1"/>
    <col min="25" max="25" width="2.7109375" style="143" customWidth="1"/>
    <col min="26" max="16384" width="9.140625" style="143"/>
  </cols>
  <sheetData>
    <row r="1" spans="1:27" x14ac:dyDescent="0.2">
      <c r="A1" s="81"/>
      <c r="B1" s="81"/>
      <c r="C1" s="81"/>
      <c r="D1" s="81"/>
      <c r="E1" s="81"/>
      <c r="F1" s="94"/>
      <c r="G1" s="81"/>
      <c r="H1" s="82"/>
      <c r="J1" s="80" t="s">
        <v>192</v>
      </c>
      <c r="K1" s="81"/>
      <c r="L1" s="2"/>
      <c r="M1" s="2"/>
      <c r="N1" s="2"/>
      <c r="O1" s="2" t="str">
        <f>VLOOKUP($J$1,AreaTable,AreaIndex,0)</f>
        <v>ICAP LN</v>
      </c>
      <c r="P1" s="2"/>
      <c r="Q1" s="2"/>
      <c r="R1" s="2"/>
      <c r="S1" s="2"/>
      <c r="T1" s="2"/>
      <c r="U1" s="2"/>
      <c r="V1" s="2"/>
      <c r="W1" s="2"/>
      <c r="X1" s="2"/>
      <c r="Y1" s="161"/>
    </row>
    <row r="2" spans="1:27" x14ac:dyDescent="0.2">
      <c r="A2" s="81"/>
      <c r="B2" s="81"/>
      <c r="C2" s="81"/>
      <c r="D2" s="81"/>
      <c r="E2" s="81"/>
      <c r="F2" s="94"/>
      <c r="G2" s="81"/>
      <c r="H2" s="82"/>
      <c r="J2" s="114"/>
      <c r="K2" s="3"/>
      <c r="L2" s="14"/>
      <c r="M2" s="14"/>
      <c r="N2" s="14"/>
      <c r="O2" s="186" t="s">
        <v>178</v>
      </c>
      <c r="P2" s="14"/>
      <c r="Q2" s="14"/>
      <c r="R2" s="3"/>
      <c r="S2" s="3"/>
      <c r="T2" s="14"/>
      <c r="U2" s="14"/>
      <c r="V2" s="14"/>
      <c r="W2" s="14"/>
      <c r="X2" s="54">
        <f>_xll.ohTrigger(X5:X18)</f>
        <v>293</v>
      </c>
      <c r="Y2" s="115"/>
    </row>
    <row r="3" spans="1:27" x14ac:dyDescent="0.2">
      <c r="A3" s="162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7"/>
    </row>
    <row r="4" spans="1:27" ht="22.5" x14ac:dyDescent="0.2">
      <c r="A4" s="163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49"/>
      <c r="L4" s="52"/>
      <c r="M4" s="49"/>
      <c r="N4" s="49" t="s">
        <v>201</v>
      </c>
      <c r="O4" s="51" t="str">
        <f>_xll.RData(O5:O18,P4:Q4,"RTFEED:IDN",ReutersRtMode,,P5)</f>
        <v>Updated at 18:47:15</v>
      </c>
      <c r="P4" s="37" t="s">
        <v>100</v>
      </c>
      <c r="Q4" s="37" t="s">
        <v>99</v>
      </c>
      <c r="R4" s="38" t="s">
        <v>124</v>
      </c>
      <c r="S4" s="38" t="s">
        <v>200</v>
      </c>
      <c r="T4" s="14"/>
      <c r="U4" s="37" t="s">
        <v>114</v>
      </c>
      <c r="V4" s="14"/>
      <c r="W4" s="49" t="s">
        <v>113</v>
      </c>
      <c r="X4" s="49" t="s">
        <v>112</v>
      </c>
      <c r="Y4" s="27"/>
      <c r="AA4" s="147"/>
    </row>
    <row r="5" spans="1:27" x14ac:dyDescent="0.2">
      <c r="A5" s="163"/>
      <c r="B5" s="164"/>
      <c r="C5" s="165">
        <v>2</v>
      </c>
      <c r="D5" s="166" t="s">
        <v>219</v>
      </c>
      <c r="E5" s="167" t="str">
        <f t="shared" ref="E5:E18" si="0">Currency&amp;$C5&amp;$D5&amp;$B5&amp;QuoteSuffix</f>
        <v>USD2X1S_LCHQuote</v>
      </c>
      <c r="F5" s="167" t="str">
        <f>_xll.qlSimpleQuote(Currency&amp;$C5&amp;$D5&amp;$B5&amp;QuoteSuffix,,RateTickValue,Permanent,Trigger,ObjectOverwrite)</f>
        <v>USD2X1S_LCHQuote#0002</v>
      </c>
      <c r="G5" s="168" t="str">
        <f>_xll.ohRangeRetrieveError(F5)</f>
        <v/>
      </c>
      <c r="H5" s="115" t="s">
        <v>156</v>
      </c>
      <c r="J5" s="26"/>
      <c r="K5" s="127" t="str">
        <f>IF($O$2="ICAP Singapore","2M","")</f>
        <v/>
      </c>
      <c r="L5" s="127">
        <f>IF($O$2="ICAP Singapore","AM",2)</f>
        <v>2</v>
      </c>
      <c r="M5" s="127" t="str">
        <f>IF($O$2="ICAP Singapore","1L","X1S")</f>
        <v>X1S</v>
      </c>
      <c r="N5" s="32" t="str">
        <f t="shared" ref="N5:N18" si="1">Currency&amp;$L5&amp;$M5&amp;K5</f>
        <v>USD2X1S</v>
      </c>
      <c r="O5" s="32" t="str">
        <f t="array" ref="O5:O18">Instruments&amp;"="&amp;VLOOKUP($O$2,ContributorTable,2,FALSE)</f>
        <v>USD2X1S=ICAP</v>
      </c>
      <c r="P5" s="370">
        <v>0.22400000000000003</v>
      </c>
      <c r="Q5" s="370">
        <v>0.27400000000000002</v>
      </c>
      <c r="R5" s="35">
        <f>IF(ISERROR(AVERAGE(P5,Q5)),#NUM!,AVERAGE(P5,Q5))</f>
        <v>0.24900000000000003</v>
      </c>
      <c r="S5" s="35">
        <f>Q5-P5</f>
        <v>4.9999999999999989E-2</v>
      </c>
      <c r="T5" s="14"/>
      <c r="U5" s="169">
        <v>0.248</v>
      </c>
      <c r="V5" s="14"/>
      <c r="W5" s="35">
        <f t="array" ref="W5:W18">QuoteLive</f>
        <v>0.24900000000000003</v>
      </c>
      <c r="X5" s="132" t="e">
        <f>_xll.qlSimpleQuoteSetValue(F5,W5/100,Trigger)</f>
        <v>#N/A</v>
      </c>
      <c r="Y5" s="27"/>
      <c r="AA5" s="170"/>
    </row>
    <row r="6" spans="1:27" x14ac:dyDescent="0.2">
      <c r="A6" s="163"/>
      <c r="B6" s="171"/>
      <c r="C6" s="172">
        <v>3</v>
      </c>
      <c r="D6" s="173" t="s">
        <v>219</v>
      </c>
      <c r="E6" s="174" t="str">
        <f t="shared" si="0"/>
        <v>USD3X1S_LCHQuote</v>
      </c>
      <c r="F6" s="174" t="str">
        <f>_xll.qlSimpleQuote(Currency&amp;$C6&amp;$D6&amp;$B6&amp;QuoteSuffix,,RateTickValue,Permanent,Trigger,ObjectOverwrite)</f>
        <v>USD3X1S_LCHQuote#0002</v>
      </c>
      <c r="G6" s="175" t="str">
        <f>_xll.ohRangeRetrieveError(F6)</f>
        <v/>
      </c>
      <c r="H6" s="115" t="s">
        <v>156</v>
      </c>
      <c r="J6" s="26"/>
      <c r="K6" s="127" t="str">
        <f>IF($O$2="ICAP Singapore","3M","")</f>
        <v/>
      </c>
      <c r="L6" s="127">
        <f>IF($O$2="ICAP Singapore","AM",3)</f>
        <v>3</v>
      </c>
      <c r="M6" s="127" t="str">
        <f t="shared" ref="M6:M18" si="2">IF($O$2="ICAP Singapore","1L","X1S")</f>
        <v>X1S</v>
      </c>
      <c r="N6" s="32" t="str">
        <f t="shared" si="1"/>
        <v>USD3X1S</v>
      </c>
      <c r="O6" s="32" t="str">
        <v>USD3X1S=ICAP</v>
      </c>
      <c r="P6" s="370">
        <v>0.26400000000000001</v>
      </c>
      <c r="Q6" s="370">
        <v>0.314</v>
      </c>
      <c r="R6" s="35">
        <f t="shared" ref="R6:R18" si="3">IF(ISERROR(AVERAGE(P6,Q6)),#NUM!,AVERAGE(P6,Q6))</f>
        <v>0.28900000000000003</v>
      </c>
      <c r="S6" s="35">
        <f t="shared" ref="S6:S18" si="4">Q6-P6</f>
        <v>4.9999999999999989E-2</v>
      </c>
      <c r="T6" s="14"/>
      <c r="U6" s="169">
        <v>0.28800000000000003</v>
      </c>
      <c r="V6" s="14"/>
      <c r="W6" s="35">
        <v>0.28900000000000003</v>
      </c>
      <c r="X6" s="132" t="e">
        <f>_xll.qlSimpleQuoteSetValue(F6,W6/100,Trigger)</f>
        <v>#N/A</v>
      </c>
      <c r="Y6" s="27"/>
      <c r="AA6" s="170"/>
    </row>
    <row r="7" spans="1:27" x14ac:dyDescent="0.2">
      <c r="A7" s="163"/>
      <c r="B7" s="171"/>
      <c r="C7" s="172">
        <v>4</v>
      </c>
      <c r="D7" s="173" t="s">
        <v>219</v>
      </c>
      <c r="E7" s="174" t="str">
        <f t="shared" si="0"/>
        <v>USD4X1S_LCHQuote</v>
      </c>
      <c r="F7" s="174" t="str">
        <f>_xll.qlSimpleQuote(Currency&amp;$C7&amp;$D7&amp;$B7&amp;QuoteSuffix,,RateTickValue,Permanent,Trigger,ObjectOverwrite)</f>
        <v>USD4X1S_LCHQuote#0002</v>
      </c>
      <c r="G7" s="175" t="str">
        <f>_xll.ohRangeRetrieveError(F7)</f>
        <v/>
      </c>
      <c r="H7" s="115" t="s">
        <v>156</v>
      </c>
      <c r="J7" s="26"/>
      <c r="K7" s="127" t="str">
        <f>IF($O$2="ICAP Singapore","4M","")</f>
        <v/>
      </c>
      <c r="L7" s="127">
        <f>IF($O$2="ICAP Singapore","AM",4)</f>
        <v>4</v>
      </c>
      <c r="M7" s="127" t="str">
        <f t="shared" si="2"/>
        <v>X1S</v>
      </c>
      <c r="N7" s="32" t="str">
        <f t="shared" si="1"/>
        <v>USD4X1S</v>
      </c>
      <c r="O7" s="32" t="str">
        <v>USD4X1S=ICAP</v>
      </c>
      <c r="P7" s="370">
        <v>0.28900000000000003</v>
      </c>
      <c r="Q7" s="370">
        <v>0.33900000000000002</v>
      </c>
      <c r="R7" s="35">
        <f t="shared" si="3"/>
        <v>0.31400000000000006</v>
      </c>
      <c r="S7" s="35">
        <f t="shared" si="4"/>
        <v>4.9999999999999989E-2</v>
      </c>
      <c r="T7" s="14"/>
      <c r="U7" s="169">
        <v>0.31200000000000006</v>
      </c>
      <c r="V7" s="14"/>
      <c r="W7" s="35">
        <v>0.31400000000000006</v>
      </c>
      <c r="X7" s="132" t="e">
        <f>_xll.qlSimpleQuoteSetValue(F7,W7/100,Trigger)</f>
        <v>#N/A</v>
      </c>
      <c r="Y7" s="27"/>
      <c r="AA7" s="170"/>
    </row>
    <row r="8" spans="1:27" x14ac:dyDescent="0.2">
      <c r="A8" s="163"/>
      <c r="B8" s="171"/>
      <c r="C8" s="172">
        <v>5</v>
      </c>
      <c r="D8" s="173" t="s">
        <v>219</v>
      </c>
      <c r="E8" s="174" t="str">
        <f t="shared" si="0"/>
        <v>USD5X1S_LCHQuote</v>
      </c>
      <c r="F8" s="174" t="str">
        <f>_xll.qlSimpleQuote(Currency&amp;$C8&amp;$D8&amp;$B8&amp;QuoteSuffix,,RateTickValue,Permanent,Trigger,ObjectOverwrite)</f>
        <v>USD5X1S_LCHQuote#0002</v>
      </c>
      <c r="G8" s="175" t="str">
        <f>_xll.ohRangeRetrieveError(F8)</f>
        <v/>
      </c>
      <c r="H8" s="115" t="s">
        <v>156</v>
      </c>
      <c r="J8" s="26"/>
      <c r="K8" s="127" t="str">
        <f>IF($O$2="ICAP Singapore","5M","")</f>
        <v/>
      </c>
      <c r="L8" s="127">
        <f>IF($O$2="ICAP Singapore","AM",5)</f>
        <v>5</v>
      </c>
      <c r="M8" s="127" t="str">
        <f t="shared" si="2"/>
        <v>X1S</v>
      </c>
      <c r="N8" s="32" t="str">
        <f t="shared" si="1"/>
        <v>USD5X1S</v>
      </c>
      <c r="O8" s="32" t="str">
        <v>USD5X1S=ICAP</v>
      </c>
      <c r="P8" s="370">
        <v>0.32400000000000001</v>
      </c>
      <c r="Q8" s="370">
        <v>0.374</v>
      </c>
      <c r="R8" s="35">
        <f t="shared" si="3"/>
        <v>0.34899999999999998</v>
      </c>
      <c r="S8" s="35">
        <f t="shared" si="4"/>
        <v>4.9999999999999989E-2</v>
      </c>
      <c r="T8" s="14"/>
      <c r="U8" s="169">
        <v>0.34799999999999998</v>
      </c>
      <c r="V8" s="14"/>
      <c r="W8" s="35">
        <v>0.34899999999999998</v>
      </c>
      <c r="X8" s="132" t="e">
        <f>_xll.qlSimpleQuoteSetValue(F8,W8/100,Trigger)</f>
        <v>#N/A</v>
      </c>
      <c r="Y8" s="27"/>
      <c r="AA8" s="170"/>
    </row>
    <row r="9" spans="1:27" x14ac:dyDescent="0.2">
      <c r="A9" s="163"/>
      <c r="B9" s="171"/>
      <c r="C9" s="172">
        <v>6</v>
      </c>
      <c r="D9" s="173" t="s">
        <v>219</v>
      </c>
      <c r="E9" s="174" t="str">
        <f t="shared" si="0"/>
        <v>USD6X1S_LCHQuote</v>
      </c>
      <c r="F9" s="174" t="str">
        <f>_xll.qlSimpleQuote(Currency&amp;$C9&amp;$D9&amp;$B9&amp;QuoteSuffix,,RateTickValue,Permanent,Trigger,ObjectOverwrite)</f>
        <v>USD6X1S_LCHQuote#0002</v>
      </c>
      <c r="G9" s="175" t="str">
        <f>_xll.ohRangeRetrieveError(F9)</f>
        <v/>
      </c>
      <c r="H9" s="115" t="s">
        <v>156</v>
      </c>
      <c r="J9" s="26"/>
      <c r="K9" s="127" t="str">
        <f>IF($O$2="ICAP Singapore","6M","")</f>
        <v/>
      </c>
      <c r="L9" s="127">
        <f>IF($O$2="ICAP Singapore","AM",6)</f>
        <v>6</v>
      </c>
      <c r="M9" s="127" t="str">
        <f t="shared" si="2"/>
        <v>X1S</v>
      </c>
      <c r="N9" s="32" t="str">
        <f t="shared" si="1"/>
        <v>USD6X1S</v>
      </c>
      <c r="O9" s="32" t="str">
        <v>USD6X1S=ICAP</v>
      </c>
      <c r="P9" s="370">
        <v>0.35099999999999998</v>
      </c>
      <c r="Q9" s="370">
        <v>0.40099999999999997</v>
      </c>
      <c r="R9" s="35">
        <f t="shared" si="3"/>
        <v>0.376</v>
      </c>
      <c r="S9" s="35">
        <f t="shared" si="4"/>
        <v>4.9999999999999989E-2</v>
      </c>
      <c r="T9" s="14"/>
      <c r="U9" s="169">
        <v>0.374</v>
      </c>
      <c r="V9" s="14"/>
      <c r="W9" s="35">
        <v>0.376</v>
      </c>
      <c r="X9" s="132" t="e">
        <f>_xll.qlSimpleQuoteSetValue(F9,W9/100,Trigger)</f>
        <v>#N/A</v>
      </c>
      <c r="Y9" s="27"/>
      <c r="AA9" s="170"/>
    </row>
    <row r="10" spans="1:27" x14ac:dyDescent="0.2">
      <c r="A10" s="163"/>
      <c r="B10" s="171"/>
      <c r="C10" s="172">
        <v>7</v>
      </c>
      <c r="D10" s="173" t="s">
        <v>219</v>
      </c>
      <c r="E10" s="174" t="str">
        <f t="shared" si="0"/>
        <v>USD7X1S_LCHQuote</v>
      </c>
      <c r="F10" s="174" t="str">
        <f>_xll.qlSimpleQuote(Currency&amp;$C10&amp;$D10&amp;$B10&amp;QuoteSuffix,,RateTickValue,Permanent,Trigger,ObjectOverwrite)</f>
        <v>USD7X1S_LCHQuote#0002</v>
      </c>
      <c r="G10" s="175" t="str">
        <f>_xll.ohRangeRetrieveError(F10)</f>
        <v/>
      </c>
      <c r="H10" s="115" t="s">
        <v>156</v>
      </c>
      <c r="J10" s="26"/>
      <c r="K10" s="127" t="str">
        <f>IF($O$2="ICAP Singapore","7M","")</f>
        <v/>
      </c>
      <c r="L10" s="127">
        <f>IF($O$2="ICAP Singapore","AM",7)</f>
        <v>7</v>
      </c>
      <c r="M10" s="127" t="str">
        <f t="shared" si="2"/>
        <v>X1S</v>
      </c>
      <c r="N10" s="32" t="str">
        <f t="shared" si="1"/>
        <v>USD7X1S</v>
      </c>
      <c r="O10" s="32" t="str">
        <v>USD7X1S=ICAP</v>
      </c>
      <c r="P10" s="370">
        <v>0.375</v>
      </c>
      <c r="Q10" s="370">
        <v>0.42499999999999999</v>
      </c>
      <c r="R10" s="35">
        <f t="shared" si="3"/>
        <v>0.4</v>
      </c>
      <c r="S10" s="35">
        <f t="shared" si="4"/>
        <v>4.9999999999999989E-2</v>
      </c>
      <c r="T10" s="14"/>
      <c r="U10" s="169">
        <v>0.39800000000000002</v>
      </c>
      <c r="V10" s="14"/>
      <c r="W10" s="35">
        <v>0.4</v>
      </c>
      <c r="X10" s="132" t="e">
        <f>_xll.qlSimpleQuoteSetValue(F10,W10/100,Trigger)</f>
        <v>#N/A</v>
      </c>
      <c r="Y10" s="27"/>
      <c r="AA10" s="170"/>
    </row>
    <row r="11" spans="1:27" x14ac:dyDescent="0.2">
      <c r="A11" s="163"/>
      <c r="B11" s="171"/>
      <c r="C11" s="172">
        <v>8</v>
      </c>
      <c r="D11" s="173" t="s">
        <v>219</v>
      </c>
      <c r="E11" s="174" t="str">
        <f t="shared" si="0"/>
        <v>USD8X1S_LCHQuote</v>
      </c>
      <c r="F11" s="174" t="str">
        <f>_xll.qlSimpleQuote(Currency&amp;$C11&amp;$D11&amp;$B11&amp;QuoteSuffix,,RateTickValue,Permanent,Trigger,ObjectOverwrite)</f>
        <v>USD8X1S_LCHQuote#0002</v>
      </c>
      <c r="G11" s="175" t="str">
        <f>_xll.ohRangeRetrieveError(F11)</f>
        <v/>
      </c>
      <c r="H11" s="115" t="s">
        <v>156</v>
      </c>
      <c r="J11" s="26"/>
      <c r="K11" s="127" t="str">
        <f>IF($O$2="ICAP Singapore","8M","")</f>
        <v/>
      </c>
      <c r="L11" s="127">
        <f>IF($O$2="ICAP Singapore","AM",8)</f>
        <v>8</v>
      </c>
      <c r="M11" s="127" t="str">
        <f t="shared" si="2"/>
        <v>X1S</v>
      </c>
      <c r="N11" s="32" t="str">
        <f t="shared" si="1"/>
        <v>USD8X1S</v>
      </c>
      <c r="O11" s="32" t="str">
        <v>USD8X1S=ICAP</v>
      </c>
      <c r="P11" s="370">
        <v>0.40300000000000002</v>
      </c>
      <c r="Q11" s="370">
        <v>0.45300000000000001</v>
      </c>
      <c r="R11" s="35">
        <f t="shared" si="3"/>
        <v>0.42800000000000005</v>
      </c>
      <c r="S11" s="35">
        <f t="shared" si="4"/>
        <v>4.9999999999999989E-2</v>
      </c>
      <c r="T11" s="14"/>
      <c r="U11" s="169">
        <v>0.42599999999999993</v>
      </c>
      <c r="V11" s="14"/>
      <c r="W11" s="35">
        <v>0.42800000000000005</v>
      </c>
      <c r="X11" s="132" t="e">
        <f>_xll.qlSimpleQuoteSetValue(F11,W11/100,Trigger)</f>
        <v>#N/A</v>
      </c>
      <c r="Y11" s="27"/>
      <c r="AA11" s="170"/>
    </row>
    <row r="12" spans="1:27" x14ac:dyDescent="0.2">
      <c r="A12" s="163"/>
      <c r="B12" s="171"/>
      <c r="C12" s="172">
        <v>9</v>
      </c>
      <c r="D12" s="173" t="s">
        <v>219</v>
      </c>
      <c r="E12" s="174" t="str">
        <f t="shared" si="0"/>
        <v>USD9X1S_LCHQuote</v>
      </c>
      <c r="F12" s="174" t="str">
        <f>_xll.qlSimpleQuote(Currency&amp;$C12&amp;$D12&amp;$B12&amp;QuoteSuffix,,RateTickValue,Permanent,Trigger,ObjectOverwrite)</f>
        <v>USD9X1S_LCHQuote#0002</v>
      </c>
      <c r="G12" s="175" t="str">
        <f>_xll.ohRangeRetrieveError(F12)</f>
        <v/>
      </c>
      <c r="H12" s="115" t="s">
        <v>156</v>
      </c>
      <c r="J12" s="26"/>
      <c r="K12" s="127" t="str">
        <f>IF($O$2="ICAP Singapore","9M","")</f>
        <v/>
      </c>
      <c r="L12" s="127">
        <f>IF($O$2="ICAP Singapore","AM",9)</f>
        <v>9</v>
      </c>
      <c r="M12" s="127" t="str">
        <f t="shared" si="2"/>
        <v>X1S</v>
      </c>
      <c r="N12" s="32" t="str">
        <f t="shared" si="1"/>
        <v>USD9X1S</v>
      </c>
      <c r="O12" s="32" t="str">
        <v>USD9X1S=ICAP</v>
      </c>
      <c r="P12" s="370">
        <v>0.42899999999999999</v>
      </c>
      <c r="Q12" s="370">
        <v>0.47899999999999998</v>
      </c>
      <c r="R12" s="35">
        <f t="shared" si="3"/>
        <v>0.45399999999999996</v>
      </c>
      <c r="S12" s="35">
        <f t="shared" si="4"/>
        <v>4.9999999999999989E-2</v>
      </c>
      <c r="T12" s="14"/>
      <c r="U12" s="169">
        <v>0.45300000000000007</v>
      </c>
      <c r="V12" s="14"/>
      <c r="W12" s="35">
        <v>0.45399999999999996</v>
      </c>
      <c r="X12" s="132" t="e">
        <f>_xll.qlSimpleQuoteSetValue(F12,W12/100,Trigger)</f>
        <v>#N/A</v>
      </c>
      <c r="Y12" s="27"/>
      <c r="AA12" s="170"/>
    </row>
    <row r="13" spans="1:27" x14ac:dyDescent="0.2">
      <c r="A13" s="163"/>
      <c r="B13" s="171"/>
      <c r="C13" s="172">
        <v>10</v>
      </c>
      <c r="D13" s="173" t="s">
        <v>219</v>
      </c>
      <c r="E13" s="174" t="str">
        <f t="shared" si="0"/>
        <v>USD10X1S_LCHQuote</v>
      </c>
      <c r="F13" s="174" t="str">
        <f>_xll.qlSimpleQuote(Currency&amp;$C13&amp;$D13&amp;$B13&amp;QuoteSuffix,,RateTickValue,Permanent,Trigger,ObjectOverwrite)</f>
        <v>USD10X1S_LCHQuote#0002</v>
      </c>
      <c r="G13" s="175" t="str">
        <f>_xll.ohRangeRetrieveError(F13)</f>
        <v/>
      </c>
      <c r="H13" s="115" t="s">
        <v>156</v>
      </c>
      <c r="J13" s="26"/>
      <c r="K13" s="127" t="str">
        <f>IF($O$2="ICAP Singapore","10M","")</f>
        <v/>
      </c>
      <c r="L13" s="127">
        <f>IF($O$2="ICAP Singapore","AM",10)</f>
        <v>10</v>
      </c>
      <c r="M13" s="127" t="str">
        <f t="shared" si="2"/>
        <v>X1S</v>
      </c>
      <c r="N13" s="32" t="str">
        <f t="shared" si="1"/>
        <v>USD10X1S</v>
      </c>
      <c r="O13" s="32" t="str">
        <v>USD10X1S=ICAP</v>
      </c>
      <c r="P13" s="370">
        <v>0.45499999999999996</v>
      </c>
      <c r="Q13" s="370">
        <v>0.505</v>
      </c>
      <c r="R13" s="35">
        <f t="shared" si="3"/>
        <v>0.48</v>
      </c>
      <c r="S13" s="35">
        <f t="shared" si="4"/>
        <v>5.0000000000000044E-2</v>
      </c>
      <c r="T13" s="14"/>
      <c r="U13" s="169">
        <v>0.47799999999999998</v>
      </c>
      <c r="V13" s="14"/>
      <c r="W13" s="35">
        <v>0.48</v>
      </c>
      <c r="X13" s="132" t="e">
        <f>_xll.qlSimpleQuoteSetValue(F13,W13/100,Trigger)</f>
        <v>#N/A</v>
      </c>
      <c r="Y13" s="27"/>
      <c r="AA13" s="170"/>
    </row>
    <row r="14" spans="1:27" x14ac:dyDescent="0.2">
      <c r="A14" s="163"/>
      <c r="B14" s="171"/>
      <c r="C14" s="172">
        <v>11</v>
      </c>
      <c r="D14" s="173" t="s">
        <v>219</v>
      </c>
      <c r="E14" s="174" t="str">
        <f t="shared" si="0"/>
        <v>USD11X1S_LCHQuote</v>
      </c>
      <c r="F14" s="174" t="str">
        <f>_xll.qlSimpleQuote(Currency&amp;$C14&amp;$D14&amp;$B14&amp;QuoteSuffix,,RateTickValue,Permanent,Trigger,ObjectOverwrite)</f>
        <v>USD11X1S_LCHQuote#0002</v>
      </c>
      <c r="G14" s="175" t="str">
        <f>_xll.ohRangeRetrieveError(F14)</f>
        <v/>
      </c>
      <c r="H14" s="115" t="s">
        <v>156</v>
      </c>
      <c r="J14" s="26"/>
      <c r="K14" s="127" t="str">
        <f>IF($O$2="ICAP Singapore","11M","")</f>
        <v/>
      </c>
      <c r="L14" s="127">
        <f>IF($O$2="ICAP Singapore","AM",11)</f>
        <v>11</v>
      </c>
      <c r="M14" s="127" t="str">
        <f t="shared" si="2"/>
        <v>X1S</v>
      </c>
      <c r="N14" s="32" t="str">
        <f t="shared" si="1"/>
        <v>USD11X1S</v>
      </c>
      <c r="O14" s="32" t="str">
        <v>USD11X1S=ICAP</v>
      </c>
      <c r="P14" s="370">
        <v>0.47800000000000004</v>
      </c>
      <c r="Q14" s="370">
        <v>0.52800000000000002</v>
      </c>
      <c r="R14" s="35">
        <f t="shared" si="3"/>
        <v>0.503</v>
      </c>
      <c r="S14" s="35">
        <f t="shared" si="4"/>
        <v>4.9999999999999989E-2</v>
      </c>
      <c r="T14" s="14"/>
      <c r="U14" s="169">
        <v>0.501</v>
      </c>
      <c r="V14" s="14"/>
      <c r="W14" s="35">
        <v>0.503</v>
      </c>
      <c r="X14" s="132" t="e">
        <f>_xll.qlSimpleQuoteSetValue(F14,W14/100,Trigger)</f>
        <v>#N/A</v>
      </c>
      <c r="Y14" s="27"/>
      <c r="AA14" s="170"/>
    </row>
    <row r="15" spans="1:27" x14ac:dyDescent="0.2">
      <c r="A15" s="163"/>
      <c r="B15" s="171"/>
      <c r="C15" s="172">
        <v>12</v>
      </c>
      <c r="D15" s="173" t="s">
        <v>219</v>
      </c>
      <c r="E15" s="174" t="str">
        <f t="shared" si="0"/>
        <v>USD12X1S_LCHQuote</v>
      </c>
      <c r="F15" s="174" t="str">
        <f>_xll.qlSimpleQuote(Currency&amp;$C15&amp;$D15&amp;$B15&amp;QuoteSuffix,,RateTickValue,Permanent,Trigger,ObjectOverwrite)</f>
        <v>USD12X1S_LCHQuote#0002</v>
      </c>
      <c r="G15" s="175" t="str">
        <f>_xll.ohRangeRetrieveError(F15)</f>
        <v/>
      </c>
      <c r="H15" s="115" t="s">
        <v>156</v>
      </c>
      <c r="J15" s="26"/>
      <c r="K15" s="127" t="str">
        <f>IF($O$2="ICAP Singapore","12M","")</f>
        <v/>
      </c>
      <c r="L15" s="127">
        <f>IF($O$2="ICAP Singapore","AM",12)</f>
        <v>12</v>
      </c>
      <c r="M15" s="127" t="str">
        <f t="shared" si="2"/>
        <v>X1S</v>
      </c>
      <c r="N15" s="32" t="str">
        <f t="shared" si="1"/>
        <v>USD12X1S</v>
      </c>
      <c r="O15" s="32" t="str">
        <v>USD12X1S=ICAP</v>
      </c>
      <c r="P15" s="370">
        <v>0.504</v>
      </c>
      <c r="Q15" s="370">
        <v>0.55400000000000005</v>
      </c>
      <c r="R15" s="35">
        <f t="shared" si="3"/>
        <v>0.52900000000000003</v>
      </c>
      <c r="S15" s="35">
        <f t="shared" si="4"/>
        <v>5.0000000000000044E-2</v>
      </c>
      <c r="T15" s="14"/>
      <c r="U15" s="169">
        <v>0.52699999999999991</v>
      </c>
      <c r="V15" s="14"/>
      <c r="W15" s="35">
        <v>0.52900000000000003</v>
      </c>
      <c r="X15" s="132" t="e">
        <f>_xll.qlSimpleQuoteSetValue(F15,W15/100,Trigger)</f>
        <v>#N/A</v>
      </c>
      <c r="Y15" s="27"/>
      <c r="AA15" s="170"/>
    </row>
    <row r="16" spans="1:27" x14ac:dyDescent="0.2">
      <c r="A16" s="45"/>
      <c r="B16" s="171"/>
      <c r="C16" s="172">
        <v>15</v>
      </c>
      <c r="D16" s="173" t="s">
        <v>219</v>
      </c>
      <c r="E16" s="174" t="str">
        <f t="shared" si="0"/>
        <v>USD15X1S_LCHQuote</v>
      </c>
      <c r="F16" s="174" t="str">
        <f>_xll.qlSimpleQuote(Currency&amp;$C16&amp;$D16&amp;$B16&amp;QuoteSuffix,,RateTickValue,Permanent,Trigger,ObjectOverwrite)</f>
        <v>USD15X1S_LCHQuote#0002</v>
      </c>
      <c r="G16" s="175" t="str">
        <f>_xll.ohRangeRetrieveError(F16)</f>
        <v/>
      </c>
      <c r="H16" s="115" t="s">
        <v>156</v>
      </c>
      <c r="J16" s="26"/>
      <c r="K16" s="127" t="str">
        <f>IF($O$2="ICAP Singapore","15M","")</f>
        <v/>
      </c>
      <c r="L16" s="127">
        <f>IF($O$2="ICAP Singapore","AM",15)</f>
        <v>15</v>
      </c>
      <c r="M16" s="127" t="str">
        <f t="shared" si="2"/>
        <v>X1S</v>
      </c>
      <c r="N16" s="32" t="str">
        <f t="shared" si="1"/>
        <v>USD15X1S</v>
      </c>
      <c r="O16" s="32" t="str">
        <v>USD15X1S=ICAP</v>
      </c>
      <c r="P16" s="370">
        <v>0.58200000000000007</v>
      </c>
      <c r="Q16" s="370">
        <v>0.63200000000000001</v>
      </c>
      <c r="R16" s="35">
        <f t="shared" si="3"/>
        <v>0.60699999999999998</v>
      </c>
      <c r="S16" s="35">
        <f t="shared" si="4"/>
        <v>4.9999999999999933E-2</v>
      </c>
      <c r="T16" s="14"/>
      <c r="U16" s="169">
        <v>0.60399999999999998</v>
      </c>
      <c r="V16" s="14"/>
      <c r="W16" s="35">
        <v>0.60699999999999998</v>
      </c>
      <c r="X16" s="132" t="e">
        <f>_xll.qlSimpleQuoteSetValue(F16,W16/100,Trigger)</f>
        <v>#N/A</v>
      </c>
      <c r="Y16" s="27"/>
    </row>
    <row r="17" spans="1:25" x14ac:dyDescent="0.2">
      <c r="A17" s="81"/>
      <c r="B17" s="171"/>
      <c r="C17" s="172">
        <v>18</v>
      </c>
      <c r="D17" s="173" t="s">
        <v>219</v>
      </c>
      <c r="E17" s="174" t="str">
        <f t="shared" si="0"/>
        <v>USD18X1S_LCHQuote</v>
      </c>
      <c r="F17" s="174" t="str">
        <f>_xll.qlSimpleQuote(Currency&amp;$C17&amp;$D17&amp;$B17&amp;QuoteSuffix,,RateTickValue,Permanent,Trigger,ObjectOverwrite)</f>
        <v>USD18X1S_LCHQuote#0002</v>
      </c>
      <c r="G17" s="175" t="str">
        <f>_xll.ohRangeRetrieveError(F17)</f>
        <v/>
      </c>
      <c r="H17" s="82" t="s">
        <v>156</v>
      </c>
      <c r="J17" s="26"/>
      <c r="K17" s="127" t="str">
        <f>IF($O$2="ICAP Singapore","18M","")</f>
        <v/>
      </c>
      <c r="L17" s="127">
        <f>IF($O$2="ICAP Singapore","AM",18)</f>
        <v>18</v>
      </c>
      <c r="M17" s="127" t="str">
        <f t="shared" si="2"/>
        <v>X1S</v>
      </c>
      <c r="N17" s="32" t="str">
        <f t="shared" si="1"/>
        <v>USD18X1S</v>
      </c>
      <c r="O17" s="32" t="str">
        <v>USD18X1S=ICAP</v>
      </c>
      <c r="P17" s="370">
        <v>0.65700000000000003</v>
      </c>
      <c r="Q17" s="370">
        <v>0.70700000000000007</v>
      </c>
      <c r="R17" s="35">
        <f t="shared" si="3"/>
        <v>0.68200000000000005</v>
      </c>
      <c r="S17" s="35">
        <f t="shared" si="4"/>
        <v>5.0000000000000044E-2</v>
      </c>
      <c r="T17" s="14"/>
      <c r="U17" s="169">
        <v>0.67900000000000005</v>
      </c>
      <c r="V17" s="14"/>
      <c r="W17" s="35">
        <v>0.68200000000000005</v>
      </c>
      <c r="X17" s="132" t="e">
        <f>_xll.qlSimpleQuoteSetValue(F17,W17/100,Trigger)</f>
        <v>#N/A</v>
      </c>
      <c r="Y17" s="27"/>
    </row>
    <row r="18" spans="1:25" x14ac:dyDescent="0.2">
      <c r="A18" s="81"/>
      <c r="B18" s="176"/>
      <c r="C18" s="177">
        <v>24</v>
      </c>
      <c r="D18" s="178" t="s">
        <v>219</v>
      </c>
      <c r="E18" s="179" t="str">
        <f t="shared" si="0"/>
        <v>USD24X1S_LCHQuote</v>
      </c>
      <c r="F18" s="179" t="str">
        <f>_xll.qlSimpleQuote(Currency&amp;$C18&amp;$D18&amp;$B18&amp;QuoteSuffix,,RateTickValue,Permanent,Trigger,ObjectOverwrite)</f>
        <v>USD24X1S_LCHQuote#0002</v>
      </c>
      <c r="G18" s="180" t="str">
        <f>_xll.ohRangeRetrieveError(F18)</f>
        <v/>
      </c>
      <c r="H18" s="82" t="s">
        <v>156</v>
      </c>
      <c r="J18" s="26"/>
      <c r="K18" s="129" t="str">
        <f>IF($O$2="ICAP Singapore","24M","")</f>
        <v/>
      </c>
      <c r="L18" s="127">
        <f>IF($O$2="ICAP Singapore","AM",24)</f>
        <v>24</v>
      </c>
      <c r="M18" s="127" t="str">
        <f t="shared" si="2"/>
        <v>X1S</v>
      </c>
      <c r="N18" s="32" t="str">
        <f t="shared" si="1"/>
        <v>USD24X1S</v>
      </c>
      <c r="O18" s="33" t="str">
        <v>USD24X1S=ICAP</v>
      </c>
      <c r="P18" s="371">
        <v>0.80600000000000005</v>
      </c>
      <c r="Q18" s="371">
        <v>0.85600000000000009</v>
      </c>
      <c r="R18" s="36">
        <f t="shared" si="3"/>
        <v>0.83100000000000007</v>
      </c>
      <c r="S18" s="36">
        <f t="shared" si="4"/>
        <v>5.0000000000000044E-2</v>
      </c>
      <c r="T18" s="14"/>
      <c r="U18" s="181">
        <v>0.82699999999999996</v>
      </c>
      <c r="V18" s="14"/>
      <c r="W18" s="36">
        <v>0.83100000000000007</v>
      </c>
      <c r="X18" s="133" t="e">
        <f>_xll.qlSimpleQuoteSetValue(F18,W18/100,Trigger)</f>
        <v>#N/A</v>
      </c>
      <c r="Y18" s="27"/>
    </row>
    <row r="19" spans="1:25" x14ac:dyDescent="0.2">
      <c r="A19" s="85"/>
      <c r="B19" s="85"/>
      <c r="C19" s="85"/>
      <c r="D19" s="85"/>
      <c r="E19" s="85"/>
      <c r="F19" s="97"/>
      <c r="G19" s="85"/>
      <c r="H19" s="86"/>
      <c r="J19" s="116"/>
      <c r="K19" s="117"/>
      <c r="L19" s="182"/>
      <c r="M19" s="182"/>
      <c r="N19" s="182"/>
      <c r="O19" s="182"/>
      <c r="P19" s="182"/>
      <c r="Q19" s="182"/>
      <c r="R19" s="182"/>
      <c r="S19" s="117"/>
      <c r="T19" s="117"/>
      <c r="U19" s="182"/>
      <c r="V19" s="117"/>
      <c r="W19" s="182"/>
      <c r="X19" s="182"/>
      <c r="Y19" s="183"/>
    </row>
    <row r="26" spans="1:25" x14ac:dyDescent="0.2">
      <c r="M26" s="184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43" hidden="1" customWidth="1" outlineLevel="1"/>
    <col min="2" max="2" width="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96" customWidth="1"/>
    <col min="12" max="13" width="3" style="196" bestFit="1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10.7109375" style="143" customWidth="1"/>
    <col min="23" max="23" width="2.7109375" style="143" customWidth="1"/>
    <col min="24" max="24" width="10.7109375" style="143" customWidth="1"/>
    <col min="25" max="25" width="2.7109375" style="143" customWidth="1"/>
    <col min="26" max="27" width="10.7109375" style="143" customWidth="1"/>
    <col min="28" max="29" width="2.7109375" style="143" customWidth="1"/>
    <col min="30" max="16384" width="9.140625" style="143"/>
  </cols>
  <sheetData>
    <row r="1" spans="1:31" x14ac:dyDescent="0.2">
      <c r="A1" s="87"/>
      <c r="B1" s="78"/>
      <c r="C1" s="78"/>
      <c r="D1" s="78"/>
      <c r="E1" s="78"/>
      <c r="F1" s="92"/>
      <c r="G1" s="78"/>
      <c r="H1" s="79"/>
      <c r="J1" s="87" t="s">
        <v>193</v>
      </c>
      <c r="K1" s="197"/>
      <c r="L1" s="197"/>
      <c r="M1" s="197"/>
      <c r="N1" s="25"/>
      <c r="O1" s="25" t="str">
        <f>VLOOKUP($J$1,AreaTable,AreaIndex,0)</f>
        <v>ICAP LN</v>
      </c>
      <c r="P1" s="25"/>
      <c r="Q1" s="25"/>
      <c r="R1" s="25"/>
      <c r="S1" s="353"/>
      <c r="T1" s="353"/>
      <c r="U1" s="353"/>
      <c r="V1" s="25"/>
      <c r="W1" s="25"/>
      <c r="X1" s="25"/>
      <c r="Y1" s="25"/>
      <c r="Z1" s="25"/>
      <c r="AA1" s="25"/>
      <c r="AB1" s="113"/>
    </row>
    <row r="2" spans="1:31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3"/>
      <c r="S2" s="341"/>
      <c r="T2" s="341"/>
      <c r="U2" s="341"/>
      <c r="V2" s="3"/>
      <c r="W2" s="14"/>
      <c r="X2" s="14"/>
      <c r="Y2" s="14"/>
      <c r="Z2" s="14"/>
      <c r="AA2" s="54">
        <f>_xll.ohTrigger(AA5:AA42)</f>
        <v>3019</v>
      </c>
      <c r="AB2" s="115"/>
    </row>
    <row r="3" spans="1:31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14"/>
      <c r="M3" s="14"/>
      <c r="N3" s="3"/>
      <c r="O3" s="3"/>
      <c r="P3" s="3"/>
      <c r="Q3" s="3"/>
      <c r="R3" s="3"/>
      <c r="S3" s="341" t="str">
        <f>_xll.qlInterpolation(,"linear",_xll.ohFilter(S5:S42,T5:T42),_xll.ohFilter(R5:R42,T5:T42),Permanent,Trigger,ObjectOverwrite)</f>
        <v>obj_0029b#3020</v>
      </c>
      <c r="T3" s="341"/>
      <c r="U3" s="341"/>
      <c r="V3" s="3"/>
      <c r="W3" s="14"/>
      <c r="X3" s="14"/>
      <c r="Y3" s="14"/>
      <c r="Z3" s="3"/>
      <c r="AA3" s="3"/>
      <c r="AB3" s="27"/>
    </row>
    <row r="4" spans="1:31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6"/>
      <c r="K4" s="49"/>
      <c r="L4" s="49"/>
      <c r="M4" s="49"/>
      <c r="N4" s="49" t="s">
        <v>201</v>
      </c>
      <c r="O4" s="51" t="str">
        <f>_xll.RData(O5:O42,P4:Q4,"RTFEED:IDN",ReutersRtMode,,P5)</f>
        <v>Updated at 18:49:38</v>
      </c>
      <c r="P4" s="37" t="s">
        <v>217</v>
      </c>
      <c r="Q4" s="37" t="s">
        <v>218</v>
      </c>
      <c r="R4" s="38" t="s">
        <v>124</v>
      </c>
      <c r="S4" s="38" t="s">
        <v>227</v>
      </c>
      <c r="T4" s="38" t="s">
        <v>228</v>
      </c>
      <c r="U4" s="38" t="s">
        <v>229</v>
      </c>
      <c r="V4" s="38" t="s">
        <v>200</v>
      </c>
      <c r="W4" s="14"/>
      <c r="X4" s="37" t="s">
        <v>114</v>
      </c>
      <c r="Y4" s="14"/>
      <c r="Z4" s="185" t="s">
        <v>113</v>
      </c>
      <c r="AA4" s="52" t="s">
        <v>112</v>
      </c>
      <c r="AB4" s="27"/>
      <c r="AE4" s="147"/>
    </row>
    <row r="5" spans="1:31" x14ac:dyDescent="0.2">
      <c r="A5" s="26"/>
      <c r="B5" s="164" t="str">
        <f>K5</f>
        <v>6M</v>
      </c>
      <c r="C5" s="166" t="str">
        <f>L5</f>
        <v>AM</v>
      </c>
      <c r="D5" s="166" t="str">
        <f>M5</f>
        <v>3L</v>
      </c>
      <c r="E5" s="174" t="str">
        <f t="shared" ref="E5:E42" si="0">Currency&amp;$C5&amp;$D5&amp;$B5&amp;QuoteSuffix</f>
        <v>USDAM3L6M_LCHQuote</v>
      </c>
      <c r="F5" s="174" t="str">
        <f>_xll.qlSimpleQuote(Currency&amp;$C5&amp;$D5&amp;$B5&amp;QuoteSuffix,,RateTickValue,Permanent,Trigger,ObjectOverwrite)</f>
        <v>USDAM3L6M_LCHQuote#0002</v>
      </c>
      <c r="G5" s="175" t="str">
        <f>_xll.ohRangeRetrieveError(F5)</f>
        <v/>
      </c>
      <c r="H5" s="115"/>
      <c r="J5" s="26"/>
      <c r="K5" s="125" t="s">
        <v>11</v>
      </c>
      <c r="L5" s="125" t="s">
        <v>95</v>
      </c>
      <c r="M5" s="125" t="s">
        <v>64</v>
      </c>
      <c r="N5" s="126" t="str">
        <f t="shared" ref="N5:N42" si="1">Currency&amp;$L5&amp;$M5&amp;$K5</f>
        <v>USDAM3L6M</v>
      </c>
      <c r="O5" s="126" t="str">
        <f t="array" ref="O5:O42">Instruments&amp;"="&amp;VLOOKUP(Contributor,ContributorTable,2,FALSE)</f>
        <v>USDAM3L6M=PYNY</v>
      </c>
      <c r="P5" s="369">
        <v>0.44900000000000001</v>
      </c>
      <c r="Q5" s="369">
        <v>0.46900000000000003</v>
      </c>
      <c r="R5" s="34">
        <f>IF(ISERROR(AVERAGE(P5,Q5)),#NUM!,AVERAGE(P5,Q5))</f>
        <v>0.45900000000000002</v>
      </c>
      <c r="S5" s="63">
        <v>0.5</v>
      </c>
      <c r="T5" s="416" t="b">
        <f>NOT(ISERROR(R5))</f>
        <v>1</v>
      </c>
      <c r="U5" s="377">
        <f>_xll.qlInterpolationInterpolate($S$3,S5,TRUE,Trigger)</f>
        <v>0.45900000000000002</v>
      </c>
      <c r="V5" s="35">
        <f>Q5-P5</f>
        <v>2.0000000000000018E-2</v>
      </c>
      <c r="W5" s="139"/>
      <c r="X5" s="141">
        <v>0.45800000000000002</v>
      </c>
      <c r="Y5" s="139"/>
      <c r="Z5" s="34">
        <f t="array" ref="Z5:Z42">QuoteLive</f>
        <v>0.45900000000000002</v>
      </c>
      <c r="AA5" s="132">
        <f>_xll.qlSimpleQuoteSetValue(F5,Z5/100,Trigger)</f>
        <v>0</v>
      </c>
      <c r="AB5" s="27"/>
      <c r="AE5" s="170"/>
    </row>
    <row r="6" spans="1:31" x14ac:dyDescent="0.2">
      <c r="A6" s="26"/>
      <c r="B6" s="171" t="str">
        <f t="shared" ref="B6:B42" si="2">K6</f>
        <v>1Y</v>
      </c>
      <c r="C6" s="173" t="str">
        <f t="shared" ref="C6:C42" si="3">L6</f>
        <v>AM</v>
      </c>
      <c r="D6" s="173" t="str">
        <f t="shared" ref="D6:D42" si="4">M6</f>
        <v>3L</v>
      </c>
      <c r="E6" s="174" t="str">
        <f t="shared" si="0"/>
        <v>USDAM3L1Y_LCHQuote</v>
      </c>
      <c r="F6" s="174" t="str">
        <f>_xll.qlSimpleQuote(Currency&amp;$C6&amp;$D6&amp;$B6&amp;QuoteSuffix,,RateTickValue,Permanent,Trigger,ObjectOverwrite)</f>
        <v>USDAM3L1Y_LCHQuote#0002</v>
      </c>
      <c r="G6" s="175" t="str">
        <f>_xll.ohRangeRetrieveError(F6)</f>
        <v/>
      </c>
      <c r="H6" s="115"/>
      <c r="J6" s="26"/>
      <c r="K6" s="127" t="s">
        <v>5</v>
      </c>
      <c r="L6" s="127" t="s">
        <v>95</v>
      </c>
      <c r="M6" s="127" t="s">
        <v>64</v>
      </c>
      <c r="N6" s="128" t="str">
        <f t="shared" si="1"/>
        <v>USDAM3L1Y</v>
      </c>
      <c r="O6" s="128" t="str">
        <v>USDAM3L1Y=PYNY</v>
      </c>
      <c r="P6" s="370">
        <v>0.61399999999999999</v>
      </c>
      <c r="Q6" s="370">
        <v>0.63400000000000001</v>
      </c>
      <c r="R6" s="35">
        <f t="shared" ref="R6:R42" si="5">IF(ISERROR(AVERAGE(P6,Q6)),#NUM!,AVERAGE(P6,Q6))</f>
        <v>0.624</v>
      </c>
      <c r="S6" s="63">
        <v>1</v>
      </c>
      <c r="T6" s="416" t="b">
        <f t="shared" ref="T6:T42" si="6">NOT(ISERROR(R6))</f>
        <v>1</v>
      </c>
      <c r="U6" s="377">
        <f>_xll.qlInterpolationInterpolate($S$3,S6,TRUE,Trigger)</f>
        <v>0.624</v>
      </c>
      <c r="V6" s="35">
        <f t="shared" ref="V6:V42" si="7">Q6-P6</f>
        <v>2.0000000000000018E-2</v>
      </c>
      <c r="W6" s="139"/>
      <c r="X6" s="141">
        <v>0.622</v>
      </c>
      <c r="Y6" s="139"/>
      <c r="Z6" s="35">
        <v>0.624</v>
      </c>
      <c r="AA6" s="132">
        <f>_xll.qlSimpleQuoteSetValue(F6,Z6/100,Trigger)</f>
        <v>0</v>
      </c>
      <c r="AB6" s="27"/>
      <c r="AE6" s="170"/>
    </row>
    <row r="7" spans="1:31" x14ac:dyDescent="0.2">
      <c r="A7" s="26"/>
      <c r="B7" s="171" t="str">
        <f t="shared" si="2"/>
        <v>15M</v>
      </c>
      <c r="C7" s="172" t="str">
        <f t="shared" si="3"/>
        <v>AM</v>
      </c>
      <c r="D7" s="172" t="str">
        <f t="shared" si="4"/>
        <v>3L</v>
      </c>
      <c r="E7" s="174" t="str">
        <f t="shared" si="0"/>
        <v>USDAM3L15M_LCHQuote</v>
      </c>
      <c r="F7" s="174" t="str">
        <f>_xll.qlSimpleQuote(Currency&amp;$C7&amp;$D7&amp;$B7&amp;QuoteSuffix,,RateTickValue,Permanent,Trigger,ObjectOverwrite)</f>
        <v>USDAM3L15M_LCHQuote#0002</v>
      </c>
      <c r="G7" s="175" t="str">
        <f>_xll.ohRangeRetrieveError(F7)</f>
        <v/>
      </c>
      <c r="H7" s="115"/>
      <c r="J7" s="26"/>
      <c r="K7" s="127" t="s">
        <v>68</v>
      </c>
      <c r="L7" s="127" t="s">
        <v>95</v>
      </c>
      <c r="M7" s="127" t="s">
        <v>64</v>
      </c>
      <c r="N7" s="128" t="str">
        <f t="shared" si="1"/>
        <v>USDAM3L15M</v>
      </c>
      <c r="O7" s="128" t="str">
        <v>USDAM3L15M=PYNY</v>
      </c>
      <c r="P7" s="370" t="s">
        <v>213</v>
      </c>
      <c r="Q7" s="370" t="s">
        <v>213</v>
      </c>
      <c r="R7" s="35" t="e">
        <f t="shared" si="5"/>
        <v>#NUM!</v>
      </c>
      <c r="S7" s="63">
        <v>1.25</v>
      </c>
      <c r="T7" s="416" t="b">
        <f t="shared" si="6"/>
        <v>0</v>
      </c>
      <c r="U7" s="377">
        <f>_xll.qlInterpolationInterpolate($S$3,S7,TRUE,Trigger)</f>
        <v>0.70399999999999996</v>
      </c>
      <c r="V7" s="35" t="e">
        <f t="shared" si="7"/>
        <v>#VALUE!</v>
      </c>
      <c r="W7" s="139"/>
      <c r="X7" s="141">
        <v>0.70150000000000001</v>
      </c>
      <c r="Y7" s="139"/>
      <c r="Z7" s="35">
        <v>0.70399999999999996</v>
      </c>
      <c r="AA7" s="132">
        <f>_xll.qlSimpleQuoteSetValue(F7,Z7/100,Trigger)</f>
        <v>0</v>
      </c>
      <c r="AB7" s="27"/>
      <c r="AE7" s="170"/>
    </row>
    <row r="8" spans="1:31" x14ac:dyDescent="0.2">
      <c r="A8" s="26"/>
      <c r="B8" s="171" t="str">
        <f t="shared" si="2"/>
        <v>18M</v>
      </c>
      <c r="C8" s="172" t="str">
        <f t="shared" si="3"/>
        <v>AM</v>
      </c>
      <c r="D8" s="172" t="str">
        <f t="shared" si="4"/>
        <v>3L</v>
      </c>
      <c r="E8" s="174" t="str">
        <f t="shared" si="0"/>
        <v>USDAM3L18M_LCHQuote</v>
      </c>
      <c r="F8" s="174" t="str">
        <f>_xll.qlSimpleQuote(Currency&amp;$C8&amp;$D8&amp;$B8&amp;QuoteSuffix,,RateTickValue,Permanent,Trigger,ObjectOverwrite)</f>
        <v>USDAM3L18M_LCHQuote#0002</v>
      </c>
      <c r="G8" s="175" t="str">
        <f>_xll.ohRangeRetrieveError(F8)</f>
        <v/>
      </c>
      <c r="H8" s="115"/>
      <c r="J8" s="26"/>
      <c r="K8" s="127" t="s">
        <v>67</v>
      </c>
      <c r="L8" s="127" t="s">
        <v>95</v>
      </c>
      <c r="M8" s="127" t="s">
        <v>64</v>
      </c>
      <c r="N8" s="128" t="str">
        <f t="shared" si="1"/>
        <v>USDAM3L18M</v>
      </c>
      <c r="O8" s="128" t="str">
        <v>USDAM3L18M=PYNY</v>
      </c>
      <c r="P8" s="370">
        <v>0.77400000000000002</v>
      </c>
      <c r="Q8" s="370">
        <v>0.79400000000000004</v>
      </c>
      <c r="R8" s="35">
        <f t="shared" si="5"/>
        <v>0.78400000000000003</v>
      </c>
      <c r="S8" s="63">
        <v>1.5</v>
      </c>
      <c r="T8" s="416" t="b">
        <f t="shared" si="6"/>
        <v>1</v>
      </c>
      <c r="U8" s="377">
        <f>_xll.qlInterpolationInterpolate($S$3,S8,TRUE,Trigger)</f>
        <v>0.78400000000000003</v>
      </c>
      <c r="V8" s="35">
        <f t="shared" si="7"/>
        <v>2.0000000000000018E-2</v>
      </c>
      <c r="W8" s="139"/>
      <c r="X8" s="141">
        <v>0.78100000000000003</v>
      </c>
      <c r="Y8" s="139"/>
      <c r="Z8" s="35">
        <v>0.78400000000000003</v>
      </c>
      <c r="AA8" s="132">
        <f>_xll.qlSimpleQuoteSetValue(F8,Z8/100,Trigger)</f>
        <v>0</v>
      </c>
      <c r="AB8" s="27"/>
      <c r="AE8" s="170"/>
    </row>
    <row r="9" spans="1:31" x14ac:dyDescent="0.2">
      <c r="A9" s="26"/>
      <c r="B9" s="171" t="str">
        <f t="shared" si="2"/>
        <v>21M</v>
      </c>
      <c r="C9" s="172" t="str">
        <f t="shared" si="3"/>
        <v>AM</v>
      </c>
      <c r="D9" s="172" t="str">
        <f t="shared" si="4"/>
        <v>3L</v>
      </c>
      <c r="E9" s="174" t="str">
        <f t="shared" si="0"/>
        <v>USDAM3L21M_LCHQuote</v>
      </c>
      <c r="F9" s="174" t="str">
        <f>_xll.qlSimpleQuote(Currency&amp;$C9&amp;$D9&amp;$B9&amp;QuoteSuffix,,RateTickValue,Permanent,Trigger,ObjectOverwrite)</f>
        <v>USDAM3L21M_LCHQuote#0002</v>
      </c>
      <c r="G9" s="175" t="str">
        <f>_xll.ohRangeRetrieveError(F9)</f>
        <v/>
      </c>
      <c r="H9" s="115"/>
      <c r="J9" s="26"/>
      <c r="K9" s="127" t="s">
        <v>66</v>
      </c>
      <c r="L9" s="127" t="s">
        <v>95</v>
      </c>
      <c r="M9" s="127" t="s">
        <v>64</v>
      </c>
      <c r="N9" s="128" t="str">
        <f t="shared" si="1"/>
        <v>USDAM3L21M</v>
      </c>
      <c r="O9" s="128" t="str">
        <v>USDAM3L21M=PYNY</v>
      </c>
      <c r="P9" s="370">
        <v>0.85299999999999998</v>
      </c>
      <c r="Q9" s="370">
        <v>0.873</v>
      </c>
      <c r="R9" s="35">
        <f t="shared" si="5"/>
        <v>0.86299999999999999</v>
      </c>
      <c r="S9" s="63">
        <v>1.75</v>
      </c>
      <c r="T9" s="416" t="b">
        <f t="shared" si="6"/>
        <v>1</v>
      </c>
      <c r="U9" s="377">
        <f>_xll.qlInterpolationInterpolate($S$3,S9,TRUE,Trigger)</f>
        <v>0.86299999999999999</v>
      </c>
      <c r="V9" s="35">
        <f t="shared" si="7"/>
        <v>2.0000000000000018E-2</v>
      </c>
      <c r="W9" s="139"/>
      <c r="X9" s="141">
        <v>0.85999999999999988</v>
      </c>
      <c r="Y9" s="139"/>
      <c r="Z9" s="35">
        <v>0.86299999999999999</v>
      </c>
      <c r="AA9" s="132">
        <f>_xll.qlSimpleQuoteSetValue(F9,Z9/100,Trigger)</f>
        <v>0</v>
      </c>
      <c r="AB9" s="27"/>
      <c r="AE9" s="170"/>
    </row>
    <row r="10" spans="1:31" x14ac:dyDescent="0.2">
      <c r="A10" s="26"/>
      <c r="B10" s="171" t="str">
        <f t="shared" si="2"/>
        <v>2Y</v>
      </c>
      <c r="C10" s="172" t="str">
        <f t="shared" si="3"/>
        <v>AM</v>
      </c>
      <c r="D10" s="172" t="str">
        <f t="shared" si="4"/>
        <v>3L</v>
      </c>
      <c r="E10" s="174" t="str">
        <f t="shared" si="0"/>
        <v>USDAM3L2Y_LCHQuote</v>
      </c>
      <c r="F10" s="174" t="str">
        <f>_xll.qlSimpleQuote(Currency&amp;$C10&amp;$D10&amp;$B10&amp;QuoteSuffix,,RateTickValue,Permanent,Trigger,ObjectOverwrite)</f>
        <v>USDAM3L2Y_LCHQuote#0002</v>
      </c>
      <c r="G10" s="175" t="str">
        <f>_xll.ohRangeRetrieveError(F10)</f>
        <v/>
      </c>
      <c r="H10" s="115"/>
      <c r="J10" s="26"/>
      <c r="K10" s="127" t="s">
        <v>56</v>
      </c>
      <c r="L10" s="127" t="s">
        <v>95</v>
      </c>
      <c r="M10" s="127" t="s">
        <v>64</v>
      </c>
      <c r="N10" s="128" t="str">
        <f t="shared" si="1"/>
        <v>USDAM3L2Y</v>
      </c>
      <c r="O10" s="128" t="str">
        <v>USDAM3L2Y=PYNY</v>
      </c>
      <c r="P10" s="370">
        <v>0.93530000000000002</v>
      </c>
      <c r="Q10" s="370">
        <v>0.94169999999999998</v>
      </c>
      <c r="R10" s="35">
        <f t="shared" si="5"/>
        <v>0.9385</v>
      </c>
      <c r="S10" s="63">
        <v>2</v>
      </c>
      <c r="T10" s="416" t="b">
        <f t="shared" si="6"/>
        <v>1</v>
      </c>
      <c r="U10" s="377">
        <f>_xll.qlInterpolationInterpolate($S$3,S10,TRUE,Trigger)</f>
        <v>0.9385</v>
      </c>
      <c r="V10" s="35">
        <f t="shared" si="7"/>
        <v>6.3999999999999613E-3</v>
      </c>
      <c r="W10" s="139"/>
      <c r="X10" s="141">
        <v>0.93694999999999995</v>
      </c>
      <c r="Y10" s="139"/>
      <c r="Z10" s="35">
        <v>0.9385</v>
      </c>
      <c r="AA10" s="132">
        <f>_xll.qlSimpleQuoteSetValue(F10,Z10/100,Trigger)</f>
        <v>0</v>
      </c>
      <c r="AB10" s="27"/>
      <c r="AE10" s="170"/>
    </row>
    <row r="11" spans="1:31" x14ac:dyDescent="0.2">
      <c r="A11" s="26"/>
      <c r="B11" s="171" t="str">
        <f t="shared" si="2"/>
        <v>3Y</v>
      </c>
      <c r="C11" s="172" t="str">
        <f t="shared" si="3"/>
        <v>AM</v>
      </c>
      <c r="D11" s="172" t="str">
        <f t="shared" si="4"/>
        <v>3L</v>
      </c>
      <c r="E11" s="174" t="str">
        <f t="shared" si="0"/>
        <v>USDAM3L3Y_LCHQuote</v>
      </c>
      <c r="F11" s="174" t="str">
        <f>_xll.qlSimpleQuote(Currency&amp;$C11&amp;$D11&amp;$B11&amp;QuoteSuffix,,RateTickValue,Permanent,Trigger,ObjectOverwrite)</f>
        <v>USDAM3L3Y_LCHQuote#0002</v>
      </c>
      <c r="G11" s="175" t="str">
        <f>_xll.ohRangeRetrieveError(F11)</f>
        <v/>
      </c>
      <c r="H11" s="115"/>
      <c r="J11" s="26"/>
      <c r="K11" s="127" t="s">
        <v>55</v>
      </c>
      <c r="L11" s="201" t="s">
        <v>95</v>
      </c>
      <c r="M11" s="201" t="s">
        <v>64</v>
      </c>
      <c r="N11" s="128" t="str">
        <f t="shared" si="1"/>
        <v>USDAM3L3Y</v>
      </c>
      <c r="O11" s="128" t="str">
        <v>USDAM3L3Y=PYNY</v>
      </c>
      <c r="P11" s="370">
        <v>1.2101</v>
      </c>
      <c r="Q11" s="370">
        <v>1.2176</v>
      </c>
      <c r="R11" s="35">
        <f t="shared" si="5"/>
        <v>1.2138499999999999</v>
      </c>
      <c r="S11" s="63">
        <v>3</v>
      </c>
      <c r="T11" s="416" t="b">
        <f t="shared" si="6"/>
        <v>1</v>
      </c>
      <c r="U11" s="377">
        <f>_xll.qlInterpolationInterpolate($S$3,S11,TRUE,Trigger)</f>
        <v>1.2138499999999999</v>
      </c>
      <c r="V11" s="35">
        <f t="shared" si="7"/>
        <v>7.5000000000000622E-3</v>
      </c>
      <c r="W11" s="139"/>
      <c r="X11" s="141">
        <v>1.2110500000000002</v>
      </c>
      <c r="Y11" s="139"/>
      <c r="Z11" s="35">
        <v>1.2138499999999999</v>
      </c>
      <c r="AA11" s="132">
        <f>_xll.qlSimpleQuoteSetValue(F11,Z11/100,Trigger)</f>
        <v>0</v>
      </c>
      <c r="AB11" s="27"/>
      <c r="AE11" s="170"/>
    </row>
    <row r="12" spans="1:31" x14ac:dyDescent="0.2">
      <c r="A12" s="26"/>
      <c r="B12" s="171" t="str">
        <f t="shared" si="2"/>
        <v>4Y</v>
      </c>
      <c r="C12" s="172" t="str">
        <f t="shared" si="3"/>
        <v>AM</v>
      </c>
      <c r="D12" s="172" t="str">
        <f t="shared" si="4"/>
        <v>3L</v>
      </c>
      <c r="E12" s="174" t="str">
        <f t="shared" si="0"/>
        <v>USDAM3L4Y_LCHQuote</v>
      </c>
      <c r="F12" s="174" t="str">
        <f>_xll.qlSimpleQuote(Currency&amp;$C12&amp;$D12&amp;$B12&amp;QuoteSuffix,,RateTickValue,Permanent,Trigger,ObjectOverwrite)</f>
        <v>USDAM3L4Y_LCHQuote#0002</v>
      </c>
      <c r="G12" s="175" t="str">
        <f>_xll.ohRangeRetrieveError(F12)</f>
        <v/>
      </c>
      <c r="H12" s="115"/>
      <c r="J12" s="26"/>
      <c r="K12" s="127" t="s">
        <v>54</v>
      </c>
      <c r="L12" s="201" t="s">
        <v>95</v>
      </c>
      <c r="M12" s="201" t="s">
        <v>64</v>
      </c>
      <c r="N12" s="128" t="str">
        <f t="shared" si="1"/>
        <v>USDAM3L4Y</v>
      </c>
      <c r="O12" s="128" t="str">
        <v>USDAM3L4Y=PYNY</v>
      </c>
      <c r="P12" s="370">
        <v>1.4243999999999999</v>
      </c>
      <c r="Q12" s="370">
        <v>1.4314</v>
      </c>
      <c r="R12" s="35">
        <f t="shared" si="5"/>
        <v>1.4278999999999999</v>
      </c>
      <c r="S12" s="63">
        <v>4</v>
      </c>
      <c r="T12" s="416" t="b">
        <f t="shared" si="6"/>
        <v>1</v>
      </c>
      <c r="U12" s="377">
        <f>_xll.qlInterpolationInterpolate($S$3,S12,TRUE,Trigger)</f>
        <v>1.4278999999999999</v>
      </c>
      <c r="V12" s="35">
        <f t="shared" si="7"/>
        <v>7.0000000000001172E-3</v>
      </c>
      <c r="W12" s="139"/>
      <c r="X12" s="141">
        <v>1.4247999999999998</v>
      </c>
      <c r="Y12" s="139"/>
      <c r="Z12" s="35">
        <v>1.4278999999999999</v>
      </c>
      <c r="AA12" s="132">
        <f>_xll.qlSimpleQuoteSetValue(F12,Z12/100,Trigger)</f>
        <v>0</v>
      </c>
      <c r="AB12" s="27"/>
      <c r="AE12" s="170"/>
    </row>
    <row r="13" spans="1:31" x14ac:dyDescent="0.2">
      <c r="A13" s="26"/>
      <c r="B13" s="171" t="str">
        <f t="shared" si="2"/>
        <v>5Y</v>
      </c>
      <c r="C13" s="172" t="str">
        <f t="shared" si="3"/>
        <v>AM</v>
      </c>
      <c r="D13" s="172" t="str">
        <f t="shared" si="4"/>
        <v>3L</v>
      </c>
      <c r="E13" s="174" t="str">
        <f t="shared" si="0"/>
        <v>USDAM3L5Y_LCHQuote</v>
      </c>
      <c r="F13" s="174" t="str">
        <f>_xll.qlSimpleQuote(Currency&amp;$C13&amp;$D13&amp;$B13&amp;QuoteSuffix,,RateTickValue,Permanent,Trigger,ObjectOverwrite)</f>
        <v>USDAM3L5Y_LCHQuote#0002</v>
      </c>
      <c r="G13" s="175" t="str">
        <f>_xll.ohRangeRetrieveError(F13)</f>
        <v/>
      </c>
      <c r="H13" s="115"/>
      <c r="J13" s="26"/>
      <c r="K13" s="127" t="s">
        <v>53</v>
      </c>
      <c r="L13" s="201" t="s">
        <v>95</v>
      </c>
      <c r="M13" s="201" t="s">
        <v>64</v>
      </c>
      <c r="N13" s="128" t="str">
        <f t="shared" si="1"/>
        <v>USDAM3L5Y</v>
      </c>
      <c r="O13" s="128" t="str">
        <v>USDAM3L5Y=PYNY</v>
      </c>
      <c r="P13" s="370">
        <v>1.5989</v>
      </c>
      <c r="Q13" s="370">
        <v>1.603</v>
      </c>
      <c r="R13" s="35">
        <f t="shared" si="5"/>
        <v>1.6009500000000001</v>
      </c>
      <c r="S13" s="63">
        <v>5</v>
      </c>
      <c r="T13" s="416" t="b">
        <f t="shared" si="6"/>
        <v>1</v>
      </c>
      <c r="U13" s="377">
        <f>_xll.qlInterpolationInterpolate($S$3,S13,TRUE,Trigger)</f>
        <v>1.6009500000000001</v>
      </c>
      <c r="V13" s="35">
        <f t="shared" si="7"/>
        <v>4.0999999999999925E-3</v>
      </c>
      <c r="W13" s="139"/>
      <c r="X13" s="141">
        <v>1.59765</v>
      </c>
      <c r="Y13" s="139"/>
      <c r="Z13" s="35">
        <v>1.6009500000000001</v>
      </c>
      <c r="AA13" s="132">
        <f>_xll.qlSimpleQuoteSetValue(F13,Z13/100,Trigger)</f>
        <v>0</v>
      </c>
      <c r="AB13" s="27"/>
      <c r="AE13" s="170"/>
    </row>
    <row r="14" spans="1:31" x14ac:dyDescent="0.2">
      <c r="A14" s="26"/>
      <c r="B14" s="171" t="str">
        <f t="shared" si="2"/>
        <v>6Y</v>
      </c>
      <c r="C14" s="172" t="str">
        <f t="shared" si="3"/>
        <v>AM</v>
      </c>
      <c r="D14" s="172" t="str">
        <f t="shared" si="4"/>
        <v>3L</v>
      </c>
      <c r="E14" s="174" t="str">
        <f t="shared" si="0"/>
        <v>USDAM3L6Y_LCHQuote</v>
      </c>
      <c r="F14" s="174" t="str">
        <f>_xll.qlSimpleQuote(Currency&amp;$C14&amp;$D14&amp;$B14&amp;QuoteSuffix,,RateTickValue,Permanent,Trigger,ObjectOverwrite)</f>
        <v>USDAM3L6Y_LCHQuote#0002</v>
      </c>
      <c r="G14" s="175" t="str">
        <f>_xll.ohRangeRetrieveError(F14)</f>
        <v/>
      </c>
      <c r="H14" s="115"/>
      <c r="J14" s="26"/>
      <c r="K14" s="127" t="s">
        <v>52</v>
      </c>
      <c r="L14" s="201" t="s">
        <v>95</v>
      </c>
      <c r="M14" s="201" t="s">
        <v>64</v>
      </c>
      <c r="N14" s="128" t="str">
        <f t="shared" si="1"/>
        <v>USDAM3L6Y</v>
      </c>
      <c r="O14" s="128" t="str">
        <v>USDAM3L6Y=PYNY</v>
      </c>
      <c r="P14" s="370">
        <v>1.7495000000000001</v>
      </c>
      <c r="Q14" s="370">
        <v>1.7564</v>
      </c>
      <c r="R14" s="35">
        <f t="shared" si="5"/>
        <v>1.75295</v>
      </c>
      <c r="S14" s="63">
        <v>6</v>
      </c>
      <c r="T14" s="416" t="b">
        <f t="shared" si="6"/>
        <v>1</v>
      </c>
      <c r="U14" s="377">
        <f>_xll.qlInterpolationInterpolate($S$3,S14,TRUE,Trigger)</f>
        <v>1.75295</v>
      </c>
      <c r="V14" s="35">
        <f t="shared" si="7"/>
        <v>6.8999999999999062E-3</v>
      </c>
      <c r="W14" s="139"/>
      <c r="X14" s="141">
        <v>1.7501</v>
      </c>
      <c r="Y14" s="139"/>
      <c r="Z14" s="35">
        <v>1.75295</v>
      </c>
      <c r="AA14" s="132">
        <f>_xll.qlSimpleQuoteSetValue(F14,Z14/100,Trigger)</f>
        <v>0</v>
      </c>
      <c r="AB14" s="27"/>
      <c r="AE14" s="170"/>
    </row>
    <row r="15" spans="1:31" x14ac:dyDescent="0.2">
      <c r="A15" s="26"/>
      <c r="B15" s="171" t="str">
        <f t="shared" si="2"/>
        <v>7Y</v>
      </c>
      <c r="C15" s="172" t="str">
        <f t="shared" si="3"/>
        <v>AM</v>
      </c>
      <c r="D15" s="172" t="str">
        <f t="shared" si="4"/>
        <v>3L</v>
      </c>
      <c r="E15" s="174" t="str">
        <f t="shared" si="0"/>
        <v>USDAM3L7Y_LCHQuote</v>
      </c>
      <c r="F15" s="174" t="str">
        <f>_xll.qlSimpleQuote(Currency&amp;$C15&amp;$D15&amp;$B15&amp;QuoteSuffix,,RateTickValue,Permanent,Trigger,ObjectOverwrite)</f>
        <v>USDAM3L7Y_LCHQuote#0002</v>
      </c>
      <c r="G15" s="175" t="str">
        <f>_xll.ohRangeRetrieveError(F15)</f>
        <v/>
      </c>
      <c r="H15" s="115"/>
      <c r="J15" s="26"/>
      <c r="K15" s="127" t="s">
        <v>51</v>
      </c>
      <c r="L15" s="201" t="s">
        <v>95</v>
      </c>
      <c r="M15" s="201" t="s">
        <v>64</v>
      </c>
      <c r="N15" s="128" t="str">
        <f t="shared" si="1"/>
        <v>USDAM3L7Y</v>
      </c>
      <c r="O15" s="128" t="str">
        <v>USDAM3L7Y=PYNY</v>
      </c>
      <c r="P15" s="370">
        <v>1.8752</v>
      </c>
      <c r="Q15" s="370">
        <v>1.8826000000000001</v>
      </c>
      <c r="R15" s="35">
        <f t="shared" si="5"/>
        <v>1.8789</v>
      </c>
      <c r="S15" s="63">
        <v>7</v>
      </c>
      <c r="T15" s="416" t="b">
        <f t="shared" si="6"/>
        <v>1</v>
      </c>
      <c r="U15" s="377">
        <f>_xll.qlInterpolationInterpolate($S$3,S15,TRUE,Trigger)</f>
        <v>1.8789</v>
      </c>
      <c r="V15" s="35">
        <f t="shared" si="7"/>
        <v>7.4000000000000732E-3</v>
      </c>
      <c r="W15" s="139"/>
      <c r="X15" s="141">
        <v>1.8765000000000001</v>
      </c>
      <c r="Y15" s="139"/>
      <c r="Z15" s="35">
        <v>1.8789</v>
      </c>
      <c r="AA15" s="132">
        <f>_xll.qlSimpleQuoteSetValue(F15,Z15/100,Trigger)</f>
        <v>0</v>
      </c>
      <c r="AB15" s="27"/>
      <c r="AE15" s="170"/>
    </row>
    <row r="16" spans="1:31" x14ac:dyDescent="0.2">
      <c r="A16" s="26"/>
      <c r="B16" s="171" t="str">
        <f t="shared" si="2"/>
        <v>8Y</v>
      </c>
      <c r="C16" s="172" t="str">
        <f t="shared" si="3"/>
        <v>AM</v>
      </c>
      <c r="D16" s="172" t="str">
        <f t="shared" si="4"/>
        <v>3L</v>
      </c>
      <c r="E16" s="174" t="str">
        <f t="shared" si="0"/>
        <v>USDAM3L8Y_LCHQuote</v>
      </c>
      <c r="F16" s="174" t="str">
        <f>_xll.qlSimpleQuote(Currency&amp;$C16&amp;$D16&amp;$B16&amp;QuoteSuffix,,RateTickValue,Permanent,Trigger,ObjectOverwrite)</f>
        <v>USDAM3L8Y_LCHQuote#0002</v>
      </c>
      <c r="G16" s="175" t="str">
        <f>_xll.ohRangeRetrieveError(F16)</f>
        <v/>
      </c>
      <c r="H16" s="115"/>
      <c r="J16" s="26"/>
      <c r="K16" s="127" t="s">
        <v>50</v>
      </c>
      <c r="L16" s="201" t="s">
        <v>95</v>
      </c>
      <c r="M16" s="201" t="s">
        <v>64</v>
      </c>
      <c r="N16" s="128" t="str">
        <f t="shared" si="1"/>
        <v>USDAM3L8Y</v>
      </c>
      <c r="O16" s="128" t="str">
        <v>USDAM3L8Y=PYNY</v>
      </c>
      <c r="P16" s="370">
        <v>1.9838</v>
      </c>
      <c r="Q16" s="370">
        <v>1.9884999999999999</v>
      </c>
      <c r="R16" s="35">
        <f t="shared" si="5"/>
        <v>1.9861499999999999</v>
      </c>
      <c r="S16" s="63">
        <v>8</v>
      </c>
      <c r="T16" s="416" t="b">
        <f t="shared" si="6"/>
        <v>1</v>
      </c>
      <c r="U16" s="377">
        <f>_xll.qlInterpolationInterpolate($S$3,S16,TRUE,Trigger)</f>
        <v>1.9861499999999999</v>
      </c>
      <c r="V16" s="35">
        <f t="shared" si="7"/>
        <v>4.6999999999999265E-3</v>
      </c>
      <c r="W16" s="139"/>
      <c r="X16" s="141">
        <v>1.9833500000000002</v>
      </c>
      <c r="Y16" s="139"/>
      <c r="Z16" s="35">
        <v>1.9861499999999999</v>
      </c>
      <c r="AA16" s="132">
        <f>_xll.qlSimpleQuoteSetValue(F16,Z16/100,Trigger)</f>
        <v>0</v>
      </c>
      <c r="AB16" s="27"/>
      <c r="AE16" s="170"/>
    </row>
    <row r="17" spans="1:31" x14ac:dyDescent="0.2">
      <c r="A17" s="26"/>
      <c r="B17" s="171" t="str">
        <f t="shared" si="2"/>
        <v>9Y</v>
      </c>
      <c r="C17" s="172" t="str">
        <f t="shared" si="3"/>
        <v>AM</v>
      </c>
      <c r="D17" s="172" t="str">
        <f t="shared" si="4"/>
        <v>3L</v>
      </c>
      <c r="E17" s="174" t="str">
        <f t="shared" si="0"/>
        <v>USDAM3L9Y_LCHQuote</v>
      </c>
      <c r="F17" s="174" t="str">
        <f>_xll.qlSimpleQuote(Currency&amp;$C17&amp;$D17&amp;$B17&amp;QuoteSuffix,,RateTickValue,Permanent,Trigger,ObjectOverwrite)</f>
        <v>USDAM3L9Y_LCHQuote#0002</v>
      </c>
      <c r="G17" s="175" t="str">
        <f>_xll.ohRangeRetrieveError(F17)</f>
        <v/>
      </c>
      <c r="H17" s="115"/>
      <c r="J17" s="26"/>
      <c r="K17" s="127" t="s">
        <v>49</v>
      </c>
      <c r="L17" s="201" t="s">
        <v>95</v>
      </c>
      <c r="M17" s="201" t="s">
        <v>64</v>
      </c>
      <c r="N17" s="128" t="str">
        <f t="shared" si="1"/>
        <v>USDAM3L9Y</v>
      </c>
      <c r="O17" s="128" t="str">
        <v>USDAM3L9Y=PYNY</v>
      </c>
      <c r="P17" s="370">
        <v>2.0674000000000001</v>
      </c>
      <c r="Q17" s="370">
        <v>2.0743</v>
      </c>
      <c r="R17" s="35">
        <f t="shared" si="5"/>
        <v>2.0708500000000001</v>
      </c>
      <c r="S17" s="63">
        <v>9</v>
      </c>
      <c r="T17" s="416" t="b">
        <f t="shared" si="6"/>
        <v>1</v>
      </c>
      <c r="U17" s="377">
        <f>_xll.qlInterpolationInterpolate($S$3,S17,TRUE,Trigger)</f>
        <v>2.0708500000000001</v>
      </c>
      <c r="V17" s="35">
        <f t="shared" si="7"/>
        <v>6.8999999999999062E-3</v>
      </c>
      <c r="W17" s="139"/>
      <c r="X17" s="141">
        <v>2.0677000000000003</v>
      </c>
      <c r="Y17" s="139"/>
      <c r="Z17" s="35">
        <v>2.0708500000000001</v>
      </c>
      <c r="AA17" s="132">
        <f>_xll.qlSimpleQuoteSetValue(F17,Z17/100,Trigger)</f>
        <v>0</v>
      </c>
      <c r="AB17" s="27"/>
      <c r="AE17" s="170"/>
    </row>
    <row r="18" spans="1:31" x14ac:dyDescent="0.2">
      <c r="A18" s="26"/>
      <c r="B18" s="171" t="str">
        <f t="shared" si="2"/>
        <v>10Y</v>
      </c>
      <c r="C18" s="172" t="str">
        <f t="shared" si="3"/>
        <v>AM</v>
      </c>
      <c r="D18" s="172" t="str">
        <f t="shared" si="4"/>
        <v>3L</v>
      </c>
      <c r="E18" s="174" t="str">
        <f t="shared" si="0"/>
        <v>USDAM3L10Y_LCHQuote</v>
      </c>
      <c r="F18" s="174" t="str">
        <f>_xll.qlSimpleQuote(Currency&amp;$C18&amp;$D18&amp;$B18&amp;QuoteSuffix,,RateTickValue,Permanent,Trigger,ObjectOverwrite)</f>
        <v>USDAM3L10Y_LCHQuote#0002</v>
      </c>
      <c r="G18" s="175" t="str">
        <f>_xll.ohRangeRetrieveError(F18)</f>
        <v/>
      </c>
      <c r="H18" s="115"/>
      <c r="J18" s="26"/>
      <c r="K18" s="127" t="s">
        <v>48</v>
      </c>
      <c r="L18" s="201" t="s">
        <v>95</v>
      </c>
      <c r="M18" s="201" t="s">
        <v>64</v>
      </c>
      <c r="N18" s="128" t="str">
        <f t="shared" si="1"/>
        <v>USDAM3L10Y</v>
      </c>
      <c r="O18" s="128" t="str">
        <v>USDAM3L10Y=PYNY</v>
      </c>
      <c r="P18" s="370">
        <v>2.1435</v>
      </c>
      <c r="Q18" s="370">
        <v>2.1501999999999999</v>
      </c>
      <c r="R18" s="35">
        <f t="shared" si="5"/>
        <v>2.1468499999999997</v>
      </c>
      <c r="S18" s="63">
        <v>10</v>
      </c>
      <c r="T18" s="416" t="b">
        <f t="shared" si="6"/>
        <v>1</v>
      </c>
      <c r="U18" s="377">
        <f>_xll.qlInterpolationInterpolate($S$3,S18,TRUE,Trigger)</f>
        <v>2.1468499999999997</v>
      </c>
      <c r="V18" s="35">
        <f t="shared" si="7"/>
        <v>6.6999999999999282E-3</v>
      </c>
      <c r="W18" s="139"/>
      <c r="X18" s="141">
        <v>2.1433499999999999</v>
      </c>
      <c r="Y18" s="139"/>
      <c r="Z18" s="35">
        <v>2.1468499999999997</v>
      </c>
      <c r="AA18" s="132">
        <f>_xll.qlSimpleQuoteSetValue(F18,Z18/100,Trigger)</f>
        <v>0</v>
      </c>
      <c r="AB18" s="27"/>
      <c r="AE18" s="170"/>
    </row>
    <row r="19" spans="1:31" x14ac:dyDescent="0.2">
      <c r="A19" s="26"/>
      <c r="B19" s="171" t="str">
        <f t="shared" si="2"/>
        <v>11Y</v>
      </c>
      <c r="C19" s="172" t="str">
        <f t="shared" si="3"/>
        <v>AM</v>
      </c>
      <c r="D19" s="172" t="str">
        <f t="shared" si="4"/>
        <v>3L</v>
      </c>
      <c r="E19" s="174" t="str">
        <f t="shared" si="0"/>
        <v>USDAM3L11Y_LCHQuote</v>
      </c>
      <c r="F19" s="174" t="str">
        <f>_xll.qlSimpleQuote(Currency&amp;$C19&amp;$D19&amp;$B19&amp;QuoteSuffix,,RateTickValue,Permanent,Trigger,ObjectOverwrite)</f>
        <v>USDAM3L11Y_LCHQuote#0002</v>
      </c>
      <c r="G19" s="175" t="str">
        <f>_xll.ohRangeRetrieveError(F19)</f>
        <v/>
      </c>
      <c r="H19" s="115"/>
      <c r="J19" s="26"/>
      <c r="K19" s="127" t="s">
        <v>47</v>
      </c>
      <c r="L19" s="201" t="s">
        <v>95</v>
      </c>
      <c r="M19" s="201" t="s">
        <v>64</v>
      </c>
      <c r="N19" s="128" t="str">
        <f t="shared" si="1"/>
        <v>USDAM3L11Y</v>
      </c>
      <c r="O19" s="128" t="str">
        <v>USDAM3L11Y=PYNY</v>
      </c>
      <c r="P19" s="370">
        <v>2.2107999999999999</v>
      </c>
      <c r="Q19" s="370">
        <v>2.2149999999999999</v>
      </c>
      <c r="R19" s="35">
        <f t="shared" si="5"/>
        <v>2.2128999999999999</v>
      </c>
      <c r="S19" s="63">
        <v>11</v>
      </c>
      <c r="T19" s="416" t="b">
        <f t="shared" si="6"/>
        <v>1</v>
      </c>
      <c r="U19" s="377">
        <f>_xll.qlInterpolationInterpolate($S$3,S19,TRUE,Trigger)</f>
        <v>2.2128999999999999</v>
      </c>
      <c r="V19" s="35">
        <f t="shared" si="7"/>
        <v>4.1999999999999815E-3</v>
      </c>
      <c r="W19" s="139"/>
      <c r="X19" s="141">
        <v>2.2069000000000001</v>
      </c>
      <c r="Y19" s="139"/>
      <c r="Z19" s="35">
        <v>2.2128999999999999</v>
      </c>
      <c r="AA19" s="132">
        <f>_xll.qlSimpleQuoteSetValue(F19,Z19/100,Trigger)</f>
        <v>0</v>
      </c>
      <c r="AB19" s="27"/>
      <c r="AE19" s="170"/>
    </row>
    <row r="20" spans="1:31" x14ac:dyDescent="0.2">
      <c r="A20" s="26"/>
      <c r="B20" s="171" t="str">
        <f t="shared" si="2"/>
        <v>12Y</v>
      </c>
      <c r="C20" s="172" t="str">
        <f t="shared" si="3"/>
        <v>AM</v>
      </c>
      <c r="D20" s="172" t="str">
        <f t="shared" si="4"/>
        <v>3L</v>
      </c>
      <c r="E20" s="174" t="str">
        <f t="shared" si="0"/>
        <v>USDAM3L12Y_LCHQuote</v>
      </c>
      <c r="F20" s="174" t="str">
        <f>_xll.qlSimpleQuote(Currency&amp;$C20&amp;$D20&amp;$B20&amp;QuoteSuffix,,RateTickValue,Permanent,Trigger,ObjectOverwrite)</f>
        <v>USDAM3L12Y_LCHQuote#0002</v>
      </c>
      <c r="G20" s="175" t="str">
        <f>_xll.ohRangeRetrieveError(F20)</f>
        <v/>
      </c>
      <c r="H20" s="115"/>
      <c r="J20" s="26"/>
      <c r="K20" s="127" t="s">
        <v>46</v>
      </c>
      <c r="L20" s="201" t="s">
        <v>95</v>
      </c>
      <c r="M20" s="201" t="s">
        <v>64</v>
      </c>
      <c r="N20" s="128" t="str">
        <f t="shared" si="1"/>
        <v>USDAM3L12Y</v>
      </c>
      <c r="O20" s="128" t="str">
        <v>USDAM3L12Y=PYNY</v>
      </c>
      <c r="P20" s="370">
        <v>2.2656999999999998</v>
      </c>
      <c r="Q20" s="370">
        <v>2.2724000000000002</v>
      </c>
      <c r="R20" s="35">
        <f t="shared" si="5"/>
        <v>2.26905</v>
      </c>
      <c r="S20" s="63">
        <v>12</v>
      </c>
      <c r="T20" s="416" t="b">
        <f t="shared" si="6"/>
        <v>1</v>
      </c>
      <c r="U20" s="377">
        <f>_xll.qlInterpolationInterpolate($S$3,S20,TRUE,Trigger)</f>
        <v>2.26905</v>
      </c>
      <c r="V20" s="35">
        <f t="shared" si="7"/>
        <v>6.7000000000003723E-3</v>
      </c>
      <c r="W20" s="139"/>
      <c r="X20" s="141">
        <v>2.2643</v>
      </c>
      <c r="Y20" s="139"/>
      <c r="Z20" s="35">
        <v>2.26905</v>
      </c>
      <c r="AA20" s="132">
        <f>_xll.qlSimpleQuoteSetValue(F20,Z20/100,Trigger)</f>
        <v>0</v>
      </c>
      <c r="AB20" s="27"/>
      <c r="AE20" s="170"/>
    </row>
    <row r="21" spans="1:31" x14ac:dyDescent="0.2">
      <c r="A21" s="26"/>
      <c r="B21" s="171" t="str">
        <f t="shared" si="2"/>
        <v>13Y</v>
      </c>
      <c r="C21" s="172" t="str">
        <f t="shared" si="3"/>
        <v>AM</v>
      </c>
      <c r="D21" s="172" t="str">
        <f t="shared" si="4"/>
        <v>3L</v>
      </c>
      <c r="E21" s="174" t="str">
        <f t="shared" si="0"/>
        <v>USDAM3L13Y_LCHQuote</v>
      </c>
      <c r="F21" s="174" t="str">
        <f>_xll.qlSimpleQuote(Currency&amp;$C21&amp;$D21&amp;$B21&amp;QuoteSuffix,,RateTickValue,Permanent,Trigger,ObjectOverwrite)</f>
        <v>USDAM3L13Y_LCHQuote#0002</v>
      </c>
      <c r="G21" s="175" t="str">
        <f>_xll.ohRangeRetrieveError(F21)</f>
        <v/>
      </c>
      <c r="H21" s="115"/>
      <c r="J21" s="26"/>
      <c r="K21" s="127" t="s">
        <v>45</v>
      </c>
      <c r="L21" s="201" t="s">
        <v>95</v>
      </c>
      <c r="M21" s="201" t="s">
        <v>64</v>
      </c>
      <c r="N21" s="128" t="str">
        <f t="shared" si="1"/>
        <v>USDAM3L13Y</v>
      </c>
      <c r="O21" s="128" t="str">
        <v>USDAM3L13Y=PYNY</v>
      </c>
      <c r="P21" s="370">
        <v>2.3127</v>
      </c>
      <c r="Q21" s="370">
        <v>2.3193999999999999</v>
      </c>
      <c r="R21" s="35">
        <f t="shared" si="5"/>
        <v>2.3160499999999997</v>
      </c>
      <c r="S21" s="63">
        <v>13</v>
      </c>
      <c r="T21" s="416" t="b">
        <f t="shared" si="6"/>
        <v>1</v>
      </c>
      <c r="U21" s="377">
        <f>_xll.qlInterpolationInterpolate($S$3,S21,TRUE,Trigger)</f>
        <v>2.3160499999999997</v>
      </c>
      <c r="V21" s="35">
        <f t="shared" si="7"/>
        <v>6.6999999999999282E-3</v>
      </c>
      <c r="W21" s="139"/>
      <c r="X21" s="141">
        <v>2.3125499999999999</v>
      </c>
      <c r="Y21" s="139"/>
      <c r="Z21" s="35">
        <v>2.3160499999999997</v>
      </c>
      <c r="AA21" s="132">
        <f>_xll.qlSimpleQuoteSetValue(F21,Z21/100,Trigger)</f>
        <v>0</v>
      </c>
      <c r="AB21" s="27"/>
      <c r="AE21" s="170"/>
    </row>
    <row r="22" spans="1:31" x14ac:dyDescent="0.2">
      <c r="A22" s="26"/>
      <c r="B22" s="171" t="str">
        <f t="shared" si="2"/>
        <v>14Y</v>
      </c>
      <c r="C22" s="172" t="str">
        <f t="shared" si="3"/>
        <v>AM</v>
      </c>
      <c r="D22" s="172" t="str">
        <f t="shared" si="4"/>
        <v>3L</v>
      </c>
      <c r="E22" s="174" t="str">
        <f t="shared" si="0"/>
        <v>USDAM3L14Y_LCHQuote</v>
      </c>
      <c r="F22" s="174" t="str">
        <f>_xll.qlSimpleQuote(Currency&amp;$C22&amp;$D22&amp;$B22&amp;QuoteSuffix,,RateTickValue,Permanent,Trigger,ObjectOverwrite)</f>
        <v>USDAM3L14Y_LCHQuote#0002</v>
      </c>
      <c r="G22" s="175" t="str">
        <f>_xll.ohRangeRetrieveError(F22)</f>
        <v/>
      </c>
      <c r="H22" s="115"/>
      <c r="J22" s="26"/>
      <c r="K22" s="127" t="s">
        <v>44</v>
      </c>
      <c r="L22" s="201" t="s">
        <v>95</v>
      </c>
      <c r="M22" s="201" t="s">
        <v>64</v>
      </c>
      <c r="N22" s="128" t="str">
        <f t="shared" si="1"/>
        <v>USDAM3L14Y</v>
      </c>
      <c r="O22" s="128" t="str">
        <v>USDAM3L14Y=PYNY</v>
      </c>
      <c r="P22" s="370">
        <v>2.3552</v>
      </c>
      <c r="Q22" s="370">
        <v>2.3593999999999999</v>
      </c>
      <c r="R22" s="35">
        <f t="shared" si="5"/>
        <v>2.3573</v>
      </c>
      <c r="S22" s="63">
        <v>14</v>
      </c>
      <c r="T22" s="416" t="b">
        <f t="shared" si="6"/>
        <v>1</v>
      </c>
      <c r="U22" s="377">
        <f>_xll.qlInterpolationInterpolate($S$3,S22,TRUE,Trigger)</f>
        <v>2.3573</v>
      </c>
      <c r="V22" s="35">
        <f t="shared" si="7"/>
        <v>4.1999999999999815E-3</v>
      </c>
      <c r="W22" s="139"/>
      <c r="X22" s="141">
        <v>2.3538000000000001</v>
      </c>
      <c r="Y22" s="139"/>
      <c r="Z22" s="35">
        <v>2.3573</v>
      </c>
      <c r="AA22" s="132">
        <f>_xll.qlSimpleQuoteSetValue(F22,Z22/100,Trigger)</f>
        <v>0</v>
      </c>
      <c r="AB22" s="27"/>
      <c r="AE22" s="170"/>
    </row>
    <row r="23" spans="1:31" x14ac:dyDescent="0.2">
      <c r="A23" s="26"/>
      <c r="B23" s="171" t="str">
        <f t="shared" si="2"/>
        <v>15Y</v>
      </c>
      <c r="C23" s="172" t="str">
        <f t="shared" si="3"/>
        <v>AM</v>
      </c>
      <c r="D23" s="172" t="str">
        <f t="shared" si="4"/>
        <v>3L</v>
      </c>
      <c r="E23" s="174" t="str">
        <f t="shared" si="0"/>
        <v>USDAM3L15Y_LCHQuote</v>
      </c>
      <c r="F23" s="174" t="str">
        <f>_xll.qlSimpleQuote(Currency&amp;$C23&amp;$D23&amp;$B23&amp;QuoteSuffix,,RateTickValue,Permanent,Trigger,ObjectOverwrite)</f>
        <v>USDAM3L15Y_LCHQuote#0002</v>
      </c>
      <c r="G23" s="175" t="str">
        <f>_xll.ohRangeRetrieveError(F23)</f>
        <v/>
      </c>
      <c r="H23" s="115"/>
      <c r="J23" s="26"/>
      <c r="K23" s="127" t="s">
        <v>43</v>
      </c>
      <c r="L23" s="201" t="s">
        <v>95</v>
      </c>
      <c r="M23" s="201" t="s">
        <v>64</v>
      </c>
      <c r="N23" s="128" t="str">
        <f t="shared" si="1"/>
        <v>USDAM3L15Y</v>
      </c>
      <c r="O23" s="128" t="str">
        <v>USDAM3L15Y=PYNY</v>
      </c>
      <c r="P23" s="370">
        <v>2.3959999999999999</v>
      </c>
      <c r="Q23" s="370">
        <v>2.4001999999999999</v>
      </c>
      <c r="R23" s="35">
        <f t="shared" si="5"/>
        <v>2.3980999999999999</v>
      </c>
      <c r="S23" s="63">
        <v>15</v>
      </c>
      <c r="T23" s="416" t="b">
        <f t="shared" si="6"/>
        <v>1</v>
      </c>
      <c r="U23" s="377">
        <f>_xll.qlInterpolationInterpolate($S$3,S23,TRUE,Trigger)</f>
        <v>2.3980999999999999</v>
      </c>
      <c r="V23" s="35">
        <f t="shared" si="7"/>
        <v>4.1999999999999815E-3</v>
      </c>
      <c r="W23" s="139"/>
      <c r="X23" s="141">
        <v>2.39195</v>
      </c>
      <c r="Y23" s="139"/>
      <c r="Z23" s="35">
        <v>2.3980999999999999</v>
      </c>
      <c r="AA23" s="132">
        <f>_xll.qlSimpleQuoteSetValue(F23,Z23/100,Trigger)</f>
        <v>1.2500000000002093E-5</v>
      </c>
      <c r="AB23" s="27"/>
      <c r="AE23" s="170"/>
    </row>
    <row r="24" spans="1:31" x14ac:dyDescent="0.2">
      <c r="A24" s="26"/>
      <c r="B24" s="171" t="str">
        <f t="shared" si="2"/>
        <v>16Y</v>
      </c>
      <c r="C24" s="172" t="str">
        <f t="shared" si="3"/>
        <v>AM</v>
      </c>
      <c r="D24" s="172" t="str">
        <f t="shared" si="4"/>
        <v>3L</v>
      </c>
      <c r="E24" s="174" t="str">
        <f t="shared" si="0"/>
        <v>USDAM3L16Y_LCHQuote</v>
      </c>
      <c r="F24" s="174" t="str">
        <f>_xll.qlSimpleQuote(Currency&amp;$C24&amp;$D24&amp;$B24&amp;QuoteSuffix,,RateTickValue,Permanent,Trigger,ObjectOverwrite)</f>
        <v>USDAM3L16Y_LCHQuote#0002</v>
      </c>
      <c r="G24" s="175" t="str">
        <f>_xll.ohRangeRetrieveError(F24)</f>
        <v/>
      </c>
      <c r="H24" s="115"/>
      <c r="J24" s="26"/>
      <c r="K24" s="127" t="s">
        <v>42</v>
      </c>
      <c r="L24" s="201" t="s">
        <v>95</v>
      </c>
      <c r="M24" s="201" t="s">
        <v>64</v>
      </c>
      <c r="N24" s="128" t="str">
        <f t="shared" si="1"/>
        <v>USDAM3L16Y</v>
      </c>
      <c r="O24" s="128" t="str">
        <v>USDAM3L16Y=PYNY</v>
      </c>
      <c r="P24" s="370" t="s">
        <v>213</v>
      </c>
      <c r="Q24" s="370" t="s">
        <v>213</v>
      </c>
      <c r="R24" s="35" t="e">
        <f t="shared" si="5"/>
        <v>#NUM!</v>
      </c>
      <c r="S24" s="63">
        <v>16</v>
      </c>
      <c r="T24" s="416" t="b">
        <f t="shared" si="6"/>
        <v>0</v>
      </c>
      <c r="U24" s="377">
        <f>_xll.qlInterpolationInterpolate($S$3,S24,TRUE,Trigger)</f>
        <v>2.4306999999999999</v>
      </c>
      <c r="V24" s="35" t="e">
        <f t="shared" si="7"/>
        <v>#VALUE!</v>
      </c>
      <c r="W24" s="139"/>
      <c r="X24" s="141">
        <v>2.4231499999999997</v>
      </c>
      <c r="Y24" s="139"/>
      <c r="Z24" s="35">
        <v>2.4306999999999999</v>
      </c>
      <c r="AA24" s="132">
        <f>_xll.qlSimpleQuoteSetValue(F24,Z24/100,Trigger)</f>
        <v>6.2499999999993117E-6</v>
      </c>
      <c r="AB24" s="27"/>
      <c r="AE24" s="170"/>
    </row>
    <row r="25" spans="1:31" x14ac:dyDescent="0.2">
      <c r="A25" s="26"/>
      <c r="B25" s="171" t="str">
        <f t="shared" si="2"/>
        <v>17Y</v>
      </c>
      <c r="C25" s="172" t="str">
        <f t="shared" si="3"/>
        <v>AM</v>
      </c>
      <c r="D25" s="172" t="str">
        <f t="shared" si="4"/>
        <v>3L</v>
      </c>
      <c r="E25" s="174" t="str">
        <f t="shared" si="0"/>
        <v>USDAM3L17Y_LCHQuote</v>
      </c>
      <c r="F25" s="174" t="str">
        <f>_xll.qlSimpleQuote(Currency&amp;$C25&amp;$D25&amp;$B25&amp;QuoteSuffix,,RateTickValue,Permanent,Trigger,ObjectOverwrite)</f>
        <v>USDAM3L17Y_LCHQuote#0002</v>
      </c>
      <c r="G25" s="175" t="str">
        <f>_xll.ohRangeRetrieveError(F25)</f>
        <v/>
      </c>
      <c r="H25" s="115"/>
      <c r="J25" s="26"/>
      <c r="K25" s="127" t="s">
        <v>41</v>
      </c>
      <c r="L25" s="201" t="s">
        <v>95</v>
      </c>
      <c r="M25" s="201" t="s">
        <v>64</v>
      </c>
      <c r="N25" s="128" t="str">
        <f t="shared" si="1"/>
        <v>USDAM3L17Y</v>
      </c>
      <c r="O25" s="128" t="str">
        <v>USDAM3L17Y=PYNY</v>
      </c>
      <c r="P25" s="370">
        <v>2.4609000000000001</v>
      </c>
      <c r="Q25" s="370">
        <v>2.4657</v>
      </c>
      <c r="R25" s="35">
        <f t="shared" si="5"/>
        <v>2.4633000000000003</v>
      </c>
      <c r="S25" s="63">
        <v>17</v>
      </c>
      <c r="T25" s="416" t="b">
        <f t="shared" si="6"/>
        <v>1</v>
      </c>
      <c r="U25" s="377">
        <f>_xll.qlInterpolationInterpolate($S$3,S25,TRUE,Trigger)</f>
        <v>2.4633000000000003</v>
      </c>
      <c r="V25" s="35">
        <f t="shared" si="7"/>
        <v>4.7999999999999154E-3</v>
      </c>
      <c r="W25" s="139"/>
      <c r="X25" s="141">
        <v>2.4543499999999998</v>
      </c>
      <c r="Y25" s="139"/>
      <c r="Z25" s="35">
        <v>2.4633000000000003</v>
      </c>
      <c r="AA25" s="132">
        <f>_xll.qlSimpleQuoteSetValue(F25,Z25/100,Trigger)</f>
        <v>0</v>
      </c>
      <c r="AB25" s="27"/>
      <c r="AE25" s="170"/>
    </row>
    <row r="26" spans="1:31" x14ac:dyDescent="0.2">
      <c r="A26" s="26"/>
      <c r="B26" s="171" t="str">
        <f t="shared" si="2"/>
        <v>18Y</v>
      </c>
      <c r="C26" s="172" t="str">
        <f t="shared" si="3"/>
        <v>AM</v>
      </c>
      <c r="D26" s="172" t="str">
        <f t="shared" si="4"/>
        <v>3L</v>
      </c>
      <c r="E26" s="174" t="str">
        <f t="shared" si="0"/>
        <v>USDAM3L18Y_LCHQuote</v>
      </c>
      <c r="F26" s="174" t="str">
        <f>_xll.qlSimpleQuote(Currency&amp;$C26&amp;$D26&amp;$B26&amp;QuoteSuffix,,RateTickValue,Permanent,Trigger,ObjectOverwrite)</f>
        <v>USDAM3L18Y_LCHQuote#0002</v>
      </c>
      <c r="G26" s="175" t="str">
        <f>_xll.ohRangeRetrieveError(F26)</f>
        <v/>
      </c>
      <c r="H26" s="115"/>
      <c r="J26" s="26"/>
      <c r="K26" s="127" t="s">
        <v>40</v>
      </c>
      <c r="L26" s="201" t="s">
        <v>95</v>
      </c>
      <c r="M26" s="201" t="s">
        <v>64</v>
      </c>
      <c r="N26" s="128" t="str">
        <f t="shared" si="1"/>
        <v>USDAM3L18Y</v>
      </c>
      <c r="O26" s="128" t="str">
        <v>USDAM3L18Y=PYNY</v>
      </c>
      <c r="P26" s="370" t="s">
        <v>213</v>
      </c>
      <c r="Q26" s="370" t="s">
        <v>213</v>
      </c>
      <c r="R26" s="35" t="e">
        <f t="shared" si="5"/>
        <v>#NUM!</v>
      </c>
      <c r="S26" s="63">
        <v>18</v>
      </c>
      <c r="T26" s="416" t="b">
        <f t="shared" si="6"/>
        <v>0</v>
      </c>
      <c r="U26" s="377">
        <f>_xll.qlInterpolationInterpolate($S$3,S26,TRUE,Trigger)</f>
        <v>2.4825833333333334</v>
      </c>
      <c r="V26" s="35" t="e">
        <f t="shared" si="7"/>
        <v>#VALUE!</v>
      </c>
      <c r="W26" s="139"/>
      <c r="X26" s="141">
        <v>2.4740833333333332</v>
      </c>
      <c r="Y26" s="139"/>
      <c r="Z26" s="35">
        <v>2.4825833333333334</v>
      </c>
      <c r="AA26" s="132">
        <f>_xll.qlSimpleQuoteSetValue(F26,Z26/100,Trigger)</f>
        <v>0</v>
      </c>
      <c r="AB26" s="27"/>
      <c r="AE26" s="170"/>
    </row>
    <row r="27" spans="1:31" x14ac:dyDescent="0.2">
      <c r="A27" s="26"/>
      <c r="B27" s="171" t="str">
        <f t="shared" si="2"/>
        <v>19Y</v>
      </c>
      <c r="C27" s="172" t="str">
        <f t="shared" si="3"/>
        <v>AM</v>
      </c>
      <c r="D27" s="172" t="str">
        <f t="shared" si="4"/>
        <v>3L</v>
      </c>
      <c r="E27" s="174" t="str">
        <f t="shared" si="0"/>
        <v>USDAM3L19Y_LCHQuote</v>
      </c>
      <c r="F27" s="174" t="str">
        <f>_xll.qlSimpleQuote(Currency&amp;$C27&amp;$D27&amp;$B27&amp;QuoteSuffix,,RateTickValue,Permanent,Trigger,ObjectOverwrite)</f>
        <v>USDAM3L19Y_LCHQuote#0002</v>
      </c>
      <c r="G27" s="175" t="str">
        <f>_xll.ohRangeRetrieveError(F27)</f>
        <v/>
      </c>
      <c r="H27" s="115"/>
      <c r="J27" s="26"/>
      <c r="K27" s="127" t="s">
        <v>39</v>
      </c>
      <c r="L27" s="201" t="s">
        <v>95</v>
      </c>
      <c r="M27" s="201" t="s">
        <v>64</v>
      </c>
      <c r="N27" s="128" t="str">
        <f t="shared" si="1"/>
        <v>USDAM3L19Y</v>
      </c>
      <c r="O27" s="128" t="str">
        <v>USDAM3L19Y=PYNY</v>
      </c>
      <c r="P27" s="370" t="s">
        <v>213</v>
      </c>
      <c r="Q27" s="370" t="s">
        <v>213</v>
      </c>
      <c r="R27" s="35" t="e">
        <f t="shared" si="5"/>
        <v>#NUM!</v>
      </c>
      <c r="S27" s="63">
        <v>19</v>
      </c>
      <c r="T27" s="416" t="b">
        <f t="shared" si="6"/>
        <v>0</v>
      </c>
      <c r="U27" s="377">
        <f>_xll.qlInterpolationInterpolate($S$3,S27,TRUE,Trigger)</f>
        <v>2.5018666666666669</v>
      </c>
      <c r="V27" s="35" t="e">
        <f t="shared" si="7"/>
        <v>#VALUE!</v>
      </c>
      <c r="W27" s="139"/>
      <c r="X27" s="141">
        <v>2.4938166666666666</v>
      </c>
      <c r="Y27" s="139"/>
      <c r="Z27" s="35">
        <v>2.5018666666666669</v>
      </c>
      <c r="AA27" s="132">
        <f>_xll.qlSimpleQuoteSetValue(F27,Z27/100,Trigger)</f>
        <v>0</v>
      </c>
      <c r="AB27" s="27"/>
      <c r="AE27" s="170"/>
    </row>
    <row r="28" spans="1:31" x14ac:dyDescent="0.2">
      <c r="A28" s="26"/>
      <c r="B28" s="171" t="str">
        <f t="shared" si="2"/>
        <v>20Y</v>
      </c>
      <c r="C28" s="172" t="str">
        <f t="shared" si="3"/>
        <v>AM</v>
      </c>
      <c r="D28" s="172" t="str">
        <f t="shared" si="4"/>
        <v>3L</v>
      </c>
      <c r="E28" s="174" t="str">
        <f t="shared" si="0"/>
        <v>USDAM3L20Y_LCHQuote</v>
      </c>
      <c r="F28" s="174" t="str">
        <f>_xll.qlSimpleQuote(Currency&amp;$C28&amp;$D28&amp;$B28&amp;QuoteSuffix,,RateTickValue,Permanent,Trigger,ObjectOverwrite)</f>
        <v>USDAM3L20Y_LCHQuote#0002</v>
      </c>
      <c r="G28" s="175" t="str">
        <f>_xll.ohRangeRetrieveError(F28)</f>
        <v/>
      </c>
      <c r="H28" s="115"/>
      <c r="J28" s="26"/>
      <c r="K28" s="127" t="s">
        <v>38</v>
      </c>
      <c r="L28" s="201" t="s">
        <v>95</v>
      </c>
      <c r="M28" s="201" t="s">
        <v>64</v>
      </c>
      <c r="N28" s="128" t="str">
        <f t="shared" si="1"/>
        <v>USDAM3L20Y</v>
      </c>
      <c r="O28" s="128" t="str">
        <v>USDAM3L20Y=PYNY</v>
      </c>
      <c r="P28" s="370">
        <v>2.5190999999999999</v>
      </c>
      <c r="Q28" s="370">
        <v>2.5232000000000001</v>
      </c>
      <c r="R28" s="35">
        <f t="shared" si="5"/>
        <v>2.52115</v>
      </c>
      <c r="S28" s="63">
        <v>20</v>
      </c>
      <c r="T28" s="416" t="b">
        <f t="shared" si="6"/>
        <v>1</v>
      </c>
      <c r="U28" s="377">
        <f>_xll.qlInterpolationInterpolate($S$3,S28,TRUE,Trigger)</f>
        <v>2.52115</v>
      </c>
      <c r="V28" s="35">
        <f t="shared" si="7"/>
        <v>4.1000000000002146E-3</v>
      </c>
      <c r="W28" s="139"/>
      <c r="X28" s="141">
        <v>2.51355</v>
      </c>
      <c r="Y28" s="139"/>
      <c r="Z28" s="35">
        <v>2.52115</v>
      </c>
      <c r="AA28" s="132">
        <f>_xll.qlSimpleQuoteSetValue(F28,Z28/100,Trigger)</f>
        <v>0</v>
      </c>
      <c r="AB28" s="27"/>
      <c r="AE28" s="170"/>
    </row>
    <row r="29" spans="1:31" x14ac:dyDescent="0.2">
      <c r="A29" s="26"/>
      <c r="B29" s="171" t="str">
        <f t="shared" si="2"/>
        <v>21Y</v>
      </c>
      <c r="C29" s="172" t="str">
        <f t="shared" si="3"/>
        <v>AM</v>
      </c>
      <c r="D29" s="172" t="str">
        <f t="shared" si="4"/>
        <v>3L</v>
      </c>
      <c r="E29" s="174" t="str">
        <f t="shared" si="0"/>
        <v>USDAM3L21Y_LCHQuote</v>
      </c>
      <c r="F29" s="174" t="str">
        <f>_xll.qlSimpleQuote(Currency&amp;$C29&amp;$D29&amp;$B29&amp;QuoteSuffix,,RateTickValue,Permanent,Trigger,ObjectOverwrite)</f>
        <v>USDAM3L21Y_LCHQuote#0002</v>
      </c>
      <c r="G29" s="175" t="str">
        <f>_xll.ohRangeRetrieveError(F29)</f>
        <v/>
      </c>
      <c r="H29" s="115"/>
      <c r="J29" s="26"/>
      <c r="K29" s="127" t="s">
        <v>37</v>
      </c>
      <c r="L29" s="11" t="s">
        <v>95</v>
      </c>
      <c r="M29" s="11" t="s">
        <v>64</v>
      </c>
      <c r="N29" s="128" t="str">
        <f t="shared" si="1"/>
        <v>USDAM3L21Y</v>
      </c>
      <c r="O29" s="128" t="str">
        <v>USDAM3L21Y=PYNY</v>
      </c>
      <c r="P29" s="370" t="s">
        <v>213</v>
      </c>
      <c r="Q29" s="370" t="s">
        <v>213</v>
      </c>
      <c r="R29" s="35" t="e">
        <f t="shared" si="5"/>
        <v>#NUM!</v>
      </c>
      <c r="S29" s="63">
        <v>21</v>
      </c>
      <c r="T29" s="416" t="b">
        <f t="shared" si="6"/>
        <v>0</v>
      </c>
      <c r="U29" s="377">
        <f>_xll.qlInterpolationInterpolate($S$3,S29,TRUE,Trigger)</f>
        <v>2.5327700000000002</v>
      </c>
      <c r="V29" s="35" t="e">
        <f t="shared" si="7"/>
        <v>#VALUE!</v>
      </c>
      <c r="W29" s="139"/>
      <c r="X29" s="141">
        <v>2.5248699999999999</v>
      </c>
      <c r="Y29" s="139"/>
      <c r="Z29" s="35">
        <v>2.5327700000000002</v>
      </c>
      <c r="AA29" s="132">
        <f>_xll.qlSimpleQuoteSetValue(F29,Z29/100,Trigger)</f>
        <v>0</v>
      </c>
      <c r="AB29" s="27"/>
      <c r="AE29" s="170"/>
    </row>
    <row r="30" spans="1:31" x14ac:dyDescent="0.2">
      <c r="A30" s="26"/>
      <c r="B30" s="171" t="str">
        <f t="shared" si="2"/>
        <v>22Y</v>
      </c>
      <c r="C30" s="172" t="str">
        <f t="shared" si="3"/>
        <v>AM</v>
      </c>
      <c r="D30" s="172" t="str">
        <f t="shared" si="4"/>
        <v>3L</v>
      </c>
      <c r="E30" s="174" t="str">
        <f t="shared" si="0"/>
        <v>USDAM3L22Y_LCHQuote</v>
      </c>
      <c r="F30" s="174" t="str">
        <f>_xll.qlSimpleQuote(Currency&amp;$C30&amp;$D30&amp;$B30&amp;QuoteSuffix,,RateTickValue,Permanent,Trigger,ObjectOverwrite)</f>
        <v>USDAM3L22Y_LCHQuote#0002</v>
      </c>
      <c r="G30" s="175" t="str">
        <f>_xll.ohRangeRetrieveError(F30)</f>
        <v/>
      </c>
      <c r="H30" s="115"/>
      <c r="J30" s="26"/>
      <c r="K30" s="127" t="s">
        <v>36</v>
      </c>
      <c r="L30" s="201" t="s">
        <v>95</v>
      </c>
      <c r="M30" s="201" t="s">
        <v>64</v>
      </c>
      <c r="N30" s="128" t="str">
        <f t="shared" si="1"/>
        <v>USDAM3L22Y</v>
      </c>
      <c r="O30" s="128" t="str">
        <v>USDAM3L22Y=PYNY</v>
      </c>
      <c r="P30" s="370" t="s">
        <v>213</v>
      </c>
      <c r="Q30" s="370" t="s">
        <v>213</v>
      </c>
      <c r="R30" s="35" t="e">
        <f t="shared" si="5"/>
        <v>#NUM!</v>
      </c>
      <c r="S30" s="63">
        <v>22</v>
      </c>
      <c r="T30" s="416" t="b">
        <f t="shared" si="6"/>
        <v>0</v>
      </c>
      <c r="U30" s="377">
        <f>_xll.qlInterpolationInterpolate($S$3,S30,TRUE,Trigger)</f>
        <v>2.5443899999999999</v>
      </c>
      <c r="V30" s="35" t="e">
        <f t="shared" si="7"/>
        <v>#VALUE!</v>
      </c>
      <c r="W30" s="139"/>
      <c r="X30" s="141">
        <v>2.5361899999999999</v>
      </c>
      <c r="Y30" s="139"/>
      <c r="Z30" s="35">
        <v>2.5443899999999999</v>
      </c>
      <c r="AA30" s="132">
        <f>_xll.qlSimpleQuoteSetValue(F30,Z30/100,Trigger)</f>
        <v>0</v>
      </c>
      <c r="AB30" s="27"/>
      <c r="AE30" s="170"/>
    </row>
    <row r="31" spans="1:31" x14ac:dyDescent="0.2">
      <c r="A31" s="26"/>
      <c r="B31" s="171" t="str">
        <f t="shared" si="2"/>
        <v>23Y</v>
      </c>
      <c r="C31" s="172" t="str">
        <f t="shared" si="3"/>
        <v>AM</v>
      </c>
      <c r="D31" s="172" t="str">
        <f t="shared" si="4"/>
        <v>3L</v>
      </c>
      <c r="E31" s="174" t="str">
        <f t="shared" si="0"/>
        <v>USDAM3L23Y_LCHQuote</v>
      </c>
      <c r="F31" s="174" t="str">
        <f>_xll.qlSimpleQuote(Currency&amp;$C31&amp;$D31&amp;$B31&amp;QuoteSuffix,,RateTickValue,Permanent,Trigger,ObjectOverwrite)</f>
        <v>USDAM3L23Y_LCHQuote#0002</v>
      </c>
      <c r="G31" s="175" t="str">
        <f>_xll.ohRangeRetrieveError(F31)</f>
        <v/>
      </c>
      <c r="H31" s="115"/>
      <c r="J31" s="26"/>
      <c r="K31" s="127" t="s">
        <v>35</v>
      </c>
      <c r="L31" s="201" t="s">
        <v>95</v>
      </c>
      <c r="M31" s="201" t="s">
        <v>64</v>
      </c>
      <c r="N31" s="128" t="str">
        <f t="shared" si="1"/>
        <v>USDAM3L23Y</v>
      </c>
      <c r="O31" s="128" t="str">
        <v>USDAM3L23Y=PYNY</v>
      </c>
      <c r="P31" s="370" t="s">
        <v>213</v>
      </c>
      <c r="Q31" s="370" t="s">
        <v>213</v>
      </c>
      <c r="R31" s="35" t="e">
        <f t="shared" si="5"/>
        <v>#NUM!</v>
      </c>
      <c r="S31" s="63">
        <v>23</v>
      </c>
      <c r="T31" s="416" t="b">
        <f t="shared" si="6"/>
        <v>0</v>
      </c>
      <c r="U31" s="377">
        <f>_xll.qlInterpolationInterpolate($S$3,S31,TRUE,Trigger)</f>
        <v>2.5560100000000001</v>
      </c>
      <c r="V31" s="35" t="e">
        <f t="shared" si="7"/>
        <v>#VALUE!</v>
      </c>
      <c r="W31" s="139"/>
      <c r="X31" s="141">
        <v>2.5475099999999999</v>
      </c>
      <c r="Y31" s="139"/>
      <c r="Z31" s="35">
        <v>2.5560100000000001</v>
      </c>
      <c r="AA31" s="132">
        <f>_xll.qlSimpleQuoteSetValue(F31,Z31/100,Trigger)</f>
        <v>0</v>
      </c>
      <c r="AB31" s="27"/>
      <c r="AE31" s="170"/>
    </row>
    <row r="32" spans="1:31" x14ac:dyDescent="0.2">
      <c r="A32" s="26"/>
      <c r="B32" s="171" t="str">
        <f t="shared" si="2"/>
        <v>24Y</v>
      </c>
      <c r="C32" s="172" t="str">
        <f t="shared" si="3"/>
        <v>AM</v>
      </c>
      <c r="D32" s="172" t="str">
        <f t="shared" si="4"/>
        <v>3L</v>
      </c>
      <c r="E32" s="174" t="str">
        <f t="shared" si="0"/>
        <v>USDAM3L24Y_LCHQuote</v>
      </c>
      <c r="F32" s="174" t="str">
        <f>_xll.qlSimpleQuote(Currency&amp;$C32&amp;$D32&amp;$B32&amp;QuoteSuffix,,RateTickValue,Permanent,Trigger,ObjectOverwrite)</f>
        <v>USDAM3L24Y_LCHQuote#0002</v>
      </c>
      <c r="G32" s="175" t="str">
        <f>_xll.ohRangeRetrieveError(F32)</f>
        <v/>
      </c>
      <c r="H32" s="115"/>
      <c r="J32" s="26"/>
      <c r="K32" s="127" t="s">
        <v>34</v>
      </c>
      <c r="L32" s="201" t="s">
        <v>95</v>
      </c>
      <c r="M32" s="201" t="s">
        <v>64</v>
      </c>
      <c r="N32" s="128" t="str">
        <f t="shared" si="1"/>
        <v>USDAM3L24Y</v>
      </c>
      <c r="O32" s="128" t="str">
        <v>USDAM3L24Y=PYNY</v>
      </c>
      <c r="P32" s="370" t="s">
        <v>213</v>
      </c>
      <c r="Q32" s="370" t="s">
        <v>213</v>
      </c>
      <c r="R32" s="35" t="e">
        <f t="shared" si="5"/>
        <v>#NUM!</v>
      </c>
      <c r="S32" s="63">
        <v>24</v>
      </c>
      <c r="T32" s="416" t="b">
        <f t="shared" si="6"/>
        <v>0</v>
      </c>
      <c r="U32" s="377">
        <f>_xll.qlInterpolationInterpolate($S$3,S32,TRUE,Trigger)</f>
        <v>2.5676299999999999</v>
      </c>
      <c r="V32" s="35" t="e">
        <f t="shared" si="7"/>
        <v>#VALUE!</v>
      </c>
      <c r="W32" s="139"/>
      <c r="X32" s="141">
        <v>2.5588299999999999</v>
      </c>
      <c r="Y32" s="139"/>
      <c r="Z32" s="35">
        <v>2.5676299999999999</v>
      </c>
      <c r="AA32" s="132">
        <f>_xll.qlSimpleQuoteSetValue(F32,Z32/100,Trigger)</f>
        <v>0</v>
      </c>
      <c r="AB32" s="27"/>
      <c r="AE32" s="170"/>
    </row>
    <row r="33" spans="1:31" x14ac:dyDescent="0.2">
      <c r="A33" s="26"/>
      <c r="B33" s="171" t="str">
        <f t="shared" si="2"/>
        <v>25Y</v>
      </c>
      <c r="C33" s="172" t="str">
        <f t="shared" si="3"/>
        <v>AM</v>
      </c>
      <c r="D33" s="172" t="str">
        <f t="shared" si="4"/>
        <v>3L</v>
      </c>
      <c r="E33" s="174" t="str">
        <f t="shared" si="0"/>
        <v>USDAM3L25Y_LCHQuote</v>
      </c>
      <c r="F33" s="174" t="str">
        <f>_xll.qlSimpleQuote(Currency&amp;$C33&amp;$D33&amp;$B33&amp;QuoteSuffix,,RateTickValue,Permanent,Trigger,ObjectOverwrite)</f>
        <v>USDAM3L25Y_LCHQuote#0002</v>
      </c>
      <c r="G33" s="175" t="str">
        <f>_xll.ohRangeRetrieveError(F33)</f>
        <v/>
      </c>
      <c r="H33" s="115"/>
      <c r="J33" s="26"/>
      <c r="K33" s="127" t="s">
        <v>33</v>
      </c>
      <c r="L33" s="201" t="s">
        <v>95</v>
      </c>
      <c r="M33" s="201" t="s">
        <v>64</v>
      </c>
      <c r="N33" s="128" t="str">
        <f t="shared" si="1"/>
        <v>USDAM3L25Y</v>
      </c>
      <c r="O33" s="128" t="str">
        <v>USDAM3L25Y=PYNY</v>
      </c>
      <c r="P33" s="370">
        <v>2.5771999999999999</v>
      </c>
      <c r="Q33" s="370">
        <v>2.5812999999999997</v>
      </c>
      <c r="R33" s="35">
        <f t="shared" si="5"/>
        <v>2.57925</v>
      </c>
      <c r="S33" s="63">
        <v>25</v>
      </c>
      <c r="T33" s="416" t="b">
        <f t="shared" si="6"/>
        <v>1</v>
      </c>
      <c r="U33" s="377">
        <f>_xll.qlInterpolationInterpolate($S$3,S33,TRUE,Trigger)</f>
        <v>2.57925</v>
      </c>
      <c r="V33" s="35">
        <f t="shared" si="7"/>
        <v>4.0999999999997705E-3</v>
      </c>
      <c r="W33" s="139"/>
      <c r="X33" s="141">
        <v>2.5701499999999999</v>
      </c>
      <c r="Y33" s="139"/>
      <c r="Z33" s="35">
        <v>2.57925</v>
      </c>
      <c r="AA33" s="132">
        <f>_xll.qlSimpleQuoteSetValue(F33,Z33/100,Trigger)</f>
        <v>0</v>
      </c>
      <c r="AB33" s="27"/>
      <c r="AE33" s="170"/>
    </row>
    <row r="34" spans="1:31" x14ac:dyDescent="0.2">
      <c r="A34" s="26"/>
      <c r="B34" s="171" t="str">
        <f t="shared" si="2"/>
        <v>26Y</v>
      </c>
      <c r="C34" s="172" t="str">
        <f t="shared" si="3"/>
        <v>AM</v>
      </c>
      <c r="D34" s="172" t="str">
        <f t="shared" si="4"/>
        <v>3L</v>
      </c>
      <c r="E34" s="174" t="str">
        <f t="shared" si="0"/>
        <v>USDAM3L26Y_LCHQuote</v>
      </c>
      <c r="F34" s="174" t="str">
        <f>_xll.qlSimpleQuote(Currency&amp;$C34&amp;$D34&amp;$B34&amp;QuoteSuffix,,RateTickValue,Permanent,Trigger,ObjectOverwrite)</f>
        <v>USDAM3L26Y_LCHQuote#0002</v>
      </c>
      <c r="G34" s="175" t="str">
        <f>_xll.ohRangeRetrieveError(F34)</f>
        <v/>
      </c>
      <c r="H34" s="115"/>
      <c r="J34" s="26"/>
      <c r="K34" s="127" t="s">
        <v>32</v>
      </c>
      <c r="L34" s="201" t="s">
        <v>95</v>
      </c>
      <c r="M34" s="201" t="s">
        <v>64</v>
      </c>
      <c r="N34" s="128" t="str">
        <f t="shared" si="1"/>
        <v>USDAM3L26Y</v>
      </c>
      <c r="O34" s="128" t="str">
        <v>USDAM3L26Y=PYNY</v>
      </c>
      <c r="P34" s="370" t="s">
        <v>213</v>
      </c>
      <c r="Q34" s="370" t="s">
        <v>213</v>
      </c>
      <c r="R34" s="35" t="e">
        <f t="shared" si="5"/>
        <v>#NUM!</v>
      </c>
      <c r="S34" s="63">
        <v>26</v>
      </c>
      <c r="T34" s="416" t="b">
        <f t="shared" si="6"/>
        <v>0</v>
      </c>
      <c r="U34" s="377">
        <f>_xll.qlInterpolationInterpolate($S$3,S34,TRUE,Trigger)</f>
        <v>2.5861000000000001</v>
      </c>
      <c r="V34" s="35" t="e">
        <f t="shared" si="7"/>
        <v>#VALUE!</v>
      </c>
      <c r="W34" s="139"/>
      <c r="X34" s="141">
        <v>2.5766299999999998</v>
      </c>
      <c r="Y34" s="139"/>
      <c r="Z34" s="35">
        <v>2.5861000000000001</v>
      </c>
      <c r="AA34" s="132">
        <f>_xll.qlSimpleQuoteSetValue(F34,Z34/100,Trigger)</f>
        <v>0</v>
      </c>
      <c r="AB34" s="27"/>
      <c r="AE34" s="170"/>
    </row>
    <row r="35" spans="1:31" x14ac:dyDescent="0.2">
      <c r="A35" s="26"/>
      <c r="B35" s="171" t="str">
        <f t="shared" si="2"/>
        <v>27Y</v>
      </c>
      <c r="C35" s="172" t="str">
        <f t="shared" si="3"/>
        <v>AM</v>
      </c>
      <c r="D35" s="172" t="str">
        <f t="shared" si="4"/>
        <v>3L</v>
      </c>
      <c r="E35" s="174" t="str">
        <f t="shared" si="0"/>
        <v>USDAM3L27Y_LCHQuote</v>
      </c>
      <c r="F35" s="174" t="str">
        <f>_xll.qlSimpleQuote(Currency&amp;$C35&amp;$D35&amp;$B35&amp;QuoteSuffix,,RateTickValue,Permanent,Trigger,ObjectOverwrite)</f>
        <v>USDAM3L27Y_LCHQuote#0002</v>
      </c>
      <c r="G35" s="175" t="str">
        <f>_xll.ohRangeRetrieveError(F35)</f>
        <v/>
      </c>
      <c r="H35" s="115"/>
      <c r="J35" s="26"/>
      <c r="K35" s="127" t="s">
        <v>31</v>
      </c>
      <c r="L35" s="201" t="s">
        <v>95</v>
      </c>
      <c r="M35" s="201" t="s">
        <v>64</v>
      </c>
      <c r="N35" s="128" t="str">
        <f t="shared" si="1"/>
        <v>USDAM3L27Y</v>
      </c>
      <c r="O35" s="128" t="str">
        <v>USDAM3L27Y=PYNY</v>
      </c>
      <c r="P35" s="370" t="s">
        <v>213</v>
      </c>
      <c r="Q35" s="370" t="s">
        <v>213</v>
      </c>
      <c r="R35" s="35" t="e">
        <f t="shared" si="5"/>
        <v>#NUM!</v>
      </c>
      <c r="S35" s="63">
        <v>27</v>
      </c>
      <c r="T35" s="416" t="b">
        <f t="shared" si="6"/>
        <v>0</v>
      </c>
      <c r="U35" s="377">
        <f>_xll.qlInterpolationInterpolate($S$3,S35,TRUE,Trigger)</f>
        <v>2.5929500000000001</v>
      </c>
      <c r="V35" s="35" t="e">
        <f t="shared" si="7"/>
        <v>#VALUE!</v>
      </c>
      <c r="W35" s="139"/>
      <c r="X35" s="141">
        <v>2.58311</v>
      </c>
      <c r="Y35" s="139"/>
      <c r="Z35" s="35">
        <v>2.5929500000000001</v>
      </c>
      <c r="AA35" s="132">
        <f>_xll.qlSimpleQuoteSetValue(F35,Z35/100,Trigger)</f>
        <v>0</v>
      </c>
      <c r="AB35" s="27"/>
      <c r="AE35" s="170"/>
    </row>
    <row r="36" spans="1:31" x14ac:dyDescent="0.2">
      <c r="A36" s="26"/>
      <c r="B36" s="171" t="str">
        <f t="shared" si="2"/>
        <v>28Y</v>
      </c>
      <c r="C36" s="172" t="str">
        <f t="shared" si="3"/>
        <v>AM</v>
      </c>
      <c r="D36" s="172" t="str">
        <f t="shared" si="4"/>
        <v>3L</v>
      </c>
      <c r="E36" s="174" t="str">
        <f t="shared" si="0"/>
        <v>USDAM3L28Y_LCHQuote</v>
      </c>
      <c r="F36" s="174" t="str">
        <f>_xll.qlSimpleQuote(Currency&amp;$C36&amp;$D36&amp;$B36&amp;QuoteSuffix,,RateTickValue,Permanent,Trigger,ObjectOverwrite)</f>
        <v>USDAM3L28Y_LCHQuote#0002</v>
      </c>
      <c r="G36" s="175" t="str">
        <f>_xll.ohRangeRetrieveError(F36)</f>
        <v/>
      </c>
      <c r="H36" s="115"/>
      <c r="J36" s="26"/>
      <c r="K36" s="127" t="s">
        <v>30</v>
      </c>
      <c r="L36" s="201" t="s">
        <v>95</v>
      </c>
      <c r="M36" s="201" t="s">
        <v>64</v>
      </c>
      <c r="N36" s="128" t="str">
        <f t="shared" si="1"/>
        <v>USDAM3L28Y</v>
      </c>
      <c r="O36" s="128" t="str">
        <v>USDAM3L28Y=PYNY</v>
      </c>
      <c r="P36" s="370" t="s">
        <v>213</v>
      </c>
      <c r="Q36" s="370" t="s">
        <v>213</v>
      </c>
      <c r="R36" s="35" t="e">
        <f t="shared" si="5"/>
        <v>#NUM!</v>
      </c>
      <c r="S36" s="63">
        <v>28</v>
      </c>
      <c r="T36" s="416" t="b">
        <f t="shared" si="6"/>
        <v>0</v>
      </c>
      <c r="U36" s="377">
        <f>_xll.qlInterpolationInterpolate($S$3,S36,TRUE,Trigger)</f>
        <v>2.5998000000000001</v>
      </c>
      <c r="V36" s="35" t="e">
        <f t="shared" si="7"/>
        <v>#VALUE!</v>
      </c>
      <c r="W36" s="139"/>
      <c r="X36" s="141">
        <v>2.5895899999999998</v>
      </c>
      <c r="Y36" s="139"/>
      <c r="Z36" s="35">
        <v>2.5998000000000001</v>
      </c>
      <c r="AA36" s="132">
        <f>_xll.qlSimpleQuoteSetValue(F36,Z36/100,Trigger)</f>
        <v>0</v>
      </c>
      <c r="AB36" s="27"/>
      <c r="AE36" s="170"/>
    </row>
    <row r="37" spans="1:31" x14ac:dyDescent="0.2">
      <c r="A37" s="26"/>
      <c r="B37" s="171" t="str">
        <f t="shared" si="2"/>
        <v>29Y</v>
      </c>
      <c r="C37" s="172" t="str">
        <f t="shared" si="3"/>
        <v>AM</v>
      </c>
      <c r="D37" s="172" t="str">
        <f t="shared" si="4"/>
        <v>3L</v>
      </c>
      <c r="E37" s="174" t="str">
        <f t="shared" si="0"/>
        <v>USDAM3L29Y_LCHQuote</v>
      </c>
      <c r="F37" s="174" t="str">
        <f>_xll.qlSimpleQuote(Currency&amp;$C37&amp;$D37&amp;$B37&amp;QuoteSuffix,,RateTickValue,Permanent,Trigger,ObjectOverwrite)</f>
        <v>USDAM3L29Y_LCHQuote#0002</v>
      </c>
      <c r="G37" s="175" t="str">
        <f>_xll.ohRangeRetrieveError(F37)</f>
        <v/>
      </c>
      <c r="H37" s="115"/>
      <c r="J37" s="26"/>
      <c r="K37" s="127" t="s">
        <v>29</v>
      </c>
      <c r="L37" s="201" t="s">
        <v>95</v>
      </c>
      <c r="M37" s="201" t="s">
        <v>64</v>
      </c>
      <c r="N37" s="128" t="str">
        <f t="shared" si="1"/>
        <v>USDAM3L29Y</v>
      </c>
      <c r="O37" s="128" t="str">
        <v>USDAM3L29Y=PYNY</v>
      </c>
      <c r="P37" s="370" t="s">
        <v>213</v>
      </c>
      <c r="Q37" s="370" t="s">
        <v>213</v>
      </c>
      <c r="R37" s="35" t="e">
        <f t="shared" si="5"/>
        <v>#NUM!</v>
      </c>
      <c r="S37" s="63">
        <v>29</v>
      </c>
      <c r="T37" s="416" t="b">
        <f t="shared" si="6"/>
        <v>0</v>
      </c>
      <c r="U37" s="377">
        <f>_xll.qlInterpolationInterpolate($S$3,S37,TRUE,Trigger)</f>
        <v>2.6066500000000001</v>
      </c>
      <c r="V37" s="35" t="e">
        <f t="shared" si="7"/>
        <v>#VALUE!</v>
      </c>
      <c r="W37" s="139"/>
      <c r="X37" s="141">
        <v>2.5960700000000001</v>
      </c>
      <c r="Y37" s="139"/>
      <c r="Z37" s="35">
        <v>2.6066500000000001</v>
      </c>
      <c r="AA37" s="132">
        <f>_xll.qlSimpleQuoteSetValue(F37,Z37/100,Trigger)</f>
        <v>0</v>
      </c>
      <c r="AB37" s="27"/>
      <c r="AE37" s="170"/>
    </row>
    <row r="38" spans="1:31" x14ac:dyDescent="0.2">
      <c r="A38" s="26"/>
      <c r="B38" s="171" t="str">
        <f t="shared" si="2"/>
        <v>30Y</v>
      </c>
      <c r="C38" s="172" t="str">
        <f t="shared" si="3"/>
        <v>AM</v>
      </c>
      <c r="D38" s="172" t="str">
        <f t="shared" si="4"/>
        <v>3L</v>
      </c>
      <c r="E38" s="174" t="str">
        <f t="shared" si="0"/>
        <v>USDAM3L30Y_LCHQuote</v>
      </c>
      <c r="F38" s="174" t="str">
        <f>_xll.qlSimpleQuote(Currency&amp;$C38&amp;$D38&amp;$B38&amp;QuoteSuffix,,RateTickValue,Permanent,Trigger,ObjectOverwrite)</f>
        <v>USDAM3L30Y_LCHQuote#0002</v>
      </c>
      <c r="G38" s="175" t="str">
        <f>_xll.ohRangeRetrieveError(F38)</f>
        <v/>
      </c>
      <c r="H38" s="115"/>
      <c r="J38" s="26"/>
      <c r="K38" s="127" t="s">
        <v>28</v>
      </c>
      <c r="L38" s="201" t="s">
        <v>95</v>
      </c>
      <c r="M38" s="201" t="s">
        <v>64</v>
      </c>
      <c r="N38" s="128" t="str">
        <f t="shared" si="1"/>
        <v>USDAM3L30Y</v>
      </c>
      <c r="O38" s="128" t="str">
        <v>USDAM3L30Y=PYNY</v>
      </c>
      <c r="P38" s="370">
        <v>2.6101999999999999</v>
      </c>
      <c r="Q38" s="370">
        <v>2.6168</v>
      </c>
      <c r="R38" s="35">
        <f t="shared" si="5"/>
        <v>2.6135000000000002</v>
      </c>
      <c r="S38" s="63">
        <v>30</v>
      </c>
      <c r="T38" s="416" t="b">
        <f t="shared" si="6"/>
        <v>1</v>
      </c>
      <c r="U38" s="377">
        <f>_xll.qlInterpolationInterpolate($S$3,S38,TRUE,Trigger)</f>
        <v>2.6135000000000002</v>
      </c>
      <c r="V38" s="35">
        <f t="shared" si="7"/>
        <v>6.6000000000001613E-3</v>
      </c>
      <c r="W38" s="139"/>
      <c r="X38" s="141">
        <v>2.6025499999999999</v>
      </c>
      <c r="Y38" s="139"/>
      <c r="Z38" s="35">
        <v>2.6135000000000002</v>
      </c>
      <c r="AA38" s="132">
        <f>_xll.qlSimpleQuoteSetValue(F38,Z38/100,Trigger)</f>
        <v>0</v>
      </c>
      <c r="AB38" s="27"/>
      <c r="AE38" s="170"/>
    </row>
    <row r="39" spans="1:31" x14ac:dyDescent="0.2">
      <c r="A39" s="26"/>
      <c r="B39" s="171" t="str">
        <f t="shared" si="2"/>
        <v>35Y</v>
      </c>
      <c r="C39" s="172" t="str">
        <f t="shared" si="3"/>
        <v>AM</v>
      </c>
      <c r="D39" s="172" t="str">
        <f t="shared" si="4"/>
        <v>3L</v>
      </c>
      <c r="E39" s="174" t="str">
        <f t="shared" si="0"/>
        <v>USDAM3L35Y_LCHQuote</v>
      </c>
      <c r="F39" s="174" t="str">
        <f>_xll.qlSimpleQuote(Currency&amp;$C39&amp;$D39&amp;$B39&amp;QuoteSuffix,,RateTickValue,Permanent,Trigger,ObjectOverwrite)</f>
        <v>USDAM3L35Y_LCHQuote#0002</v>
      </c>
      <c r="G39" s="175" t="str">
        <f>_xll.ohRangeRetrieveError(F39)</f>
        <v/>
      </c>
      <c r="H39" s="115"/>
      <c r="J39" s="26"/>
      <c r="K39" s="127" t="s">
        <v>27</v>
      </c>
      <c r="L39" s="201" t="s">
        <v>95</v>
      </c>
      <c r="M39" s="201" t="s">
        <v>64</v>
      </c>
      <c r="N39" s="128" t="str">
        <f t="shared" si="1"/>
        <v>USDAM3L35Y</v>
      </c>
      <c r="O39" s="128" t="str">
        <v>USDAM3L35Y=PYNY</v>
      </c>
      <c r="P39" s="370" t="s">
        <v>213</v>
      </c>
      <c r="Q39" s="370" t="s">
        <v>213</v>
      </c>
      <c r="R39" s="35" t="e">
        <f t="shared" si="5"/>
        <v>#NUM!</v>
      </c>
      <c r="S39" s="63">
        <v>35</v>
      </c>
      <c r="T39" s="416" t="b">
        <f t="shared" si="6"/>
        <v>0</v>
      </c>
      <c r="U39" s="377">
        <f>_xll.qlInterpolationInterpolate($S$3,S39,TRUE,Trigger)</f>
        <v>2.6477500000000003</v>
      </c>
      <c r="V39" s="35" t="e">
        <f t="shared" si="7"/>
        <v>#VALUE!</v>
      </c>
      <c r="W39" s="139"/>
      <c r="X39" s="141">
        <v>2.6349499999999999</v>
      </c>
      <c r="Y39" s="139"/>
      <c r="Z39" s="35">
        <v>2.6477500000000003</v>
      </c>
      <c r="AA39" s="132">
        <f>_xll.qlSimpleQuoteSetValue(F39,Z39/100,Trigger)</f>
        <v>0</v>
      </c>
      <c r="AB39" s="27"/>
      <c r="AE39" s="170"/>
    </row>
    <row r="40" spans="1:31" x14ac:dyDescent="0.2">
      <c r="A40" s="26"/>
      <c r="B40" s="171" t="str">
        <f t="shared" si="2"/>
        <v>40Y</v>
      </c>
      <c r="C40" s="172" t="str">
        <f t="shared" si="3"/>
        <v>AM</v>
      </c>
      <c r="D40" s="172" t="str">
        <f t="shared" si="4"/>
        <v>3L</v>
      </c>
      <c r="E40" s="174" t="str">
        <f t="shared" si="0"/>
        <v>USDAM3L40Y_LCHQuote</v>
      </c>
      <c r="F40" s="174" t="str">
        <f>_xll.qlSimpleQuote(Currency&amp;$C40&amp;$D40&amp;$B40&amp;QuoteSuffix,,RateTickValue,Permanent,Trigger,ObjectOverwrite)</f>
        <v>USDAM3L40Y_LCHQuote#0002</v>
      </c>
      <c r="G40" s="175" t="str">
        <f>_xll.ohRangeRetrieveError(F40)</f>
        <v/>
      </c>
      <c r="H40" s="115"/>
      <c r="J40" s="26"/>
      <c r="K40" s="127" t="s">
        <v>26</v>
      </c>
      <c r="L40" s="201" t="s">
        <v>95</v>
      </c>
      <c r="M40" s="201" t="s">
        <v>64</v>
      </c>
      <c r="N40" s="128" t="str">
        <f t="shared" si="1"/>
        <v>USDAM3L40Y</v>
      </c>
      <c r="O40" s="128" t="str">
        <v>USDAM3L40Y=PYNY</v>
      </c>
      <c r="P40" s="370" t="s">
        <v>213</v>
      </c>
      <c r="Q40" s="370" t="s">
        <v>213</v>
      </c>
      <c r="R40" s="35" t="e">
        <f t="shared" si="5"/>
        <v>#NUM!</v>
      </c>
      <c r="S40" s="63">
        <v>40</v>
      </c>
      <c r="T40" s="416" t="b">
        <f t="shared" si="6"/>
        <v>0</v>
      </c>
      <c r="U40" s="377">
        <f>_xll.qlInterpolationInterpolate($S$3,S40,TRUE,Trigger)</f>
        <v>2.6820000000000004</v>
      </c>
      <c r="V40" s="35" t="e">
        <f t="shared" si="7"/>
        <v>#VALUE!</v>
      </c>
      <c r="W40" s="139"/>
      <c r="X40" s="141">
        <v>2.6673499999999999</v>
      </c>
      <c r="Y40" s="139"/>
      <c r="Z40" s="35">
        <v>2.6820000000000004</v>
      </c>
      <c r="AA40" s="132">
        <f>_xll.qlSimpleQuoteSetValue(F40,Z40/100,Trigger)</f>
        <v>0</v>
      </c>
      <c r="AB40" s="27"/>
      <c r="AE40" s="170"/>
    </row>
    <row r="41" spans="1:31" x14ac:dyDescent="0.2">
      <c r="A41" s="26"/>
      <c r="B41" s="171" t="str">
        <f t="shared" si="2"/>
        <v>50Y</v>
      </c>
      <c r="C41" s="172" t="str">
        <f t="shared" si="3"/>
        <v>AM</v>
      </c>
      <c r="D41" s="172" t="str">
        <f t="shared" si="4"/>
        <v>3L</v>
      </c>
      <c r="E41" s="174" t="str">
        <f t="shared" si="0"/>
        <v>USDAM3L50Y_LCHQuote</v>
      </c>
      <c r="F41" s="174" t="str">
        <f>_xll.qlSimpleQuote(Currency&amp;$C41&amp;$D41&amp;$B41&amp;QuoteSuffix,,RateTickValue,Permanent,Trigger,ObjectOverwrite)</f>
        <v>USDAM3L50Y_LCHQuote#0002</v>
      </c>
      <c r="G41" s="175" t="str">
        <f>_xll.ohRangeRetrieveError(F41)</f>
        <v/>
      </c>
      <c r="H41" s="115"/>
      <c r="J41" s="26"/>
      <c r="K41" s="127" t="s">
        <v>24</v>
      </c>
      <c r="L41" s="201" t="s">
        <v>95</v>
      </c>
      <c r="M41" s="201" t="s">
        <v>64</v>
      </c>
      <c r="N41" s="128" t="str">
        <f t="shared" si="1"/>
        <v>USDAM3L50Y</v>
      </c>
      <c r="O41" s="128" t="str">
        <v>USDAM3L50Y=PYNY</v>
      </c>
      <c r="P41" s="370" t="s">
        <v>213</v>
      </c>
      <c r="Q41" s="370" t="s">
        <v>213</v>
      </c>
      <c r="R41" s="35" t="e">
        <f t="shared" si="5"/>
        <v>#NUM!</v>
      </c>
      <c r="S41" s="63">
        <v>50</v>
      </c>
      <c r="T41" s="416" t="b">
        <f t="shared" si="6"/>
        <v>0</v>
      </c>
      <c r="U41" s="377">
        <f>_xll.qlInterpolationInterpolate($S$3,S41,TRUE,Trigger)</f>
        <v>2.7505000000000006</v>
      </c>
      <c r="V41" s="35" t="e">
        <f t="shared" si="7"/>
        <v>#VALUE!</v>
      </c>
      <c r="W41" s="139"/>
      <c r="X41" s="141">
        <v>2.7321499999999999</v>
      </c>
      <c r="Y41" s="139"/>
      <c r="Z41" s="35">
        <v>2.7505000000000006</v>
      </c>
      <c r="AA41" s="132">
        <f>_xll.qlSimpleQuoteSetValue(F41,Z41/100,Trigger)</f>
        <v>0</v>
      </c>
      <c r="AB41" s="27"/>
      <c r="AE41" s="170"/>
    </row>
    <row r="42" spans="1:31" x14ac:dyDescent="0.2">
      <c r="A42" s="26"/>
      <c r="B42" s="176" t="str">
        <f t="shared" si="2"/>
        <v>60Y</v>
      </c>
      <c r="C42" s="177" t="str">
        <f t="shared" si="3"/>
        <v>AM</v>
      </c>
      <c r="D42" s="177" t="str">
        <f t="shared" si="4"/>
        <v>3L</v>
      </c>
      <c r="E42" s="179" t="str">
        <f t="shared" si="0"/>
        <v>USDAM3L60Y_LCHQuote</v>
      </c>
      <c r="F42" s="179" t="str">
        <f>_xll.qlSimpleQuote(Currency&amp;$C42&amp;$D42&amp;$B42&amp;QuoteSuffix,,RateTickValue,Permanent,Trigger,ObjectOverwrite)</f>
        <v>USDAM3L60Y_LCHQuote#0002</v>
      </c>
      <c r="G42" s="180" t="str">
        <f>_xll.ohRangeRetrieveError(F42)</f>
        <v/>
      </c>
      <c r="H42" s="115"/>
      <c r="J42" s="26"/>
      <c r="K42" s="129" t="s">
        <v>23</v>
      </c>
      <c r="L42" s="202" t="s">
        <v>95</v>
      </c>
      <c r="M42" s="202" t="s">
        <v>64</v>
      </c>
      <c r="N42" s="130" t="str">
        <f t="shared" si="1"/>
        <v>USDAM3L60Y</v>
      </c>
      <c r="O42" s="130" t="str">
        <v>USDAM3L60Y=PYNY</v>
      </c>
      <c r="P42" s="371" t="s">
        <v>213</v>
      </c>
      <c r="Q42" s="371" t="s">
        <v>213</v>
      </c>
      <c r="R42" s="36" t="e">
        <f t="shared" si="5"/>
        <v>#NUM!</v>
      </c>
      <c r="S42" s="67">
        <v>60</v>
      </c>
      <c r="T42" s="417" t="b">
        <f t="shared" si="6"/>
        <v>0</v>
      </c>
      <c r="U42" s="378">
        <f>_xll.qlInterpolationInterpolate($S$3,S42,TRUE,Trigger)</f>
        <v>2.8190000000000008</v>
      </c>
      <c r="V42" s="36" t="e">
        <f t="shared" si="7"/>
        <v>#VALUE!</v>
      </c>
      <c r="W42" s="139"/>
      <c r="X42" s="145">
        <v>2.7969499999999998</v>
      </c>
      <c r="Y42" s="139"/>
      <c r="Z42" s="36">
        <v>2.8190000000000008</v>
      </c>
      <c r="AA42" s="133">
        <f>_xll.qlSimpleQuoteSetValue(F42,Z42/100,Trigger)</f>
        <v>0</v>
      </c>
      <c r="AB42" s="27"/>
      <c r="AE42" s="170"/>
    </row>
    <row r="43" spans="1:31" x14ac:dyDescent="0.2">
      <c r="A43" s="116"/>
      <c r="B43" s="117"/>
      <c r="C43" s="117"/>
      <c r="D43" s="117"/>
      <c r="E43" s="117"/>
      <c r="F43" s="118"/>
      <c r="G43" s="118"/>
      <c r="H43" s="119"/>
      <c r="J43" s="198"/>
      <c r="K43" s="199"/>
      <c r="L43" s="199"/>
      <c r="M43" s="199"/>
      <c r="N43" s="117"/>
      <c r="O43" s="117"/>
      <c r="P43" s="117"/>
      <c r="Q43" s="117"/>
      <c r="R43" s="117"/>
      <c r="S43" s="351"/>
      <c r="T43" s="351"/>
      <c r="U43" s="351"/>
      <c r="V43" s="117"/>
      <c r="W43" s="199"/>
      <c r="X43" s="199"/>
      <c r="Y43" s="199"/>
      <c r="Z43" s="199"/>
      <c r="AA43" s="199"/>
      <c r="AB43" s="183"/>
    </row>
  </sheetData>
  <conditionalFormatting sqref="AA5:AA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223</v>
      </c>
      <c r="K1" s="353"/>
      <c r="L1" s="353"/>
      <c r="M1" s="353"/>
      <c r="N1" s="353"/>
      <c r="O1" s="353" t="str">
        <f>VLOOKUP($J$1,AreaTable,AreaIndex,0)</f>
        <v>Tullet Prebon LN</v>
      </c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349"/>
      <c r="K2" s="343"/>
      <c r="L2" s="343"/>
      <c r="M2" s="343"/>
      <c r="N2" s="343"/>
      <c r="O2" s="186" t="s">
        <v>180</v>
      </c>
      <c r="P2" s="343"/>
      <c r="Q2" s="343"/>
      <c r="R2" s="343"/>
      <c r="S2" s="343"/>
      <c r="T2" s="343"/>
      <c r="U2" s="341"/>
      <c r="V2" s="343"/>
      <c r="W2" s="343"/>
      <c r="X2" s="343"/>
      <c r="Y2" s="343"/>
      <c r="Z2" s="348">
        <f>_xll.ohTrigger(Z5:Z42)</f>
        <v>527</v>
      </c>
      <c r="AA2" s="350"/>
    </row>
    <row r="3" spans="1:28" x14ac:dyDescent="0.2">
      <c r="A3" s="83"/>
      <c r="B3" s="341"/>
      <c r="C3" s="341"/>
      <c r="D3" s="341"/>
      <c r="E3" s="81"/>
      <c r="F3" s="94"/>
      <c r="G3" s="81"/>
      <c r="H3" s="350"/>
      <c r="J3" s="26"/>
      <c r="K3" s="343"/>
      <c r="L3" s="341"/>
      <c r="M3" s="341"/>
      <c r="N3" s="341"/>
      <c r="O3" s="343"/>
      <c r="P3" s="341"/>
      <c r="Q3" s="341"/>
      <c r="R3" s="341"/>
      <c r="S3" s="341" t="str">
        <f>_xll.qlInterpolation(,InterpolationType,_xll.ohFilter(S5:S42,T5:T42),_xll.ohFilter(R5:R42,T5:T42))</f>
        <v>obj_002a1#0525</v>
      </c>
      <c r="T3" s="341"/>
      <c r="U3" s="341"/>
      <c r="V3" s="343"/>
      <c r="W3" s="343"/>
      <c r="X3" s="343"/>
      <c r="Y3" s="341"/>
      <c r="Z3" s="343"/>
      <c r="AA3" s="27"/>
    </row>
    <row r="4" spans="1:28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350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Updated at 18:48:50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343"/>
      <c r="W4" s="37" t="s">
        <v>114</v>
      </c>
      <c r="X4" s="343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7" t="str">
        <f>K5</f>
        <v>6M</v>
      </c>
      <c r="C5" s="165" t="str">
        <f>L5</f>
        <v>3L</v>
      </c>
      <c r="D5" s="166" t="s">
        <v>226</v>
      </c>
      <c r="E5" s="167" t="str">
        <f t="shared" ref="E5:E42" si="0">IF(ISBLANK(C5),"#",Currency&amp;$C5&amp;$D5&amp;$B5&amp;QuoteSuffix)</f>
        <v>USD3LFF6M_LCHQuote</v>
      </c>
      <c r="F5" s="167" t="str">
        <f>_xll.qlSimpleQuote(E5,,RateTickValue,Permanent,Trigger,ObjectOverwrite)</f>
        <v>USD3LFF6M_LCHQuote#0002</v>
      </c>
      <c r="G5" s="208" t="str">
        <f>_xll.ohRangeRetrieveError(F5)</f>
        <v/>
      </c>
      <c r="H5" s="350"/>
      <c r="I5" s="143"/>
      <c r="J5" s="217"/>
      <c r="K5" s="127" t="s">
        <v>11</v>
      </c>
      <c r="L5" s="127" t="s">
        <v>64</v>
      </c>
      <c r="M5" s="127" t="s">
        <v>226</v>
      </c>
      <c r="N5" s="128" t="str">
        <f t="shared" ref="N5" si="1">IF(Contributor="ICAP LN",Currency&amp;$L5&amp;$M5&amp;$K5,Currency&amp;$M5&amp;$L5&amp;$K5)</f>
        <v>USDFF3L6M</v>
      </c>
      <c r="O5" s="32" t="str">
        <f t="array" ref="O5:O42">Instruments&amp;"="&amp;VLOOKUP(Contributor,ContributorTable,2,FALSE)</f>
        <v>USDFF3L6M=PYNY</v>
      </c>
      <c r="P5" s="375">
        <v>12.38</v>
      </c>
      <c r="Q5" s="375">
        <v>16.38</v>
      </c>
      <c r="R5" s="209">
        <f>_xll.qlMidEquivalent(P5,Q5)</f>
        <v>14.379999999999999</v>
      </c>
      <c r="S5" s="219">
        <v>0.5</v>
      </c>
      <c r="T5" s="35" t="b">
        <f>IF(ISNUMBER(R5),TRUE,FALSE)</f>
        <v>1</v>
      </c>
      <c r="U5" s="224">
        <f t="array" ref="U5:U38">_xll.qlInterpolationInterpolate(S3,S5:S42)</f>
        <v>14.379999999999999</v>
      </c>
      <c r="V5" s="139"/>
      <c r="W5" s="215">
        <v>14.379999999999999</v>
      </c>
      <c r="X5" s="139"/>
      <c r="Y5" s="216">
        <f t="array" ref="Y5:Y42">QuoteLive</f>
        <v>14.379999999999999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C42" si="2">K6</f>
        <v>1Y</v>
      </c>
      <c r="C6" s="172" t="str">
        <f t="shared" si="2"/>
        <v>3L</v>
      </c>
      <c r="D6" s="173" t="s">
        <v>226</v>
      </c>
      <c r="E6" s="174" t="str">
        <f t="shared" si="0"/>
        <v>USD3LFF1Y_LCHQuote</v>
      </c>
      <c r="F6" s="174" t="str">
        <f>_xll.qlSimpleQuote(E6,,RateTickValue,Permanent,Trigger,ObjectOverwrite)</f>
        <v>USD3LFF1Y_LCHQuote#0002</v>
      </c>
      <c r="G6" s="211" t="str">
        <f>_xll.ohRangeRetrieveError(F6)</f>
        <v/>
      </c>
      <c r="H6" s="350"/>
      <c r="I6" s="143"/>
      <c r="J6" s="217"/>
      <c r="K6" s="127" t="s">
        <v>5</v>
      </c>
      <c r="L6" s="127" t="s">
        <v>64</v>
      </c>
      <c r="M6" s="127" t="s">
        <v>226</v>
      </c>
      <c r="N6" s="128" t="str">
        <f t="shared" ref="N6:N42" si="3">IF(Contributor="ICAP LN",Currency&amp;$L6&amp;$M6&amp;$K6,Currency&amp;$M6&amp;$L6&amp;$K6)</f>
        <v>USDFF3L1Y</v>
      </c>
      <c r="O6" s="32" t="str">
        <v>USDFF3L1Y=PYNY</v>
      </c>
      <c r="P6" s="375">
        <v>14.38</v>
      </c>
      <c r="Q6" s="375">
        <v>18.38</v>
      </c>
      <c r="R6" s="209">
        <f>_xll.qlMidEquivalent(P6,Q6)</f>
        <v>16.38</v>
      </c>
      <c r="S6" s="219">
        <v>1</v>
      </c>
      <c r="T6" s="35" t="b">
        <f t="shared" ref="T6:T42" si="4">IF(ISNUMBER(R6),TRUE,FALSE)</f>
        <v>1</v>
      </c>
      <c r="U6" s="224">
        <v>16.38</v>
      </c>
      <c r="V6" s="139"/>
      <c r="W6" s="215">
        <v>16.38</v>
      </c>
      <c r="X6" s="139"/>
      <c r="Y6" s="209">
        <v>16.38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210" t="str">
        <f t="shared" si="2"/>
        <v>15M</v>
      </c>
      <c r="C7" s="172" t="str">
        <f t="shared" si="2"/>
        <v>3L</v>
      </c>
      <c r="D7" s="173" t="s">
        <v>226</v>
      </c>
      <c r="E7" s="174" t="str">
        <f t="shared" si="0"/>
        <v>USD3LFF15M_LCHQuote</v>
      </c>
      <c r="F7" s="174" t="str">
        <f>_xll.qlSimpleQuote(E7,,RateTickValue,Permanent,Trigger,ObjectOverwrite)</f>
        <v>USD3LFF15M_LCHQuote#0002</v>
      </c>
      <c r="G7" s="211" t="str">
        <f>_xll.ohRangeRetrieveError(F7)</f>
        <v/>
      </c>
      <c r="H7" s="350"/>
      <c r="J7" s="217"/>
      <c r="K7" s="127" t="s">
        <v>68</v>
      </c>
      <c r="L7" s="127" t="s">
        <v>64</v>
      </c>
      <c r="M7" s="127" t="s">
        <v>226</v>
      </c>
      <c r="N7" s="128" t="str">
        <f t="shared" si="3"/>
        <v>USDFF3L15M</v>
      </c>
      <c r="O7" s="32" t="str">
        <v>USDFF3L15M=PYNY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4"/>
        <v>0</v>
      </c>
      <c r="U7" s="224">
        <v>17.101082363129443</v>
      </c>
      <c r="V7" s="139"/>
      <c r="W7" s="215">
        <v>17.101082363129443</v>
      </c>
      <c r="X7" s="139"/>
      <c r="Y7" s="209">
        <v>17.101082363129443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210" t="str">
        <f t="shared" si="2"/>
        <v>18M</v>
      </c>
      <c r="C8" s="172" t="str">
        <f t="shared" si="2"/>
        <v>3L</v>
      </c>
      <c r="D8" s="173" t="s">
        <v>226</v>
      </c>
      <c r="E8" s="174" t="str">
        <f t="shared" si="0"/>
        <v>USD3LFF18M_LCHQuote</v>
      </c>
      <c r="F8" s="174" t="str">
        <f>_xll.qlSimpleQuote(E8,,RateTickValue,Permanent,Trigger,ObjectOverwrite)</f>
        <v>USD3LFF18M_LCHQuote#0002</v>
      </c>
      <c r="G8" s="211" t="str">
        <f>_xll.ohRangeRetrieveError(F8)</f>
        <v/>
      </c>
      <c r="H8" s="350"/>
      <c r="I8" s="160"/>
      <c r="J8" s="218"/>
      <c r="K8" s="127" t="s">
        <v>67</v>
      </c>
      <c r="L8" s="127" t="s">
        <v>64</v>
      </c>
      <c r="M8" s="127" t="s">
        <v>226</v>
      </c>
      <c r="N8" s="128" t="str">
        <f t="shared" si="3"/>
        <v>USDFF3L18M</v>
      </c>
      <c r="O8" s="32" t="str">
        <v>USDFF3L18M=PYNY</v>
      </c>
      <c r="P8" s="375">
        <v>15.75</v>
      </c>
      <c r="Q8" s="375">
        <v>19.75</v>
      </c>
      <c r="R8" s="209">
        <f>_xll.qlMidEquivalent(P8,Q8)</f>
        <v>17.75</v>
      </c>
      <c r="S8" s="219">
        <v>1.5</v>
      </c>
      <c r="T8" s="35" t="b">
        <f t="shared" si="4"/>
        <v>1</v>
      </c>
      <c r="U8" s="224">
        <v>17.75</v>
      </c>
      <c r="V8" s="139"/>
      <c r="W8" s="215">
        <v>17.75</v>
      </c>
      <c r="X8" s="139"/>
      <c r="Y8" s="209">
        <v>17.75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210" t="str">
        <f t="shared" si="2"/>
        <v>21M</v>
      </c>
      <c r="C9" s="172" t="str">
        <f t="shared" si="2"/>
        <v>3L</v>
      </c>
      <c r="D9" s="173" t="s">
        <v>226</v>
      </c>
      <c r="E9" s="174" t="str">
        <f t="shared" si="0"/>
        <v>USD3LFF21M_LCHQuote</v>
      </c>
      <c r="F9" s="174" t="str">
        <f>_xll.qlSimpleQuote(E9,,RateTickValue,Permanent,Trigger,ObjectOverwrite)</f>
        <v>USD3LFF21M_LCHQuote#0002</v>
      </c>
      <c r="G9" s="211" t="str">
        <f>_xll.ohRangeRetrieveError(F9)</f>
        <v/>
      </c>
      <c r="H9" s="350"/>
      <c r="I9" s="160"/>
      <c r="J9" s="218"/>
      <c r="K9" s="127" t="s">
        <v>66</v>
      </c>
      <c r="L9" s="127" t="s">
        <v>64</v>
      </c>
      <c r="M9" s="127" t="s">
        <v>226</v>
      </c>
      <c r="N9" s="128" t="str">
        <f t="shared" si="3"/>
        <v>USDFF3L21M</v>
      </c>
      <c r="O9" s="32" t="str">
        <v>USDFF3L21M=PYNY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4"/>
        <v>0</v>
      </c>
      <c r="U9" s="224">
        <v>18.461448001858709</v>
      </c>
      <c r="V9" s="139"/>
      <c r="W9" s="215">
        <v>18.461448001858709</v>
      </c>
      <c r="X9" s="139"/>
      <c r="Y9" s="209">
        <v>18.461448001858709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210" t="str">
        <f t="shared" si="2"/>
        <v>2Y</v>
      </c>
      <c r="C10" s="172" t="str">
        <f t="shared" si="2"/>
        <v>3L</v>
      </c>
      <c r="D10" s="173" t="s">
        <v>226</v>
      </c>
      <c r="E10" s="174" t="str">
        <f t="shared" si="0"/>
        <v>USD3LFF2Y_LCHQuote</v>
      </c>
      <c r="F10" s="174" t="str">
        <f>_xll.qlSimpleQuote(E10,,RateTickValue,Permanent,Trigger,ObjectOverwrite)</f>
        <v>USD3LFF2Y_LCHQuote#0002</v>
      </c>
      <c r="G10" s="211" t="str">
        <f>_xll.ohRangeRetrieveError(F10)</f>
        <v/>
      </c>
      <c r="H10" s="350"/>
      <c r="J10" s="218"/>
      <c r="K10" s="127" t="s">
        <v>56</v>
      </c>
      <c r="L10" s="127" t="s">
        <v>64</v>
      </c>
      <c r="M10" s="127" t="s">
        <v>226</v>
      </c>
      <c r="N10" s="128" t="str">
        <f t="shared" si="3"/>
        <v>USDFF3L2Y</v>
      </c>
      <c r="O10" s="32" t="str">
        <v>USDFF3L2Y=PYNY</v>
      </c>
      <c r="P10" s="375">
        <v>17.13</v>
      </c>
      <c r="Q10" s="375">
        <v>21.13</v>
      </c>
      <c r="R10" s="209">
        <f>_xll.qlMidEquivalent(P10,Q10)</f>
        <v>19.13</v>
      </c>
      <c r="S10" s="220">
        <v>2</v>
      </c>
      <c r="T10" s="35" t="b">
        <f t="shared" si="4"/>
        <v>1</v>
      </c>
      <c r="U10" s="224">
        <v>19.13</v>
      </c>
      <c r="V10" s="139"/>
      <c r="W10" s="215">
        <v>19.13</v>
      </c>
      <c r="X10" s="139"/>
      <c r="Y10" s="209">
        <v>19.13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210" t="str">
        <f t="shared" si="2"/>
        <v>3Y</v>
      </c>
      <c r="C11" s="172" t="str">
        <f t="shared" si="2"/>
        <v>3L</v>
      </c>
      <c r="D11" s="173" t="s">
        <v>226</v>
      </c>
      <c r="E11" s="174" t="str">
        <f t="shared" si="0"/>
        <v>USD3LFF3Y_LCHQuote</v>
      </c>
      <c r="F11" s="174" t="str">
        <f>_xll.qlSimpleQuote(E11,,RateTickValue,Permanent,Trigger,ObjectOverwrite)</f>
        <v>USD3LFF3Y_LCHQuote#0002</v>
      </c>
      <c r="G11" s="211" t="str">
        <f>_xll.ohRangeRetrieveError(F11)</f>
        <v/>
      </c>
      <c r="H11" s="350"/>
      <c r="J11" s="218"/>
      <c r="K11" s="127" t="s">
        <v>55</v>
      </c>
      <c r="L11" s="127" t="s">
        <v>64</v>
      </c>
      <c r="M11" s="127" t="s">
        <v>226</v>
      </c>
      <c r="N11" s="128" t="str">
        <f t="shared" si="3"/>
        <v>USDFF3L3Y</v>
      </c>
      <c r="O11" s="32" t="str">
        <v>USDFF3L3Y=PYNY</v>
      </c>
      <c r="P11" s="375">
        <v>18</v>
      </c>
      <c r="Q11" s="375">
        <v>23</v>
      </c>
      <c r="R11" s="209">
        <f>_xll.qlMidEquivalent(P11,Q11)</f>
        <v>20.5</v>
      </c>
      <c r="S11" s="220">
        <v>3</v>
      </c>
      <c r="T11" s="35" t="b">
        <f t="shared" si="4"/>
        <v>1</v>
      </c>
      <c r="U11" s="224">
        <v>20.5</v>
      </c>
      <c r="V11" s="139"/>
      <c r="W11" s="215">
        <v>20.5</v>
      </c>
      <c r="X11" s="139"/>
      <c r="Y11" s="209">
        <v>20.5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210" t="str">
        <f t="shared" si="2"/>
        <v>4Y</v>
      </c>
      <c r="C12" s="172" t="str">
        <f t="shared" si="2"/>
        <v>3L</v>
      </c>
      <c r="D12" s="173" t="s">
        <v>226</v>
      </c>
      <c r="E12" s="174" t="str">
        <f t="shared" si="0"/>
        <v>USD3LFF4Y_LCHQuote</v>
      </c>
      <c r="F12" s="174" t="str">
        <f>_xll.qlSimpleQuote(E12,,RateTickValue,Permanent,Trigger,ObjectOverwrite)</f>
        <v>USD3LFF4Y_LCHQuote#0002</v>
      </c>
      <c r="G12" s="211" t="str">
        <f>_xll.ohRangeRetrieveError(F12)</f>
        <v/>
      </c>
      <c r="H12" s="350"/>
      <c r="J12" s="218"/>
      <c r="K12" s="127" t="s">
        <v>54</v>
      </c>
      <c r="L12" s="127" t="s">
        <v>64</v>
      </c>
      <c r="M12" s="127" t="s">
        <v>226</v>
      </c>
      <c r="N12" s="128" t="str">
        <f t="shared" si="3"/>
        <v>USDFF3L4Y</v>
      </c>
      <c r="O12" s="32" t="str">
        <v>USDFF3L4Y=PYNY</v>
      </c>
      <c r="P12" s="375">
        <v>19.13</v>
      </c>
      <c r="Q12" s="375">
        <v>24.13</v>
      </c>
      <c r="R12" s="209">
        <f>_xll.qlMidEquivalent(P12,Q12)</f>
        <v>21.63</v>
      </c>
      <c r="S12" s="220">
        <v>4</v>
      </c>
      <c r="T12" s="35" t="b">
        <f t="shared" si="4"/>
        <v>1</v>
      </c>
      <c r="U12" s="224">
        <v>21.63</v>
      </c>
      <c r="V12" s="139"/>
      <c r="W12" s="215">
        <v>21.63</v>
      </c>
      <c r="X12" s="139"/>
      <c r="Y12" s="209">
        <v>21.63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210" t="str">
        <f t="shared" si="2"/>
        <v>5Y</v>
      </c>
      <c r="C13" s="172" t="str">
        <f t="shared" si="2"/>
        <v>3L</v>
      </c>
      <c r="D13" s="173" t="s">
        <v>226</v>
      </c>
      <c r="E13" s="174" t="str">
        <f t="shared" si="0"/>
        <v>USD3LFF5Y_LCHQuote</v>
      </c>
      <c r="F13" s="174" t="str">
        <f>_xll.qlSimpleQuote(E13,,RateTickValue,Permanent,Trigger,ObjectOverwrite)</f>
        <v>USD3LFF5Y_LCHQuote#0002</v>
      </c>
      <c r="G13" s="211" t="str">
        <f>_xll.ohRangeRetrieveError(F13)</f>
        <v/>
      </c>
      <c r="H13" s="350"/>
      <c r="J13" s="218"/>
      <c r="K13" s="127" t="s">
        <v>53</v>
      </c>
      <c r="L13" s="127" t="s">
        <v>64</v>
      </c>
      <c r="M13" s="127" t="s">
        <v>226</v>
      </c>
      <c r="N13" s="128" t="str">
        <f t="shared" si="3"/>
        <v>USDFF3L5Y</v>
      </c>
      <c r="O13" s="32" t="str">
        <v>USDFF3L5Y=PYNY</v>
      </c>
      <c r="P13" s="375">
        <v>19.88</v>
      </c>
      <c r="Q13" s="375">
        <v>24.88</v>
      </c>
      <c r="R13" s="209">
        <f>_xll.qlMidEquivalent(P13,Q13)</f>
        <v>22.38</v>
      </c>
      <c r="S13" s="220">
        <v>5</v>
      </c>
      <c r="T13" s="35" t="b">
        <f t="shared" si="4"/>
        <v>1</v>
      </c>
      <c r="U13" s="224">
        <v>22.38</v>
      </c>
      <c r="V13" s="139"/>
      <c r="W13" s="215">
        <v>22.38</v>
      </c>
      <c r="X13" s="139"/>
      <c r="Y13" s="209">
        <v>22.38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210" t="str">
        <f t="shared" si="2"/>
        <v>6Y</v>
      </c>
      <c r="C14" s="172" t="str">
        <f t="shared" si="2"/>
        <v>3L</v>
      </c>
      <c r="D14" s="173" t="s">
        <v>226</v>
      </c>
      <c r="E14" s="174" t="str">
        <f t="shared" si="0"/>
        <v>USD3LFF6Y_LCHQuote</v>
      </c>
      <c r="F14" s="174" t="str">
        <f>_xll.qlSimpleQuote(E14,,RateTickValue,Permanent,Trigger,ObjectOverwrite)</f>
        <v>USD3LFF6Y_LCHQuote#0002</v>
      </c>
      <c r="G14" s="211" t="str">
        <f>_xll.ohRangeRetrieveError(F14)</f>
        <v/>
      </c>
      <c r="H14" s="350"/>
      <c r="J14" s="218"/>
      <c r="K14" s="127" t="s">
        <v>52</v>
      </c>
      <c r="L14" s="127" t="s">
        <v>64</v>
      </c>
      <c r="M14" s="127" t="s">
        <v>226</v>
      </c>
      <c r="N14" s="128" t="str">
        <f t="shared" si="3"/>
        <v>USDFF3L6Y</v>
      </c>
      <c r="O14" s="32" t="str">
        <v>USDFF3L6Y=PYNY</v>
      </c>
      <c r="P14" s="375">
        <v>20.63</v>
      </c>
      <c r="Q14" s="375">
        <v>25.63</v>
      </c>
      <c r="R14" s="209">
        <f>_xll.qlMidEquivalent(P14,Q14)</f>
        <v>23.13</v>
      </c>
      <c r="S14" s="220">
        <v>6</v>
      </c>
      <c r="T14" s="35" t="b">
        <f t="shared" si="4"/>
        <v>1</v>
      </c>
      <c r="U14" s="224">
        <v>23.13</v>
      </c>
      <c r="V14" s="139"/>
      <c r="W14" s="215">
        <v>23.13</v>
      </c>
      <c r="X14" s="139"/>
      <c r="Y14" s="209">
        <v>23.13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210" t="str">
        <f t="shared" si="2"/>
        <v>7Y</v>
      </c>
      <c r="C15" s="172" t="str">
        <f t="shared" si="2"/>
        <v>3L</v>
      </c>
      <c r="D15" s="173" t="s">
        <v>226</v>
      </c>
      <c r="E15" s="174" t="str">
        <f t="shared" si="0"/>
        <v>USD3LFF7Y_LCHQuote</v>
      </c>
      <c r="F15" s="174" t="str">
        <f>_xll.qlSimpleQuote(E15,,RateTickValue,Permanent,Trigger,ObjectOverwrite)</f>
        <v>USD3LFF7Y_LCHQuote#0002</v>
      </c>
      <c r="G15" s="211" t="str">
        <f>_xll.ohRangeRetrieveError(F15)</f>
        <v/>
      </c>
      <c r="H15" s="350"/>
      <c r="J15" s="218"/>
      <c r="K15" s="127" t="s">
        <v>51</v>
      </c>
      <c r="L15" s="127" t="s">
        <v>64</v>
      </c>
      <c r="M15" s="127" t="s">
        <v>226</v>
      </c>
      <c r="N15" s="128" t="str">
        <f t="shared" si="3"/>
        <v>USDFF3L7Y</v>
      </c>
      <c r="O15" s="32" t="str">
        <v>USDFF3L7Y=PYNY</v>
      </c>
      <c r="P15" s="375">
        <v>21</v>
      </c>
      <c r="Q15" s="375">
        <v>26</v>
      </c>
      <c r="R15" s="209">
        <f>_xll.qlMidEquivalent(P15,Q15)</f>
        <v>23.5</v>
      </c>
      <c r="S15" s="220">
        <v>7</v>
      </c>
      <c r="T15" s="35" t="b">
        <f t="shared" si="4"/>
        <v>1</v>
      </c>
      <c r="U15" s="224">
        <v>23.5</v>
      </c>
      <c r="V15" s="139"/>
      <c r="W15" s="215">
        <v>23.5</v>
      </c>
      <c r="X15" s="139"/>
      <c r="Y15" s="209">
        <v>23.5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210" t="str">
        <f t="shared" si="2"/>
        <v>8Y</v>
      </c>
      <c r="C16" s="172" t="str">
        <f t="shared" si="2"/>
        <v>3L</v>
      </c>
      <c r="D16" s="173" t="s">
        <v>226</v>
      </c>
      <c r="E16" s="174" t="str">
        <f t="shared" si="0"/>
        <v>USD3LFF8Y_LCHQuote</v>
      </c>
      <c r="F16" s="174" t="str">
        <f>_xll.qlSimpleQuote(E16,,RateTickValue,Permanent,Trigger,ObjectOverwrite)</f>
        <v>USD3LFF8Y_LCHQuote#0002</v>
      </c>
      <c r="G16" s="211" t="str">
        <f>_xll.ohRangeRetrieveError(F16)</f>
        <v/>
      </c>
      <c r="H16" s="350"/>
      <c r="J16" s="218"/>
      <c r="K16" s="127" t="s">
        <v>50</v>
      </c>
      <c r="L16" s="127" t="s">
        <v>64</v>
      </c>
      <c r="M16" s="127" t="s">
        <v>226</v>
      </c>
      <c r="N16" s="128" t="str">
        <f t="shared" si="3"/>
        <v>USDFF3L8Y</v>
      </c>
      <c r="O16" s="32" t="str">
        <v>USDFF3L8Y=PYNY</v>
      </c>
      <c r="P16" s="375">
        <v>21.13</v>
      </c>
      <c r="Q16" s="375">
        <v>26.13</v>
      </c>
      <c r="R16" s="209">
        <f>_xll.qlMidEquivalent(P16,Q16)</f>
        <v>23.63</v>
      </c>
      <c r="S16" s="220">
        <v>8</v>
      </c>
      <c r="T16" s="35" t="b">
        <f t="shared" si="4"/>
        <v>1</v>
      </c>
      <c r="U16" s="224">
        <v>23.63</v>
      </c>
      <c r="V16" s="139"/>
      <c r="W16" s="215">
        <v>23.63</v>
      </c>
      <c r="X16" s="139"/>
      <c r="Y16" s="209">
        <v>23.63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210" t="str">
        <f t="shared" si="2"/>
        <v>9Y</v>
      </c>
      <c r="C17" s="172" t="str">
        <f t="shared" si="2"/>
        <v>3L</v>
      </c>
      <c r="D17" s="173" t="s">
        <v>226</v>
      </c>
      <c r="E17" s="174" t="str">
        <f t="shared" si="0"/>
        <v>USD3LFF9Y_LCHQuote</v>
      </c>
      <c r="F17" s="174" t="str">
        <f>_xll.qlSimpleQuote(E17,,RateTickValue,Permanent,Trigger,ObjectOverwrite)</f>
        <v>USD3LFF9Y_LCHQuote#0002</v>
      </c>
      <c r="G17" s="211" t="str">
        <f>_xll.ohRangeRetrieveError(F17)</f>
        <v/>
      </c>
      <c r="H17" s="350"/>
      <c r="J17" s="218"/>
      <c r="K17" s="127" t="s">
        <v>49</v>
      </c>
      <c r="L17" s="127" t="s">
        <v>64</v>
      </c>
      <c r="M17" s="127" t="s">
        <v>226</v>
      </c>
      <c r="N17" s="128" t="str">
        <f t="shared" si="3"/>
        <v>USDFF3L9Y</v>
      </c>
      <c r="O17" s="32" t="str">
        <v>USDFF3L9Y=PYNY</v>
      </c>
      <c r="P17" s="375">
        <v>21.38</v>
      </c>
      <c r="Q17" s="375">
        <v>26.38</v>
      </c>
      <c r="R17" s="209">
        <f>_xll.qlMidEquivalent(P17,Q17)</f>
        <v>23.88</v>
      </c>
      <c r="S17" s="220">
        <v>9</v>
      </c>
      <c r="T17" s="35" t="b">
        <f t="shared" si="4"/>
        <v>1</v>
      </c>
      <c r="U17" s="224">
        <v>23.88</v>
      </c>
      <c r="V17" s="139"/>
      <c r="W17" s="215">
        <v>23.88</v>
      </c>
      <c r="X17" s="139"/>
      <c r="Y17" s="209">
        <v>23.88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210" t="str">
        <f t="shared" si="2"/>
        <v>10Y</v>
      </c>
      <c r="C18" s="172" t="str">
        <f t="shared" si="2"/>
        <v>3L</v>
      </c>
      <c r="D18" s="173" t="s">
        <v>226</v>
      </c>
      <c r="E18" s="174" t="str">
        <f t="shared" si="0"/>
        <v>USD3LFF10Y_LCHQuote</v>
      </c>
      <c r="F18" s="174" t="str">
        <f>_xll.qlSimpleQuote(E18,,RateTickValue,Permanent,Trigger,ObjectOverwrite)</f>
        <v>USD3LFF10Y_LCHQuote#0002</v>
      </c>
      <c r="G18" s="211" t="str">
        <f>_xll.ohRangeRetrieveError(F18)</f>
        <v/>
      </c>
      <c r="H18" s="350"/>
      <c r="J18" s="218"/>
      <c r="K18" s="127" t="s">
        <v>48</v>
      </c>
      <c r="L18" s="127" t="s">
        <v>64</v>
      </c>
      <c r="M18" s="127" t="s">
        <v>226</v>
      </c>
      <c r="N18" s="128" t="str">
        <f t="shared" si="3"/>
        <v>USDFF3L10Y</v>
      </c>
      <c r="O18" s="32" t="str">
        <v>USDFF3L10Y=PYNY</v>
      </c>
      <c r="P18" s="375">
        <v>21.38</v>
      </c>
      <c r="Q18" s="375">
        <v>26.38</v>
      </c>
      <c r="R18" s="209">
        <f>_xll.qlMidEquivalent(P18,Q18)</f>
        <v>23.88</v>
      </c>
      <c r="S18" s="220">
        <v>10</v>
      </c>
      <c r="T18" s="35" t="b">
        <f t="shared" si="4"/>
        <v>1</v>
      </c>
      <c r="U18" s="224">
        <v>23.88</v>
      </c>
      <c r="V18" s="139"/>
      <c r="W18" s="215">
        <v>23.88</v>
      </c>
      <c r="X18" s="139"/>
      <c r="Y18" s="209">
        <v>23.88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210" t="str">
        <f t="shared" si="2"/>
        <v>11Y</v>
      </c>
      <c r="C19" s="172" t="str">
        <f t="shared" si="2"/>
        <v>3L</v>
      </c>
      <c r="D19" s="173" t="s">
        <v>226</v>
      </c>
      <c r="E19" s="174" t="str">
        <f t="shared" si="0"/>
        <v>USD3LFF11Y_LCHQuote</v>
      </c>
      <c r="F19" s="174" t="str">
        <f>_xll.qlSimpleQuote(E19,,RateTickValue,Permanent,Trigger,ObjectOverwrite)</f>
        <v>USD3LFF11Y_LCHQuote#0002</v>
      </c>
      <c r="G19" s="211" t="str">
        <f>_xll.ohRangeRetrieveError(F19)</f>
        <v/>
      </c>
      <c r="H19" s="350"/>
      <c r="J19" s="218"/>
      <c r="K19" s="127" t="s">
        <v>47</v>
      </c>
      <c r="L19" s="127" t="s">
        <v>64</v>
      </c>
      <c r="M19" s="127" t="s">
        <v>226</v>
      </c>
      <c r="N19" s="128" t="str">
        <f t="shared" si="3"/>
        <v>USDFF3L11Y</v>
      </c>
      <c r="O19" s="32" t="str">
        <v>USDFF3L11Y=PYNY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4"/>
        <v>0</v>
      </c>
      <c r="U19" s="224">
        <v>23.909811741455464</v>
      </c>
      <c r="V19" s="139"/>
      <c r="W19" s="215">
        <v>23.909811741455464</v>
      </c>
      <c r="X19" s="139"/>
      <c r="Y19" s="209">
        <v>23.909811741455464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210" t="str">
        <f t="shared" si="2"/>
        <v>12Y</v>
      </c>
      <c r="C20" s="172" t="str">
        <f t="shared" si="2"/>
        <v>3L</v>
      </c>
      <c r="D20" s="173" t="s">
        <v>226</v>
      </c>
      <c r="E20" s="174" t="str">
        <f t="shared" si="0"/>
        <v>USD3LFF12Y_LCHQuote</v>
      </c>
      <c r="F20" s="174" t="str">
        <f>_xll.qlSimpleQuote(E20,,RateTickValue,Permanent,Trigger,ObjectOverwrite)</f>
        <v>USD3LFF12Y_LCHQuote#0002</v>
      </c>
      <c r="G20" s="211" t="str">
        <f>_xll.ohRangeRetrieveError(F20)</f>
        <v/>
      </c>
      <c r="H20" s="350"/>
      <c r="J20" s="218"/>
      <c r="K20" s="127" t="s">
        <v>46</v>
      </c>
      <c r="L20" s="127" t="s">
        <v>64</v>
      </c>
      <c r="M20" s="127" t="s">
        <v>226</v>
      </c>
      <c r="N20" s="128" t="str">
        <f t="shared" si="3"/>
        <v>USDFF3L12Y</v>
      </c>
      <c r="O20" s="32" t="str">
        <v>USDFF3L12Y=PYNY</v>
      </c>
      <c r="P20" s="375">
        <v>21.5</v>
      </c>
      <c r="Q20" s="375">
        <v>26.5</v>
      </c>
      <c r="R20" s="209">
        <f>_xll.qlMidEquivalent(P20,Q20)</f>
        <v>24</v>
      </c>
      <c r="S20" s="220">
        <v>12</v>
      </c>
      <c r="T20" s="35" t="b">
        <f t="shared" si="4"/>
        <v>1</v>
      </c>
      <c r="U20" s="224">
        <v>24</v>
      </c>
      <c r="V20" s="139"/>
      <c r="W20" s="215">
        <v>24</v>
      </c>
      <c r="X20" s="139"/>
      <c r="Y20" s="209">
        <v>24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210" t="str">
        <f t="shared" si="2"/>
        <v>13Y</v>
      </c>
      <c r="C21" s="172" t="str">
        <f t="shared" si="2"/>
        <v>3L</v>
      </c>
      <c r="D21" s="173" t="s">
        <v>226</v>
      </c>
      <c r="E21" s="174" t="str">
        <f t="shared" si="0"/>
        <v>USD3LFF13Y_LCHQuote</v>
      </c>
      <c r="F21" s="174" t="str">
        <f>_xll.qlSimpleQuote(E21,,RateTickValue,Permanent,Trigger,ObjectOverwrite)</f>
        <v>USD3LFF13Y_LCHQuote#0002</v>
      </c>
      <c r="G21" s="211" t="str">
        <f>_xll.ohRangeRetrieveError(F21)</f>
        <v/>
      </c>
      <c r="H21" s="350"/>
      <c r="J21" s="218"/>
      <c r="K21" s="127" t="s">
        <v>45</v>
      </c>
      <c r="L21" s="127" t="s">
        <v>64</v>
      </c>
      <c r="M21" s="127" t="s">
        <v>226</v>
      </c>
      <c r="N21" s="128" t="str">
        <f t="shared" si="3"/>
        <v>USDFF3L13Y</v>
      </c>
      <c r="O21" s="32" t="str">
        <v>USDFF3L13Y=PYNY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4"/>
        <v>0</v>
      </c>
      <c r="U21" s="224">
        <v>24.129023605125489</v>
      </c>
      <c r="V21" s="139"/>
      <c r="W21" s="215">
        <v>24.129023605125489</v>
      </c>
      <c r="X21" s="139"/>
      <c r="Y21" s="209">
        <v>24.129023605125489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210" t="str">
        <f t="shared" si="2"/>
        <v>14Y</v>
      </c>
      <c r="C22" s="172" t="str">
        <f t="shared" si="2"/>
        <v>3L</v>
      </c>
      <c r="D22" s="173" t="s">
        <v>226</v>
      </c>
      <c r="E22" s="174" t="str">
        <f t="shared" si="0"/>
        <v>USD3LFF14Y_LCHQuote</v>
      </c>
      <c r="F22" s="174" t="str">
        <f>_xll.qlSimpleQuote(E22,,RateTickValue,Permanent,Trigger,ObjectOverwrite)</f>
        <v>USD3LFF14Y_LCHQuote#0002</v>
      </c>
      <c r="G22" s="211" t="str">
        <f>_xll.ohRangeRetrieveError(F22)</f>
        <v/>
      </c>
      <c r="H22" s="350"/>
      <c r="J22" s="218"/>
      <c r="K22" s="127" t="s">
        <v>44</v>
      </c>
      <c r="L22" s="127" t="s">
        <v>64</v>
      </c>
      <c r="M22" s="127" t="s">
        <v>226</v>
      </c>
      <c r="N22" s="128" t="str">
        <f t="shared" si="3"/>
        <v>USDFF3L14Y</v>
      </c>
      <c r="O22" s="32" t="str">
        <v>USDFF3L14Y=PYNY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4"/>
        <v>0</v>
      </c>
      <c r="U22" s="224">
        <v>24.261989631909994</v>
      </c>
      <c r="V22" s="139"/>
      <c r="W22" s="215">
        <v>24.261989631909994</v>
      </c>
      <c r="X22" s="139"/>
      <c r="Y22" s="209">
        <v>24.261989631909994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210" t="str">
        <f t="shared" si="2"/>
        <v>15Y</v>
      </c>
      <c r="C23" s="172" t="str">
        <f t="shared" si="2"/>
        <v>3L</v>
      </c>
      <c r="D23" s="173" t="s">
        <v>226</v>
      </c>
      <c r="E23" s="174" t="str">
        <f t="shared" si="0"/>
        <v>USD3LFF15Y_LCHQuote</v>
      </c>
      <c r="F23" s="174" t="str">
        <f>_xll.qlSimpleQuote(E23,,RateTickValue,Permanent,Trigger,ObjectOverwrite)</f>
        <v>USD3LFF15Y_LCHQuote#0002</v>
      </c>
      <c r="G23" s="211" t="str">
        <f>_xll.ohRangeRetrieveError(F23)</f>
        <v/>
      </c>
      <c r="H23" s="350"/>
      <c r="J23" s="218"/>
      <c r="K23" s="127" t="s">
        <v>43</v>
      </c>
      <c r="L23" s="127" t="s">
        <v>64</v>
      </c>
      <c r="M23" s="127" t="s">
        <v>226</v>
      </c>
      <c r="N23" s="128" t="str">
        <f t="shared" si="3"/>
        <v>USDFF3L15Y</v>
      </c>
      <c r="O23" s="32" t="str">
        <v>USDFF3L15Y=PYNY</v>
      </c>
      <c r="P23" s="375">
        <v>21.88</v>
      </c>
      <c r="Q23" s="375">
        <v>26.88</v>
      </c>
      <c r="R23" s="209">
        <f>_xll.qlMidEquivalent(P23,Q23)</f>
        <v>24.38</v>
      </c>
      <c r="S23" s="220">
        <v>15</v>
      </c>
      <c r="T23" s="35" t="b">
        <f t="shared" si="4"/>
        <v>1</v>
      </c>
      <c r="U23" s="224">
        <v>24.38</v>
      </c>
      <c r="V23" s="139"/>
      <c r="W23" s="215">
        <v>24.38</v>
      </c>
      <c r="X23" s="139"/>
      <c r="Y23" s="209">
        <v>24.38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210" t="str">
        <f t="shared" si="2"/>
        <v>16Y</v>
      </c>
      <c r="C24" s="172" t="str">
        <f t="shared" si="2"/>
        <v>3L</v>
      </c>
      <c r="D24" s="173" t="s">
        <v>226</v>
      </c>
      <c r="E24" s="174" t="str">
        <f t="shared" si="0"/>
        <v>USD3LFF16Y_LCHQuote</v>
      </c>
      <c r="F24" s="174" t="str">
        <f>_xll.qlSimpleQuote(E24,,RateTickValue,Permanent,Trigger,ObjectOverwrite)</f>
        <v>USD3LFF16Y_LCHQuote#0002</v>
      </c>
      <c r="G24" s="211" t="str">
        <f>_xll.ohRangeRetrieveError(F24)</f>
        <v/>
      </c>
      <c r="H24" s="350"/>
      <c r="J24" s="218"/>
      <c r="K24" s="127" t="s">
        <v>42</v>
      </c>
      <c r="L24" s="127" t="s">
        <v>64</v>
      </c>
      <c r="M24" s="127" t="s">
        <v>226</v>
      </c>
      <c r="N24" s="128" t="str">
        <f t="shared" si="3"/>
        <v>USDFF3L16Y</v>
      </c>
      <c r="O24" s="32" t="str">
        <v>USDFF3L16Y=PYNY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4"/>
        <v>0</v>
      </c>
      <c r="U24" s="224">
        <v>24.46852235586071</v>
      </c>
      <c r="V24" s="139"/>
      <c r="W24" s="215">
        <v>24.46852235586071</v>
      </c>
      <c r="X24" s="139"/>
      <c r="Y24" s="209">
        <v>24.46852235586071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210" t="str">
        <f t="shared" si="2"/>
        <v>17Y</v>
      </c>
      <c r="C25" s="172" t="str">
        <f t="shared" si="2"/>
        <v>3L</v>
      </c>
      <c r="D25" s="173" t="s">
        <v>226</v>
      </c>
      <c r="E25" s="174" t="str">
        <f t="shared" si="0"/>
        <v>USD3LFF17Y_LCHQuote</v>
      </c>
      <c r="F25" s="174" t="str">
        <f>_xll.qlSimpleQuote(E25,,RateTickValue,Permanent,Trigger,ObjectOverwrite)</f>
        <v>USD3LFF17Y_LCHQuote#0002</v>
      </c>
      <c r="G25" s="211" t="str">
        <f>_xll.ohRangeRetrieveError(F25)</f>
        <v/>
      </c>
      <c r="H25" s="350"/>
      <c r="J25" s="218"/>
      <c r="K25" s="127" t="s">
        <v>41</v>
      </c>
      <c r="L25" s="127" t="s">
        <v>64</v>
      </c>
      <c r="M25" s="127" t="s">
        <v>226</v>
      </c>
      <c r="N25" s="128" t="str">
        <f t="shared" si="3"/>
        <v>USDFF3L17Y</v>
      </c>
      <c r="O25" s="32" t="str">
        <v>USDFF3L17Y=PYNY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4"/>
        <v>0</v>
      </c>
      <c r="U25" s="224">
        <v>24.530487253232234</v>
      </c>
      <c r="V25" s="139"/>
      <c r="W25" s="215">
        <v>24.530487253232234</v>
      </c>
      <c r="X25" s="139"/>
      <c r="Y25" s="209">
        <v>24.530487253232234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210" t="str">
        <f t="shared" si="2"/>
        <v>18Y</v>
      </c>
      <c r="C26" s="172" t="str">
        <f t="shared" si="2"/>
        <v>3L</v>
      </c>
      <c r="D26" s="173" t="s">
        <v>226</v>
      </c>
      <c r="E26" s="174" t="str">
        <f t="shared" si="0"/>
        <v>USD3LFF18Y_LCHQuote</v>
      </c>
      <c r="F26" s="174" t="str">
        <f>_xll.qlSimpleQuote(E26,,RateTickValue,Permanent,Trigger,ObjectOverwrite)</f>
        <v>USD3LFF18Y_LCHQuote#0002</v>
      </c>
      <c r="G26" s="211" t="str">
        <f>_xll.ohRangeRetrieveError(F26)</f>
        <v/>
      </c>
      <c r="H26" s="350"/>
      <c r="J26" s="218"/>
      <c r="K26" s="127" t="s">
        <v>40</v>
      </c>
      <c r="L26" s="127" t="s">
        <v>64</v>
      </c>
      <c r="M26" s="127" t="s">
        <v>226</v>
      </c>
      <c r="N26" s="128" t="str">
        <f t="shared" si="3"/>
        <v>USDFF3L18Y</v>
      </c>
      <c r="O26" s="32" t="str">
        <v>USDFF3L18Y=PYNY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4"/>
        <v>0</v>
      </c>
      <c r="U26" s="224">
        <v>24.573190972673402</v>
      </c>
      <c r="V26" s="139"/>
      <c r="W26" s="215">
        <v>24.573190972673402</v>
      </c>
      <c r="X26" s="139"/>
      <c r="Y26" s="209">
        <v>24.573190972673402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210" t="str">
        <f t="shared" si="2"/>
        <v>19Y</v>
      </c>
      <c r="C27" s="172" t="str">
        <f t="shared" si="2"/>
        <v>3L</v>
      </c>
      <c r="D27" s="173" t="s">
        <v>226</v>
      </c>
      <c r="E27" s="174" t="str">
        <f t="shared" si="0"/>
        <v>USD3LFF19Y_LCHQuote</v>
      </c>
      <c r="F27" s="174" t="str">
        <f>_xll.qlSimpleQuote(E27,,RateTickValue,Permanent,Trigger,ObjectOverwrite)</f>
        <v>USD3LFF19Y_LCHQuote#0002</v>
      </c>
      <c r="G27" s="211" t="str">
        <f>_xll.ohRangeRetrieveError(F27)</f>
        <v/>
      </c>
      <c r="H27" s="350"/>
      <c r="J27" s="218"/>
      <c r="K27" s="127" t="s">
        <v>39</v>
      </c>
      <c r="L27" s="127" t="s">
        <v>64</v>
      </c>
      <c r="M27" s="127" t="s">
        <v>226</v>
      </c>
      <c r="N27" s="128" t="str">
        <f t="shared" si="3"/>
        <v>USDFF3L19Y</v>
      </c>
      <c r="O27" s="32" t="str">
        <v>USDFF3L19Y=PYNY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4"/>
        <v>0</v>
      </c>
      <c r="U27" s="224">
        <v>24.603929794743049</v>
      </c>
      <c r="V27" s="139"/>
      <c r="W27" s="215">
        <v>24.603929794743049</v>
      </c>
      <c r="X27" s="139"/>
      <c r="Y27" s="209">
        <v>24.603929794743049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210" t="str">
        <f t="shared" si="2"/>
        <v>20Y</v>
      </c>
      <c r="C28" s="172" t="str">
        <f t="shared" si="2"/>
        <v>3L</v>
      </c>
      <c r="D28" s="173" t="s">
        <v>226</v>
      </c>
      <c r="E28" s="174" t="str">
        <f t="shared" si="0"/>
        <v>USD3LFF20Y_LCHQuote</v>
      </c>
      <c r="F28" s="174" t="str">
        <f>_xll.qlSimpleQuote(E28,,RateTickValue,Permanent,Trigger,ObjectOverwrite)</f>
        <v>USD3LFF20Y_LCHQuote#0002</v>
      </c>
      <c r="G28" s="211" t="str">
        <f>_xll.ohRangeRetrieveError(F28)</f>
        <v/>
      </c>
      <c r="H28" s="350"/>
      <c r="J28" s="218"/>
      <c r="K28" s="127" t="s">
        <v>38</v>
      </c>
      <c r="L28" s="127" t="s">
        <v>64</v>
      </c>
      <c r="M28" s="127" t="s">
        <v>226</v>
      </c>
      <c r="N28" s="128" t="str">
        <f t="shared" si="3"/>
        <v>USDFF3L20Y</v>
      </c>
      <c r="O28" s="32" t="str">
        <v>USDFF3L20Y=PYNY</v>
      </c>
      <c r="P28" s="375">
        <v>22.13</v>
      </c>
      <c r="Q28" s="375">
        <v>27.13</v>
      </c>
      <c r="R28" s="209">
        <f>_xll.qlMidEquivalent(P28,Q28)</f>
        <v>24.63</v>
      </c>
      <c r="S28" s="220">
        <v>20</v>
      </c>
      <c r="T28" s="35" t="b">
        <f t="shared" si="4"/>
        <v>1</v>
      </c>
      <c r="U28" s="224">
        <v>24.63</v>
      </c>
      <c r="V28" s="139"/>
      <c r="W28" s="215">
        <v>24.63</v>
      </c>
      <c r="X28" s="139"/>
      <c r="Y28" s="209">
        <v>24.63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210" t="str">
        <f t="shared" si="2"/>
        <v>21Y</v>
      </c>
      <c r="C29" s="172" t="str">
        <f t="shared" si="2"/>
        <v>3L</v>
      </c>
      <c r="D29" s="173" t="s">
        <v>226</v>
      </c>
      <c r="E29" s="174" t="str">
        <f t="shared" si="0"/>
        <v>USD3LFF21Y_LCHQuote</v>
      </c>
      <c r="F29" s="174" t="str">
        <f>_xll.qlSimpleQuote(E29,,RateTickValue,Permanent,Trigger,ObjectOverwrite)</f>
        <v>USD3LFF21Y_LCHQuote#0002</v>
      </c>
      <c r="G29" s="211" t="str">
        <f>_xll.ohRangeRetrieveError(F29)</f>
        <v/>
      </c>
      <c r="H29" s="350"/>
      <c r="J29" s="218"/>
      <c r="K29" s="127" t="s">
        <v>37</v>
      </c>
      <c r="L29" s="127" t="s">
        <v>64</v>
      </c>
      <c r="M29" s="127" t="s">
        <v>226</v>
      </c>
      <c r="N29" s="128" t="str">
        <f t="shared" si="3"/>
        <v>USDFF3L21Y</v>
      </c>
      <c r="O29" s="32" t="str">
        <v>USDFF3L21Y=PYNY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4"/>
        <v>0</v>
      </c>
      <c r="U29" s="224">
        <v>24.659227513836935</v>
      </c>
      <c r="V29" s="139"/>
      <c r="W29" s="215">
        <v>24.659227513836935</v>
      </c>
      <c r="X29" s="139"/>
      <c r="Y29" s="209">
        <v>24.659227513836935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210" t="str">
        <f t="shared" si="2"/>
        <v>22Y</v>
      </c>
      <c r="C30" s="172" t="str">
        <f t="shared" si="2"/>
        <v>3L</v>
      </c>
      <c r="D30" s="173" t="s">
        <v>226</v>
      </c>
      <c r="E30" s="174" t="str">
        <f t="shared" si="0"/>
        <v>USD3LFF22Y_LCHQuote</v>
      </c>
      <c r="F30" s="174" t="str">
        <f>_xll.qlSimpleQuote(E30,,RateTickValue,Permanent,Trigger,ObjectOverwrite)</f>
        <v>USD3LFF22Y_LCHQuote#0002</v>
      </c>
      <c r="G30" s="211" t="str">
        <f>_xll.ohRangeRetrieveError(F30)</f>
        <v/>
      </c>
      <c r="H30" s="350"/>
      <c r="J30" s="218"/>
      <c r="K30" s="127" t="s">
        <v>36</v>
      </c>
      <c r="L30" s="127" t="s">
        <v>64</v>
      </c>
      <c r="M30" s="127" t="s">
        <v>226</v>
      </c>
      <c r="N30" s="128" t="str">
        <f t="shared" si="3"/>
        <v>USDFF3L22Y</v>
      </c>
      <c r="O30" s="32" t="str">
        <v>USDFF3L22Y=PYNY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4"/>
        <v>0</v>
      </c>
      <c r="U30" s="224">
        <v>24.691080953066553</v>
      </c>
      <c r="V30" s="139"/>
      <c r="W30" s="215">
        <v>24.691080953066553</v>
      </c>
      <c r="X30" s="139"/>
      <c r="Y30" s="209">
        <v>24.691080953066553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210" t="str">
        <f t="shared" si="2"/>
        <v>23Y</v>
      </c>
      <c r="C31" s="172" t="str">
        <f t="shared" si="2"/>
        <v>3L</v>
      </c>
      <c r="D31" s="173" t="s">
        <v>226</v>
      </c>
      <c r="E31" s="174" t="str">
        <f t="shared" si="0"/>
        <v>USD3LFF23Y_LCHQuote</v>
      </c>
      <c r="F31" s="174" t="str">
        <f>_xll.qlSimpleQuote(E31,,RateTickValue,Permanent,Trigger,ObjectOverwrite)</f>
        <v>USD3LFF23Y_LCHQuote#0002</v>
      </c>
      <c r="G31" s="211" t="str">
        <f>_xll.ohRangeRetrieveError(F31)</f>
        <v/>
      </c>
      <c r="H31" s="350"/>
      <c r="J31" s="218"/>
      <c r="K31" s="127" t="s">
        <v>35</v>
      </c>
      <c r="L31" s="127" t="s">
        <v>64</v>
      </c>
      <c r="M31" s="127" t="s">
        <v>226</v>
      </c>
      <c r="N31" s="128" t="str">
        <f t="shared" si="3"/>
        <v>USDFF3L23Y</v>
      </c>
      <c r="O31" s="32" t="str">
        <v>USDFF3L23Y=PYNY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4"/>
        <v>0</v>
      </c>
      <c r="U31" s="224">
        <v>24.720320635377703</v>
      </c>
      <c r="V31" s="139"/>
      <c r="W31" s="215">
        <v>24.720320635377703</v>
      </c>
      <c r="X31" s="139"/>
      <c r="Y31" s="209">
        <v>24.720320635377703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210" t="str">
        <f t="shared" si="2"/>
        <v>24Y</v>
      </c>
      <c r="C32" s="172" t="str">
        <f t="shared" si="2"/>
        <v>3L</v>
      </c>
      <c r="D32" s="173" t="s">
        <v>226</v>
      </c>
      <c r="E32" s="174" t="str">
        <f t="shared" si="0"/>
        <v>USD3LFF24Y_LCHQuote</v>
      </c>
      <c r="F32" s="174" t="str">
        <f>_xll.qlSimpleQuote(E32,,RateTickValue,Permanent,Trigger,ObjectOverwrite)</f>
        <v>USD3LFF24Y_LCHQuote#0002</v>
      </c>
      <c r="G32" s="211" t="str">
        <f>_xll.ohRangeRetrieveError(F32)</f>
        <v/>
      </c>
      <c r="H32" s="350"/>
      <c r="J32" s="218"/>
      <c r="K32" s="127" t="s">
        <v>34</v>
      </c>
      <c r="L32" s="127" t="s">
        <v>64</v>
      </c>
      <c r="M32" s="127" t="s">
        <v>226</v>
      </c>
      <c r="N32" s="128" t="str">
        <f t="shared" si="3"/>
        <v>USDFF3L24Y</v>
      </c>
      <c r="O32" s="32" t="str">
        <v>USDFF3L24Y=PYNY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4"/>
        <v>0</v>
      </c>
      <c r="U32" s="224">
        <v>24.741706878459233</v>
      </c>
      <c r="V32" s="139"/>
      <c r="W32" s="215">
        <v>24.741706878459233</v>
      </c>
      <c r="X32" s="139"/>
      <c r="Y32" s="209">
        <v>24.741706878459233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210" t="str">
        <f t="shared" si="2"/>
        <v>25Y</v>
      </c>
      <c r="C33" s="172" t="str">
        <f t="shared" si="2"/>
        <v>3L</v>
      </c>
      <c r="D33" s="173" t="s">
        <v>226</v>
      </c>
      <c r="E33" s="174" t="str">
        <f t="shared" si="0"/>
        <v>USD3LFF25Y_LCHQuote</v>
      </c>
      <c r="F33" s="174" t="str">
        <f>_xll.qlSimpleQuote(E33,,RateTickValue,Permanent,Trigger,ObjectOverwrite)</f>
        <v>USD3LFF25Y_LCHQuote#0002</v>
      </c>
      <c r="G33" s="211" t="str">
        <f>_xll.ohRangeRetrieveError(F33)</f>
        <v/>
      </c>
      <c r="H33" s="350"/>
      <c r="J33" s="218"/>
      <c r="K33" s="127" t="s">
        <v>33</v>
      </c>
      <c r="L33" s="127" t="s">
        <v>64</v>
      </c>
      <c r="M33" s="127" t="s">
        <v>226</v>
      </c>
      <c r="N33" s="128" t="str">
        <f t="shared" si="3"/>
        <v>USDFF3L25Y</v>
      </c>
      <c r="O33" s="32" t="str">
        <v>USDFF3L25Y=PYNY</v>
      </c>
      <c r="P33" s="375">
        <v>22.25</v>
      </c>
      <c r="Q33" s="375">
        <v>27.25</v>
      </c>
      <c r="R33" s="209">
        <f>_xll.qlMidEquivalent(P33,Q33)</f>
        <v>24.75</v>
      </c>
      <c r="S33" s="220">
        <v>25</v>
      </c>
      <c r="T33" s="35" t="b">
        <f t="shared" si="4"/>
        <v>1</v>
      </c>
      <c r="U33" s="224">
        <v>24.75</v>
      </c>
      <c r="V33" s="139"/>
      <c r="W33" s="215">
        <v>24.75</v>
      </c>
      <c r="X33" s="139"/>
      <c r="Y33" s="209">
        <v>24.75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210" t="str">
        <f t="shared" si="2"/>
        <v>26Y</v>
      </c>
      <c r="C34" s="172" t="str">
        <f t="shared" si="2"/>
        <v>3L</v>
      </c>
      <c r="D34" s="173" t="s">
        <v>226</v>
      </c>
      <c r="E34" s="174" t="str">
        <f t="shared" si="0"/>
        <v>USD3LFF26Y_LCHQuote</v>
      </c>
      <c r="F34" s="174" t="str">
        <f>_xll.qlSimpleQuote(E34,,RateTickValue,Permanent,Trigger,ObjectOverwrite)</f>
        <v>USD3LFF26Y_LCHQuote#0002</v>
      </c>
      <c r="G34" s="211" t="str">
        <f>_xll.ohRangeRetrieveError(F34)</f>
        <v/>
      </c>
      <c r="H34" s="350"/>
      <c r="J34" s="218"/>
      <c r="K34" s="127" t="s">
        <v>32</v>
      </c>
      <c r="L34" s="127" t="s">
        <v>64</v>
      </c>
      <c r="M34" s="127" t="s">
        <v>226</v>
      </c>
      <c r="N34" s="128" t="str">
        <f t="shared" si="3"/>
        <v>USDFF3L26Y</v>
      </c>
      <c r="O34" s="32" t="str">
        <v>USDFF3L26Y=PYNY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4"/>
        <v>0</v>
      </c>
      <c r="U34" s="224">
        <v>24.75</v>
      </c>
      <c r="V34" s="139"/>
      <c r="W34" s="215">
        <v>24.75</v>
      </c>
      <c r="X34" s="139"/>
      <c r="Y34" s="209">
        <v>24.75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210" t="str">
        <f t="shared" si="2"/>
        <v>27Y</v>
      </c>
      <c r="C35" s="172" t="str">
        <f t="shared" si="2"/>
        <v>3L</v>
      </c>
      <c r="D35" s="173" t="s">
        <v>226</v>
      </c>
      <c r="E35" s="174" t="str">
        <f t="shared" si="0"/>
        <v>USD3LFF27Y_LCHQuote</v>
      </c>
      <c r="F35" s="174" t="str">
        <f>_xll.qlSimpleQuote(E35,,RateTickValue,Permanent,Trigger,ObjectOverwrite)</f>
        <v>USD3LFF27Y_LCHQuote#0002</v>
      </c>
      <c r="G35" s="211" t="str">
        <f>_xll.ohRangeRetrieveError(F35)</f>
        <v/>
      </c>
      <c r="H35" s="350"/>
      <c r="J35" s="218"/>
      <c r="K35" s="127" t="s">
        <v>31</v>
      </c>
      <c r="L35" s="127" t="s">
        <v>64</v>
      </c>
      <c r="M35" s="127" t="s">
        <v>226</v>
      </c>
      <c r="N35" s="128" t="str">
        <f t="shared" si="3"/>
        <v>USDFF3L27Y</v>
      </c>
      <c r="O35" s="32" t="str">
        <v>USDFF3L27Y=PYNY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4"/>
        <v>0</v>
      </c>
      <c r="U35" s="224">
        <v>24.75</v>
      </c>
      <c r="V35" s="139"/>
      <c r="W35" s="215">
        <v>24.75</v>
      </c>
      <c r="X35" s="139"/>
      <c r="Y35" s="209">
        <v>24.75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210" t="str">
        <f t="shared" si="2"/>
        <v>28Y</v>
      </c>
      <c r="C36" s="172" t="str">
        <f t="shared" si="2"/>
        <v>3L</v>
      </c>
      <c r="D36" s="173" t="s">
        <v>226</v>
      </c>
      <c r="E36" s="174" t="str">
        <f t="shared" si="0"/>
        <v>USD3LFF28Y_LCHQuote</v>
      </c>
      <c r="F36" s="174" t="str">
        <f>_xll.qlSimpleQuote(E36,,RateTickValue,Permanent,Trigger,ObjectOverwrite)</f>
        <v>USD3LFF28Y_LCHQuote#0002</v>
      </c>
      <c r="G36" s="211" t="str">
        <f>_xll.ohRangeRetrieveError(F36)</f>
        <v/>
      </c>
      <c r="H36" s="350"/>
      <c r="J36" s="218"/>
      <c r="K36" s="127" t="s">
        <v>30</v>
      </c>
      <c r="L36" s="127" t="s">
        <v>64</v>
      </c>
      <c r="M36" s="127" t="s">
        <v>226</v>
      </c>
      <c r="N36" s="128" t="str">
        <f t="shared" si="3"/>
        <v>USDFF3L28Y</v>
      </c>
      <c r="O36" s="32" t="str">
        <v>USDFF3L28Y=PYNY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4"/>
        <v>0</v>
      </c>
      <c r="U36" s="224">
        <v>24.75</v>
      </c>
      <c r="V36" s="139"/>
      <c r="W36" s="215">
        <v>24.75</v>
      </c>
      <c r="X36" s="139"/>
      <c r="Y36" s="209">
        <v>24.75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210" t="str">
        <f t="shared" si="2"/>
        <v>29Y</v>
      </c>
      <c r="C37" s="172" t="str">
        <f t="shared" si="2"/>
        <v>3L</v>
      </c>
      <c r="D37" s="173" t="s">
        <v>226</v>
      </c>
      <c r="E37" s="174" t="str">
        <f t="shared" si="0"/>
        <v>USD3LFF29Y_LCHQuote</v>
      </c>
      <c r="F37" s="174" t="str">
        <f>_xll.qlSimpleQuote(E37,,RateTickValue,Permanent,Trigger,ObjectOverwrite)</f>
        <v>USD3LFF29Y_LCHQuote#0002</v>
      </c>
      <c r="G37" s="211" t="str">
        <f>_xll.ohRangeRetrieveError(F37)</f>
        <v/>
      </c>
      <c r="H37" s="350"/>
      <c r="J37" s="218"/>
      <c r="K37" s="127" t="s">
        <v>29</v>
      </c>
      <c r="L37" s="127" t="s">
        <v>64</v>
      </c>
      <c r="M37" s="127" t="s">
        <v>226</v>
      </c>
      <c r="N37" s="128" t="str">
        <f t="shared" si="3"/>
        <v>USDFF3L29Y</v>
      </c>
      <c r="O37" s="32" t="str">
        <v>USDFF3L29Y=PYNY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4"/>
        <v>0</v>
      </c>
      <c r="U37" s="224">
        <v>24.75</v>
      </c>
      <c r="V37" s="139"/>
      <c r="W37" s="215">
        <v>24.75</v>
      </c>
      <c r="X37" s="139"/>
      <c r="Y37" s="209">
        <v>24.75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210" t="str">
        <f t="shared" si="2"/>
        <v>30Y</v>
      </c>
      <c r="C38" s="172" t="str">
        <f t="shared" si="2"/>
        <v>3L</v>
      </c>
      <c r="D38" s="173" t="s">
        <v>226</v>
      </c>
      <c r="E38" s="174" t="str">
        <f t="shared" si="0"/>
        <v>USD3LFF30Y_LCHQuote</v>
      </c>
      <c r="F38" s="174" t="str">
        <f>_xll.qlSimpleQuote(E38,,RateTickValue,Permanent,Trigger,ObjectOverwrite)</f>
        <v>USD3LFF30Y_LCHQuote#0002</v>
      </c>
      <c r="G38" s="211" t="str">
        <f>_xll.ohRangeRetrieveError(F38)</f>
        <v/>
      </c>
      <c r="H38" s="350"/>
      <c r="J38" s="218"/>
      <c r="K38" s="127" t="s">
        <v>28</v>
      </c>
      <c r="L38" s="127" t="s">
        <v>64</v>
      </c>
      <c r="M38" s="127" t="s">
        <v>226</v>
      </c>
      <c r="N38" s="128" t="str">
        <f t="shared" si="3"/>
        <v>USDFF3L30Y</v>
      </c>
      <c r="O38" s="32" t="str">
        <v>USDFF3L30Y=PYNY</v>
      </c>
      <c r="P38" s="375">
        <v>22.25</v>
      </c>
      <c r="Q38" s="375">
        <v>27.25</v>
      </c>
      <c r="R38" s="209">
        <f>_xll.qlMidEquivalent(P38,Q38)</f>
        <v>24.75</v>
      </c>
      <c r="S38" s="220">
        <v>30</v>
      </c>
      <c r="T38" s="35" t="b">
        <f t="shared" si="4"/>
        <v>1</v>
      </c>
      <c r="U38" s="224">
        <v>24.75</v>
      </c>
      <c r="V38" s="139"/>
      <c r="W38" s="418">
        <v>24.75</v>
      </c>
      <c r="X38" s="137"/>
      <c r="Y38" s="418">
        <v>24.75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210" t="str">
        <f t="shared" si="2"/>
        <v>35Y</v>
      </c>
      <c r="C39" s="172" t="str">
        <f t="shared" si="2"/>
        <v>3L</v>
      </c>
      <c r="D39" s="173" t="s">
        <v>226</v>
      </c>
      <c r="E39" s="174" t="str">
        <f t="shared" si="0"/>
        <v>USD3LFF35Y_LCHQuote</v>
      </c>
      <c r="F39" s="174" t="str">
        <f>_xll.qlSimpleQuote(E39,,RateTickValue,Permanent,Trigger,ObjectOverwrite)</f>
        <v>USD3LFF35Y_LCHQuote#0002</v>
      </c>
      <c r="G39" s="211" t="str">
        <f>_xll.ohRangeRetrieveError(F39)</f>
        <v/>
      </c>
      <c r="H39" s="350"/>
      <c r="J39" s="218"/>
      <c r="K39" s="127" t="s">
        <v>27</v>
      </c>
      <c r="L39" s="127" t="s">
        <v>64</v>
      </c>
      <c r="M39" s="127" t="s">
        <v>226</v>
      </c>
      <c r="N39" s="128" t="str">
        <f t="shared" si="3"/>
        <v>USDFF3L35Y</v>
      </c>
      <c r="O39" s="32" t="str">
        <v>USDFF3L35Y=PYNY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4"/>
        <v>0</v>
      </c>
      <c r="U39" s="224">
        <f>U38</f>
        <v>24.75</v>
      </c>
      <c r="V39" s="139"/>
      <c r="W39" s="418">
        <v>24.75</v>
      </c>
      <c r="X39" s="137"/>
      <c r="Y39" s="418">
        <v>24.75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210" t="str">
        <f t="shared" si="2"/>
        <v>40Y</v>
      </c>
      <c r="C40" s="172" t="str">
        <f t="shared" si="2"/>
        <v>3L</v>
      </c>
      <c r="D40" s="173" t="s">
        <v>226</v>
      </c>
      <c r="E40" s="174" t="str">
        <f t="shared" si="0"/>
        <v>USD3LFF40Y_LCHQuote</v>
      </c>
      <c r="F40" s="174" t="str">
        <f>_xll.qlSimpleQuote(E40,,RateTickValue,Permanent,Trigger,ObjectOverwrite)</f>
        <v>USD3LFF40Y_LCHQuote#0002</v>
      </c>
      <c r="G40" s="211" t="str">
        <f>_xll.ohRangeRetrieveError(F40)</f>
        <v/>
      </c>
      <c r="H40" s="350"/>
      <c r="J40" s="218"/>
      <c r="K40" s="127" t="s">
        <v>26</v>
      </c>
      <c r="L40" s="127" t="s">
        <v>64</v>
      </c>
      <c r="M40" s="127" t="s">
        <v>226</v>
      </c>
      <c r="N40" s="128" t="str">
        <f t="shared" si="3"/>
        <v>USDFF3L40Y</v>
      </c>
      <c r="O40" s="32" t="str">
        <v>USDFF3L40Y=PYNY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4"/>
        <v>0</v>
      </c>
      <c r="U40" s="224">
        <f>U39</f>
        <v>24.75</v>
      </c>
      <c r="V40" s="139"/>
      <c r="W40" s="418">
        <v>24.75</v>
      </c>
      <c r="X40" s="137"/>
      <c r="Y40" s="418">
        <v>24.75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210" t="str">
        <f t="shared" si="2"/>
        <v>50Y</v>
      </c>
      <c r="C41" s="172" t="str">
        <f t="shared" si="2"/>
        <v>3L</v>
      </c>
      <c r="D41" s="173" t="s">
        <v>226</v>
      </c>
      <c r="E41" s="174" t="str">
        <f t="shared" si="0"/>
        <v>USD3LFF50Y_LCHQuote</v>
      </c>
      <c r="F41" s="174" t="str">
        <f>_xll.qlSimpleQuote(E41,,RateTickValue,Permanent,Trigger,ObjectOverwrite)</f>
        <v>USD3LFF50Y_LCHQuote#0002</v>
      </c>
      <c r="G41" s="211" t="str">
        <f>_xll.ohRangeRetrieveError(F41)</f>
        <v/>
      </c>
      <c r="H41" s="350"/>
      <c r="J41" s="218"/>
      <c r="K41" s="127" t="s">
        <v>24</v>
      </c>
      <c r="L41" s="127" t="s">
        <v>64</v>
      </c>
      <c r="M41" s="127" t="s">
        <v>226</v>
      </c>
      <c r="N41" s="128" t="str">
        <f t="shared" si="3"/>
        <v>USDFF3L50Y</v>
      </c>
      <c r="O41" s="32" t="str">
        <v>USDFF3L50Y=PYNY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4"/>
        <v>0</v>
      </c>
      <c r="U41" s="224">
        <f>U40</f>
        <v>24.75</v>
      </c>
      <c r="V41" s="139"/>
      <c r="W41" s="418">
        <v>24.75</v>
      </c>
      <c r="X41" s="137"/>
      <c r="Y41" s="418">
        <v>24.75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212" t="str">
        <f t="shared" si="2"/>
        <v>60Y</v>
      </c>
      <c r="C42" s="177" t="str">
        <f t="shared" si="2"/>
        <v>3L</v>
      </c>
      <c r="D42" s="178" t="s">
        <v>226</v>
      </c>
      <c r="E42" s="179" t="str">
        <f t="shared" si="0"/>
        <v>USD3LFF60Y_LCHQuote</v>
      </c>
      <c r="F42" s="179" t="str">
        <f>_xll.qlSimpleQuote(E42,,RateTickValue,Permanent,Trigger,ObjectOverwrite)</f>
        <v>USD3LFF60Y_LCHQuote#0002</v>
      </c>
      <c r="G42" s="213" t="str">
        <f>_xll.ohRangeRetrieveError(F42)</f>
        <v/>
      </c>
      <c r="H42" s="350"/>
      <c r="J42" s="218"/>
      <c r="K42" s="129" t="s">
        <v>23</v>
      </c>
      <c r="L42" s="129" t="s">
        <v>64</v>
      </c>
      <c r="M42" s="129" t="s">
        <v>226</v>
      </c>
      <c r="N42" s="130" t="str">
        <f t="shared" si="3"/>
        <v>USDFF3L60Y</v>
      </c>
      <c r="O42" s="33" t="str">
        <v>USDFF3L60Y=PYNY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4"/>
        <v>0</v>
      </c>
      <c r="U42" s="225">
        <f>U41</f>
        <v>24.75</v>
      </c>
      <c r="V42" s="139"/>
      <c r="W42" s="419">
        <v>24.75</v>
      </c>
      <c r="X42" s="137"/>
      <c r="Y42" s="419">
        <v>24.75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351"/>
      <c r="C43" s="351"/>
      <c r="D43" s="351"/>
      <c r="E43" s="351"/>
      <c r="F43" s="118"/>
      <c r="G43" s="118"/>
      <c r="H43" s="352"/>
      <c r="J43" s="116"/>
      <c r="K43" s="351"/>
      <c r="L43" s="351"/>
      <c r="M43" s="351"/>
      <c r="N43" s="351"/>
      <c r="O43" s="351"/>
      <c r="P43" s="351"/>
      <c r="Q43" s="351"/>
      <c r="R43" s="351"/>
      <c r="S43" s="351"/>
      <c r="T43" s="351"/>
      <c r="U43" s="351"/>
      <c r="V43" s="351"/>
      <c r="W43" s="351"/>
      <c r="X43" s="351"/>
      <c r="Y43" s="351"/>
      <c r="Z43" s="351"/>
      <c r="AA43" s="18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224</v>
      </c>
      <c r="K1" s="25"/>
      <c r="L1" s="25"/>
      <c r="M1" s="25"/>
      <c r="N1" s="25"/>
      <c r="O1" s="25" t="str">
        <f>VLOOKUP($J$1,AreaTable,AreaIndex,0)</f>
        <v>ICAP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4">
        <f>_xll.ohTrigger(Z5:Z42)</f>
        <v>13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obj_002a0#0010</v>
      </c>
      <c r="T3" s="3"/>
      <c r="U3" s="3"/>
      <c r="V3" s="14"/>
      <c r="W3" s="14"/>
      <c r="X3" s="14"/>
      <c r="Y3" s="3"/>
      <c r="Z3" s="14"/>
      <c r="AA3" s="27"/>
    </row>
    <row r="4" spans="1:28" ht="22.5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Updated at 16:35:11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7" t="str">
        <f>K5</f>
        <v>6M</v>
      </c>
      <c r="C5" s="165" t="str">
        <f>L5</f>
        <v>3L</v>
      </c>
      <c r="D5" s="166" t="str">
        <f>M5</f>
        <v>1L</v>
      </c>
      <c r="E5" s="167" t="str">
        <f t="shared" ref="E5:E42" si="0">IF(ISBLANK(C5),"#",Currency&amp;$C5&amp;$D5&amp;$B5&amp;QuoteSuffix)</f>
        <v>USD3L1L6M_LCHQuote</v>
      </c>
      <c r="F5" s="167" t="str">
        <f>_xll.qlSimpleQuote(E5,,RateTickValue,Permanent,Trigger,ObjectOverwrite)</f>
        <v>USD3L1L6M_LCHQuote#0002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64</v>
      </c>
      <c r="M5" s="127" t="s">
        <v>63</v>
      </c>
      <c r="N5" s="128" t="str">
        <f t="shared" ref="N5:N42" si="1">IF(Contributor="ICAP LN",Currency&amp;$L5&amp;$M5&amp;$K5,Currency&amp;$M5&amp;$L5&amp;$K5)</f>
        <v>USD1L3L6M</v>
      </c>
      <c r="O5" s="32" t="str">
        <f t="array" ref="O5:O42">Instruments&amp;"="&amp;VLOOKUP(Contributor,ContributorTable,2,FALSE)</f>
        <v>USD1L3L6M=PYNY</v>
      </c>
      <c r="P5" s="375">
        <v>7.5</v>
      </c>
      <c r="Q5" s="375">
        <v>9.5</v>
      </c>
      <c r="R5" s="209">
        <f>_xll.qlMidEquivalent(P5,Q5)</f>
        <v>8.5</v>
      </c>
      <c r="S5" s="219">
        <v>0.5</v>
      </c>
      <c r="T5" s="35" t="b">
        <f t="shared" ref="T5:T42" si="2">IF(ISNUMBER(R5),TRUE,FALSE)</f>
        <v>1</v>
      </c>
      <c r="U5" s="224">
        <f t="array" ref="U5:U38">_xll.qlInterpolationInterpolate(S3,S5:S42)</f>
        <v>8.5</v>
      </c>
      <c r="V5" s="139"/>
      <c r="W5" s="215">
        <v>8.5</v>
      </c>
      <c r="X5" s="139"/>
      <c r="Y5" s="216">
        <f t="array" ref="Y5:Y42">QuoteLive</f>
        <v>8.5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3L</v>
      </c>
      <c r="D6" s="173" t="str">
        <f t="shared" ref="D6:D42" si="5">M6</f>
        <v>1L</v>
      </c>
      <c r="E6" s="174" t="str">
        <f t="shared" si="0"/>
        <v>USD3L1L1Y_LCHQuote</v>
      </c>
      <c r="F6" s="174" t="str">
        <f>_xll.qlSimpleQuote(E6,,RateTickValue,Permanent,Trigger,ObjectOverwrite)</f>
        <v>USD3L1L1Y_LCHQuote#0002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64</v>
      </c>
      <c r="M6" s="127" t="s">
        <v>63</v>
      </c>
      <c r="N6" s="128" t="str">
        <f t="shared" si="1"/>
        <v>USD1L3L1Y</v>
      </c>
      <c r="O6" s="32" t="str">
        <v>USD1L3L1Y=PYNY</v>
      </c>
      <c r="P6" s="375">
        <v>8.25</v>
      </c>
      <c r="Q6" s="375">
        <v>10.25</v>
      </c>
      <c r="R6" s="209">
        <f>_xll.qlMidEquivalent(P6,Q6)</f>
        <v>9.25</v>
      </c>
      <c r="S6" s="219">
        <v>1</v>
      </c>
      <c r="T6" s="35" t="b">
        <f t="shared" si="2"/>
        <v>1</v>
      </c>
      <c r="U6" s="224">
        <v>9.25</v>
      </c>
      <c r="V6" s="139"/>
      <c r="W6" s="215">
        <v>9.25</v>
      </c>
      <c r="X6" s="139"/>
      <c r="Y6" s="209">
        <v>9.25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210" t="str">
        <f t="shared" si="3"/>
        <v>15M</v>
      </c>
      <c r="C7" s="172" t="str">
        <f t="shared" si="4"/>
        <v>3L</v>
      </c>
      <c r="D7" s="173" t="str">
        <f t="shared" si="5"/>
        <v>1L</v>
      </c>
      <c r="E7" s="174" t="str">
        <f t="shared" si="0"/>
        <v>USD3L1L15M_LCHQuote</v>
      </c>
      <c r="F7" s="174" t="str">
        <f>_xll.qlSimpleQuote(E7,,RateTickValue,Permanent,Trigger,ObjectOverwrite)</f>
        <v>USD3L1L15M_LCHQuote#0002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64</v>
      </c>
      <c r="M7" s="127" t="s">
        <v>63</v>
      </c>
      <c r="N7" s="128" t="str">
        <f t="shared" si="1"/>
        <v>USD1L3L15M</v>
      </c>
      <c r="O7" s="32" t="str">
        <v>USD1L3L15M=PYNY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9.6847681614900605</v>
      </c>
      <c r="V7" s="139"/>
      <c r="W7" s="215">
        <v>9.6847681614900605</v>
      </c>
      <c r="X7" s="139"/>
      <c r="Y7" s="209">
        <v>9.6847681614900605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210" t="str">
        <f t="shared" si="3"/>
        <v>18M</v>
      </c>
      <c r="C8" s="172" t="str">
        <f t="shared" si="4"/>
        <v>3L</v>
      </c>
      <c r="D8" s="173" t="str">
        <f t="shared" si="5"/>
        <v>1L</v>
      </c>
      <c r="E8" s="174" t="str">
        <f t="shared" si="0"/>
        <v>USD3L1L18M_LCHQuote</v>
      </c>
      <c r="F8" s="174" t="str">
        <f>_xll.qlSimpleQuote(E8,,RateTickValue,Permanent,Trigger,ObjectOverwrite)</f>
        <v>USD3L1L18M_LCHQuote#0002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64</v>
      </c>
      <c r="M8" s="127" t="s">
        <v>63</v>
      </c>
      <c r="N8" s="128" t="str">
        <f t="shared" si="1"/>
        <v>USD1L3L18M</v>
      </c>
      <c r="O8" s="32" t="str">
        <v>USD1L3L18M=PYNY</v>
      </c>
      <c r="P8" s="375">
        <v>9.125</v>
      </c>
      <c r="Q8" s="375">
        <v>11.125</v>
      </c>
      <c r="R8" s="209">
        <f>_xll.qlMidEquivalent(P8,Q8)</f>
        <v>10.125</v>
      </c>
      <c r="S8" s="219">
        <v>1.5</v>
      </c>
      <c r="T8" s="35" t="b">
        <f t="shared" si="2"/>
        <v>1</v>
      </c>
      <c r="U8" s="224">
        <v>10.125</v>
      </c>
      <c r="V8" s="139"/>
      <c r="W8" s="215">
        <v>10.125</v>
      </c>
      <c r="X8" s="139"/>
      <c r="Y8" s="209">
        <v>10.125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210" t="str">
        <f t="shared" si="3"/>
        <v>21M</v>
      </c>
      <c r="C9" s="172" t="str">
        <f t="shared" si="4"/>
        <v>3L</v>
      </c>
      <c r="D9" s="173" t="str">
        <f t="shared" si="5"/>
        <v>1L</v>
      </c>
      <c r="E9" s="174" t="str">
        <f t="shared" si="0"/>
        <v>USD3L1L21M_LCHQuote</v>
      </c>
      <c r="F9" s="174" t="str">
        <f>_xll.qlSimpleQuote(E9,,RateTickValue,Permanent,Trigger,ObjectOverwrite)</f>
        <v>USD3L1L21M_LCHQuote#0002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64</v>
      </c>
      <c r="M9" s="127" t="s">
        <v>63</v>
      </c>
      <c r="N9" s="128" t="str">
        <f t="shared" si="1"/>
        <v>USD1L3L21M</v>
      </c>
      <c r="O9" s="32" t="str">
        <v>USD1L3L21M=PYNY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10.525641741203113</v>
      </c>
      <c r="V9" s="139"/>
      <c r="W9" s="215">
        <v>10.525641741203113</v>
      </c>
      <c r="X9" s="139"/>
      <c r="Y9" s="209">
        <v>10.525641741203113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210" t="str">
        <f t="shared" si="3"/>
        <v>2Y</v>
      </c>
      <c r="C10" s="172" t="str">
        <f t="shared" si="4"/>
        <v>3L</v>
      </c>
      <c r="D10" s="173" t="str">
        <f t="shared" si="5"/>
        <v>1L</v>
      </c>
      <c r="E10" s="174" t="str">
        <f t="shared" si="0"/>
        <v>USD3L1L2Y_LCHQuote</v>
      </c>
      <c r="F10" s="174" t="str">
        <f>_xll.qlSimpleQuote(E10,,RateTickValue,Permanent,Trigger,ObjectOverwrite)</f>
        <v>USD3L1L2Y_LCHQuote#0002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64</v>
      </c>
      <c r="M10" s="127" t="s">
        <v>63</v>
      </c>
      <c r="N10" s="128" t="str">
        <f t="shared" si="1"/>
        <v>USD1L3L2Y</v>
      </c>
      <c r="O10" s="32" t="str">
        <v>USD1L3L2Y=PYNY</v>
      </c>
      <c r="P10" s="375">
        <v>9.875</v>
      </c>
      <c r="Q10" s="375">
        <v>11.875</v>
      </c>
      <c r="R10" s="209">
        <f>_xll.qlMidEquivalent(P10,Q10)</f>
        <v>10.875</v>
      </c>
      <c r="S10" s="220">
        <v>2</v>
      </c>
      <c r="T10" s="35" t="b">
        <f t="shared" si="2"/>
        <v>1</v>
      </c>
      <c r="U10" s="224">
        <v>10.875</v>
      </c>
      <c r="V10" s="139"/>
      <c r="W10" s="215">
        <v>10.875</v>
      </c>
      <c r="X10" s="139"/>
      <c r="Y10" s="209">
        <v>10.875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210" t="str">
        <f t="shared" si="3"/>
        <v>3Y</v>
      </c>
      <c r="C11" s="172" t="str">
        <f t="shared" si="4"/>
        <v>3L</v>
      </c>
      <c r="D11" s="173" t="str">
        <f t="shared" si="5"/>
        <v>1L</v>
      </c>
      <c r="E11" s="174" t="str">
        <f t="shared" si="0"/>
        <v>USD3L1L3Y_LCHQuote</v>
      </c>
      <c r="F11" s="174" t="str">
        <f>_xll.qlSimpleQuote(E11,,RateTickValue,Permanent,Trigger,ObjectOverwrite)</f>
        <v>USD3L1L3Y_LCHQuote#0002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64</v>
      </c>
      <c r="M11" s="127" t="s">
        <v>63</v>
      </c>
      <c r="N11" s="128" t="str">
        <f t="shared" si="1"/>
        <v>USD1L3L3Y</v>
      </c>
      <c r="O11" s="32" t="str">
        <v>USD1L3L3Y=PYNY</v>
      </c>
      <c r="P11" s="375">
        <v>10.875</v>
      </c>
      <c r="Q11" s="375">
        <v>12.875</v>
      </c>
      <c r="R11" s="209">
        <f>_xll.qlMidEquivalent(P11,Q11)</f>
        <v>11.875</v>
      </c>
      <c r="S11" s="220">
        <v>3</v>
      </c>
      <c r="T11" s="35" t="b">
        <f t="shared" si="2"/>
        <v>1</v>
      </c>
      <c r="U11" s="224">
        <v>11.875</v>
      </c>
      <c r="V11" s="139"/>
      <c r="W11" s="215">
        <v>11.875</v>
      </c>
      <c r="X11" s="139"/>
      <c r="Y11" s="209">
        <v>11.875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210" t="str">
        <f t="shared" si="3"/>
        <v>4Y</v>
      </c>
      <c r="C12" s="172" t="str">
        <f t="shared" si="4"/>
        <v>3L</v>
      </c>
      <c r="D12" s="173" t="str">
        <f t="shared" si="5"/>
        <v>1L</v>
      </c>
      <c r="E12" s="174" t="str">
        <f t="shared" si="0"/>
        <v>USD3L1L4Y_LCHQuote</v>
      </c>
      <c r="F12" s="174" t="str">
        <f>_xll.qlSimpleQuote(E12,,RateTickValue,Permanent,Trigger,ObjectOverwrite)</f>
        <v>USD3L1L4Y_LCHQuote#0002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64</v>
      </c>
      <c r="M12" s="127" t="s">
        <v>63</v>
      </c>
      <c r="N12" s="128" t="str">
        <f t="shared" si="1"/>
        <v>USD1L3L4Y</v>
      </c>
      <c r="O12" s="32" t="str">
        <v>USD1L3L4Y=PYNY</v>
      </c>
      <c r="P12" s="375">
        <v>11.75</v>
      </c>
      <c r="Q12" s="375">
        <v>13.75</v>
      </c>
      <c r="R12" s="209">
        <f>_xll.qlMidEquivalent(P12,Q12)</f>
        <v>12.75</v>
      </c>
      <c r="S12" s="220">
        <v>4</v>
      </c>
      <c r="T12" s="35" t="b">
        <f t="shared" si="2"/>
        <v>1</v>
      </c>
      <c r="U12" s="224">
        <v>12.75</v>
      </c>
      <c r="V12" s="139"/>
      <c r="W12" s="215">
        <v>12.75</v>
      </c>
      <c r="X12" s="139"/>
      <c r="Y12" s="209">
        <v>12.75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210" t="str">
        <f t="shared" si="3"/>
        <v>5Y</v>
      </c>
      <c r="C13" s="172" t="str">
        <f t="shared" si="4"/>
        <v>3L</v>
      </c>
      <c r="D13" s="173" t="str">
        <f t="shared" si="5"/>
        <v>1L</v>
      </c>
      <c r="E13" s="174" t="str">
        <f t="shared" si="0"/>
        <v>USD3L1L5Y_LCHQuote</v>
      </c>
      <c r="F13" s="174" t="str">
        <f>_xll.qlSimpleQuote(E13,,RateTickValue,Permanent,Trigger,ObjectOverwrite)</f>
        <v>USD3L1L5Y_LCHQuote#0002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64</v>
      </c>
      <c r="M13" s="127" t="s">
        <v>63</v>
      </c>
      <c r="N13" s="128" t="str">
        <f t="shared" si="1"/>
        <v>USD1L3L5Y</v>
      </c>
      <c r="O13" s="32" t="str">
        <v>USD1L3L5Y=PYNY</v>
      </c>
      <c r="P13" s="375">
        <v>12.5</v>
      </c>
      <c r="Q13" s="375">
        <v>14.5</v>
      </c>
      <c r="R13" s="209">
        <f>_xll.qlMidEquivalent(P13,Q13)</f>
        <v>13.5</v>
      </c>
      <c r="S13" s="220">
        <v>5</v>
      </c>
      <c r="T13" s="35" t="b">
        <f t="shared" si="2"/>
        <v>1</v>
      </c>
      <c r="U13" s="224">
        <v>13.5</v>
      </c>
      <c r="V13" s="139"/>
      <c r="W13" s="215">
        <v>13.5</v>
      </c>
      <c r="X13" s="139"/>
      <c r="Y13" s="209">
        <v>13.5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210" t="str">
        <f t="shared" si="3"/>
        <v>6Y</v>
      </c>
      <c r="C14" s="172" t="str">
        <f t="shared" si="4"/>
        <v>3L</v>
      </c>
      <c r="D14" s="173" t="str">
        <f t="shared" si="5"/>
        <v>1L</v>
      </c>
      <c r="E14" s="174" t="str">
        <f t="shared" si="0"/>
        <v>USD3L1L6Y_LCHQuote</v>
      </c>
      <c r="F14" s="174" t="str">
        <f>_xll.qlSimpleQuote(E14,,RateTickValue,Permanent,Trigger,ObjectOverwrite)</f>
        <v>USD3L1L6Y_LCHQuote#0002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64</v>
      </c>
      <c r="M14" s="127" t="s">
        <v>63</v>
      </c>
      <c r="N14" s="128" t="str">
        <f t="shared" si="1"/>
        <v>USD1L3L6Y</v>
      </c>
      <c r="O14" s="32" t="str">
        <v>USD1L3L6Y=PYNY</v>
      </c>
      <c r="P14" s="375">
        <v>12.5</v>
      </c>
      <c r="Q14" s="375">
        <v>14.5</v>
      </c>
      <c r="R14" s="209">
        <f>_xll.qlMidEquivalent(P14,Q14)</f>
        <v>13.5</v>
      </c>
      <c r="S14" s="220">
        <v>6</v>
      </c>
      <c r="T14" s="35" t="b">
        <f t="shared" si="2"/>
        <v>1</v>
      </c>
      <c r="U14" s="224">
        <v>13.5</v>
      </c>
      <c r="V14" s="139"/>
      <c r="W14" s="215">
        <v>13.5</v>
      </c>
      <c r="X14" s="139"/>
      <c r="Y14" s="209">
        <v>13.5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210" t="str">
        <f t="shared" si="3"/>
        <v>7Y</v>
      </c>
      <c r="C15" s="172" t="str">
        <f t="shared" si="4"/>
        <v>3L</v>
      </c>
      <c r="D15" s="173" t="str">
        <f t="shared" si="5"/>
        <v>1L</v>
      </c>
      <c r="E15" s="174" t="str">
        <f t="shared" si="0"/>
        <v>USD3L1L7Y_LCHQuote</v>
      </c>
      <c r="F15" s="174" t="str">
        <f>_xll.qlSimpleQuote(E15,,RateTickValue,Permanent,Trigger,ObjectOverwrite)</f>
        <v>USD3L1L7Y_LCHQuote#0002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64</v>
      </c>
      <c r="M15" s="127" t="s">
        <v>63</v>
      </c>
      <c r="N15" s="128" t="str">
        <f t="shared" si="1"/>
        <v>USD1L3L7Y</v>
      </c>
      <c r="O15" s="32" t="str">
        <v>USD1L3L7Y=PYNY</v>
      </c>
      <c r="P15" s="375">
        <v>12.375</v>
      </c>
      <c r="Q15" s="375">
        <v>14.375</v>
      </c>
      <c r="R15" s="209">
        <f>_xll.qlMidEquivalent(P15,Q15)</f>
        <v>13.375</v>
      </c>
      <c r="S15" s="220">
        <v>7</v>
      </c>
      <c r="T15" s="35" t="b">
        <f t="shared" si="2"/>
        <v>1</v>
      </c>
      <c r="U15" s="224">
        <v>13.375</v>
      </c>
      <c r="V15" s="139"/>
      <c r="W15" s="215">
        <v>13.375</v>
      </c>
      <c r="X15" s="139"/>
      <c r="Y15" s="209">
        <v>13.375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210" t="str">
        <f t="shared" si="3"/>
        <v>8Y</v>
      </c>
      <c r="C16" s="172" t="str">
        <f t="shared" si="4"/>
        <v>3L</v>
      </c>
      <c r="D16" s="173" t="str">
        <f t="shared" si="5"/>
        <v>1L</v>
      </c>
      <c r="E16" s="174" t="str">
        <f t="shared" si="0"/>
        <v>USD3L1L8Y_LCHQuote</v>
      </c>
      <c r="F16" s="174" t="str">
        <f>_xll.qlSimpleQuote(E16,,RateTickValue,Permanent,Trigger,ObjectOverwrite)</f>
        <v>USD3L1L8Y_LCHQuote#0002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64</v>
      </c>
      <c r="M16" s="127" t="s">
        <v>63</v>
      </c>
      <c r="N16" s="128" t="str">
        <f t="shared" si="1"/>
        <v>USD1L3L8Y</v>
      </c>
      <c r="O16" s="32" t="str">
        <v>USD1L3L8Y=PYNY</v>
      </c>
      <c r="P16" s="375">
        <v>12.375</v>
      </c>
      <c r="Q16" s="375">
        <v>14.375</v>
      </c>
      <c r="R16" s="209">
        <f>_xll.qlMidEquivalent(P16,Q16)</f>
        <v>13.375</v>
      </c>
      <c r="S16" s="220">
        <v>8</v>
      </c>
      <c r="T16" s="35" t="b">
        <f t="shared" si="2"/>
        <v>1</v>
      </c>
      <c r="U16" s="224">
        <v>13.375</v>
      </c>
      <c r="V16" s="139"/>
      <c r="W16" s="215">
        <v>13.375</v>
      </c>
      <c r="X16" s="139"/>
      <c r="Y16" s="209">
        <v>13.375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210" t="str">
        <f t="shared" si="3"/>
        <v>9Y</v>
      </c>
      <c r="C17" s="172" t="str">
        <f t="shared" si="4"/>
        <v>3L</v>
      </c>
      <c r="D17" s="173" t="str">
        <f t="shared" si="5"/>
        <v>1L</v>
      </c>
      <c r="E17" s="174" t="str">
        <f t="shared" si="0"/>
        <v>USD3L1L9Y_LCHQuote</v>
      </c>
      <c r="F17" s="174" t="str">
        <f>_xll.qlSimpleQuote(E17,,RateTickValue,Permanent,Trigger,ObjectOverwrite)</f>
        <v>USD3L1L9Y_LCHQuote#0002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64</v>
      </c>
      <c r="M17" s="127" t="s">
        <v>63</v>
      </c>
      <c r="N17" s="128" t="str">
        <f t="shared" si="1"/>
        <v>USD1L3L9Y</v>
      </c>
      <c r="O17" s="32" t="str">
        <v>USD1L3L9Y=PYNY</v>
      </c>
      <c r="P17" s="375">
        <v>12.125</v>
      </c>
      <c r="Q17" s="375">
        <v>14.125</v>
      </c>
      <c r="R17" s="209">
        <f>_xll.qlMidEquivalent(P17,Q17)</f>
        <v>13.125</v>
      </c>
      <c r="S17" s="220">
        <v>9</v>
      </c>
      <c r="T17" s="35" t="b">
        <f t="shared" si="2"/>
        <v>1</v>
      </c>
      <c r="U17" s="224">
        <v>13.125</v>
      </c>
      <c r="V17" s="139"/>
      <c r="W17" s="215">
        <v>13.125</v>
      </c>
      <c r="X17" s="139"/>
      <c r="Y17" s="209">
        <v>13.125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210" t="str">
        <f t="shared" si="3"/>
        <v>10Y</v>
      </c>
      <c r="C18" s="172" t="str">
        <f t="shared" si="4"/>
        <v>3L</v>
      </c>
      <c r="D18" s="173" t="str">
        <f t="shared" si="5"/>
        <v>1L</v>
      </c>
      <c r="E18" s="174" t="str">
        <f t="shared" si="0"/>
        <v>USD3L1L10Y_LCHQuote</v>
      </c>
      <c r="F18" s="174" t="str">
        <f>_xll.qlSimpleQuote(E18,,RateTickValue,Permanent,Trigger,ObjectOverwrite)</f>
        <v>USD3L1L10Y_LCHQuote#0002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64</v>
      </c>
      <c r="M18" s="127" t="s">
        <v>63</v>
      </c>
      <c r="N18" s="128" t="str">
        <f t="shared" si="1"/>
        <v>USD1L3L10Y</v>
      </c>
      <c r="O18" s="32" t="str">
        <v>USD1L3L10Y=PYNY</v>
      </c>
      <c r="P18" s="375">
        <v>11.875</v>
      </c>
      <c r="Q18" s="375">
        <v>13.875</v>
      </c>
      <c r="R18" s="209">
        <f>_xll.qlMidEquivalent(P18,Q18)</f>
        <v>12.875</v>
      </c>
      <c r="S18" s="220">
        <v>10</v>
      </c>
      <c r="T18" s="35" t="b">
        <f t="shared" si="2"/>
        <v>1</v>
      </c>
      <c r="U18" s="224">
        <v>12.875</v>
      </c>
      <c r="V18" s="139"/>
      <c r="W18" s="215">
        <v>12.875</v>
      </c>
      <c r="X18" s="139"/>
      <c r="Y18" s="209">
        <v>12.875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210" t="str">
        <f t="shared" si="3"/>
        <v>11Y</v>
      </c>
      <c r="C19" s="172" t="str">
        <f t="shared" si="4"/>
        <v>3L</v>
      </c>
      <c r="D19" s="173" t="str">
        <f t="shared" si="5"/>
        <v>1L</v>
      </c>
      <c r="E19" s="174" t="str">
        <f t="shared" si="0"/>
        <v>USD3L1L11Y_LCHQuote</v>
      </c>
      <c r="F19" s="174" t="str">
        <f>_xll.qlSimpleQuote(E19,,RateTickValue,Permanent,Trigger,ObjectOverwrite)</f>
        <v>USD3L1L11Y_LCHQuote#0002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64</v>
      </c>
      <c r="M19" s="127" t="s">
        <v>63</v>
      </c>
      <c r="N19" s="128" t="str">
        <f t="shared" si="1"/>
        <v>USD1L3L11Y</v>
      </c>
      <c r="O19" s="32" t="str">
        <v>USD1L3L11Y=PYNY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2"/>
        <v>0</v>
      </c>
      <c r="U19" s="224">
        <v>12.641076759807854</v>
      </c>
      <c r="V19" s="139"/>
      <c r="W19" s="215">
        <v>12.641076759807854</v>
      </c>
      <c r="X19" s="139"/>
      <c r="Y19" s="209">
        <v>12.641076759807854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210" t="str">
        <f t="shared" si="3"/>
        <v>12Y</v>
      </c>
      <c r="C20" s="172" t="str">
        <f t="shared" si="4"/>
        <v>3L</v>
      </c>
      <c r="D20" s="173" t="str">
        <f t="shared" si="5"/>
        <v>1L</v>
      </c>
      <c r="E20" s="174" t="str">
        <f t="shared" si="0"/>
        <v>USD3L1L12Y_LCHQuote</v>
      </c>
      <c r="F20" s="174" t="str">
        <f>_xll.qlSimpleQuote(E20,,RateTickValue,Permanent,Trigger,ObjectOverwrite)</f>
        <v>USD3L1L12Y_LCHQuote#0002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64</v>
      </c>
      <c r="M20" s="127" t="s">
        <v>63</v>
      </c>
      <c r="N20" s="128" t="str">
        <f t="shared" si="1"/>
        <v>USD1L3L12Y</v>
      </c>
      <c r="O20" s="32" t="str">
        <v>USD1L3L12Y=PYNY</v>
      </c>
      <c r="P20" s="375">
        <v>11.5</v>
      </c>
      <c r="Q20" s="375">
        <v>13.5</v>
      </c>
      <c r="R20" s="209">
        <f>_xll.qlMidEquivalent(P20,Q20)</f>
        <v>12.5</v>
      </c>
      <c r="S20" s="220">
        <v>12</v>
      </c>
      <c r="T20" s="35" t="b">
        <f t="shared" si="2"/>
        <v>1</v>
      </c>
      <c r="U20" s="224">
        <v>12.5</v>
      </c>
      <c r="V20" s="139"/>
      <c r="W20" s="215">
        <v>12.5</v>
      </c>
      <c r="X20" s="139"/>
      <c r="Y20" s="209">
        <v>12.5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210" t="str">
        <f t="shared" si="3"/>
        <v>13Y</v>
      </c>
      <c r="C21" s="172" t="str">
        <f t="shared" si="4"/>
        <v>3L</v>
      </c>
      <c r="D21" s="173" t="str">
        <f t="shared" si="5"/>
        <v>1L</v>
      </c>
      <c r="E21" s="174" t="str">
        <f t="shared" si="0"/>
        <v>USD3L1L13Y_LCHQuote</v>
      </c>
      <c r="F21" s="174" t="str">
        <f>_xll.qlSimpleQuote(E21,,RateTickValue,Permanent,Trigger,ObjectOverwrite)</f>
        <v>USD3L1L13Y_LCHQuote#0002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64</v>
      </c>
      <c r="M21" s="127" t="s">
        <v>63</v>
      </c>
      <c r="N21" s="128" t="str">
        <f t="shared" si="1"/>
        <v>USD1L3L13Y</v>
      </c>
      <c r="O21" s="32" t="str">
        <v>USD1L3L13Y=PYNY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12.471875000000001</v>
      </c>
      <c r="V21" s="139"/>
      <c r="W21" s="215">
        <v>12.471875000000001</v>
      </c>
      <c r="X21" s="139"/>
      <c r="Y21" s="209">
        <v>12.471875000000001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210" t="str">
        <f t="shared" si="3"/>
        <v>14Y</v>
      </c>
      <c r="C22" s="172" t="str">
        <f t="shared" si="4"/>
        <v>3L</v>
      </c>
      <c r="D22" s="173" t="str">
        <f t="shared" si="5"/>
        <v>1L</v>
      </c>
      <c r="E22" s="174" t="str">
        <f t="shared" si="0"/>
        <v>USD3L1L14Y_LCHQuote</v>
      </c>
      <c r="F22" s="174" t="str">
        <f>_xll.qlSimpleQuote(E22,,RateTickValue,Permanent,Trigger,ObjectOverwrite)</f>
        <v>USD3L1L14Y_LCHQuote#0002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64</v>
      </c>
      <c r="M22" s="127" t="s">
        <v>63</v>
      </c>
      <c r="N22" s="128" t="str">
        <f t="shared" si="1"/>
        <v>USD1L3L14Y</v>
      </c>
      <c r="O22" s="32" t="str">
        <v>USD1L3L14Y=PYNY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12.471875000000001</v>
      </c>
      <c r="V22" s="139"/>
      <c r="W22" s="215">
        <v>12.471875000000001</v>
      </c>
      <c r="X22" s="139"/>
      <c r="Y22" s="209">
        <v>12.471875000000001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210" t="str">
        <f t="shared" si="3"/>
        <v>15Y</v>
      </c>
      <c r="C23" s="172" t="str">
        <f t="shared" si="4"/>
        <v>3L</v>
      </c>
      <c r="D23" s="173" t="str">
        <f t="shared" si="5"/>
        <v>1L</v>
      </c>
      <c r="E23" s="174" t="str">
        <f t="shared" si="0"/>
        <v>USD3L1L15Y_LCHQuote</v>
      </c>
      <c r="F23" s="174" t="str">
        <f>_xll.qlSimpleQuote(E23,,RateTickValue,Permanent,Trigger,ObjectOverwrite)</f>
        <v>USD3L1L15Y_LCHQuote#0002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64</v>
      </c>
      <c r="M23" s="127" t="s">
        <v>63</v>
      </c>
      <c r="N23" s="128" t="str">
        <f t="shared" si="1"/>
        <v>USD1L3L15Y</v>
      </c>
      <c r="O23" s="32" t="str">
        <v>USD1L3L15Y=PYNY</v>
      </c>
      <c r="P23" s="375">
        <v>11.5</v>
      </c>
      <c r="Q23" s="375">
        <v>13.5</v>
      </c>
      <c r="R23" s="209">
        <f>_xll.qlMidEquivalent(P23,Q23)</f>
        <v>12.5</v>
      </c>
      <c r="S23" s="220">
        <v>15</v>
      </c>
      <c r="T23" s="35" t="b">
        <f t="shared" si="2"/>
        <v>1</v>
      </c>
      <c r="U23" s="224">
        <v>12.5</v>
      </c>
      <c r="V23" s="139"/>
      <c r="W23" s="215">
        <v>12.5</v>
      </c>
      <c r="X23" s="139"/>
      <c r="Y23" s="209">
        <v>12.5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210" t="str">
        <f t="shared" si="3"/>
        <v>16Y</v>
      </c>
      <c r="C24" s="172" t="str">
        <f t="shared" si="4"/>
        <v>3L</v>
      </c>
      <c r="D24" s="173" t="str">
        <f t="shared" si="5"/>
        <v>1L</v>
      </c>
      <c r="E24" s="174" t="str">
        <f t="shared" si="0"/>
        <v>USD3L1L16Y_LCHQuote</v>
      </c>
      <c r="F24" s="174" t="str">
        <f>_xll.qlSimpleQuote(E24,,RateTickValue,Permanent,Trigger,ObjectOverwrite)</f>
        <v>USD3L1L16Y_LCHQuote#0002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64</v>
      </c>
      <c r="M24" s="127" t="s">
        <v>63</v>
      </c>
      <c r="N24" s="128" t="str">
        <f t="shared" si="1"/>
        <v>USD1L3L16Y</v>
      </c>
      <c r="O24" s="32" t="str">
        <v>USD1L3L16Y=PYNY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12.557864934487558</v>
      </c>
      <c r="V24" s="139"/>
      <c r="W24" s="215">
        <v>12.557864934487558</v>
      </c>
      <c r="X24" s="139"/>
      <c r="Y24" s="209">
        <v>12.557864934487558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210" t="str">
        <f t="shared" si="3"/>
        <v>17Y</v>
      </c>
      <c r="C25" s="172" t="str">
        <f t="shared" si="4"/>
        <v>3L</v>
      </c>
      <c r="D25" s="173" t="str">
        <f t="shared" si="5"/>
        <v>1L</v>
      </c>
      <c r="E25" s="174" t="str">
        <f t="shared" si="0"/>
        <v>USD3L1L17Y_LCHQuote</v>
      </c>
      <c r="F25" s="174" t="str">
        <f>_xll.qlSimpleQuote(E25,,RateTickValue,Permanent,Trigger,ObjectOverwrite)</f>
        <v>USD3L1L17Y_LCHQuote#0002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64</v>
      </c>
      <c r="M25" s="127" t="s">
        <v>63</v>
      </c>
      <c r="N25" s="128" t="str">
        <f t="shared" si="1"/>
        <v>USD1L3L17Y</v>
      </c>
      <c r="O25" s="32" t="str">
        <v>USD1L3L17Y=PYNY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12.637969803462672</v>
      </c>
      <c r="V25" s="139"/>
      <c r="W25" s="215">
        <v>12.637969803462672</v>
      </c>
      <c r="X25" s="139"/>
      <c r="Y25" s="209">
        <v>12.637969803462672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210" t="str">
        <f t="shared" si="3"/>
        <v>18Y</v>
      </c>
      <c r="C26" s="172" t="str">
        <f t="shared" si="4"/>
        <v>3L</v>
      </c>
      <c r="D26" s="173" t="str">
        <f t="shared" si="5"/>
        <v>1L</v>
      </c>
      <c r="E26" s="174" t="str">
        <f t="shared" si="0"/>
        <v>USD3L1L18Y_LCHQuote</v>
      </c>
      <c r="F26" s="174" t="str">
        <f>_xll.qlSimpleQuote(E26,,RateTickValue,Permanent,Trigger,ObjectOverwrite)</f>
        <v>USD3L1L18Y_LCHQuote#0002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64</v>
      </c>
      <c r="M26" s="127" t="s">
        <v>63</v>
      </c>
      <c r="N26" s="128" t="str">
        <f t="shared" si="1"/>
        <v>USD1L3L18Y</v>
      </c>
      <c r="O26" s="32" t="str">
        <v>USD1L3L18Y=PYNY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12.726642205194009</v>
      </c>
      <c r="V26" s="139"/>
      <c r="W26" s="215">
        <v>12.726642205194009</v>
      </c>
      <c r="X26" s="139"/>
      <c r="Y26" s="209">
        <v>12.726642205194009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210" t="str">
        <f t="shared" si="3"/>
        <v>19Y</v>
      </c>
      <c r="C27" s="172" t="str">
        <f t="shared" si="4"/>
        <v>3L</v>
      </c>
      <c r="D27" s="173" t="str">
        <f t="shared" si="5"/>
        <v>1L</v>
      </c>
      <c r="E27" s="174" t="str">
        <f t="shared" si="0"/>
        <v>USD3L1L19Y_LCHQuote</v>
      </c>
      <c r="F27" s="174" t="str">
        <f>_xll.qlSimpleQuote(E27,,RateTickValue,Permanent,Trigger,ObjectOverwrite)</f>
        <v>USD3L1L19Y_LCHQuote#0002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64</v>
      </c>
      <c r="M27" s="127" t="s">
        <v>63</v>
      </c>
      <c r="N27" s="128" t="str">
        <f t="shared" si="1"/>
        <v>USD1L3L19Y</v>
      </c>
      <c r="O27" s="32" t="str">
        <v>USD1L3L19Y=PYNY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12.810209737950231</v>
      </c>
      <c r="V27" s="139"/>
      <c r="W27" s="215">
        <v>12.810209737950231</v>
      </c>
      <c r="X27" s="139"/>
      <c r="Y27" s="209">
        <v>12.810209737950231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210" t="str">
        <f t="shared" si="3"/>
        <v>20Y</v>
      </c>
      <c r="C28" s="172" t="str">
        <f t="shared" si="4"/>
        <v>3L</v>
      </c>
      <c r="D28" s="173" t="str">
        <f t="shared" si="5"/>
        <v>1L</v>
      </c>
      <c r="E28" s="174" t="str">
        <f t="shared" si="0"/>
        <v>USD3L1L20Y_LCHQuote</v>
      </c>
      <c r="F28" s="174" t="str">
        <f>_xll.qlSimpleQuote(E28,,RateTickValue,Permanent,Trigger,ObjectOverwrite)</f>
        <v>USD3L1L20Y_LCHQuote#0002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64</v>
      </c>
      <c r="M28" s="127" t="s">
        <v>63</v>
      </c>
      <c r="N28" s="128" t="str">
        <f t="shared" si="1"/>
        <v>USD1L3L20Y</v>
      </c>
      <c r="O28" s="32" t="str">
        <v>USD1L3L20Y=PYNY</v>
      </c>
      <c r="P28" s="375">
        <v>11.875</v>
      </c>
      <c r="Q28" s="375">
        <v>13.875</v>
      </c>
      <c r="R28" s="209">
        <f>_xll.qlMidEquivalent(P28,Q28)</f>
        <v>12.875</v>
      </c>
      <c r="S28" s="220">
        <v>20</v>
      </c>
      <c r="T28" s="35" t="b">
        <f t="shared" si="2"/>
        <v>1</v>
      </c>
      <c r="U28" s="224">
        <v>12.875</v>
      </c>
      <c r="V28" s="139"/>
      <c r="W28" s="215">
        <v>12.875</v>
      </c>
      <c r="X28" s="139"/>
      <c r="Y28" s="209">
        <v>12.875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210" t="str">
        <f t="shared" si="3"/>
        <v>21Y</v>
      </c>
      <c r="C29" s="172" t="str">
        <f t="shared" si="4"/>
        <v>3L</v>
      </c>
      <c r="D29" s="173" t="str">
        <f t="shared" si="5"/>
        <v>1L</v>
      </c>
      <c r="E29" s="174" t="str">
        <f t="shared" si="0"/>
        <v>USD3L1L21Y_LCHQuote</v>
      </c>
      <c r="F29" s="174" t="str">
        <f>_xll.qlSimpleQuote(E29,,RateTickValue,Permanent,Trigger,ObjectOverwrite)</f>
        <v>USD3L1L21Y_LCHQuote#0002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64</v>
      </c>
      <c r="M29" s="127" t="s">
        <v>63</v>
      </c>
      <c r="N29" s="128" t="str">
        <f t="shared" si="1"/>
        <v>USD1L3L21Y</v>
      </c>
      <c r="O29" s="32" t="str">
        <v>USD1L3L21Y=PYNY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12.916007423624754</v>
      </c>
      <c r="V29" s="139"/>
      <c r="W29" s="215">
        <v>12.916007423624754</v>
      </c>
      <c r="X29" s="139"/>
      <c r="Y29" s="209">
        <v>12.916007423624754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210" t="str">
        <f t="shared" si="3"/>
        <v>22Y</v>
      </c>
      <c r="C30" s="172" t="str">
        <f t="shared" si="4"/>
        <v>3L</v>
      </c>
      <c r="D30" s="173" t="str">
        <f t="shared" si="5"/>
        <v>1L</v>
      </c>
      <c r="E30" s="174" t="str">
        <f t="shared" si="0"/>
        <v>USD3L1L22Y_LCHQuote</v>
      </c>
      <c r="F30" s="174" t="str">
        <f>_xll.qlSimpleQuote(E30,,RateTickValue,Permanent,Trigger,ObjectOverwrite)</f>
        <v>USD3L1L22Y_LCHQuote#0002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64</v>
      </c>
      <c r="M30" s="127" t="s">
        <v>63</v>
      </c>
      <c r="N30" s="128" t="str">
        <f t="shared" si="1"/>
        <v>USD1L3L22Y</v>
      </c>
      <c r="O30" s="32" t="str">
        <v>USD1L3L22Y=PYNY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12.942009279530941</v>
      </c>
      <c r="V30" s="139"/>
      <c r="W30" s="215">
        <v>12.942009279530941</v>
      </c>
      <c r="X30" s="139"/>
      <c r="Y30" s="209">
        <v>12.942009279530941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210" t="str">
        <f t="shared" si="3"/>
        <v>23Y</v>
      </c>
      <c r="C31" s="172" t="str">
        <f t="shared" si="4"/>
        <v>3L</v>
      </c>
      <c r="D31" s="173" t="str">
        <f t="shared" si="5"/>
        <v>1L</v>
      </c>
      <c r="E31" s="174" t="str">
        <f t="shared" si="0"/>
        <v>USD3L1L23Y_LCHQuote</v>
      </c>
      <c r="F31" s="174" t="str">
        <f>_xll.qlSimpleQuote(E31,,RateTickValue,Permanent,Trigger,ObjectOverwrite)</f>
        <v>USD3L1L23Y_LCHQuote#0002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64</v>
      </c>
      <c r="M31" s="127" t="s">
        <v>63</v>
      </c>
      <c r="N31" s="128" t="str">
        <f t="shared" si="1"/>
        <v>USD1L3L23Y</v>
      </c>
      <c r="O31" s="32" t="str">
        <v>USD1L3L23Y=PYNY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12.960007423624752</v>
      </c>
      <c r="V31" s="139"/>
      <c r="W31" s="215">
        <v>12.960007423624752</v>
      </c>
      <c r="X31" s="139"/>
      <c r="Y31" s="209">
        <v>12.960007423624752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210" t="str">
        <f t="shared" si="3"/>
        <v>24Y</v>
      </c>
      <c r="C32" s="172" t="str">
        <f t="shared" si="4"/>
        <v>3L</v>
      </c>
      <c r="D32" s="173" t="str">
        <f t="shared" si="5"/>
        <v>1L</v>
      </c>
      <c r="E32" s="174" t="str">
        <f t="shared" si="0"/>
        <v>USD3L1L24Y_LCHQuote</v>
      </c>
      <c r="F32" s="174" t="str">
        <f>_xll.qlSimpleQuote(E32,,RateTickValue,Permanent,Trigger,ObjectOverwrite)</f>
        <v>USD3L1L24Y_LCHQuote#0002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64</v>
      </c>
      <c r="M32" s="127" t="s">
        <v>63</v>
      </c>
      <c r="N32" s="128" t="str">
        <f t="shared" si="1"/>
        <v>USD1L3L24Y</v>
      </c>
      <c r="O32" s="32" t="str">
        <v>USD1L3L24Y=PYNY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12.977003711812376</v>
      </c>
      <c r="V32" s="139"/>
      <c r="W32" s="215">
        <v>12.977003711812376</v>
      </c>
      <c r="X32" s="139"/>
      <c r="Y32" s="209">
        <v>12.977003711812376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210" t="str">
        <f t="shared" si="3"/>
        <v>25Y</v>
      </c>
      <c r="C33" s="172" t="str">
        <f t="shared" si="4"/>
        <v>3L</v>
      </c>
      <c r="D33" s="173" t="str">
        <f t="shared" si="5"/>
        <v>1L</v>
      </c>
      <c r="E33" s="174" t="str">
        <f t="shared" si="0"/>
        <v>USD3L1L25Y_LCHQuote</v>
      </c>
      <c r="F33" s="174" t="str">
        <f>_xll.qlSimpleQuote(E33,,RateTickValue,Permanent,Trigger,ObjectOverwrite)</f>
        <v>USD3L1L25Y_LCHQuote#0002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64</v>
      </c>
      <c r="M33" s="127" t="s">
        <v>63</v>
      </c>
      <c r="N33" s="128" t="str">
        <f t="shared" si="1"/>
        <v>USD1L3L25Y</v>
      </c>
      <c r="O33" s="32" t="str">
        <v>USD1L3L25Y=PYNY</v>
      </c>
      <c r="P33" s="375">
        <v>12</v>
      </c>
      <c r="Q33" s="375">
        <v>14</v>
      </c>
      <c r="R33" s="209">
        <f>_xll.qlMidEquivalent(P33,Q33)</f>
        <v>13</v>
      </c>
      <c r="S33" s="220">
        <v>25</v>
      </c>
      <c r="T33" s="35" t="b">
        <f t="shared" si="2"/>
        <v>1</v>
      </c>
      <c r="U33" s="224">
        <v>13</v>
      </c>
      <c r="V33" s="139"/>
      <c r="W33" s="215">
        <v>13</v>
      </c>
      <c r="X33" s="139"/>
      <c r="Y33" s="209">
        <v>13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210" t="str">
        <f t="shared" si="3"/>
        <v>26Y</v>
      </c>
      <c r="C34" s="172" t="str">
        <f t="shared" si="4"/>
        <v>3L</v>
      </c>
      <c r="D34" s="173" t="str">
        <f t="shared" si="5"/>
        <v>1L</v>
      </c>
      <c r="E34" s="174" t="str">
        <f t="shared" si="0"/>
        <v>USD3L1L26Y_LCHQuote</v>
      </c>
      <c r="F34" s="174" t="str">
        <f>_xll.qlSimpleQuote(E34,,RateTickValue,Permanent,Trigger,ObjectOverwrite)</f>
        <v>USD3L1L26Y_LCHQuote#0002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64</v>
      </c>
      <c r="M34" s="127" t="s">
        <v>63</v>
      </c>
      <c r="N34" s="128" t="str">
        <f t="shared" si="1"/>
        <v>USD1L3L26Y</v>
      </c>
      <c r="O34" s="32" t="str">
        <v>USD1L3L26Y=PYNY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13.034397772912573</v>
      </c>
      <c r="V34" s="139"/>
      <c r="W34" s="215">
        <v>13.034397772912573</v>
      </c>
      <c r="X34" s="139"/>
      <c r="Y34" s="209">
        <v>13.034397772912573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210" t="str">
        <f t="shared" si="3"/>
        <v>27Y</v>
      </c>
      <c r="C35" s="172" t="str">
        <f t="shared" si="4"/>
        <v>3L</v>
      </c>
      <c r="D35" s="173" t="str">
        <f t="shared" si="5"/>
        <v>1L</v>
      </c>
      <c r="E35" s="174" t="str">
        <f t="shared" si="0"/>
        <v>USD3L1L27Y_LCHQuote</v>
      </c>
      <c r="F35" s="174" t="str">
        <f>_xll.qlSimpleQuote(E35,,RateTickValue,Permanent,Trigger,ObjectOverwrite)</f>
        <v>USD3L1L27Y_LCHQuote#0002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64</v>
      </c>
      <c r="M35" s="127" t="s">
        <v>63</v>
      </c>
      <c r="N35" s="128" t="str">
        <f t="shared" si="1"/>
        <v>USD1L3L27Y</v>
      </c>
      <c r="O35" s="32" t="str">
        <v>USD1L3L27Y=PYNY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13.079197030550098</v>
      </c>
      <c r="V35" s="139"/>
      <c r="W35" s="215">
        <v>13.079197030550098</v>
      </c>
      <c r="X35" s="139"/>
      <c r="Y35" s="209">
        <v>13.079197030550098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210" t="str">
        <f t="shared" si="3"/>
        <v>28Y</v>
      </c>
      <c r="C36" s="172" t="str">
        <f t="shared" si="4"/>
        <v>3L</v>
      </c>
      <c r="D36" s="173" t="str">
        <f t="shared" si="5"/>
        <v>1L</v>
      </c>
      <c r="E36" s="174" t="str">
        <f t="shared" si="0"/>
        <v>USD3L1L28Y_LCHQuote</v>
      </c>
      <c r="F36" s="174" t="str">
        <f>_xll.qlSimpleQuote(E36,,RateTickValue,Permanent,Trigger,ObjectOverwrite)</f>
        <v>USD3L1L28Y_LCHQuote#0002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64</v>
      </c>
      <c r="M36" s="127" t="s">
        <v>63</v>
      </c>
      <c r="N36" s="128" t="str">
        <f t="shared" si="1"/>
        <v>USD1L3L28Y</v>
      </c>
      <c r="O36" s="32" t="str">
        <v>USD1L3L28Y=PYNY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13.131797401731337</v>
      </c>
      <c r="V36" s="139"/>
      <c r="W36" s="215">
        <v>13.131797401731337</v>
      </c>
      <c r="X36" s="139"/>
      <c r="Y36" s="209">
        <v>13.131797401731337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210" t="str">
        <f t="shared" si="3"/>
        <v>29Y</v>
      </c>
      <c r="C37" s="172" t="str">
        <f t="shared" si="4"/>
        <v>3L</v>
      </c>
      <c r="D37" s="173" t="str">
        <f t="shared" si="5"/>
        <v>1L</v>
      </c>
      <c r="E37" s="174" t="str">
        <f t="shared" si="0"/>
        <v>USD3L1L29Y_LCHQuote</v>
      </c>
      <c r="F37" s="174" t="str">
        <f>_xll.qlSimpleQuote(E37,,RateTickValue,Permanent,Trigger,ObjectOverwrite)</f>
        <v>USD3L1L29Y_LCHQuote#0002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64</v>
      </c>
      <c r="M37" s="127" t="s">
        <v>63</v>
      </c>
      <c r="N37" s="128" t="str">
        <f t="shared" si="1"/>
        <v>USD1L3L29Y</v>
      </c>
      <c r="O37" s="32" t="str">
        <v>USD1L3L29Y=PYNY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13.189598515275049</v>
      </c>
      <c r="V37" s="139"/>
      <c r="W37" s="418">
        <v>13.189598515275049</v>
      </c>
      <c r="X37" s="137"/>
      <c r="Y37" s="418">
        <v>13.189598515275049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210" t="str">
        <f t="shared" si="3"/>
        <v>30Y</v>
      </c>
      <c r="C38" s="172" t="str">
        <f t="shared" si="4"/>
        <v>3L</v>
      </c>
      <c r="D38" s="173" t="str">
        <f t="shared" si="5"/>
        <v>1L</v>
      </c>
      <c r="E38" s="174" t="str">
        <f t="shared" si="0"/>
        <v>USD3L1L30Y_LCHQuote</v>
      </c>
      <c r="F38" s="174" t="str">
        <f>_xll.qlSimpleQuote(E38,,RateTickValue,Permanent,Trigger,ObjectOverwrite)</f>
        <v>USD3L1L30Y_LCHQuote#0002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64</v>
      </c>
      <c r="M38" s="127" t="s">
        <v>63</v>
      </c>
      <c r="N38" s="128" t="str">
        <f t="shared" si="1"/>
        <v>USD1L3L30Y</v>
      </c>
      <c r="O38" s="32" t="str">
        <v>USD1L3L30Y=PYNY</v>
      </c>
      <c r="P38" s="375">
        <v>12.25</v>
      </c>
      <c r="Q38" s="375">
        <v>14.25</v>
      </c>
      <c r="R38" s="209">
        <f>_xll.qlMidEquivalent(P38,Q38)</f>
        <v>13.25</v>
      </c>
      <c r="S38" s="220">
        <v>30</v>
      </c>
      <c r="T38" s="35" t="b">
        <f t="shared" si="2"/>
        <v>1</v>
      </c>
      <c r="U38" s="224">
        <v>13.25</v>
      </c>
      <c r="V38" s="139"/>
      <c r="W38" s="418">
        <v>13.25</v>
      </c>
      <c r="X38" s="137"/>
      <c r="Y38" s="418">
        <v>13.25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210" t="str">
        <f t="shared" si="3"/>
        <v>35Y</v>
      </c>
      <c r="C39" s="172" t="str">
        <f t="shared" si="4"/>
        <v>3L</v>
      </c>
      <c r="D39" s="173" t="str">
        <f t="shared" si="5"/>
        <v>1L</v>
      </c>
      <c r="E39" s="174" t="str">
        <f t="shared" si="0"/>
        <v>USD3L1L35Y_LCHQuote</v>
      </c>
      <c r="F39" s="174" t="str">
        <f>_xll.qlSimpleQuote(E39,,RateTickValue,Permanent,Trigger,ObjectOverwrite)</f>
        <v>USD3L1L35Y_LCHQuote#0002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64</v>
      </c>
      <c r="M39" s="127" t="s">
        <v>63</v>
      </c>
      <c r="N39" s="128" t="str">
        <f t="shared" si="1"/>
        <v>USD1L3L35Y</v>
      </c>
      <c r="O39" s="32" t="str">
        <v>USD1L3L35Y=PYNY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13.25</v>
      </c>
      <c r="V39" s="139"/>
      <c r="W39" s="418">
        <v>13.25</v>
      </c>
      <c r="X39" s="137"/>
      <c r="Y39" s="418">
        <v>13.25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210" t="str">
        <f t="shared" si="3"/>
        <v>40Y</v>
      </c>
      <c r="C40" s="172" t="str">
        <f t="shared" si="4"/>
        <v>3L</v>
      </c>
      <c r="D40" s="173" t="str">
        <f t="shared" si="5"/>
        <v>1L</v>
      </c>
      <c r="E40" s="174" t="str">
        <f t="shared" si="0"/>
        <v>USD3L1L40Y_LCHQuote</v>
      </c>
      <c r="F40" s="174" t="str">
        <f>_xll.qlSimpleQuote(E40,,RateTickValue,Permanent,Trigger,ObjectOverwrite)</f>
        <v>USD3L1L40Y_LCHQuote#0002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64</v>
      </c>
      <c r="M40" s="127" t="s">
        <v>63</v>
      </c>
      <c r="N40" s="128" t="str">
        <f t="shared" si="1"/>
        <v>USD1L3L40Y</v>
      </c>
      <c r="O40" s="32" t="str">
        <v>USD1L3L40Y=PYNY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>U39</f>
        <v>13.25</v>
      </c>
      <c r="V40" s="139"/>
      <c r="W40" s="418">
        <v>13.25</v>
      </c>
      <c r="X40" s="137"/>
      <c r="Y40" s="418">
        <v>13.25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210" t="str">
        <f t="shared" si="3"/>
        <v>50Y</v>
      </c>
      <c r="C41" s="172" t="str">
        <f t="shared" si="4"/>
        <v>3L</v>
      </c>
      <c r="D41" s="173" t="str">
        <f t="shared" si="5"/>
        <v>1L</v>
      </c>
      <c r="E41" s="174" t="str">
        <f t="shared" si="0"/>
        <v>USD3L1L50Y_LCHQuote</v>
      </c>
      <c r="F41" s="174" t="str">
        <f>_xll.qlSimpleQuote(E41,,RateTickValue,Permanent,Trigger,ObjectOverwrite)</f>
        <v>USD3L1L50Y_LCHQuote#0002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64</v>
      </c>
      <c r="M41" s="127" t="s">
        <v>63</v>
      </c>
      <c r="N41" s="128" t="str">
        <f t="shared" si="1"/>
        <v>USD1L3L50Y</v>
      </c>
      <c r="O41" s="32" t="str">
        <v>USD1L3L50Y=PYNY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>U40</f>
        <v>13.25</v>
      </c>
      <c r="V41" s="139"/>
      <c r="W41" s="418">
        <v>13.25</v>
      </c>
      <c r="X41" s="137"/>
      <c r="Y41" s="418">
        <v>13.25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212" t="str">
        <f t="shared" si="3"/>
        <v>60Y</v>
      </c>
      <c r="C42" s="177" t="str">
        <f t="shared" si="4"/>
        <v>3L</v>
      </c>
      <c r="D42" s="178" t="str">
        <f t="shared" si="5"/>
        <v>1L</v>
      </c>
      <c r="E42" s="179" t="str">
        <f t="shared" si="0"/>
        <v>USD3L1L60Y_LCHQuote</v>
      </c>
      <c r="F42" s="179" t="str">
        <f>_xll.qlSimpleQuote(E42,,RateTickValue,Permanent,Trigger,ObjectOverwrite)</f>
        <v>USD3L1L60Y_LCHQuote#0002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64</v>
      </c>
      <c r="M42" s="129" t="s">
        <v>63</v>
      </c>
      <c r="N42" s="130" t="str">
        <f t="shared" si="1"/>
        <v>USD1L3L60Y</v>
      </c>
      <c r="O42" s="33" t="str">
        <v>USD1L3L60Y=PYNY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>U41</f>
        <v>13.25</v>
      </c>
      <c r="V42" s="139"/>
      <c r="W42" s="419">
        <v>13.25</v>
      </c>
      <c r="X42" s="137"/>
      <c r="Y42" s="419">
        <v>13.25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195</v>
      </c>
      <c r="K1" s="25"/>
      <c r="L1" s="25"/>
      <c r="M1" s="25"/>
      <c r="N1" s="25"/>
      <c r="O1" s="25" t="str">
        <f>VLOOKUP($J$1,AreaTable,AreaIndex,0)</f>
        <v>ICAP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">
        <v>180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2">
        <f>_xll.ohTrigger(Z5:Z42)</f>
        <v>19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obj_0029e#0016</v>
      </c>
      <c r="T3" s="3"/>
      <c r="U3" s="3"/>
      <c r="V3" s="14"/>
      <c r="W3" s="14"/>
      <c r="X3" s="14"/>
      <c r="Y3" s="3"/>
      <c r="Z3" s="3"/>
      <c r="AA3" s="27"/>
    </row>
    <row r="4" spans="1:28" ht="22.5" customHeight="1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Updated at 18:45:09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5" t="str">
        <f>K5</f>
        <v>6M</v>
      </c>
      <c r="C5" s="165" t="str">
        <f>L5</f>
        <v>6L</v>
      </c>
      <c r="D5" s="166" t="str">
        <f>M5</f>
        <v>3L</v>
      </c>
      <c r="E5" s="167" t="str">
        <f t="shared" ref="E5:E42" si="0">IF(ISBLANK(C5),"#",Currency&amp;$C5&amp;$D5&amp;$B5&amp;QuoteSuffix)</f>
        <v>USD6L3L6M_LCHQuote</v>
      </c>
      <c r="F5" s="167" t="str">
        <f>_xll.qlSimpleQuote(E5,,RateTickValue,Permanent,Trigger,ObjectOverwrite)</f>
        <v>USD6L3L6M_LCHQuote#0002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65</v>
      </c>
      <c r="M5" s="127" t="s">
        <v>64</v>
      </c>
      <c r="N5" s="128" t="str">
        <f t="shared" ref="N5:N42" si="1">IF(Contributor="ICAP LN",Currency&amp;$L5&amp;$M5&amp;$K5,Currency&amp;$M5&amp;$L5&amp;$K5)</f>
        <v>USD3L6L6M</v>
      </c>
      <c r="O5" s="32" t="str">
        <f t="array" ref="O5:O42">Instrments&amp;"="&amp;VLOOKUP(Contributor,ContributorTable,2,FALSE)</f>
        <v>USD3L6L6M=PYNY</v>
      </c>
      <c r="P5" s="375">
        <v>13.5</v>
      </c>
      <c r="Q5" s="375">
        <v>15.5</v>
      </c>
      <c r="R5" s="209">
        <f>_xll.qlMidEquivalent(P5,Q5)</f>
        <v>14.5</v>
      </c>
      <c r="S5" s="219">
        <v>0.5</v>
      </c>
      <c r="T5" s="35" t="b">
        <f t="shared" ref="T5:T42" si="2">IF(ISNUMBER(R5),TRUE,FALSE)</f>
        <v>1</v>
      </c>
      <c r="U5" s="224">
        <f t="array" ref="U5:U38">_xll.qlInterpolationInterpolate(S3,S5:S42)</f>
        <v>14.5</v>
      </c>
      <c r="V5" s="139"/>
      <c r="W5" s="215">
        <v>14.625</v>
      </c>
      <c r="X5" s="139"/>
      <c r="Y5" s="216">
        <f t="array" ref="Y5:Y42">QuoteLive</f>
        <v>14.5</v>
      </c>
      <c r="Z5" s="131" t="e">
        <f>_xll.qlSimpleQuoteSetValue(F5,Y5/10000,Trigger)</f>
        <v>#N/A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6L</v>
      </c>
      <c r="D6" s="173" t="str">
        <f t="shared" ref="D6:D42" si="5">M6</f>
        <v>3L</v>
      </c>
      <c r="E6" s="174" t="str">
        <f t="shared" si="0"/>
        <v>USD6L3L1Y_LCHQuote</v>
      </c>
      <c r="F6" s="174" t="str">
        <f>_xll.qlSimpleQuote(E6,,RateTickValue,Permanent,Trigger,ObjectOverwrite)</f>
        <v>USD6L3L1Y_LCHQuote#0002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65</v>
      </c>
      <c r="M6" s="127" t="s">
        <v>64</v>
      </c>
      <c r="N6" s="128" t="str">
        <f t="shared" si="1"/>
        <v>USD3L6L1Y</v>
      </c>
      <c r="O6" s="32" t="str">
        <v>USD3L6L1Y=PYNY</v>
      </c>
      <c r="P6" s="375">
        <v>12.125</v>
      </c>
      <c r="Q6" s="375">
        <v>14.125</v>
      </c>
      <c r="R6" s="209">
        <f>_xll.qlMidEquivalent(P6,Q6)</f>
        <v>13.125</v>
      </c>
      <c r="S6" s="219">
        <v>1</v>
      </c>
      <c r="T6" s="35" t="b">
        <f t="shared" si="2"/>
        <v>1</v>
      </c>
      <c r="U6" s="224">
        <v>13.125</v>
      </c>
      <c r="V6" s="139"/>
      <c r="W6" s="215">
        <v>13.25</v>
      </c>
      <c r="X6" s="139"/>
      <c r="Y6" s="209">
        <v>13.125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127" t="str">
        <f t="shared" si="3"/>
        <v>15M</v>
      </c>
      <c r="C7" s="172" t="str">
        <f t="shared" si="4"/>
        <v>6L</v>
      </c>
      <c r="D7" s="173" t="str">
        <f t="shared" si="5"/>
        <v>3L</v>
      </c>
      <c r="E7" s="174" t="str">
        <f t="shared" si="0"/>
        <v>USD6L3L15M_LCHQuote</v>
      </c>
      <c r="F7" s="174" t="str">
        <f>_xll.qlSimpleQuote(E7,,RateTickValue,Permanent,Trigger,ObjectOverwrite)</f>
        <v>USD6L3L15M_LCHQuote#0002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65</v>
      </c>
      <c r="M7" s="127" t="s">
        <v>64</v>
      </c>
      <c r="N7" s="128" t="str">
        <f t="shared" si="1"/>
        <v>USD3L6L15M</v>
      </c>
      <c r="O7" s="32" t="str">
        <v>USD3L6L15M=PYNY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12.643381369990555</v>
      </c>
      <c r="V7" s="139"/>
      <c r="W7" s="215">
        <v>12.705280111864198</v>
      </c>
      <c r="X7" s="139"/>
      <c r="Y7" s="209">
        <v>12.643381369990555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127" t="str">
        <f t="shared" si="3"/>
        <v>18M</v>
      </c>
      <c r="C8" s="172" t="str">
        <f t="shared" si="4"/>
        <v>6L</v>
      </c>
      <c r="D8" s="173" t="str">
        <f t="shared" si="5"/>
        <v>3L</v>
      </c>
      <c r="E8" s="174" t="str">
        <f t="shared" si="0"/>
        <v>USD6L3L18M_LCHQuote</v>
      </c>
      <c r="F8" s="174" t="str">
        <f>_xll.qlSimpleQuote(E8,,RateTickValue,Permanent,Trigger,ObjectOverwrite)</f>
        <v>USD6L3L18M_LCHQuote#0002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65</v>
      </c>
      <c r="M8" s="127" t="s">
        <v>64</v>
      </c>
      <c r="N8" s="128" t="str">
        <f t="shared" si="1"/>
        <v>USD3L6L18M</v>
      </c>
      <c r="O8" s="32" t="str">
        <v>USD3L6L18M=PYNY</v>
      </c>
      <c r="P8" s="375">
        <v>11.25</v>
      </c>
      <c r="Q8" s="375">
        <v>13.25</v>
      </c>
      <c r="R8" s="209">
        <f>_xll.qlMidEquivalent(P8,Q8)</f>
        <v>12.25</v>
      </c>
      <c r="S8" s="219">
        <v>1.5</v>
      </c>
      <c r="T8" s="35" t="b">
        <f t="shared" si="2"/>
        <v>1</v>
      </c>
      <c r="U8" s="224">
        <v>12.25</v>
      </c>
      <c r="V8" s="139"/>
      <c r="W8" s="215">
        <v>12.25</v>
      </c>
      <c r="X8" s="139"/>
      <c r="Y8" s="209">
        <v>12.25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127" t="str">
        <f t="shared" si="3"/>
        <v>21M</v>
      </c>
      <c r="C9" s="172" t="str">
        <f t="shared" si="4"/>
        <v>6L</v>
      </c>
      <c r="D9" s="173" t="str">
        <f t="shared" si="5"/>
        <v>3L</v>
      </c>
      <c r="E9" s="174" t="str">
        <f t="shared" si="0"/>
        <v>USD6L3L21M_LCHQuote</v>
      </c>
      <c r="F9" s="174" t="str">
        <f>_xll.qlSimpleQuote(E9,,RateTickValue,Permanent,Trigger,ObjectOverwrite)</f>
        <v>USD6L3L21M_LCHQuote#0002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65</v>
      </c>
      <c r="M9" s="127" t="s">
        <v>64</v>
      </c>
      <c r="N9" s="128" t="str">
        <f t="shared" si="1"/>
        <v>USD3L6L21M</v>
      </c>
      <c r="O9" s="32" t="str">
        <v>USD3L6L21M=PYNY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11.864893310034629</v>
      </c>
      <c r="V9" s="139"/>
      <c r="W9" s="215">
        <v>11.851472923164605</v>
      </c>
      <c r="X9" s="139"/>
      <c r="Y9" s="209">
        <v>11.864893310034629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127" t="str">
        <f t="shared" si="3"/>
        <v>2Y</v>
      </c>
      <c r="C10" s="172" t="str">
        <f t="shared" si="4"/>
        <v>6L</v>
      </c>
      <c r="D10" s="173" t="str">
        <f t="shared" si="5"/>
        <v>3L</v>
      </c>
      <c r="E10" s="174" t="str">
        <f t="shared" si="0"/>
        <v>USD6L3L2Y_LCHQuote</v>
      </c>
      <c r="F10" s="174" t="str">
        <f>_xll.qlSimpleQuote(E10,,RateTickValue,Permanent,Trigger,ObjectOverwrite)</f>
        <v>USD6L3L2Y_LCHQuote#0002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65</v>
      </c>
      <c r="M10" s="127" t="s">
        <v>64</v>
      </c>
      <c r="N10" s="128" t="str">
        <f t="shared" si="1"/>
        <v>USD3L6L2Y</v>
      </c>
      <c r="O10" s="32" t="str">
        <v>USD3L6L2Y=PYNY</v>
      </c>
      <c r="P10" s="375">
        <v>10.5</v>
      </c>
      <c r="Q10" s="375">
        <v>12.5</v>
      </c>
      <c r="R10" s="209">
        <f>_xll.qlMidEquivalent(P10,Q10)</f>
        <v>11.5</v>
      </c>
      <c r="S10" s="220">
        <v>2</v>
      </c>
      <c r="T10" s="35" t="b">
        <f t="shared" si="2"/>
        <v>1</v>
      </c>
      <c r="U10" s="224">
        <v>11.5</v>
      </c>
      <c r="V10" s="139"/>
      <c r="W10" s="215">
        <v>11.5</v>
      </c>
      <c r="X10" s="139"/>
      <c r="Y10" s="209">
        <v>11.5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127" t="str">
        <f t="shared" si="3"/>
        <v>3Y</v>
      </c>
      <c r="C11" s="172" t="str">
        <f t="shared" si="4"/>
        <v>6L</v>
      </c>
      <c r="D11" s="173" t="str">
        <f t="shared" si="5"/>
        <v>3L</v>
      </c>
      <c r="E11" s="174" t="str">
        <f t="shared" si="0"/>
        <v>USD6L3L3Y_LCHQuote</v>
      </c>
      <c r="F11" s="174" t="str">
        <f>_xll.qlSimpleQuote(E11,,RateTickValue,Permanent,Trigger,ObjectOverwrite)</f>
        <v>USD6L3L3Y_LCHQuote#0002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65</v>
      </c>
      <c r="M11" s="127" t="s">
        <v>64</v>
      </c>
      <c r="N11" s="128" t="str">
        <f t="shared" si="1"/>
        <v>USD3L6L3Y</v>
      </c>
      <c r="O11" s="32" t="str">
        <v>USD3L6L3Y=PYNY</v>
      </c>
      <c r="P11" s="375">
        <v>9.5</v>
      </c>
      <c r="Q11" s="375">
        <v>11.5</v>
      </c>
      <c r="R11" s="209">
        <f>_xll.qlMidEquivalent(P11,Q11)</f>
        <v>10.5</v>
      </c>
      <c r="S11" s="220">
        <v>3</v>
      </c>
      <c r="T11" s="35" t="b">
        <f t="shared" si="2"/>
        <v>1</v>
      </c>
      <c r="U11" s="224">
        <v>10.5</v>
      </c>
      <c r="V11" s="139"/>
      <c r="W11" s="215">
        <v>10.5</v>
      </c>
      <c r="X11" s="139"/>
      <c r="Y11" s="209">
        <v>10.5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127" t="str">
        <f t="shared" si="3"/>
        <v>4Y</v>
      </c>
      <c r="C12" s="172" t="str">
        <f t="shared" si="4"/>
        <v>6L</v>
      </c>
      <c r="D12" s="173" t="str">
        <f t="shared" si="5"/>
        <v>3L</v>
      </c>
      <c r="E12" s="174" t="str">
        <f t="shared" si="0"/>
        <v>USD6L3L4Y_LCHQuote</v>
      </c>
      <c r="F12" s="174" t="str">
        <f>_xll.qlSimpleQuote(E12,,RateTickValue,Permanent,Trigger,ObjectOverwrite)</f>
        <v>USD6L3L4Y_LCHQuote#0002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65</v>
      </c>
      <c r="M12" s="127" t="s">
        <v>64</v>
      </c>
      <c r="N12" s="128" t="str">
        <f t="shared" si="1"/>
        <v>USD3L6L4Y</v>
      </c>
      <c r="O12" s="32" t="str">
        <v>USD3L6L4Y=PYNY</v>
      </c>
      <c r="P12" s="375">
        <v>9</v>
      </c>
      <c r="Q12" s="375">
        <v>11</v>
      </c>
      <c r="R12" s="209">
        <f>_xll.qlMidEquivalent(P12,Q12)</f>
        <v>10</v>
      </c>
      <c r="S12" s="220">
        <v>4</v>
      </c>
      <c r="T12" s="35" t="b">
        <f t="shared" si="2"/>
        <v>1</v>
      </c>
      <c r="U12" s="224">
        <v>10</v>
      </c>
      <c r="V12" s="139"/>
      <c r="W12" s="215">
        <v>10</v>
      </c>
      <c r="X12" s="139"/>
      <c r="Y12" s="209">
        <v>10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127" t="str">
        <f t="shared" si="3"/>
        <v>5Y</v>
      </c>
      <c r="C13" s="172" t="str">
        <f t="shared" si="4"/>
        <v>6L</v>
      </c>
      <c r="D13" s="173" t="str">
        <f t="shared" si="5"/>
        <v>3L</v>
      </c>
      <c r="E13" s="174" t="str">
        <f t="shared" si="0"/>
        <v>USD6L3L5Y_LCHQuote</v>
      </c>
      <c r="F13" s="174" t="str">
        <f>_xll.qlSimpleQuote(E13,,RateTickValue,Permanent,Trigger,ObjectOverwrite)</f>
        <v>USD6L3L5Y_LCHQuote#0002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65</v>
      </c>
      <c r="M13" s="127" t="s">
        <v>64</v>
      </c>
      <c r="N13" s="128" t="str">
        <f t="shared" si="1"/>
        <v>USD3L6L5Y</v>
      </c>
      <c r="O13" s="32" t="str">
        <v>USD3L6L5Y=PYNY</v>
      </c>
      <c r="P13" s="375">
        <v>8.75</v>
      </c>
      <c r="Q13" s="375">
        <v>10.75</v>
      </c>
      <c r="R13" s="209">
        <f>_xll.qlMidEquivalent(P13,Q13)</f>
        <v>9.75</v>
      </c>
      <c r="S13" s="220">
        <v>5</v>
      </c>
      <c r="T13" s="35" t="b">
        <f t="shared" si="2"/>
        <v>1</v>
      </c>
      <c r="U13" s="224">
        <v>9.75</v>
      </c>
      <c r="V13" s="139"/>
      <c r="W13" s="215">
        <v>9.75</v>
      </c>
      <c r="X13" s="139"/>
      <c r="Y13" s="209">
        <v>9.75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127" t="str">
        <f t="shared" si="3"/>
        <v>6Y</v>
      </c>
      <c r="C14" s="172" t="str">
        <f t="shared" si="4"/>
        <v>6L</v>
      </c>
      <c r="D14" s="173" t="str">
        <f t="shared" si="5"/>
        <v>3L</v>
      </c>
      <c r="E14" s="174" t="str">
        <f t="shared" si="0"/>
        <v>USD6L3L6Y_LCHQuote</v>
      </c>
      <c r="F14" s="174" t="str">
        <f>_xll.qlSimpleQuote(E14,,RateTickValue,Permanent,Trigger,ObjectOverwrite)</f>
        <v>USD6L3L6Y_LCHQuote#0002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65</v>
      </c>
      <c r="M14" s="127" t="s">
        <v>64</v>
      </c>
      <c r="N14" s="128" t="str">
        <f t="shared" si="1"/>
        <v>USD3L6L6Y</v>
      </c>
      <c r="O14" s="32" t="str">
        <v>USD3L6L6Y=PYNY</v>
      </c>
      <c r="P14" s="375">
        <v>8.625</v>
      </c>
      <c r="Q14" s="375">
        <v>10.625</v>
      </c>
      <c r="R14" s="209">
        <f>_xll.qlMidEquivalent(P14,Q14)</f>
        <v>9.625</v>
      </c>
      <c r="S14" s="220">
        <v>6</v>
      </c>
      <c r="T14" s="35" t="b">
        <f t="shared" si="2"/>
        <v>1</v>
      </c>
      <c r="U14" s="224">
        <v>9.625</v>
      </c>
      <c r="V14" s="139"/>
      <c r="W14" s="215">
        <v>9.625</v>
      </c>
      <c r="X14" s="139"/>
      <c r="Y14" s="209">
        <v>9.625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127" t="str">
        <f t="shared" si="3"/>
        <v>7Y</v>
      </c>
      <c r="C15" s="172" t="str">
        <f t="shared" si="4"/>
        <v>6L</v>
      </c>
      <c r="D15" s="173" t="str">
        <f t="shared" si="5"/>
        <v>3L</v>
      </c>
      <c r="E15" s="174" t="str">
        <f t="shared" si="0"/>
        <v>USD6L3L7Y_LCHQuote</v>
      </c>
      <c r="F15" s="174" t="str">
        <f>_xll.qlSimpleQuote(E15,,RateTickValue,Permanent,Trigger,ObjectOverwrite)</f>
        <v>USD6L3L7Y_LCHQuote#0002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65</v>
      </c>
      <c r="M15" s="127" t="s">
        <v>64</v>
      </c>
      <c r="N15" s="128" t="str">
        <f t="shared" si="1"/>
        <v>USD3L6L7Y</v>
      </c>
      <c r="O15" s="32" t="str">
        <v>USD3L6L7Y=PYNY</v>
      </c>
      <c r="P15" s="375">
        <v>8.625</v>
      </c>
      <c r="Q15" s="375">
        <v>10.625</v>
      </c>
      <c r="R15" s="209">
        <f>_xll.qlMidEquivalent(P15,Q15)</f>
        <v>9.625</v>
      </c>
      <c r="S15" s="220">
        <v>7</v>
      </c>
      <c r="T15" s="35" t="b">
        <f t="shared" si="2"/>
        <v>1</v>
      </c>
      <c r="U15" s="224">
        <v>9.625</v>
      </c>
      <c r="V15" s="139"/>
      <c r="W15" s="215">
        <v>9.625</v>
      </c>
      <c r="X15" s="139"/>
      <c r="Y15" s="209">
        <v>9.625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127" t="str">
        <f t="shared" si="3"/>
        <v>8Y</v>
      </c>
      <c r="C16" s="172" t="str">
        <f t="shared" si="4"/>
        <v>6L</v>
      </c>
      <c r="D16" s="173" t="str">
        <f t="shared" si="5"/>
        <v>3L</v>
      </c>
      <c r="E16" s="174" t="str">
        <f t="shared" si="0"/>
        <v>USD6L3L8Y_LCHQuote</v>
      </c>
      <c r="F16" s="174" t="str">
        <f>_xll.qlSimpleQuote(E16,,RateTickValue,Permanent,Trigger,ObjectOverwrite)</f>
        <v>USD6L3L8Y_LCHQuote#0002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65</v>
      </c>
      <c r="M16" s="127" t="s">
        <v>64</v>
      </c>
      <c r="N16" s="128" t="str">
        <f t="shared" si="1"/>
        <v>USD3L6L8Y</v>
      </c>
      <c r="O16" s="32" t="str">
        <v>USD3L6L8Y=PYNY</v>
      </c>
      <c r="P16" s="375">
        <v>8.75</v>
      </c>
      <c r="Q16" s="375">
        <v>10.75</v>
      </c>
      <c r="R16" s="209">
        <f>_xll.qlMidEquivalent(P16,Q16)</f>
        <v>9.75</v>
      </c>
      <c r="S16" s="220">
        <v>8</v>
      </c>
      <c r="T16" s="35" t="b">
        <f t="shared" si="2"/>
        <v>1</v>
      </c>
      <c r="U16" s="224">
        <v>9.75</v>
      </c>
      <c r="V16" s="139"/>
      <c r="W16" s="215">
        <v>9.75</v>
      </c>
      <c r="X16" s="139"/>
      <c r="Y16" s="209">
        <v>9.75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127" t="str">
        <f t="shared" si="3"/>
        <v>9Y</v>
      </c>
      <c r="C17" s="172" t="str">
        <f t="shared" si="4"/>
        <v>6L</v>
      </c>
      <c r="D17" s="173" t="str">
        <f t="shared" si="5"/>
        <v>3L</v>
      </c>
      <c r="E17" s="174" t="str">
        <f t="shared" si="0"/>
        <v>USD6L3L9Y_LCHQuote</v>
      </c>
      <c r="F17" s="174" t="str">
        <f>_xll.qlSimpleQuote(E17,,RateTickValue,Permanent,Trigger,ObjectOverwrite)</f>
        <v>USD6L3L9Y_LCHQuote#0002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65</v>
      </c>
      <c r="M17" s="127" t="s">
        <v>64</v>
      </c>
      <c r="N17" s="128" t="str">
        <f t="shared" si="1"/>
        <v>USD3L6L9Y</v>
      </c>
      <c r="O17" s="32" t="str">
        <v>USD3L6L9Y=PYNY</v>
      </c>
      <c r="P17" s="375">
        <v>8.875</v>
      </c>
      <c r="Q17" s="375">
        <v>10.875</v>
      </c>
      <c r="R17" s="209">
        <f>_xll.qlMidEquivalent(P17,Q17)</f>
        <v>9.875</v>
      </c>
      <c r="S17" s="220">
        <v>9</v>
      </c>
      <c r="T17" s="35" t="b">
        <f t="shared" si="2"/>
        <v>1</v>
      </c>
      <c r="U17" s="224">
        <v>9.875</v>
      </c>
      <c r="V17" s="139"/>
      <c r="W17" s="215">
        <v>9.875</v>
      </c>
      <c r="X17" s="139"/>
      <c r="Y17" s="209">
        <v>9.875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127" t="str">
        <f t="shared" si="3"/>
        <v>10Y</v>
      </c>
      <c r="C18" s="172" t="str">
        <f t="shared" si="4"/>
        <v>6L</v>
      </c>
      <c r="D18" s="173" t="str">
        <f t="shared" si="5"/>
        <v>3L</v>
      </c>
      <c r="E18" s="174" t="str">
        <f t="shared" si="0"/>
        <v>USD6L3L10Y_LCHQuote</v>
      </c>
      <c r="F18" s="174" t="str">
        <f>_xll.qlSimpleQuote(E18,,RateTickValue,Permanent,Trigger,ObjectOverwrite)</f>
        <v>USD6L3L10Y_LCHQuote#0002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65</v>
      </c>
      <c r="M18" s="127" t="s">
        <v>64</v>
      </c>
      <c r="N18" s="128" t="str">
        <f t="shared" si="1"/>
        <v>USD3L6L10Y</v>
      </c>
      <c r="O18" s="32" t="str">
        <v>USD3L6L10Y=PYNY</v>
      </c>
      <c r="P18" s="375">
        <v>9.1300000000000008</v>
      </c>
      <c r="Q18" s="375">
        <v>11.13</v>
      </c>
      <c r="R18" s="209">
        <f>_xll.qlMidEquivalent(P18,Q18)</f>
        <v>10.130000000000001</v>
      </c>
      <c r="S18" s="220">
        <v>10</v>
      </c>
      <c r="T18" s="35" t="b">
        <f t="shared" si="2"/>
        <v>1</v>
      </c>
      <c r="U18" s="224">
        <v>10.130000000000001</v>
      </c>
      <c r="V18" s="139"/>
      <c r="W18" s="215">
        <v>10.130000000000001</v>
      </c>
      <c r="X18" s="139"/>
      <c r="Y18" s="209">
        <v>10.130000000000001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127" t="str">
        <f t="shared" si="3"/>
        <v>11Y</v>
      </c>
      <c r="C19" s="172" t="str">
        <f t="shared" si="4"/>
        <v>6L</v>
      </c>
      <c r="D19" s="173" t="str">
        <f t="shared" si="5"/>
        <v>3L</v>
      </c>
      <c r="E19" s="174" t="str">
        <f t="shared" si="0"/>
        <v>USD6L3L11Y_LCHQuote</v>
      </c>
      <c r="F19" s="174" t="str">
        <f>_xll.qlSimpleQuote(E19,,RateTickValue,Permanent,Trigger,ObjectOverwrite)</f>
        <v>USD6L3L11Y_LCHQuote#0002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65</v>
      </c>
      <c r="M19" s="127" t="s">
        <v>64</v>
      </c>
      <c r="N19" s="128" t="str">
        <f t="shared" si="1"/>
        <v>USD3L6L11Y</v>
      </c>
      <c r="O19" s="32" t="str">
        <v>USD3L6L11Y=PYNY</v>
      </c>
      <c r="P19" s="375" t="s">
        <v>213</v>
      </c>
      <c r="Q19" s="375" t="s">
        <v>213</v>
      </c>
      <c r="R19" s="209" t="e">
        <f>_xll.qlMidEquivalent(P19,Q19)</f>
        <v>#NUM!</v>
      </c>
      <c r="S19" s="220">
        <v>11</v>
      </c>
      <c r="T19" s="35" t="b">
        <f t="shared" si="2"/>
        <v>0</v>
      </c>
      <c r="U19" s="224">
        <v>10.348212195309017</v>
      </c>
      <c r="V19" s="139"/>
      <c r="W19" s="215">
        <v>10.348212851961184</v>
      </c>
      <c r="X19" s="139"/>
      <c r="Y19" s="209">
        <v>10.348212195309017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127" t="str">
        <f t="shared" si="3"/>
        <v>12Y</v>
      </c>
      <c r="C20" s="172" t="str">
        <f t="shared" si="4"/>
        <v>6L</v>
      </c>
      <c r="D20" s="173" t="str">
        <f t="shared" si="5"/>
        <v>3L</v>
      </c>
      <c r="E20" s="174" t="str">
        <f t="shared" si="0"/>
        <v>USD6L3L12Y_LCHQuote</v>
      </c>
      <c r="F20" s="174" t="str">
        <f>_xll.qlSimpleQuote(E20,,RateTickValue,Permanent,Trigger,ObjectOverwrite)</f>
        <v>USD6L3L12Y_LCHQuote#0002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65</v>
      </c>
      <c r="M20" s="127" t="s">
        <v>64</v>
      </c>
      <c r="N20" s="128" t="str">
        <f t="shared" si="1"/>
        <v>USD3L6L12Y</v>
      </c>
      <c r="O20" s="32" t="str">
        <v>USD3L6L12Y=PYNY</v>
      </c>
      <c r="P20" s="375">
        <v>9.5</v>
      </c>
      <c r="Q20" s="375">
        <v>11.5</v>
      </c>
      <c r="R20" s="209">
        <f>_xll.qlMidEquivalent(P20,Q20)</f>
        <v>10.5</v>
      </c>
      <c r="S20" s="220">
        <v>12</v>
      </c>
      <c r="T20" s="35" t="b">
        <f t="shared" si="2"/>
        <v>1</v>
      </c>
      <c r="U20" s="224">
        <v>10.5</v>
      </c>
      <c r="V20" s="139"/>
      <c r="W20" s="215">
        <v>10.5</v>
      </c>
      <c r="X20" s="139"/>
      <c r="Y20" s="209">
        <v>10.5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127" t="str">
        <f t="shared" si="3"/>
        <v>13Y</v>
      </c>
      <c r="C21" s="172" t="str">
        <f t="shared" si="4"/>
        <v>6L</v>
      </c>
      <c r="D21" s="173" t="str">
        <f t="shared" si="5"/>
        <v>3L</v>
      </c>
      <c r="E21" s="174" t="str">
        <f t="shared" si="0"/>
        <v>USD6L3L13Y_LCHQuote</v>
      </c>
      <c r="F21" s="174" t="str">
        <f>_xll.qlSimpleQuote(E21,,RateTickValue,Permanent,Trigger,ObjectOverwrite)</f>
        <v>USD6L3L13Y_LCHQuote#0002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65</v>
      </c>
      <c r="M21" s="127" t="s">
        <v>64</v>
      </c>
      <c r="N21" s="128" t="str">
        <f t="shared" si="1"/>
        <v>USD3L6L13Y</v>
      </c>
      <c r="O21" s="32" t="str">
        <v>USD3L6L13Y=PYNY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10.622542376682416</v>
      </c>
      <c r="V21" s="139"/>
      <c r="W21" s="215">
        <v>10.622542092918883</v>
      </c>
      <c r="X21" s="139"/>
      <c r="Y21" s="209">
        <v>10.622542376682416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127" t="str">
        <f t="shared" si="3"/>
        <v>14Y</v>
      </c>
      <c r="C22" s="172" t="str">
        <f t="shared" si="4"/>
        <v>6L</v>
      </c>
      <c r="D22" s="173" t="str">
        <f t="shared" si="5"/>
        <v>3L</v>
      </c>
      <c r="E22" s="174" t="str">
        <f t="shared" si="0"/>
        <v>USD6L3L14Y_LCHQuote</v>
      </c>
      <c r="F22" s="174" t="str">
        <f>_xll.qlSimpleQuote(E22,,RateTickValue,Permanent,Trigger,ObjectOverwrite)</f>
        <v>USD6L3L14Y_LCHQuote#0002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65</v>
      </c>
      <c r="M22" s="127" t="s">
        <v>64</v>
      </c>
      <c r="N22" s="128" t="str">
        <f t="shared" si="1"/>
        <v>USD3L6L14Y</v>
      </c>
      <c r="O22" s="32" t="str">
        <v>USD3L6L14Y=PYNY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10.714048966118986</v>
      </c>
      <c r="V22" s="139"/>
      <c r="W22" s="215">
        <v>10.714048824237219</v>
      </c>
      <c r="X22" s="139"/>
      <c r="Y22" s="209">
        <v>10.714048966118986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127" t="str">
        <f t="shared" si="3"/>
        <v>15Y</v>
      </c>
      <c r="C23" s="172" t="str">
        <f t="shared" si="4"/>
        <v>6L</v>
      </c>
      <c r="D23" s="173" t="str">
        <f t="shared" si="5"/>
        <v>3L</v>
      </c>
      <c r="E23" s="174" t="str">
        <f t="shared" si="0"/>
        <v>USD6L3L15Y_LCHQuote</v>
      </c>
      <c r="F23" s="174" t="str">
        <f>_xll.qlSimpleQuote(E23,,RateTickValue,Permanent,Trigger,ObjectOverwrite)</f>
        <v>USD6L3L15Y_LCHQuote#0002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65</v>
      </c>
      <c r="M23" s="127" t="s">
        <v>64</v>
      </c>
      <c r="N23" s="128" t="str">
        <f t="shared" si="1"/>
        <v>USD3L6L15Y</v>
      </c>
      <c r="O23" s="32" t="str">
        <v>USD3L6L15Y=PYNY</v>
      </c>
      <c r="P23" s="375">
        <v>9.75</v>
      </c>
      <c r="Q23" s="375">
        <v>11.75</v>
      </c>
      <c r="R23" s="209">
        <f>_xll.qlMidEquivalent(P23,Q23)</f>
        <v>10.75</v>
      </c>
      <c r="S23" s="220">
        <v>15</v>
      </c>
      <c r="T23" s="35" t="b">
        <f t="shared" si="2"/>
        <v>1</v>
      </c>
      <c r="U23" s="224">
        <v>10.75</v>
      </c>
      <c r="V23" s="139"/>
      <c r="W23" s="215">
        <v>10.75</v>
      </c>
      <c r="X23" s="139"/>
      <c r="Y23" s="209">
        <v>10.75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127" t="str">
        <f t="shared" si="3"/>
        <v>16Y</v>
      </c>
      <c r="C24" s="172" t="str">
        <f t="shared" si="4"/>
        <v>6L</v>
      </c>
      <c r="D24" s="173" t="str">
        <f t="shared" si="5"/>
        <v>3L</v>
      </c>
      <c r="E24" s="174" t="str">
        <f t="shared" si="0"/>
        <v>USD6L3L16Y_LCHQuote</v>
      </c>
      <c r="F24" s="174" t="str">
        <f>_xll.qlSimpleQuote(E24,,RateTickValue,Permanent,Trigger,ObjectOverwrite)</f>
        <v>USD6L3L16Y_LCHQuote#0002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65</v>
      </c>
      <c r="M24" s="127" t="s">
        <v>64</v>
      </c>
      <c r="N24" s="128" t="str">
        <f t="shared" si="1"/>
        <v>USD3L6L16Y</v>
      </c>
      <c r="O24" s="32" t="str">
        <v>USD3L6L16Y=PYNY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10.75</v>
      </c>
      <c r="V24" s="139"/>
      <c r="W24" s="215">
        <v>10.75</v>
      </c>
      <c r="X24" s="139"/>
      <c r="Y24" s="209">
        <v>10.75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127" t="str">
        <f t="shared" si="3"/>
        <v>17Y</v>
      </c>
      <c r="C25" s="172" t="str">
        <f t="shared" si="4"/>
        <v>6L</v>
      </c>
      <c r="D25" s="173" t="str">
        <f t="shared" si="5"/>
        <v>3L</v>
      </c>
      <c r="E25" s="174" t="str">
        <f t="shared" si="0"/>
        <v>USD6L3L17Y_LCHQuote</v>
      </c>
      <c r="F25" s="174" t="str">
        <f>_xll.qlSimpleQuote(E25,,RateTickValue,Permanent,Trigger,ObjectOverwrite)</f>
        <v>USD6L3L17Y_LCHQuote#0002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65</v>
      </c>
      <c r="M25" s="127" t="s">
        <v>64</v>
      </c>
      <c r="N25" s="128" t="str">
        <f t="shared" si="1"/>
        <v>USD3L6L17Y</v>
      </c>
      <c r="O25" s="32" t="str">
        <v>USD3L6L17Y=PYNY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10.75</v>
      </c>
      <c r="V25" s="139"/>
      <c r="W25" s="215">
        <v>10.75</v>
      </c>
      <c r="X25" s="139"/>
      <c r="Y25" s="209">
        <v>10.75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127" t="str">
        <f t="shared" si="3"/>
        <v>18Y</v>
      </c>
      <c r="C26" s="172" t="str">
        <f t="shared" si="4"/>
        <v>6L</v>
      </c>
      <c r="D26" s="173" t="str">
        <f t="shared" si="5"/>
        <v>3L</v>
      </c>
      <c r="E26" s="174" t="str">
        <f t="shared" si="0"/>
        <v>USD6L3L18Y_LCHQuote</v>
      </c>
      <c r="F26" s="174" t="str">
        <f>_xll.qlSimpleQuote(E26,,RateTickValue,Permanent,Trigger,ObjectOverwrite)</f>
        <v>USD6L3L18Y_LCHQuote#0002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65</v>
      </c>
      <c r="M26" s="127" t="s">
        <v>64</v>
      </c>
      <c r="N26" s="128" t="str">
        <f t="shared" si="1"/>
        <v>USD3L6L18Y</v>
      </c>
      <c r="O26" s="32" t="str">
        <v>USD3L6L18Y=PYNY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10.75</v>
      </c>
      <c r="V26" s="139"/>
      <c r="W26" s="215">
        <v>10.75</v>
      </c>
      <c r="X26" s="139"/>
      <c r="Y26" s="209">
        <v>10.75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127" t="str">
        <f t="shared" si="3"/>
        <v>19Y</v>
      </c>
      <c r="C27" s="172" t="str">
        <f t="shared" si="4"/>
        <v>6L</v>
      </c>
      <c r="D27" s="173" t="str">
        <f t="shared" si="5"/>
        <v>3L</v>
      </c>
      <c r="E27" s="174" t="str">
        <f t="shared" si="0"/>
        <v>USD6L3L19Y_LCHQuote</v>
      </c>
      <c r="F27" s="174" t="str">
        <f>_xll.qlSimpleQuote(E27,,RateTickValue,Permanent,Trigger,ObjectOverwrite)</f>
        <v>USD6L3L19Y_LCHQuote#0002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65</v>
      </c>
      <c r="M27" s="127" t="s">
        <v>64</v>
      </c>
      <c r="N27" s="128" t="str">
        <f t="shared" si="1"/>
        <v>USD3L6L19Y</v>
      </c>
      <c r="O27" s="32" t="str">
        <v>USD3L6L19Y=PYNY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10.75</v>
      </c>
      <c r="V27" s="139"/>
      <c r="W27" s="215">
        <v>10.75</v>
      </c>
      <c r="X27" s="139"/>
      <c r="Y27" s="209">
        <v>10.75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127" t="str">
        <f t="shared" si="3"/>
        <v>20Y</v>
      </c>
      <c r="C28" s="172" t="str">
        <f t="shared" si="4"/>
        <v>6L</v>
      </c>
      <c r="D28" s="173" t="str">
        <f t="shared" si="5"/>
        <v>3L</v>
      </c>
      <c r="E28" s="174" t="str">
        <f t="shared" si="0"/>
        <v>USD6L3L20Y_LCHQuote</v>
      </c>
      <c r="F28" s="174" t="str">
        <f>_xll.qlSimpleQuote(E28,,RateTickValue,Permanent,Trigger,ObjectOverwrite)</f>
        <v>USD6L3L20Y_LCHQuote#0002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65</v>
      </c>
      <c r="M28" s="127" t="s">
        <v>64</v>
      </c>
      <c r="N28" s="128" t="str">
        <f t="shared" si="1"/>
        <v>USD3L6L20Y</v>
      </c>
      <c r="O28" s="32" t="str">
        <v>USD3L6L20Y=PYNY</v>
      </c>
      <c r="P28" s="375">
        <v>9.75</v>
      </c>
      <c r="Q28" s="375">
        <v>11.75</v>
      </c>
      <c r="R28" s="209">
        <f>_xll.qlMidEquivalent(P28,Q28)</f>
        <v>10.75</v>
      </c>
      <c r="S28" s="220">
        <v>20</v>
      </c>
      <c r="T28" s="35" t="b">
        <f t="shared" si="2"/>
        <v>1</v>
      </c>
      <c r="U28" s="224">
        <v>10.75</v>
      </c>
      <c r="V28" s="139"/>
      <c r="W28" s="215">
        <v>10.75</v>
      </c>
      <c r="X28" s="139"/>
      <c r="Y28" s="209">
        <v>10.75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127" t="str">
        <f t="shared" si="3"/>
        <v>21Y</v>
      </c>
      <c r="C29" s="172" t="str">
        <f t="shared" si="4"/>
        <v>6L</v>
      </c>
      <c r="D29" s="173" t="str">
        <f t="shared" si="5"/>
        <v>3L</v>
      </c>
      <c r="E29" s="174" t="str">
        <f t="shared" si="0"/>
        <v>USD6L3L21Y_LCHQuote</v>
      </c>
      <c r="F29" s="174" t="str">
        <f>_xll.qlSimpleQuote(E29,,RateTickValue,Permanent,Trigger,ObjectOverwrite)</f>
        <v>USD6L3L21Y_LCHQuote#0002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65</v>
      </c>
      <c r="M29" s="127" t="s">
        <v>64</v>
      </c>
      <c r="N29" s="128" t="str">
        <f t="shared" si="1"/>
        <v>USD3L6L21Y</v>
      </c>
      <c r="O29" s="32" t="str">
        <v>USD3L6L21Y=PYNY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10.75</v>
      </c>
      <c r="V29" s="139"/>
      <c r="W29" s="215">
        <v>10.75</v>
      </c>
      <c r="X29" s="139"/>
      <c r="Y29" s="209">
        <v>10.75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127" t="str">
        <f t="shared" si="3"/>
        <v>22Y</v>
      </c>
      <c r="C30" s="172" t="str">
        <f t="shared" si="4"/>
        <v>6L</v>
      </c>
      <c r="D30" s="173" t="str">
        <f t="shared" si="5"/>
        <v>3L</v>
      </c>
      <c r="E30" s="174" t="str">
        <f t="shared" si="0"/>
        <v>USD6L3L22Y_LCHQuote</v>
      </c>
      <c r="F30" s="174" t="str">
        <f>_xll.qlSimpleQuote(E30,,RateTickValue,Permanent,Trigger,ObjectOverwrite)</f>
        <v>USD6L3L22Y_LCHQuote#0002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65</v>
      </c>
      <c r="M30" s="127" t="s">
        <v>64</v>
      </c>
      <c r="N30" s="128" t="str">
        <f t="shared" si="1"/>
        <v>USD3L6L22Y</v>
      </c>
      <c r="O30" s="32" t="str">
        <v>USD3L6L22Y=PYNY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10.75</v>
      </c>
      <c r="V30" s="139"/>
      <c r="W30" s="418">
        <v>10.75</v>
      </c>
      <c r="X30" s="137"/>
      <c r="Y30" s="418">
        <v>10.75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127" t="str">
        <f t="shared" si="3"/>
        <v>23Y</v>
      </c>
      <c r="C31" s="172" t="str">
        <f t="shared" si="4"/>
        <v>6L</v>
      </c>
      <c r="D31" s="173" t="str">
        <f t="shared" si="5"/>
        <v>3L</v>
      </c>
      <c r="E31" s="174" t="str">
        <f t="shared" si="0"/>
        <v>USD6L3L23Y_LCHQuote</v>
      </c>
      <c r="F31" s="174" t="str">
        <f>_xll.qlSimpleQuote(E31,,RateTickValue,Permanent,Trigger,ObjectOverwrite)</f>
        <v>USD6L3L23Y_LCHQuote#0002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65</v>
      </c>
      <c r="M31" s="127" t="s">
        <v>64</v>
      </c>
      <c r="N31" s="128" t="str">
        <f t="shared" si="1"/>
        <v>USD3L6L23Y</v>
      </c>
      <c r="O31" s="32" t="str">
        <v>USD3L6L23Y=PYNY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10.75</v>
      </c>
      <c r="V31" s="139"/>
      <c r="W31" s="418">
        <v>10.75</v>
      </c>
      <c r="X31" s="137"/>
      <c r="Y31" s="418">
        <v>10.75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127" t="str">
        <f t="shared" si="3"/>
        <v>24Y</v>
      </c>
      <c r="C32" s="172" t="str">
        <f t="shared" si="4"/>
        <v>6L</v>
      </c>
      <c r="D32" s="173" t="str">
        <f t="shared" si="5"/>
        <v>3L</v>
      </c>
      <c r="E32" s="174" t="str">
        <f t="shared" si="0"/>
        <v>USD6L3L24Y_LCHQuote</v>
      </c>
      <c r="F32" s="174" t="str">
        <f>_xll.qlSimpleQuote(E32,,RateTickValue,Permanent,Trigger,ObjectOverwrite)</f>
        <v>USD6L3L24Y_LCHQuote#0002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65</v>
      </c>
      <c r="M32" s="127" t="s">
        <v>64</v>
      </c>
      <c r="N32" s="128" t="str">
        <f t="shared" si="1"/>
        <v>USD3L6L24Y</v>
      </c>
      <c r="O32" s="32" t="str">
        <v>USD3L6L24Y=PYNY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10.75</v>
      </c>
      <c r="V32" s="139"/>
      <c r="W32" s="418">
        <v>10.75</v>
      </c>
      <c r="X32" s="137"/>
      <c r="Y32" s="418">
        <v>10.75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127" t="str">
        <f t="shared" si="3"/>
        <v>25Y</v>
      </c>
      <c r="C33" s="172" t="str">
        <f t="shared" si="4"/>
        <v>6L</v>
      </c>
      <c r="D33" s="173" t="str">
        <f t="shared" si="5"/>
        <v>3L</v>
      </c>
      <c r="E33" s="174" t="str">
        <f t="shared" si="0"/>
        <v>USD6L3L25Y_LCHQuote</v>
      </c>
      <c r="F33" s="174" t="str">
        <f>_xll.qlSimpleQuote(E33,,RateTickValue,Permanent,Trigger,ObjectOverwrite)</f>
        <v>USD6L3L25Y_LCHQuote#0002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65</v>
      </c>
      <c r="M33" s="127" t="s">
        <v>64</v>
      </c>
      <c r="N33" s="128" t="str">
        <f t="shared" si="1"/>
        <v>USD3L6L25Y</v>
      </c>
      <c r="O33" s="32" t="str">
        <v>USD3L6L25Y=PYNY</v>
      </c>
      <c r="P33" s="375">
        <v>9.75</v>
      </c>
      <c r="Q33" s="375">
        <v>11.75</v>
      </c>
      <c r="R33" s="209">
        <f>_xll.qlMidEquivalent(P33,Q33)</f>
        <v>10.75</v>
      </c>
      <c r="S33" s="220">
        <v>25</v>
      </c>
      <c r="T33" s="35" t="b">
        <f t="shared" si="2"/>
        <v>1</v>
      </c>
      <c r="U33" s="224">
        <v>10.75</v>
      </c>
      <c r="V33" s="139"/>
      <c r="W33" s="418">
        <v>10.75</v>
      </c>
      <c r="X33" s="137"/>
      <c r="Y33" s="418">
        <v>10.75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127" t="str">
        <f t="shared" si="3"/>
        <v>26Y</v>
      </c>
      <c r="C34" s="172" t="str">
        <f t="shared" si="4"/>
        <v>6L</v>
      </c>
      <c r="D34" s="173" t="str">
        <f t="shared" si="5"/>
        <v>3L</v>
      </c>
      <c r="E34" s="174" t="str">
        <f t="shared" si="0"/>
        <v>USD6L3L26Y_LCHQuote</v>
      </c>
      <c r="F34" s="174" t="str">
        <f>_xll.qlSimpleQuote(E34,,RateTickValue,Permanent,Trigger,ObjectOverwrite)</f>
        <v>USD6L3L26Y_LCHQuote#0002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65</v>
      </c>
      <c r="M34" s="127" t="s">
        <v>64</v>
      </c>
      <c r="N34" s="128" t="str">
        <f t="shared" si="1"/>
        <v>USD3L6L26Y</v>
      </c>
      <c r="O34" s="32" t="str">
        <v>USD3L6L26Y=PYNY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10.742316684528198</v>
      </c>
      <c r="V34" s="139"/>
      <c r="W34" s="418">
        <v>10.742316685821297</v>
      </c>
      <c r="X34" s="137"/>
      <c r="Y34" s="418">
        <v>10.742316684528198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127" t="str">
        <f t="shared" si="3"/>
        <v>27Y</v>
      </c>
      <c r="C35" s="172" t="str">
        <f t="shared" si="4"/>
        <v>6L</v>
      </c>
      <c r="D35" s="173" t="str">
        <f t="shared" si="5"/>
        <v>3L</v>
      </c>
      <c r="E35" s="174" t="str">
        <f t="shared" si="0"/>
        <v>USD6L3L27Y_LCHQuote</v>
      </c>
      <c r="F35" s="174" t="str">
        <f>_xll.qlSimpleQuote(E35,,RateTickValue,Permanent,Trigger,ObjectOverwrite)</f>
        <v>USD6L3L27Y_LCHQuote#0002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65</v>
      </c>
      <c r="M35" s="127" t="s">
        <v>64</v>
      </c>
      <c r="N35" s="128" t="str">
        <f t="shared" si="1"/>
        <v>USD3L6L27Y</v>
      </c>
      <c r="O35" s="32" t="str">
        <v>USD3L6L27Y=PYNY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10.721950053584594</v>
      </c>
      <c r="V35" s="139"/>
      <c r="W35" s="418">
        <v>10.721950057463895</v>
      </c>
      <c r="X35" s="137"/>
      <c r="Y35" s="418">
        <v>10.721950053584594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127" t="str">
        <f t="shared" si="3"/>
        <v>28Y</v>
      </c>
      <c r="C36" s="172" t="str">
        <f t="shared" si="4"/>
        <v>6L</v>
      </c>
      <c r="D36" s="173" t="str">
        <f t="shared" si="5"/>
        <v>3L</v>
      </c>
      <c r="E36" s="174" t="str">
        <f t="shared" si="0"/>
        <v>USD6L3L28Y_LCHQuote</v>
      </c>
      <c r="F36" s="174" t="str">
        <f>_xll.qlSimpleQuote(E36,,RateTickValue,Permanent,Trigger,ObjectOverwrite)</f>
        <v>USD6L3L28Y_LCHQuote#0002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65</v>
      </c>
      <c r="M36" s="127" t="s">
        <v>64</v>
      </c>
      <c r="N36" s="128" t="str">
        <f t="shared" si="1"/>
        <v>USD3L6L28Y</v>
      </c>
      <c r="O36" s="32" t="str">
        <v>USD3L6L28Y=PYNY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10.692925080376892</v>
      </c>
      <c r="V36" s="139"/>
      <c r="W36" s="418">
        <v>10.69292508619584</v>
      </c>
      <c r="X36" s="137"/>
      <c r="Y36" s="418">
        <v>10.692925080376892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127" t="str">
        <f t="shared" si="3"/>
        <v>29Y</v>
      </c>
      <c r="C37" s="172" t="str">
        <f t="shared" si="4"/>
        <v>6L</v>
      </c>
      <c r="D37" s="173" t="str">
        <f t="shared" si="5"/>
        <v>3L</v>
      </c>
      <c r="E37" s="174" t="str">
        <f t="shared" si="0"/>
        <v>USD6L3L29Y_LCHQuote</v>
      </c>
      <c r="F37" s="174" t="str">
        <f>_xll.qlSimpleQuote(E37,,RateTickValue,Permanent,Trigger,ObjectOverwrite)</f>
        <v>USD6L3L29Y_LCHQuote#0002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65</v>
      </c>
      <c r="M37" s="127" t="s">
        <v>64</v>
      </c>
      <c r="N37" s="128" t="str">
        <f t="shared" si="1"/>
        <v>USD3L6L29Y</v>
      </c>
      <c r="O37" s="32" t="str">
        <v>USD3L6L29Y=PYNY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10.659266738112793</v>
      </c>
      <c r="V37" s="139"/>
      <c r="W37" s="418">
        <v>10.659266743285192</v>
      </c>
      <c r="X37" s="137"/>
      <c r="Y37" s="418">
        <v>10.659266738112793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127" t="str">
        <f t="shared" si="3"/>
        <v>30Y</v>
      </c>
      <c r="C38" s="172" t="str">
        <f t="shared" si="4"/>
        <v>6L</v>
      </c>
      <c r="D38" s="173" t="str">
        <f t="shared" si="5"/>
        <v>3L</v>
      </c>
      <c r="E38" s="174" t="str">
        <f t="shared" si="0"/>
        <v>USD6L3L30Y_LCHQuote</v>
      </c>
      <c r="F38" s="174" t="str">
        <f>_xll.qlSimpleQuote(E38,,RateTickValue,Permanent,Trigger,ObjectOverwrite)</f>
        <v>USD6L3L30Y_LCHQuote#0002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65</v>
      </c>
      <c r="M38" s="127" t="s">
        <v>64</v>
      </c>
      <c r="N38" s="128" t="str">
        <f t="shared" si="1"/>
        <v>USD3L6L30Y</v>
      </c>
      <c r="O38" s="32" t="str">
        <v>USD3L6L30Y=PYNY</v>
      </c>
      <c r="P38" s="375">
        <v>9.625</v>
      </c>
      <c r="Q38" s="375">
        <v>11.625</v>
      </c>
      <c r="R38" s="209">
        <f>_xll.qlMidEquivalent(P38,Q38)</f>
        <v>10.625</v>
      </c>
      <c r="S38" s="220">
        <v>30</v>
      </c>
      <c r="T38" s="35" t="b">
        <f t="shared" si="2"/>
        <v>1</v>
      </c>
      <c r="U38" s="224">
        <v>10.625</v>
      </c>
      <c r="V38" s="139"/>
      <c r="W38" s="418">
        <v>10.625</v>
      </c>
      <c r="X38" s="137"/>
      <c r="Y38" s="418">
        <v>10.625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127" t="str">
        <f t="shared" si="3"/>
        <v>35Y</v>
      </c>
      <c r="C39" s="172" t="str">
        <f t="shared" si="4"/>
        <v>6L</v>
      </c>
      <c r="D39" s="173" t="str">
        <f t="shared" si="5"/>
        <v>3L</v>
      </c>
      <c r="E39" s="174" t="str">
        <f t="shared" si="0"/>
        <v>USD6L3L35Y_LCHQuote</v>
      </c>
      <c r="F39" s="174" t="str">
        <f>_xll.qlSimpleQuote(E39,,RateTickValue,Permanent,Trigger,ObjectOverwrite)</f>
        <v>USD6L3L35Y_LCHQuote#0002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65</v>
      </c>
      <c r="M39" s="127" t="s">
        <v>64</v>
      </c>
      <c r="N39" s="128" t="str">
        <f t="shared" si="1"/>
        <v>USD3L6L35Y</v>
      </c>
      <c r="O39" s="32" t="str">
        <v>USD3L6L35Y=PYNY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10.625</v>
      </c>
      <c r="V39" s="139"/>
      <c r="W39" s="418">
        <v>10.625</v>
      </c>
      <c r="X39" s="137"/>
      <c r="Y39" s="418">
        <v>10.625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127" t="str">
        <f t="shared" si="3"/>
        <v>40Y</v>
      </c>
      <c r="C40" s="172" t="str">
        <f t="shared" si="4"/>
        <v>6L</v>
      </c>
      <c r="D40" s="173" t="str">
        <f t="shared" si="5"/>
        <v>3L</v>
      </c>
      <c r="E40" s="174" t="str">
        <f t="shared" si="0"/>
        <v>USD6L3L40Y_LCHQuote</v>
      </c>
      <c r="F40" s="174" t="str">
        <f>_xll.qlSimpleQuote(E40,,RateTickValue,Permanent,Trigger,ObjectOverwrite)</f>
        <v>USD6L3L40Y_LCHQuote#0002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65</v>
      </c>
      <c r="M40" s="127" t="s">
        <v>64</v>
      </c>
      <c r="N40" s="128" t="str">
        <f t="shared" si="1"/>
        <v>USD3L6L40Y</v>
      </c>
      <c r="O40" s="32" t="str">
        <v>USD3L6L40Y=PYNY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>U39</f>
        <v>10.625</v>
      </c>
      <c r="V40" s="139"/>
      <c r="W40" s="418">
        <v>10.625</v>
      </c>
      <c r="X40" s="137"/>
      <c r="Y40" s="418">
        <v>10.625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127" t="str">
        <f t="shared" si="3"/>
        <v>50Y</v>
      </c>
      <c r="C41" s="172" t="str">
        <f t="shared" si="4"/>
        <v>6L</v>
      </c>
      <c r="D41" s="173" t="str">
        <f t="shared" si="5"/>
        <v>3L</v>
      </c>
      <c r="E41" s="174" t="str">
        <f t="shared" si="0"/>
        <v>USD6L3L50Y_LCHQuote</v>
      </c>
      <c r="F41" s="174" t="str">
        <f>_xll.qlSimpleQuote(E41,,RateTickValue,Permanent,Trigger,ObjectOverwrite)</f>
        <v>USD6L3L50Y_LCHQuote#0002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65</v>
      </c>
      <c r="M41" s="127" t="s">
        <v>64</v>
      </c>
      <c r="N41" s="128" t="str">
        <f t="shared" si="1"/>
        <v>USD3L6L50Y</v>
      </c>
      <c r="O41" s="32" t="str">
        <v>USD3L6L50Y=PYNY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>U40</f>
        <v>10.625</v>
      </c>
      <c r="V41" s="139"/>
      <c r="W41" s="418">
        <v>10.625</v>
      </c>
      <c r="X41" s="137"/>
      <c r="Y41" s="418">
        <v>10.625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129" t="str">
        <f t="shared" si="3"/>
        <v>60Y</v>
      </c>
      <c r="C42" s="177" t="str">
        <f t="shared" si="4"/>
        <v>6L</v>
      </c>
      <c r="D42" s="178" t="str">
        <f t="shared" si="5"/>
        <v>3L</v>
      </c>
      <c r="E42" s="179" t="str">
        <f t="shared" si="0"/>
        <v>USD6L3L60Y_LCHQuote</v>
      </c>
      <c r="F42" s="179" t="str">
        <f>_xll.qlSimpleQuote(E42,,RateTickValue,Permanent,Trigger,ObjectOverwrite)</f>
        <v>USD6L3L60Y_LCHQuote#0002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65</v>
      </c>
      <c r="M42" s="129" t="s">
        <v>64</v>
      </c>
      <c r="N42" s="130" t="str">
        <f t="shared" si="1"/>
        <v>USD3L6L60Y</v>
      </c>
      <c r="O42" s="33" t="str">
        <v>USD3L6L60Y=PYNY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>U41</f>
        <v>10.625</v>
      </c>
      <c r="V42" s="139"/>
      <c r="W42" s="419">
        <v>10.625</v>
      </c>
      <c r="X42" s="137"/>
      <c r="Y42" s="419">
        <v>10.625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3" hidden="1" customWidth="1" outlineLevel="1"/>
    <col min="2" max="2" width="4.7109375" style="143" hidden="1" customWidth="1" outlineLevel="1"/>
    <col min="3" max="4" width="3" style="143" hidden="1" customWidth="1" outlineLevel="1"/>
    <col min="5" max="5" width="16.7109375" style="143" hidden="1" customWidth="1" outlineLevel="1"/>
    <col min="6" max="6" width="22.7109375" style="144" hidden="1" customWidth="1" outlineLevel="1"/>
    <col min="7" max="7" width="20.7109375" style="143" hidden="1" customWidth="1" outlineLevel="1"/>
    <col min="8" max="8" width="2.7109375" style="143" hidden="1" customWidth="1" outlineLevel="1"/>
    <col min="9" max="9" width="2.7109375" style="143" customWidth="1" collapsed="1"/>
    <col min="10" max="10" width="2.7109375" style="143" customWidth="1"/>
    <col min="11" max="11" width="4.7109375" style="143" customWidth="1"/>
    <col min="12" max="13" width="3" style="143" customWidth="1"/>
    <col min="14" max="14" width="11.7109375" style="143" customWidth="1"/>
    <col min="15" max="15" width="16.7109375" style="143" customWidth="1"/>
    <col min="16" max="18" width="10.7109375" style="143" customWidth="1"/>
    <col min="19" max="20" width="10.7109375" style="143" hidden="1" customWidth="1" outlineLevel="1"/>
    <col min="21" max="21" width="10.7109375" style="143" customWidth="1" collapsed="1"/>
    <col min="22" max="22" width="2.7109375" style="143" customWidth="1"/>
    <col min="23" max="23" width="10.7109375" style="143" customWidth="1"/>
    <col min="24" max="24" width="2.7109375" style="143" customWidth="1"/>
    <col min="25" max="26" width="10.7109375" style="143" customWidth="1"/>
    <col min="27" max="28" width="2.7109375" style="143" customWidth="1"/>
    <col min="29" max="16384" width="9.140625" style="143"/>
  </cols>
  <sheetData>
    <row r="1" spans="1:28" x14ac:dyDescent="0.2">
      <c r="A1" s="87"/>
      <c r="B1" s="78"/>
      <c r="C1" s="78"/>
      <c r="D1" s="78"/>
      <c r="E1" s="78"/>
      <c r="F1" s="92"/>
      <c r="G1" s="78"/>
      <c r="H1" s="79"/>
      <c r="J1" s="87" t="s">
        <v>225</v>
      </c>
      <c r="K1" s="25"/>
      <c r="L1" s="25"/>
      <c r="M1" s="25"/>
      <c r="N1" s="25"/>
      <c r="O1" s="25" t="str">
        <f>VLOOKUP($J$1,AreaTable,AreaIndex,0)</f>
        <v>Tullet Prebon LN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113"/>
    </row>
    <row r="2" spans="1:28" x14ac:dyDescent="0.2">
      <c r="A2" s="80"/>
      <c r="B2" s="81"/>
      <c r="C2" s="81"/>
      <c r="D2" s="81"/>
      <c r="E2" s="81"/>
      <c r="F2" s="94"/>
      <c r="G2" s="81"/>
      <c r="H2" s="82"/>
      <c r="J2" s="114"/>
      <c r="K2" s="14"/>
      <c r="L2" s="14"/>
      <c r="M2" s="14"/>
      <c r="N2" s="14"/>
      <c r="O2" s="186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23">
        <f>_xll.ohTrigger(Z5:Z42)</f>
        <v>188</v>
      </c>
      <c r="AA2" s="115"/>
    </row>
    <row r="3" spans="1:28" x14ac:dyDescent="0.2">
      <c r="A3" s="83"/>
      <c r="B3" s="3"/>
      <c r="C3" s="3"/>
      <c r="D3" s="3"/>
      <c r="E3" s="81"/>
      <c r="F3" s="94"/>
      <c r="G3" s="81"/>
      <c r="H3" s="115"/>
      <c r="J3" s="26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obj_0029f#0185</v>
      </c>
      <c r="T3" s="3"/>
      <c r="U3" s="3"/>
      <c r="V3" s="14"/>
      <c r="W3" s="14"/>
      <c r="X3" s="14"/>
      <c r="Y3" s="3"/>
      <c r="Z3" s="9"/>
      <c r="AA3" s="27"/>
    </row>
    <row r="4" spans="1:28" ht="22.5" customHeight="1" x14ac:dyDescent="0.2">
      <c r="A4" s="26"/>
      <c r="B4" s="47"/>
      <c r="C4" s="47"/>
      <c r="D4" s="47"/>
      <c r="E4" s="48" t="s">
        <v>184</v>
      </c>
      <c r="F4" s="48" t="s">
        <v>185</v>
      </c>
      <c r="G4" s="111" t="s">
        <v>199</v>
      </c>
      <c r="H4" s="115"/>
      <c r="J4" s="205"/>
      <c r="K4" s="186"/>
      <c r="L4" s="49"/>
      <c r="M4" s="49"/>
      <c r="N4" s="49" t="s">
        <v>201</v>
      </c>
      <c r="O4" s="51" t="str">
        <f>_xll.RData(O5:O42,P4:Q4,"RTFEED:IDN",ReutersRtMode,,P5)</f>
        <v>Updated at 18:47:14</v>
      </c>
      <c r="P4" s="37" t="s">
        <v>100</v>
      </c>
      <c r="Q4" s="37" t="s">
        <v>99</v>
      </c>
      <c r="R4" s="37" t="s">
        <v>124</v>
      </c>
      <c r="S4" s="37" t="s">
        <v>204</v>
      </c>
      <c r="T4" s="37" t="s">
        <v>203</v>
      </c>
      <c r="U4" s="38" t="s">
        <v>202</v>
      </c>
      <c r="V4" s="14"/>
      <c r="W4" s="37" t="s">
        <v>114</v>
      </c>
      <c r="X4" s="14"/>
      <c r="Y4" s="49" t="s">
        <v>113</v>
      </c>
      <c r="Z4" s="49" t="s">
        <v>112</v>
      </c>
      <c r="AA4" s="27"/>
    </row>
    <row r="5" spans="1:28" s="160" customFormat="1" ht="11.25" customHeight="1" x14ac:dyDescent="0.25">
      <c r="A5" s="26"/>
      <c r="B5" s="125" t="str">
        <f>K5</f>
        <v>6M</v>
      </c>
      <c r="C5" s="165" t="str">
        <f>L5</f>
        <v>12L</v>
      </c>
      <c r="D5" s="166" t="str">
        <f>M5</f>
        <v>3L</v>
      </c>
      <c r="E5" s="167" t="str">
        <f t="shared" ref="E5:E42" si="0">IF(ISBLANK(C5),"#",Currency&amp;$C5&amp;$D5&amp;$B5&amp;QuoteSuffix)</f>
        <v>USD12L3L6M_LCHQuote</v>
      </c>
      <c r="F5" s="167" t="str">
        <f>_xll.qlSimpleQuote(E5,,RateTickValue,Permanent,Trigger,ObjectOverwrite)</f>
        <v>USD12L3L6M_LCHQuote#0002</v>
      </c>
      <c r="G5" s="208" t="str">
        <f>_xll.ohRangeRetrieveError(F5)</f>
        <v/>
      </c>
      <c r="H5" s="115"/>
      <c r="I5" s="143"/>
      <c r="J5" s="217"/>
      <c r="K5" s="127" t="s">
        <v>11</v>
      </c>
      <c r="L5" s="127" t="s">
        <v>69</v>
      </c>
      <c r="M5" s="127" t="s">
        <v>64</v>
      </c>
      <c r="N5" s="128" t="str">
        <f t="shared" ref="N5:N42" si="1">Currency&amp;$M5&amp;$L5&amp;$K5</f>
        <v>USD3L12L6M</v>
      </c>
      <c r="O5" s="32" t="str">
        <f t="array" ref="O5:O42">Instruments&amp;"="&amp;VLOOKUP(Contributor,ContributorTable,2,FALSE)</f>
        <v>USD3L12L6M=SMKR</v>
      </c>
      <c r="P5" s="375" t="s">
        <v>213</v>
      </c>
      <c r="Q5" s="375" t="s">
        <v>213</v>
      </c>
      <c r="R5" s="209" t="e">
        <f>_xll.qlMidEquivalent(P5,Q5)</f>
        <v>#NUM!</v>
      </c>
      <c r="S5" s="219">
        <v>0.5</v>
      </c>
      <c r="T5" s="35" t="b">
        <f t="shared" ref="T5:T42" si="2">IF(ISNUMBER(R5),TRUE,FALSE)</f>
        <v>0</v>
      </c>
      <c r="U5" s="224" t="e">
        <f t="array" ref="U5:U38">_xll.qlInterpolationInterpolate(S3,S5:S42)</f>
        <v>#NUM!</v>
      </c>
      <c r="V5" s="139"/>
      <c r="W5" s="215" t="e">
        <v>#NUM!</v>
      </c>
      <c r="X5" s="139"/>
      <c r="Y5" s="216" t="e">
        <f t="array" ref="Y5:Y42">QuoteLive</f>
        <v>#NUM!</v>
      </c>
      <c r="Z5" s="131">
        <f>_xll.qlSimpleQuoteSetValue(F5,Y5/10000,Trigger)</f>
        <v>0</v>
      </c>
      <c r="AA5" s="27"/>
      <c r="AB5" s="143"/>
    </row>
    <row r="6" spans="1:28" s="160" customFormat="1" ht="11.25" customHeight="1" x14ac:dyDescent="0.25">
      <c r="A6" s="26"/>
      <c r="B6" s="127" t="str">
        <f t="shared" ref="B6:B42" si="3">K6</f>
        <v>1Y</v>
      </c>
      <c r="C6" s="172" t="str">
        <f t="shared" ref="C6:C42" si="4">L6</f>
        <v>12L</v>
      </c>
      <c r="D6" s="173" t="str">
        <f t="shared" ref="D6:D42" si="5">M6</f>
        <v>3L</v>
      </c>
      <c r="E6" s="174" t="str">
        <f t="shared" si="0"/>
        <v>USD12L3L1Y_LCHQuote</v>
      </c>
      <c r="F6" s="174" t="str">
        <f>_xll.qlSimpleQuote(E6,,RateTickValue,Permanent,Trigger,ObjectOverwrite)</f>
        <v>USD12L3L1Y_LCHQuote#0002</v>
      </c>
      <c r="G6" s="211" t="str">
        <f>_xll.ohRangeRetrieveError(F6)</f>
        <v/>
      </c>
      <c r="H6" s="115"/>
      <c r="I6" s="143"/>
      <c r="J6" s="217"/>
      <c r="K6" s="127" t="s">
        <v>5</v>
      </c>
      <c r="L6" s="127" t="s">
        <v>69</v>
      </c>
      <c r="M6" s="127" t="s">
        <v>64</v>
      </c>
      <c r="N6" s="128" t="str">
        <f t="shared" si="1"/>
        <v>USD3L12L1Y</v>
      </c>
      <c r="O6" s="32" t="str">
        <v>USD3L12L1Y=SMKR</v>
      </c>
      <c r="P6" s="375">
        <v>26.25</v>
      </c>
      <c r="Q6" s="375">
        <v>36.25</v>
      </c>
      <c r="R6" s="209">
        <f>_xll.qlMidEquivalent(P6,Q6)</f>
        <v>31.25</v>
      </c>
      <c r="S6" s="219">
        <v>1</v>
      </c>
      <c r="T6" s="35" t="b">
        <f t="shared" si="2"/>
        <v>1</v>
      </c>
      <c r="U6" s="224">
        <v>31.25</v>
      </c>
      <c r="V6" s="139"/>
      <c r="W6" s="215">
        <v>31.375</v>
      </c>
      <c r="X6" s="139"/>
      <c r="Y6" s="209">
        <v>31.25</v>
      </c>
      <c r="Z6" s="132" t="e">
        <f>_xll.qlSimpleQuoteSetValue(F6,Y6/10000,Trigger)</f>
        <v>#N/A</v>
      </c>
      <c r="AA6" s="27"/>
      <c r="AB6" s="143"/>
    </row>
    <row r="7" spans="1:28" s="160" customFormat="1" ht="11.25" customHeight="1" x14ac:dyDescent="0.25">
      <c r="A7" s="26"/>
      <c r="B7" s="127" t="str">
        <f t="shared" si="3"/>
        <v>15M</v>
      </c>
      <c r="C7" s="172" t="str">
        <f t="shared" si="4"/>
        <v>12L</v>
      </c>
      <c r="D7" s="173" t="str">
        <f t="shared" si="5"/>
        <v>3L</v>
      </c>
      <c r="E7" s="174" t="str">
        <f t="shared" si="0"/>
        <v>USD12L3L15M_LCHQuote</v>
      </c>
      <c r="F7" s="174" t="str">
        <f>_xll.qlSimpleQuote(E7,,RateTickValue,Permanent,Trigger,ObjectOverwrite)</f>
        <v>USD12L3L15M_LCHQuote#0002</v>
      </c>
      <c r="G7" s="211" t="str">
        <f>_xll.ohRangeRetrieveError(F7)</f>
        <v/>
      </c>
      <c r="H7" s="115"/>
      <c r="J7" s="217"/>
      <c r="K7" s="127" t="s">
        <v>68</v>
      </c>
      <c r="L7" s="127" t="s">
        <v>69</v>
      </c>
      <c r="M7" s="127" t="s">
        <v>64</v>
      </c>
      <c r="N7" s="128" t="str">
        <f t="shared" si="1"/>
        <v>USD3L12L15M</v>
      </c>
      <c r="O7" s="32" t="str">
        <v>USD3L12L15M=SMKR</v>
      </c>
      <c r="P7" s="375" t="s">
        <v>213</v>
      </c>
      <c r="Q7" s="375" t="s">
        <v>213</v>
      </c>
      <c r="R7" s="209" t="e">
        <f>_xll.qlMidEquivalent(P7,Q7)</f>
        <v>#NUM!</v>
      </c>
      <c r="S7" s="219">
        <v>1.25</v>
      </c>
      <c r="T7" s="35" t="b">
        <f t="shared" si="2"/>
        <v>0</v>
      </c>
      <c r="U7" s="224">
        <v>30.804017507686403</v>
      </c>
      <c r="V7" s="139"/>
      <c r="W7" s="215">
        <v>30.85347162921563</v>
      </c>
      <c r="X7" s="139"/>
      <c r="Y7" s="209">
        <v>30.804017507686403</v>
      </c>
      <c r="Z7" s="132" t="e">
        <f>_xll.qlSimpleQuoteSetValue(F7,Y7/10000,Trigger)</f>
        <v>#N/A</v>
      </c>
      <c r="AA7" s="27"/>
      <c r="AB7" s="143"/>
    </row>
    <row r="8" spans="1:28" ht="11.25" customHeight="1" x14ac:dyDescent="0.25">
      <c r="A8" s="26"/>
      <c r="B8" s="127" t="str">
        <f t="shared" si="3"/>
        <v>18M</v>
      </c>
      <c r="C8" s="172" t="str">
        <f t="shared" si="4"/>
        <v>12L</v>
      </c>
      <c r="D8" s="173" t="str">
        <f t="shared" si="5"/>
        <v>3L</v>
      </c>
      <c r="E8" s="174" t="str">
        <f t="shared" si="0"/>
        <v>USD12L3L18M_LCHQuote</v>
      </c>
      <c r="F8" s="174" t="str">
        <f>_xll.qlSimpleQuote(E8,,RateTickValue,Permanent,Trigger,ObjectOverwrite)</f>
        <v>USD12L3L18M_LCHQuote#0002</v>
      </c>
      <c r="G8" s="211" t="str">
        <f>_xll.ohRangeRetrieveError(F8)</f>
        <v/>
      </c>
      <c r="H8" s="115"/>
      <c r="I8" s="160"/>
      <c r="J8" s="218"/>
      <c r="K8" s="127" t="s">
        <v>67</v>
      </c>
      <c r="L8" s="127" t="s">
        <v>69</v>
      </c>
      <c r="M8" s="127" t="s">
        <v>64</v>
      </c>
      <c r="N8" s="128" t="str">
        <f t="shared" si="1"/>
        <v>USD3L12L18M</v>
      </c>
      <c r="O8" s="32" t="str">
        <v>USD3L12L18M=SMKR</v>
      </c>
      <c r="P8" s="375" t="s">
        <v>213</v>
      </c>
      <c r="Q8" s="375" t="s">
        <v>213</v>
      </c>
      <c r="R8" s="209" t="e">
        <f>_xll.qlMidEquivalent(P8,Q8)</f>
        <v>#NUM!</v>
      </c>
      <c r="S8" s="219">
        <v>1.5</v>
      </c>
      <c r="T8" s="35" t="b">
        <f t="shared" si="2"/>
        <v>0</v>
      </c>
      <c r="U8" s="224">
        <v>30.373928012298247</v>
      </c>
      <c r="V8" s="139"/>
      <c r="W8" s="215">
        <v>30.353054606745008</v>
      </c>
      <c r="X8" s="139"/>
      <c r="Y8" s="209">
        <v>30.373928012298247</v>
      </c>
      <c r="Z8" s="132" t="e">
        <f>_xll.qlSimpleQuoteSetValue(F8,Y8/10000,Trigger)</f>
        <v>#N/A</v>
      </c>
      <c r="AA8" s="27"/>
    </row>
    <row r="9" spans="1:28" ht="11.25" customHeight="1" x14ac:dyDescent="0.25">
      <c r="A9" s="26"/>
      <c r="B9" s="127" t="str">
        <f t="shared" si="3"/>
        <v>21M</v>
      </c>
      <c r="C9" s="172" t="str">
        <f t="shared" si="4"/>
        <v>12L</v>
      </c>
      <c r="D9" s="173" t="str">
        <f t="shared" si="5"/>
        <v>3L</v>
      </c>
      <c r="E9" s="174" t="str">
        <f t="shared" si="0"/>
        <v>USD12L3L21M_LCHQuote</v>
      </c>
      <c r="F9" s="174" t="str">
        <f>_xll.qlSimpleQuote(E9,,RateTickValue,Permanent,Trigger,ObjectOverwrite)</f>
        <v>USD12L3L21M_LCHQuote#0002</v>
      </c>
      <c r="G9" s="211" t="str">
        <f>_xll.ohRangeRetrieveError(F9)</f>
        <v/>
      </c>
      <c r="H9" s="115"/>
      <c r="I9" s="160"/>
      <c r="J9" s="218"/>
      <c r="K9" s="127" t="s">
        <v>66</v>
      </c>
      <c r="L9" s="127" t="s">
        <v>69</v>
      </c>
      <c r="M9" s="127" t="s">
        <v>64</v>
      </c>
      <c r="N9" s="128" t="str">
        <f t="shared" si="1"/>
        <v>USD3L12L21M</v>
      </c>
      <c r="O9" s="32" t="str">
        <v>USD3L12L21M=SMKR</v>
      </c>
      <c r="P9" s="375" t="s">
        <v>213</v>
      </c>
      <c r="Q9" s="375" t="s">
        <v>213</v>
      </c>
      <c r="R9" s="209" t="e">
        <f>_xll.qlMidEquivalent(P9,Q9)</f>
        <v>#NUM!</v>
      </c>
      <c r="S9" s="219">
        <v>1.75</v>
      </c>
      <c r="T9" s="35" t="b">
        <f t="shared" si="2"/>
        <v>0</v>
      </c>
      <c r="U9" s="224">
        <v>29.975624510760966</v>
      </c>
      <c r="V9" s="139"/>
      <c r="W9" s="215">
        <v>29.894860280901881</v>
      </c>
      <c r="X9" s="139"/>
      <c r="Y9" s="209">
        <v>29.975624510760966</v>
      </c>
      <c r="Z9" s="132" t="e">
        <f>_xll.qlSimpleQuoteSetValue(F9,Y9/10000,Trigger)</f>
        <v>#N/A</v>
      </c>
      <c r="AA9" s="27"/>
    </row>
    <row r="10" spans="1:28" ht="11.25" customHeight="1" x14ac:dyDescent="0.2">
      <c r="A10" s="26"/>
      <c r="B10" s="127" t="str">
        <f t="shared" si="3"/>
        <v>2Y</v>
      </c>
      <c r="C10" s="172" t="str">
        <f t="shared" si="4"/>
        <v>12L</v>
      </c>
      <c r="D10" s="173" t="str">
        <f t="shared" si="5"/>
        <v>3L</v>
      </c>
      <c r="E10" s="174" t="str">
        <f t="shared" si="0"/>
        <v>USD12L3L2Y_LCHQuote</v>
      </c>
      <c r="F10" s="174" t="str">
        <f>_xll.qlSimpleQuote(E10,,RateTickValue,Permanent,Trigger,ObjectOverwrite)</f>
        <v>USD12L3L2Y_LCHQuote#0002</v>
      </c>
      <c r="G10" s="211" t="str">
        <f>_xll.ohRangeRetrieveError(F10)</f>
        <v/>
      </c>
      <c r="H10" s="115"/>
      <c r="J10" s="218"/>
      <c r="K10" s="127" t="s">
        <v>56</v>
      </c>
      <c r="L10" s="127" t="s">
        <v>69</v>
      </c>
      <c r="M10" s="127" t="s">
        <v>64</v>
      </c>
      <c r="N10" s="128" t="str">
        <f t="shared" si="1"/>
        <v>USD3L12L2Y</v>
      </c>
      <c r="O10" s="32" t="str">
        <v>USD3L12L2Y=SMKR</v>
      </c>
      <c r="P10" s="375">
        <v>24.625</v>
      </c>
      <c r="Q10" s="375">
        <v>34.625</v>
      </c>
      <c r="R10" s="209">
        <f>_xll.qlMidEquivalent(P10,Q10)</f>
        <v>29.625</v>
      </c>
      <c r="S10" s="220">
        <v>2</v>
      </c>
      <c r="T10" s="35" t="b">
        <f t="shared" si="2"/>
        <v>1</v>
      </c>
      <c r="U10" s="224">
        <v>29.625</v>
      </c>
      <c r="V10" s="139"/>
      <c r="W10" s="215">
        <v>29.5</v>
      </c>
      <c r="X10" s="139"/>
      <c r="Y10" s="209">
        <v>29.625</v>
      </c>
      <c r="Z10" s="132" t="e">
        <f>_xll.qlSimpleQuoteSetValue(F10,Y10/10000,Trigger)</f>
        <v>#N/A</v>
      </c>
      <c r="AA10" s="27"/>
    </row>
    <row r="11" spans="1:28" ht="11.25" customHeight="1" x14ac:dyDescent="0.2">
      <c r="A11" s="26"/>
      <c r="B11" s="127" t="str">
        <f t="shared" si="3"/>
        <v>3Y</v>
      </c>
      <c r="C11" s="172" t="str">
        <f t="shared" si="4"/>
        <v>12L</v>
      </c>
      <c r="D11" s="173" t="str">
        <f t="shared" si="5"/>
        <v>3L</v>
      </c>
      <c r="E11" s="174" t="str">
        <f t="shared" si="0"/>
        <v>USD12L3L3Y_LCHQuote</v>
      </c>
      <c r="F11" s="174" t="str">
        <f>_xll.qlSimpleQuote(E11,,RateTickValue,Permanent,Trigger,ObjectOverwrite)</f>
        <v>USD12L3L3Y_LCHQuote#0002</v>
      </c>
      <c r="G11" s="211" t="str">
        <f>_xll.ohRangeRetrieveError(F11)</f>
        <v/>
      </c>
      <c r="H11" s="115"/>
      <c r="J11" s="218"/>
      <c r="K11" s="127" t="s">
        <v>55</v>
      </c>
      <c r="L11" s="127" t="s">
        <v>69</v>
      </c>
      <c r="M11" s="127" t="s">
        <v>64</v>
      </c>
      <c r="N11" s="128" t="str">
        <f t="shared" si="1"/>
        <v>USD3L12L3Y</v>
      </c>
      <c r="O11" s="32" t="str">
        <v>USD3L12L3Y=SMKR</v>
      </c>
      <c r="P11" s="375">
        <v>23.75</v>
      </c>
      <c r="Q11" s="375">
        <v>33.75</v>
      </c>
      <c r="R11" s="209">
        <f>_xll.qlMidEquivalent(P11,Q11)</f>
        <v>28.75</v>
      </c>
      <c r="S11" s="220">
        <v>3</v>
      </c>
      <c r="T11" s="35" t="b">
        <f t="shared" si="2"/>
        <v>1</v>
      </c>
      <c r="U11" s="224">
        <v>28.75</v>
      </c>
      <c r="V11" s="139"/>
      <c r="W11" s="215">
        <v>28.625</v>
      </c>
      <c r="X11" s="139"/>
      <c r="Y11" s="209">
        <v>28.75</v>
      </c>
      <c r="Z11" s="132" t="e">
        <f>_xll.qlSimpleQuoteSetValue(F11,Y11/10000,Trigger)</f>
        <v>#N/A</v>
      </c>
      <c r="AA11" s="27"/>
    </row>
    <row r="12" spans="1:28" ht="11.25" customHeight="1" x14ac:dyDescent="0.2">
      <c r="A12" s="26"/>
      <c r="B12" s="127" t="str">
        <f t="shared" si="3"/>
        <v>4Y</v>
      </c>
      <c r="C12" s="172" t="str">
        <f t="shared" si="4"/>
        <v>12L</v>
      </c>
      <c r="D12" s="173" t="str">
        <f t="shared" si="5"/>
        <v>3L</v>
      </c>
      <c r="E12" s="174" t="str">
        <f t="shared" si="0"/>
        <v>USD12L3L4Y_LCHQuote</v>
      </c>
      <c r="F12" s="174" t="str">
        <f>_xll.qlSimpleQuote(E12,,RateTickValue,Permanent,Trigger,ObjectOverwrite)</f>
        <v>USD12L3L4Y_LCHQuote#0002</v>
      </c>
      <c r="G12" s="211" t="str">
        <f>_xll.ohRangeRetrieveError(F12)</f>
        <v/>
      </c>
      <c r="H12" s="115"/>
      <c r="J12" s="218"/>
      <c r="K12" s="127" t="s">
        <v>54</v>
      </c>
      <c r="L12" s="127" t="s">
        <v>69</v>
      </c>
      <c r="M12" s="127" t="s">
        <v>64</v>
      </c>
      <c r="N12" s="128" t="str">
        <f t="shared" si="1"/>
        <v>USD3L12L4Y</v>
      </c>
      <c r="O12" s="32" t="str">
        <v>USD3L12L4Y=SMKR</v>
      </c>
      <c r="P12" s="375">
        <v>23.5</v>
      </c>
      <c r="Q12" s="375">
        <v>33.5</v>
      </c>
      <c r="R12" s="209">
        <f>_xll.qlMidEquivalent(P12,Q12)</f>
        <v>28.5</v>
      </c>
      <c r="S12" s="220">
        <v>4</v>
      </c>
      <c r="T12" s="35" t="b">
        <f t="shared" si="2"/>
        <v>1</v>
      </c>
      <c r="U12" s="224">
        <v>28.5</v>
      </c>
      <c r="V12" s="139"/>
      <c r="W12" s="215">
        <v>28.5</v>
      </c>
      <c r="X12" s="139"/>
      <c r="Y12" s="209">
        <v>28.5</v>
      </c>
      <c r="Z12" s="132" t="e">
        <f>_xll.qlSimpleQuoteSetValue(F12,Y12/10000,Trigger)</f>
        <v>#N/A</v>
      </c>
      <c r="AA12" s="27"/>
    </row>
    <row r="13" spans="1:28" ht="11.25" customHeight="1" x14ac:dyDescent="0.2">
      <c r="A13" s="26"/>
      <c r="B13" s="127" t="str">
        <f t="shared" si="3"/>
        <v>5Y</v>
      </c>
      <c r="C13" s="172" t="str">
        <f t="shared" si="4"/>
        <v>12L</v>
      </c>
      <c r="D13" s="173" t="str">
        <f t="shared" si="5"/>
        <v>3L</v>
      </c>
      <c r="E13" s="174" t="str">
        <f t="shared" si="0"/>
        <v>USD12L3L5Y_LCHQuote</v>
      </c>
      <c r="F13" s="174" t="str">
        <f>_xll.qlSimpleQuote(E13,,RateTickValue,Permanent,Trigger,ObjectOverwrite)</f>
        <v>USD12L3L5Y_LCHQuote#0002</v>
      </c>
      <c r="G13" s="211" t="str">
        <f>_xll.ohRangeRetrieveError(F13)</f>
        <v/>
      </c>
      <c r="H13" s="115"/>
      <c r="J13" s="218"/>
      <c r="K13" s="127" t="s">
        <v>53</v>
      </c>
      <c r="L13" s="127" t="s">
        <v>69</v>
      </c>
      <c r="M13" s="127" t="s">
        <v>64</v>
      </c>
      <c r="N13" s="128" t="str">
        <f t="shared" si="1"/>
        <v>USD3L12L5Y</v>
      </c>
      <c r="O13" s="32" t="str">
        <v>USD3L12L5Y=SMKR</v>
      </c>
      <c r="P13" s="375">
        <v>23.75</v>
      </c>
      <c r="Q13" s="375">
        <v>33.75</v>
      </c>
      <c r="R13" s="209">
        <f>_xll.qlMidEquivalent(P13,Q13)</f>
        <v>28.75</v>
      </c>
      <c r="S13" s="220">
        <v>5</v>
      </c>
      <c r="T13" s="35" t="b">
        <f t="shared" si="2"/>
        <v>1</v>
      </c>
      <c r="U13" s="224">
        <v>28.75</v>
      </c>
      <c r="V13" s="139"/>
      <c r="W13" s="215">
        <v>28.75</v>
      </c>
      <c r="X13" s="139"/>
      <c r="Y13" s="209">
        <v>28.75</v>
      </c>
      <c r="Z13" s="132" t="e">
        <f>_xll.qlSimpleQuoteSetValue(F13,Y13/10000,Trigger)</f>
        <v>#N/A</v>
      </c>
      <c r="AA13" s="27"/>
    </row>
    <row r="14" spans="1:28" ht="11.25" customHeight="1" x14ac:dyDescent="0.2">
      <c r="A14" s="26"/>
      <c r="B14" s="127" t="str">
        <f t="shared" si="3"/>
        <v>6Y</v>
      </c>
      <c r="C14" s="172" t="str">
        <f t="shared" si="4"/>
        <v>12L</v>
      </c>
      <c r="D14" s="173" t="str">
        <f t="shared" si="5"/>
        <v>3L</v>
      </c>
      <c r="E14" s="174" t="str">
        <f t="shared" si="0"/>
        <v>USD12L3L6Y_LCHQuote</v>
      </c>
      <c r="F14" s="174" t="str">
        <f>_xll.qlSimpleQuote(E14,,RateTickValue,Permanent,Trigger,ObjectOverwrite)</f>
        <v>USD12L3L6Y_LCHQuote#0002</v>
      </c>
      <c r="G14" s="211" t="str">
        <f>_xll.ohRangeRetrieveError(F14)</f>
        <v/>
      </c>
      <c r="H14" s="115"/>
      <c r="J14" s="218"/>
      <c r="K14" s="127" t="s">
        <v>52</v>
      </c>
      <c r="L14" s="127" t="s">
        <v>69</v>
      </c>
      <c r="M14" s="127" t="s">
        <v>64</v>
      </c>
      <c r="N14" s="128" t="str">
        <f t="shared" si="1"/>
        <v>USD3L12L6Y</v>
      </c>
      <c r="O14" s="32" t="str">
        <v>USD3L12L6Y=SMKR</v>
      </c>
      <c r="P14" s="375">
        <v>23.25</v>
      </c>
      <c r="Q14" s="375">
        <v>33.25</v>
      </c>
      <c r="R14" s="209">
        <f>_xll.qlMidEquivalent(P14,Q14)</f>
        <v>28.25</v>
      </c>
      <c r="S14" s="220">
        <v>6</v>
      </c>
      <c r="T14" s="35" t="b">
        <f t="shared" si="2"/>
        <v>1</v>
      </c>
      <c r="U14" s="224">
        <v>28.25</v>
      </c>
      <c r="V14" s="139"/>
      <c r="W14" s="215">
        <v>28.25</v>
      </c>
      <c r="X14" s="139"/>
      <c r="Y14" s="209">
        <v>28.25</v>
      </c>
      <c r="Z14" s="132" t="e">
        <f>_xll.qlSimpleQuoteSetValue(F14,Y14/10000,Trigger)</f>
        <v>#N/A</v>
      </c>
      <c r="AA14" s="27"/>
    </row>
    <row r="15" spans="1:28" ht="11.25" customHeight="1" x14ac:dyDescent="0.2">
      <c r="A15" s="26"/>
      <c r="B15" s="127" t="str">
        <f t="shared" si="3"/>
        <v>7Y</v>
      </c>
      <c r="C15" s="172" t="str">
        <f t="shared" si="4"/>
        <v>12L</v>
      </c>
      <c r="D15" s="173" t="str">
        <f t="shared" si="5"/>
        <v>3L</v>
      </c>
      <c r="E15" s="174" t="str">
        <f t="shared" si="0"/>
        <v>USD12L3L7Y_LCHQuote</v>
      </c>
      <c r="F15" s="174" t="str">
        <f>_xll.qlSimpleQuote(E15,,RateTickValue,Permanent,Trigger,ObjectOverwrite)</f>
        <v>USD12L3L7Y_LCHQuote#0002</v>
      </c>
      <c r="G15" s="211" t="str">
        <f>_xll.ohRangeRetrieveError(F15)</f>
        <v/>
      </c>
      <c r="H15" s="115"/>
      <c r="J15" s="218"/>
      <c r="K15" s="127" t="s">
        <v>51</v>
      </c>
      <c r="L15" s="127" t="s">
        <v>69</v>
      </c>
      <c r="M15" s="127" t="s">
        <v>64</v>
      </c>
      <c r="N15" s="128" t="str">
        <f t="shared" si="1"/>
        <v>USD3L12L7Y</v>
      </c>
      <c r="O15" s="32" t="str">
        <v>USD3L12L7Y=SMKR</v>
      </c>
      <c r="P15" s="375">
        <v>22.75</v>
      </c>
      <c r="Q15" s="375">
        <v>32.75</v>
      </c>
      <c r="R15" s="209">
        <f>_xll.qlMidEquivalent(P15,Q15)</f>
        <v>27.75</v>
      </c>
      <c r="S15" s="220">
        <v>7</v>
      </c>
      <c r="T15" s="35" t="b">
        <f t="shared" si="2"/>
        <v>1</v>
      </c>
      <c r="U15" s="224">
        <v>27.75</v>
      </c>
      <c r="V15" s="139"/>
      <c r="W15" s="215">
        <v>27.75</v>
      </c>
      <c r="X15" s="139"/>
      <c r="Y15" s="209">
        <v>27.75</v>
      </c>
      <c r="Z15" s="132" t="e">
        <f>_xll.qlSimpleQuoteSetValue(F15,Y15/10000,Trigger)</f>
        <v>#N/A</v>
      </c>
      <c r="AA15" s="27"/>
    </row>
    <row r="16" spans="1:28" ht="11.25" customHeight="1" x14ac:dyDescent="0.2">
      <c r="A16" s="26"/>
      <c r="B16" s="127" t="str">
        <f t="shared" si="3"/>
        <v>8Y</v>
      </c>
      <c r="C16" s="172" t="str">
        <f t="shared" si="4"/>
        <v>12L</v>
      </c>
      <c r="D16" s="173" t="str">
        <f t="shared" si="5"/>
        <v>3L</v>
      </c>
      <c r="E16" s="174" t="str">
        <f t="shared" si="0"/>
        <v>USD12L3L8Y_LCHQuote</v>
      </c>
      <c r="F16" s="174" t="str">
        <f>_xll.qlSimpleQuote(E16,,RateTickValue,Permanent,Trigger,ObjectOverwrite)</f>
        <v>USD12L3L8Y_LCHQuote#0002</v>
      </c>
      <c r="G16" s="211" t="str">
        <f>_xll.ohRangeRetrieveError(F16)</f>
        <v/>
      </c>
      <c r="H16" s="115"/>
      <c r="J16" s="218"/>
      <c r="K16" s="127" t="s">
        <v>50</v>
      </c>
      <c r="L16" s="127" t="s">
        <v>69</v>
      </c>
      <c r="M16" s="127" t="s">
        <v>64</v>
      </c>
      <c r="N16" s="128" t="str">
        <f t="shared" si="1"/>
        <v>USD3L12L8Y</v>
      </c>
      <c r="O16" s="32" t="str">
        <v>USD3L12L8Y=SMKR</v>
      </c>
      <c r="P16" s="375">
        <v>22.375</v>
      </c>
      <c r="Q16" s="375">
        <v>32.375</v>
      </c>
      <c r="R16" s="209">
        <f>_xll.qlMidEquivalent(P16,Q16)</f>
        <v>27.375</v>
      </c>
      <c r="S16" s="220">
        <v>8</v>
      </c>
      <c r="T16" s="35" t="b">
        <f t="shared" si="2"/>
        <v>1</v>
      </c>
      <c r="U16" s="224">
        <v>27.375</v>
      </c>
      <c r="V16" s="139"/>
      <c r="W16" s="215">
        <v>27.25</v>
      </c>
      <c r="X16" s="139"/>
      <c r="Y16" s="209">
        <v>27.375</v>
      </c>
      <c r="Z16" s="132" t="e">
        <f>_xll.qlSimpleQuoteSetValue(F16,Y16/10000,Trigger)</f>
        <v>#N/A</v>
      </c>
      <c r="AA16" s="27"/>
    </row>
    <row r="17" spans="1:27" ht="11.25" customHeight="1" x14ac:dyDescent="0.2">
      <c r="A17" s="26"/>
      <c r="B17" s="127" t="str">
        <f t="shared" si="3"/>
        <v>9Y</v>
      </c>
      <c r="C17" s="172" t="str">
        <f t="shared" si="4"/>
        <v>12L</v>
      </c>
      <c r="D17" s="173" t="str">
        <f t="shared" si="5"/>
        <v>3L</v>
      </c>
      <c r="E17" s="174" t="str">
        <f t="shared" si="0"/>
        <v>USD12L3L9Y_LCHQuote</v>
      </c>
      <c r="F17" s="174" t="str">
        <f>_xll.qlSimpleQuote(E17,,RateTickValue,Permanent,Trigger,ObjectOverwrite)</f>
        <v>USD12L3L9Y_LCHQuote#0002</v>
      </c>
      <c r="G17" s="211" t="str">
        <f>_xll.ohRangeRetrieveError(F17)</f>
        <v/>
      </c>
      <c r="H17" s="115"/>
      <c r="J17" s="218"/>
      <c r="K17" s="127" t="s">
        <v>49</v>
      </c>
      <c r="L17" s="127" t="s">
        <v>69</v>
      </c>
      <c r="M17" s="127" t="s">
        <v>64</v>
      </c>
      <c r="N17" s="128" t="str">
        <f t="shared" si="1"/>
        <v>USD3L12L9Y</v>
      </c>
      <c r="O17" s="32" t="str">
        <v>USD3L12L9Y=SMKR</v>
      </c>
      <c r="P17" s="375">
        <v>22</v>
      </c>
      <c r="Q17" s="375">
        <v>32</v>
      </c>
      <c r="R17" s="209">
        <f>_xll.qlMidEquivalent(P17,Q17)</f>
        <v>27</v>
      </c>
      <c r="S17" s="220">
        <v>9</v>
      </c>
      <c r="T17" s="35" t="b">
        <f t="shared" si="2"/>
        <v>1</v>
      </c>
      <c r="U17" s="224">
        <v>27</v>
      </c>
      <c r="V17" s="139"/>
      <c r="W17" s="215">
        <v>26.875</v>
      </c>
      <c r="X17" s="139"/>
      <c r="Y17" s="209">
        <v>27</v>
      </c>
      <c r="Z17" s="132" t="e">
        <f>_xll.qlSimpleQuoteSetValue(F17,Y17/10000,Trigger)</f>
        <v>#N/A</v>
      </c>
      <c r="AA17" s="27"/>
    </row>
    <row r="18" spans="1:27" ht="11.25" customHeight="1" x14ac:dyDescent="0.2">
      <c r="A18" s="26"/>
      <c r="B18" s="127" t="str">
        <f t="shared" si="3"/>
        <v>10Y</v>
      </c>
      <c r="C18" s="172" t="str">
        <f t="shared" si="4"/>
        <v>12L</v>
      </c>
      <c r="D18" s="173" t="str">
        <f t="shared" si="5"/>
        <v>3L</v>
      </c>
      <c r="E18" s="174" t="str">
        <f t="shared" si="0"/>
        <v>USD12L3L10Y_LCHQuote</v>
      </c>
      <c r="F18" s="174" t="str">
        <f>_xll.qlSimpleQuote(E18,,RateTickValue,Permanent,Trigger,ObjectOverwrite)</f>
        <v>USD12L3L10Y_LCHQuote#0002</v>
      </c>
      <c r="G18" s="211" t="str">
        <f>_xll.ohRangeRetrieveError(F18)</f>
        <v/>
      </c>
      <c r="H18" s="115"/>
      <c r="J18" s="218"/>
      <c r="K18" s="127" t="s">
        <v>48</v>
      </c>
      <c r="L18" s="127" t="s">
        <v>69</v>
      </c>
      <c r="M18" s="127" t="s">
        <v>64</v>
      </c>
      <c r="N18" s="128" t="str">
        <f t="shared" si="1"/>
        <v>USD3L12L10Y</v>
      </c>
      <c r="O18" s="32" t="str">
        <v>USD3L12L10Y=SMKR</v>
      </c>
      <c r="P18" s="375">
        <v>21.75</v>
      </c>
      <c r="Q18" s="375">
        <v>31.75</v>
      </c>
      <c r="R18" s="209">
        <f>_xll.qlMidEquivalent(P18,Q18)</f>
        <v>26.75</v>
      </c>
      <c r="S18" s="220">
        <v>10</v>
      </c>
      <c r="T18" s="35" t="b">
        <f t="shared" si="2"/>
        <v>1</v>
      </c>
      <c r="U18" s="224">
        <v>26.75</v>
      </c>
      <c r="V18" s="139"/>
      <c r="W18" s="215">
        <v>26.75</v>
      </c>
      <c r="X18" s="139"/>
      <c r="Y18" s="209">
        <v>26.75</v>
      </c>
      <c r="Z18" s="132" t="e">
        <f>_xll.qlSimpleQuoteSetValue(F18,Y18/10000,Trigger)</f>
        <v>#N/A</v>
      </c>
      <c r="AA18" s="27"/>
    </row>
    <row r="19" spans="1:27" ht="11.25" customHeight="1" x14ac:dyDescent="0.2">
      <c r="A19" s="26"/>
      <c r="B19" s="127" t="str">
        <f t="shared" si="3"/>
        <v>11Y</v>
      </c>
      <c r="C19" s="172" t="str">
        <f t="shared" si="4"/>
        <v>12L</v>
      </c>
      <c r="D19" s="173" t="str">
        <f t="shared" si="5"/>
        <v>3L</v>
      </c>
      <c r="E19" s="174" t="str">
        <f t="shared" si="0"/>
        <v>USD12L3L11Y_LCHQuote</v>
      </c>
      <c r="F19" s="174" t="str">
        <f>_xll.qlSimpleQuote(E19,,RateTickValue,Permanent,Trigger,ObjectOverwrite)</f>
        <v>USD12L3L11Y_LCHQuote#0002</v>
      </c>
      <c r="G19" s="211" t="str">
        <f>_xll.ohRangeRetrieveError(F19)</f>
        <v/>
      </c>
      <c r="H19" s="115"/>
      <c r="J19" s="218"/>
      <c r="K19" s="127" t="s">
        <v>47</v>
      </c>
      <c r="L19" s="127" t="s">
        <v>69</v>
      </c>
      <c r="M19" s="127" t="s">
        <v>64</v>
      </c>
      <c r="N19" s="128" t="str">
        <f t="shared" si="1"/>
        <v>USD3L12L11Y</v>
      </c>
      <c r="O19" s="32" t="str">
        <v>USD3L12L11Y=SMKR</v>
      </c>
      <c r="P19" s="375">
        <v>21.625</v>
      </c>
      <c r="Q19" s="375">
        <v>31.625</v>
      </c>
      <c r="R19" s="209">
        <f>_xll.qlMidEquivalent(P19,Q19)</f>
        <v>26.625</v>
      </c>
      <c r="S19" s="220">
        <v>11</v>
      </c>
      <c r="T19" s="35" t="b">
        <f t="shared" si="2"/>
        <v>1</v>
      </c>
      <c r="U19" s="224">
        <v>26.625</v>
      </c>
      <c r="V19" s="139"/>
      <c r="W19" s="215">
        <v>26.625</v>
      </c>
      <c r="X19" s="139"/>
      <c r="Y19" s="209">
        <v>26.625</v>
      </c>
      <c r="Z19" s="132" t="e">
        <f>_xll.qlSimpleQuoteSetValue(F19,Y19/10000,Trigger)</f>
        <v>#N/A</v>
      </c>
      <c r="AA19" s="27"/>
    </row>
    <row r="20" spans="1:27" ht="11.25" customHeight="1" x14ac:dyDescent="0.2">
      <c r="A20" s="26"/>
      <c r="B20" s="127" t="str">
        <f t="shared" si="3"/>
        <v>12Y</v>
      </c>
      <c r="C20" s="172" t="str">
        <f t="shared" si="4"/>
        <v>12L</v>
      </c>
      <c r="D20" s="173" t="str">
        <f t="shared" si="5"/>
        <v>3L</v>
      </c>
      <c r="E20" s="174" t="str">
        <f t="shared" si="0"/>
        <v>USD12L3L12Y_LCHQuote</v>
      </c>
      <c r="F20" s="174" t="str">
        <f>_xll.qlSimpleQuote(E20,,RateTickValue,Permanent,Trigger,ObjectOverwrite)</f>
        <v>USD12L3L12Y_LCHQuote#0002</v>
      </c>
      <c r="G20" s="211" t="str">
        <f>_xll.ohRangeRetrieveError(F20)</f>
        <v/>
      </c>
      <c r="H20" s="115"/>
      <c r="J20" s="218"/>
      <c r="K20" s="127" t="s">
        <v>46</v>
      </c>
      <c r="L20" s="127" t="s">
        <v>69</v>
      </c>
      <c r="M20" s="127" t="s">
        <v>64</v>
      </c>
      <c r="N20" s="128" t="str">
        <f t="shared" si="1"/>
        <v>USD3L12L12Y</v>
      </c>
      <c r="O20" s="32" t="str">
        <v>USD3L12L12Y=SMKR</v>
      </c>
      <c r="P20" s="375">
        <v>21.5</v>
      </c>
      <c r="Q20" s="375">
        <v>31.5</v>
      </c>
      <c r="R20" s="209">
        <f>_xll.qlMidEquivalent(P20,Q20)</f>
        <v>26.5</v>
      </c>
      <c r="S20" s="220">
        <v>12</v>
      </c>
      <c r="T20" s="35" t="b">
        <f t="shared" si="2"/>
        <v>1</v>
      </c>
      <c r="U20" s="224">
        <v>26.5</v>
      </c>
      <c r="V20" s="139"/>
      <c r="W20" s="215">
        <v>26.5</v>
      </c>
      <c r="X20" s="139"/>
      <c r="Y20" s="209">
        <v>26.5</v>
      </c>
      <c r="Z20" s="132" t="e">
        <f>_xll.qlSimpleQuoteSetValue(F20,Y20/10000,Trigger)</f>
        <v>#N/A</v>
      </c>
      <c r="AA20" s="27"/>
    </row>
    <row r="21" spans="1:27" ht="11.25" customHeight="1" x14ac:dyDescent="0.2">
      <c r="A21" s="26"/>
      <c r="B21" s="127" t="str">
        <f t="shared" si="3"/>
        <v>13Y</v>
      </c>
      <c r="C21" s="172" t="str">
        <f t="shared" si="4"/>
        <v>12L</v>
      </c>
      <c r="D21" s="173" t="str">
        <f t="shared" si="5"/>
        <v>3L</v>
      </c>
      <c r="E21" s="174" t="str">
        <f t="shared" si="0"/>
        <v>USD12L3L13Y_LCHQuote</v>
      </c>
      <c r="F21" s="174" t="str">
        <f>_xll.qlSimpleQuote(E21,,RateTickValue,Permanent,Trigger,ObjectOverwrite)</f>
        <v>USD12L3L13Y_LCHQuote#0002</v>
      </c>
      <c r="G21" s="211" t="str">
        <f>_xll.ohRangeRetrieveError(F21)</f>
        <v/>
      </c>
      <c r="H21" s="115"/>
      <c r="J21" s="218"/>
      <c r="K21" s="127" t="s">
        <v>45</v>
      </c>
      <c r="L21" s="127" t="s">
        <v>69</v>
      </c>
      <c r="M21" s="127" t="s">
        <v>64</v>
      </c>
      <c r="N21" s="128" t="str">
        <f t="shared" si="1"/>
        <v>USD3L12L13Y</v>
      </c>
      <c r="O21" s="32" t="str">
        <v>USD3L12L13Y=SMKR</v>
      </c>
      <c r="P21" s="375" t="s">
        <v>213</v>
      </c>
      <c r="Q21" s="375" t="s">
        <v>213</v>
      </c>
      <c r="R21" s="209" t="e">
        <f>_xll.qlMidEquivalent(P21,Q21)</f>
        <v>#NUM!</v>
      </c>
      <c r="S21" s="220">
        <v>13</v>
      </c>
      <c r="T21" s="35" t="b">
        <f t="shared" si="2"/>
        <v>0</v>
      </c>
      <c r="U21" s="224">
        <v>26.515264964273626</v>
      </c>
      <c r="V21" s="139"/>
      <c r="W21" s="215">
        <v>26.518597167152524</v>
      </c>
      <c r="X21" s="139"/>
      <c r="Y21" s="209">
        <v>26.515264964273626</v>
      </c>
      <c r="Z21" s="132" t="e">
        <f>_xll.qlSimpleQuoteSetValue(F21,Y21/10000,Trigger)</f>
        <v>#N/A</v>
      </c>
      <c r="AA21" s="27"/>
    </row>
    <row r="22" spans="1:27" ht="11.25" customHeight="1" x14ac:dyDescent="0.2">
      <c r="A22" s="26"/>
      <c r="B22" s="127" t="str">
        <f t="shared" si="3"/>
        <v>14Y</v>
      </c>
      <c r="C22" s="172" t="str">
        <f t="shared" si="4"/>
        <v>12L</v>
      </c>
      <c r="D22" s="173" t="str">
        <f t="shared" si="5"/>
        <v>3L</v>
      </c>
      <c r="E22" s="174" t="str">
        <f t="shared" si="0"/>
        <v>USD12L3L14Y_LCHQuote</v>
      </c>
      <c r="F22" s="174" t="str">
        <f>_xll.qlSimpleQuote(E22,,RateTickValue,Permanent,Trigger,ObjectOverwrite)</f>
        <v>USD12L3L14Y_LCHQuote#0002</v>
      </c>
      <c r="G22" s="211" t="str">
        <f>_xll.ohRangeRetrieveError(F22)</f>
        <v/>
      </c>
      <c r="H22" s="115"/>
      <c r="J22" s="218"/>
      <c r="K22" s="127" t="s">
        <v>44</v>
      </c>
      <c r="L22" s="127" t="s">
        <v>69</v>
      </c>
      <c r="M22" s="127" t="s">
        <v>64</v>
      </c>
      <c r="N22" s="128" t="str">
        <f t="shared" si="1"/>
        <v>USD3L12L14Y</v>
      </c>
      <c r="O22" s="32" t="str">
        <v>USD3L12L14Y=SMKR</v>
      </c>
      <c r="P22" s="375" t="s">
        <v>213</v>
      </c>
      <c r="Q22" s="375" t="s">
        <v>213</v>
      </c>
      <c r="R22" s="209" t="e">
        <f>_xll.qlMidEquivalent(P22,Q22)</f>
        <v>#NUM!</v>
      </c>
      <c r="S22" s="220">
        <v>14</v>
      </c>
      <c r="T22" s="35" t="b">
        <f t="shared" si="2"/>
        <v>0</v>
      </c>
      <c r="U22" s="224">
        <v>26.63541025991459</v>
      </c>
      <c r="V22" s="139"/>
      <c r="W22" s="215">
        <v>26.63707636135404</v>
      </c>
      <c r="X22" s="139"/>
      <c r="Y22" s="209">
        <v>26.63541025991459</v>
      </c>
      <c r="Z22" s="132" t="e">
        <f>_xll.qlSimpleQuoteSetValue(F22,Y22/10000,Trigger)</f>
        <v>#N/A</v>
      </c>
      <c r="AA22" s="27"/>
    </row>
    <row r="23" spans="1:27" ht="11.25" customHeight="1" x14ac:dyDescent="0.2">
      <c r="A23" s="26"/>
      <c r="B23" s="127" t="str">
        <f t="shared" si="3"/>
        <v>15Y</v>
      </c>
      <c r="C23" s="172" t="str">
        <f t="shared" si="4"/>
        <v>12L</v>
      </c>
      <c r="D23" s="173" t="str">
        <f t="shared" si="5"/>
        <v>3L</v>
      </c>
      <c r="E23" s="174" t="str">
        <f t="shared" si="0"/>
        <v>USD12L3L15Y_LCHQuote</v>
      </c>
      <c r="F23" s="174" t="str">
        <f>_xll.qlSimpleQuote(E23,,RateTickValue,Permanent,Trigger,ObjectOverwrite)</f>
        <v>USD12L3L15Y_LCHQuote#0002</v>
      </c>
      <c r="G23" s="211" t="str">
        <f>_xll.ohRangeRetrieveError(F23)</f>
        <v/>
      </c>
      <c r="H23" s="115"/>
      <c r="J23" s="218"/>
      <c r="K23" s="127" t="s">
        <v>43</v>
      </c>
      <c r="L23" s="127" t="s">
        <v>69</v>
      </c>
      <c r="M23" s="127" t="s">
        <v>64</v>
      </c>
      <c r="N23" s="128" t="str">
        <f t="shared" si="1"/>
        <v>USD3L12L15Y</v>
      </c>
      <c r="O23" s="32" t="str">
        <v>USD3L12L15Y=SMKR</v>
      </c>
      <c r="P23" s="375">
        <v>21.75</v>
      </c>
      <c r="Q23" s="375">
        <v>31.75</v>
      </c>
      <c r="R23" s="209">
        <f>_xll.qlMidEquivalent(P23,Q23)</f>
        <v>26.75</v>
      </c>
      <c r="S23" s="220">
        <v>15</v>
      </c>
      <c r="T23" s="35" t="b">
        <f t="shared" si="2"/>
        <v>1</v>
      </c>
      <c r="U23" s="224">
        <v>26.75</v>
      </c>
      <c r="V23" s="139"/>
      <c r="W23" s="215">
        <v>26.75</v>
      </c>
      <c r="X23" s="139"/>
      <c r="Y23" s="209">
        <v>26.75</v>
      </c>
      <c r="Z23" s="132" t="e">
        <f>_xll.qlSimpleQuoteSetValue(F23,Y23/10000,Trigger)</f>
        <v>#N/A</v>
      </c>
      <c r="AA23" s="27"/>
    </row>
    <row r="24" spans="1:27" ht="11.25" customHeight="1" x14ac:dyDescent="0.2">
      <c r="A24" s="26"/>
      <c r="B24" s="127" t="str">
        <f t="shared" si="3"/>
        <v>16Y</v>
      </c>
      <c r="C24" s="172" t="str">
        <f t="shared" si="4"/>
        <v>12L</v>
      </c>
      <c r="D24" s="173" t="str">
        <f t="shared" si="5"/>
        <v>3L</v>
      </c>
      <c r="E24" s="174" t="str">
        <f t="shared" si="0"/>
        <v>USD12L3L16Y_LCHQuote</v>
      </c>
      <c r="F24" s="174" t="str">
        <f>_xll.qlSimpleQuote(E24,,RateTickValue,Permanent,Trigger,ObjectOverwrite)</f>
        <v>USD12L3L16Y_LCHQuote#0002</v>
      </c>
      <c r="G24" s="211" t="str">
        <f>_xll.ohRangeRetrieveError(F24)</f>
        <v/>
      </c>
      <c r="H24" s="115"/>
      <c r="J24" s="218"/>
      <c r="K24" s="127" t="s">
        <v>42</v>
      </c>
      <c r="L24" s="127" t="s">
        <v>69</v>
      </c>
      <c r="M24" s="127" t="s">
        <v>64</v>
      </c>
      <c r="N24" s="128" t="str">
        <f t="shared" si="1"/>
        <v>USD3L12L16Y</v>
      </c>
      <c r="O24" s="32" t="str">
        <v>USD3L12L16Y=SMKR</v>
      </c>
      <c r="P24" s="375" t="s">
        <v>213</v>
      </c>
      <c r="Q24" s="375" t="s">
        <v>213</v>
      </c>
      <c r="R24" s="209" t="e">
        <f>_xll.qlMidEquivalent(P24,Q24)</f>
        <v>#NUM!</v>
      </c>
      <c r="S24" s="220">
        <v>16</v>
      </c>
      <c r="T24" s="35" t="b">
        <f t="shared" si="2"/>
        <v>0</v>
      </c>
      <c r="U24" s="224">
        <v>26.795274248397011</v>
      </c>
      <c r="V24" s="139"/>
      <c r="W24" s="215">
        <v>26.797000000000001</v>
      </c>
      <c r="X24" s="139"/>
      <c r="Y24" s="209">
        <v>26.795274248397011</v>
      </c>
      <c r="Z24" s="132" t="e">
        <f>_xll.qlSimpleQuoteSetValue(F24,Y24/10000,Trigger)</f>
        <v>#N/A</v>
      </c>
      <c r="AA24" s="27"/>
    </row>
    <row r="25" spans="1:27" ht="11.25" customHeight="1" x14ac:dyDescent="0.2">
      <c r="A25" s="26"/>
      <c r="B25" s="127" t="str">
        <f t="shared" si="3"/>
        <v>17Y</v>
      </c>
      <c r="C25" s="172" t="str">
        <f t="shared" si="4"/>
        <v>12L</v>
      </c>
      <c r="D25" s="173" t="str">
        <f t="shared" si="5"/>
        <v>3L</v>
      </c>
      <c r="E25" s="174" t="str">
        <f t="shared" si="0"/>
        <v>USD12L3L17Y_LCHQuote</v>
      </c>
      <c r="F25" s="174" t="str">
        <f>_xll.qlSimpleQuote(E25,,RateTickValue,Permanent,Trigger,ObjectOverwrite)</f>
        <v>USD12L3L17Y_LCHQuote#0002</v>
      </c>
      <c r="G25" s="211" t="str">
        <f>_xll.ohRangeRetrieveError(F25)</f>
        <v/>
      </c>
      <c r="H25" s="115"/>
      <c r="J25" s="218"/>
      <c r="K25" s="127" t="s">
        <v>41</v>
      </c>
      <c r="L25" s="127" t="s">
        <v>69</v>
      </c>
      <c r="M25" s="127" t="s">
        <v>64</v>
      </c>
      <c r="N25" s="128" t="str">
        <f t="shared" si="1"/>
        <v>USD3L12L17Y</v>
      </c>
      <c r="O25" s="32" t="str">
        <v>USD3L12L17Y=SMKR</v>
      </c>
      <c r="P25" s="375" t="s">
        <v>213</v>
      </c>
      <c r="Q25" s="375" t="s">
        <v>213</v>
      </c>
      <c r="R25" s="209" t="e">
        <f>_xll.qlMidEquivalent(P25,Q25)</f>
        <v>#NUM!</v>
      </c>
      <c r="S25" s="220">
        <v>17</v>
      </c>
      <c r="T25" s="35" t="b">
        <f t="shared" si="2"/>
        <v>0</v>
      </c>
      <c r="U25" s="224">
        <v>26.790822745191029</v>
      </c>
      <c r="V25" s="139"/>
      <c r="W25" s="215">
        <v>26.795999999999999</v>
      </c>
      <c r="X25" s="139"/>
      <c r="Y25" s="209">
        <v>26.790822745191029</v>
      </c>
      <c r="Z25" s="132" t="e">
        <f>_xll.qlSimpleQuoteSetValue(F25,Y25/10000,Trigger)</f>
        <v>#N/A</v>
      </c>
      <c r="AA25" s="27"/>
    </row>
    <row r="26" spans="1:27" ht="11.25" customHeight="1" x14ac:dyDescent="0.2">
      <c r="A26" s="26"/>
      <c r="B26" s="127" t="str">
        <f t="shared" si="3"/>
        <v>18Y</v>
      </c>
      <c r="C26" s="172" t="str">
        <f t="shared" si="4"/>
        <v>12L</v>
      </c>
      <c r="D26" s="173" t="str">
        <f t="shared" si="5"/>
        <v>3L</v>
      </c>
      <c r="E26" s="174" t="str">
        <f t="shared" si="0"/>
        <v>USD12L3L18Y_LCHQuote</v>
      </c>
      <c r="F26" s="174" t="str">
        <f>_xll.qlSimpleQuote(E26,,RateTickValue,Permanent,Trigger,ObjectOverwrite)</f>
        <v>USD12L3L18Y_LCHQuote#0002</v>
      </c>
      <c r="G26" s="211" t="str">
        <f>_xll.ohRangeRetrieveError(F26)</f>
        <v/>
      </c>
      <c r="H26" s="115"/>
      <c r="J26" s="218"/>
      <c r="K26" s="127" t="s">
        <v>40</v>
      </c>
      <c r="L26" s="127" t="s">
        <v>69</v>
      </c>
      <c r="M26" s="127" t="s">
        <v>64</v>
      </c>
      <c r="N26" s="128" t="str">
        <f t="shared" si="1"/>
        <v>USD3L12L18Y</v>
      </c>
      <c r="O26" s="32" t="str">
        <v>USD3L12L18Y=SMKR</v>
      </c>
      <c r="P26" s="375" t="s">
        <v>213</v>
      </c>
      <c r="Q26" s="375" t="s">
        <v>213</v>
      </c>
      <c r="R26" s="209" t="e">
        <f>_xll.qlMidEquivalent(P26,Q26)</f>
        <v>#NUM!</v>
      </c>
      <c r="S26" s="220">
        <v>18</v>
      </c>
      <c r="T26" s="35" t="b">
        <f t="shared" si="2"/>
        <v>0</v>
      </c>
      <c r="U26" s="224">
        <v>26.751234117786545</v>
      </c>
      <c r="V26" s="139"/>
      <c r="W26" s="215">
        <v>26.759</v>
      </c>
      <c r="X26" s="139"/>
      <c r="Y26" s="209">
        <v>26.751234117786545</v>
      </c>
      <c r="Z26" s="132" t="e">
        <f>_xll.qlSimpleQuoteSetValue(F26,Y26/10000,Trigger)</f>
        <v>#N/A</v>
      </c>
      <c r="AA26" s="27"/>
    </row>
    <row r="27" spans="1:27" ht="11.25" customHeight="1" x14ac:dyDescent="0.2">
      <c r="A27" s="26"/>
      <c r="B27" s="127" t="str">
        <f t="shared" si="3"/>
        <v>19Y</v>
      </c>
      <c r="C27" s="172" t="str">
        <f t="shared" si="4"/>
        <v>12L</v>
      </c>
      <c r="D27" s="173" t="str">
        <f t="shared" si="5"/>
        <v>3L</v>
      </c>
      <c r="E27" s="174" t="str">
        <f t="shared" si="0"/>
        <v>USD12L3L19Y_LCHQuote</v>
      </c>
      <c r="F27" s="174" t="str">
        <f>_xll.qlSimpleQuote(E27,,RateTickValue,Permanent,Trigger,ObjectOverwrite)</f>
        <v>USD12L3L19Y_LCHQuote#0002</v>
      </c>
      <c r="G27" s="211" t="str">
        <f>_xll.ohRangeRetrieveError(F27)</f>
        <v/>
      </c>
      <c r="H27" s="115"/>
      <c r="J27" s="218"/>
      <c r="K27" s="127" t="s">
        <v>39</v>
      </c>
      <c r="L27" s="127" t="s">
        <v>69</v>
      </c>
      <c r="M27" s="127" t="s">
        <v>64</v>
      </c>
      <c r="N27" s="128" t="str">
        <f t="shared" si="1"/>
        <v>USD3L12L19Y</v>
      </c>
      <c r="O27" s="32" t="str">
        <v>USD3L12L19Y=SMKR</v>
      </c>
      <c r="P27" s="375" t="s">
        <v>213</v>
      </c>
      <c r="Q27" s="375" t="s">
        <v>213</v>
      </c>
      <c r="R27" s="209" t="e">
        <f>_xll.qlMidEquivalent(P27,Q27)</f>
        <v>#NUM!</v>
      </c>
      <c r="S27" s="220">
        <v>19</v>
      </c>
      <c r="T27" s="35" t="b">
        <f t="shared" si="2"/>
        <v>0</v>
      </c>
      <c r="U27" s="224">
        <v>26.69109699358804</v>
      </c>
      <c r="V27" s="139"/>
      <c r="W27" s="215">
        <v>26.698</v>
      </c>
      <c r="X27" s="139"/>
      <c r="Y27" s="209">
        <v>26.69109699358804</v>
      </c>
      <c r="Z27" s="132" t="e">
        <f>_xll.qlSimpleQuoteSetValue(F27,Y27/10000,Trigger)</f>
        <v>#N/A</v>
      </c>
      <c r="AA27" s="27"/>
    </row>
    <row r="28" spans="1:27" ht="11.25" customHeight="1" x14ac:dyDescent="0.2">
      <c r="A28" s="26"/>
      <c r="B28" s="127" t="str">
        <f t="shared" si="3"/>
        <v>20Y</v>
      </c>
      <c r="C28" s="172" t="str">
        <f t="shared" si="4"/>
        <v>12L</v>
      </c>
      <c r="D28" s="173" t="str">
        <f t="shared" si="5"/>
        <v>3L</v>
      </c>
      <c r="E28" s="174" t="str">
        <f t="shared" si="0"/>
        <v>USD12L3L20Y_LCHQuote</v>
      </c>
      <c r="F28" s="174" t="str">
        <f>_xll.qlSimpleQuote(E28,,RateTickValue,Permanent,Trigger,ObjectOverwrite)</f>
        <v>USD12L3L20Y_LCHQuote#0002</v>
      </c>
      <c r="G28" s="211" t="str">
        <f>_xll.ohRangeRetrieveError(F28)</f>
        <v/>
      </c>
      <c r="H28" s="115"/>
      <c r="J28" s="218"/>
      <c r="K28" s="127" t="s">
        <v>38</v>
      </c>
      <c r="L28" s="127" t="s">
        <v>69</v>
      </c>
      <c r="M28" s="127" t="s">
        <v>64</v>
      </c>
      <c r="N28" s="128" t="str">
        <f t="shared" si="1"/>
        <v>USD3L12L20Y</v>
      </c>
      <c r="O28" s="32" t="str">
        <v>USD3L12L20Y=SMKR</v>
      </c>
      <c r="P28" s="375">
        <v>21.625</v>
      </c>
      <c r="Q28" s="375">
        <v>31.625</v>
      </c>
      <c r="R28" s="209">
        <f>_xll.qlMidEquivalent(P28,Q28)</f>
        <v>26.625</v>
      </c>
      <c r="S28" s="220">
        <v>20</v>
      </c>
      <c r="T28" s="35" t="b">
        <f t="shared" si="2"/>
        <v>1</v>
      </c>
      <c r="U28" s="224">
        <v>26.625</v>
      </c>
      <c r="V28" s="139"/>
      <c r="W28" s="215">
        <v>26.625</v>
      </c>
      <c r="X28" s="139"/>
      <c r="Y28" s="209">
        <v>26.625</v>
      </c>
      <c r="Z28" s="132" t="e">
        <f>_xll.qlSimpleQuoteSetValue(F28,Y28/10000,Trigger)</f>
        <v>#N/A</v>
      </c>
      <c r="AA28" s="27"/>
    </row>
    <row r="29" spans="1:27" ht="11.25" customHeight="1" x14ac:dyDescent="0.2">
      <c r="A29" s="26"/>
      <c r="B29" s="127" t="str">
        <f t="shared" si="3"/>
        <v>21Y</v>
      </c>
      <c r="C29" s="172" t="str">
        <f t="shared" si="4"/>
        <v>12L</v>
      </c>
      <c r="D29" s="173" t="str">
        <f t="shared" si="5"/>
        <v>3L</v>
      </c>
      <c r="E29" s="174" t="str">
        <f t="shared" si="0"/>
        <v>USD12L3L21Y_LCHQuote</v>
      </c>
      <c r="F29" s="174" t="str">
        <f>_xll.qlSimpleQuote(E29,,RateTickValue,Permanent,Trigger,ObjectOverwrite)</f>
        <v>USD12L3L21Y_LCHQuote#0002</v>
      </c>
      <c r="G29" s="211" t="str">
        <f>_xll.ohRangeRetrieveError(F29)</f>
        <v/>
      </c>
      <c r="H29" s="115"/>
      <c r="J29" s="218"/>
      <c r="K29" s="127" t="s">
        <v>37</v>
      </c>
      <c r="L29" s="127" t="s">
        <v>69</v>
      </c>
      <c r="M29" s="127" t="s">
        <v>64</v>
      </c>
      <c r="N29" s="128" t="str">
        <f t="shared" si="1"/>
        <v>USD3L12L21Y</v>
      </c>
      <c r="O29" s="32" t="str">
        <v>USD3L12L21Y=SMKR</v>
      </c>
      <c r="P29" s="375" t="s">
        <v>213</v>
      </c>
      <c r="Q29" s="375" t="s">
        <v>213</v>
      </c>
      <c r="R29" s="209" t="e">
        <f>_xll.qlMidEquivalent(P29,Q29)</f>
        <v>#NUM!</v>
      </c>
      <c r="S29" s="220">
        <v>21</v>
      </c>
      <c r="T29" s="35" t="b">
        <f t="shared" si="2"/>
        <v>0</v>
      </c>
      <c r="U29" s="224">
        <v>26.568681792584243</v>
      </c>
      <c r="V29" s="139"/>
      <c r="W29" s="215">
        <v>26.54969016827447</v>
      </c>
      <c r="X29" s="139"/>
      <c r="Y29" s="209">
        <v>26.568681792584243</v>
      </c>
      <c r="Z29" s="132" t="e">
        <f>_xll.qlSimpleQuoteSetValue(F29,Y29/10000,Trigger)</f>
        <v>#N/A</v>
      </c>
      <c r="AA29" s="27"/>
    </row>
    <row r="30" spans="1:27" ht="11.25" customHeight="1" x14ac:dyDescent="0.2">
      <c r="A30" s="26"/>
      <c r="B30" s="127" t="str">
        <f t="shared" si="3"/>
        <v>22Y</v>
      </c>
      <c r="C30" s="172" t="str">
        <f t="shared" si="4"/>
        <v>12L</v>
      </c>
      <c r="D30" s="173" t="str">
        <f t="shared" si="5"/>
        <v>3L</v>
      </c>
      <c r="E30" s="174" t="str">
        <f t="shared" si="0"/>
        <v>USD12L3L22Y_LCHQuote</v>
      </c>
      <c r="F30" s="174" t="str">
        <f>_xll.qlSimpleQuote(E30,,RateTickValue,Permanent,Trigger,ObjectOverwrite)</f>
        <v>USD12L3L22Y_LCHQuote#0002</v>
      </c>
      <c r="G30" s="211" t="str">
        <f>_xll.ohRangeRetrieveError(F30)</f>
        <v/>
      </c>
      <c r="H30" s="115"/>
      <c r="J30" s="218"/>
      <c r="K30" s="127" t="s">
        <v>36</v>
      </c>
      <c r="L30" s="127" t="s">
        <v>69</v>
      </c>
      <c r="M30" s="127" t="s">
        <v>64</v>
      </c>
      <c r="N30" s="128" t="str">
        <f t="shared" si="1"/>
        <v>USD3L12L22Y</v>
      </c>
      <c r="O30" s="32" t="str">
        <v>USD3L12L22Y=SMKR</v>
      </c>
      <c r="P30" s="375" t="s">
        <v>213</v>
      </c>
      <c r="Q30" s="375" t="s">
        <v>213</v>
      </c>
      <c r="R30" s="209" t="e">
        <f>_xll.qlMidEquivalent(P30,Q30)</f>
        <v>#NUM!</v>
      </c>
      <c r="S30" s="220">
        <v>22</v>
      </c>
      <c r="T30" s="35" t="b">
        <f t="shared" si="2"/>
        <v>0</v>
      </c>
      <c r="U30" s="224">
        <v>26.523102240730303</v>
      </c>
      <c r="V30" s="139"/>
      <c r="W30" s="215">
        <v>26.474070504823409</v>
      </c>
      <c r="X30" s="139"/>
      <c r="Y30" s="209">
        <v>26.523102240730303</v>
      </c>
      <c r="Z30" s="132" t="e">
        <f>_xll.qlSimpleQuoteSetValue(F30,Y30/10000,Trigger)</f>
        <v>#N/A</v>
      </c>
      <c r="AA30" s="27"/>
    </row>
    <row r="31" spans="1:27" ht="11.25" customHeight="1" x14ac:dyDescent="0.2">
      <c r="A31" s="26"/>
      <c r="B31" s="127" t="str">
        <f t="shared" si="3"/>
        <v>23Y</v>
      </c>
      <c r="C31" s="172" t="str">
        <f t="shared" si="4"/>
        <v>12L</v>
      </c>
      <c r="D31" s="173" t="str">
        <f t="shared" si="5"/>
        <v>3L</v>
      </c>
      <c r="E31" s="174" t="str">
        <f t="shared" si="0"/>
        <v>USD12L3L23Y_LCHQuote</v>
      </c>
      <c r="F31" s="174" t="str">
        <f>_xll.qlSimpleQuote(E31,,RateTickValue,Permanent,Trigger,ObjectOverwrite)</f>
        <v>USD12L3L23Y_LCHQuote#0002</v>
      </c>
      <c r="G31" s="211" t="str">
        <f>_xll.ohRangeRetrieveError(F31)</f>
        <v/>
      </c>
      <c r="H31" s="115"/>
      <c r="J31" s="218"/>
      <c r="K31" s="127" t="s">
        <v>35</v>
      </c>
      <c r="L31" s="127" t="s">
        <v>69</v>
      </c>
      <c r="M31" s="127" t="s">
        <v>64</v>
      </c>
      <c r="N31" s="128" t="str">
        <f t="shared" si="1"/>
        <v>USD3L12L23Y</v>
      </c>
      <c r="O31" s="32" t="str">
        <v>USD3L12L23Y=SMKR</v>
      </c>
      <c r="P31" s="375" t="s">
        <v>213</v>
      </c>
      <c r="Q31" s="375" t="s">
        <v>213</v>
      </c>
      <c r="R31" s="209" t="e">
        <f>_xll.qlMidEquivalent(P31,Q31)</f>
        <v>#NUM!</v>
      </c>
      <c r="S31" s="220">
        <v>23</v>
      </c>
      <c r="T31" s="35" t="b">
        <f t="shared" si="2"/>
        <v>0</v>
      </c>
      <c r="U31" s="224">
        <v>26.480681792584242</v>
      </c>
      <c r="V31" s="139"/>
      <c r="W31" s="215">
        <v>26.398605757235117</v>
      </c>
      <c r="X31" s="139"/>
      <c r="Y31" s="209">
        <v>26.480681792584242</v>
      </c>
      <c r="Z31" s="132" t="e">
        <f>_xll.qlSimpleQuoteSetValue(F31,Y31/10000,Trigger)</f>
        <v>#N/A</v>
      </c>
      <c r="AA31" s="27"/>
    </row>
    <row r="32" spans="1:27" ht="11.25" customHeight="1" x14ac:dyDescent="0.2">
      <c r="A32" s="26"/>
      <c r="B32" s="127" t="str">
        <f t="shared" si="3"/>
        <v>24Y</v>
      </c>
      <c r="C32" s="172" t="str">
        <f t="shared" si="4"/>
        <v>12L</v>
      </c>
      <c r="D32" s="173" t="str">
        <f t="shared" si="5"/>
        <v>3L</v>
      </c>
      <c r="E32" s="174" t="str">
        <f t="shared" si="0"/>
        <v>USD12L3L24Y_LCHQuote</v>
      </c>
      <c r="F32" s="174" t="str">
        <f>_xll.qlSimpleQuote(E32,,RateTickValue,Permanent,Trigger,ObjectOverwrite)</f>
        <v>USD12L3L24Y_LCHQuote#0002</v>
      </c>
      <c r="G32" s="211" t="str">
        <f>_xll.ohRangeRetrieveError(F32)</f>
        <v/>
      </c>
      <c r="H32" s="115"/>
      <c r="J32" s="218"/>
      <c r="K32" s="127" t="s">
        <v>34</v>
      </c>
      <c r="L32" s="127" t="s">
        <v>69</v>
      </c>
      <c r="M32" s="127" t="s">
        <v>64</v>
      </c>
      <c r="N32" s="128" t="str">
        <f t="shared" si="1"/>
        <v>USD3L12L24Y</v>
      </c>
      <c r="O32" s="32" t="str">
        <v>USD3L12L24Y=SMKR</v>
      </c>
      <c r="P32" s="375" t="s">
        <v>213</v>
      </c>
      <c r="Q32" s="375" t="s">
        <v>213</v>
      </c>
      <c r="R32" s="209" t="e">
        <f>_xll.qlMidEquivalent(P32,Q32)</f>
        <v>#NUM!</v>
      </c>
      <c r="S32" s="220">
        <v>24</v>
      </c>
      <c r="T32" s="35" t="b">
        <f t="shared" si="2"/>
        <v>0</v>
      </c>
      <c r="U32" s="224">
        <v>26.433840896292121</v>
      </c>
      <c r="V32" s="139"/>
      <c r="W32" s="215">
        <v>26.32376067309788</v>
      </c>
      <c r="X32" s="139"/>
      <c r="Y32" s="209">
        <v>26.433840896292121</v>
      </c>
      <c r="Z32" s="132" t="e">
        <f>_xll.qlSimpleQuoteSetValue(F32,Y32/10000,Trigger)</f>
        <v>#N/A</v>
      </c>
      <c r="AA32" s="27"/>
    </row>
    <row r="33" spans="1:27" ht="11.25" customHeight="1" x14ac:dyDescent="0.2">
      <c r="A33" s="26"/>
      <c r="B33" s="127" t="str">
        <f t="shared" si="3"/>
        <v>25Y</v>
      </c>
      <c r="C33" s="172" t="str">
        <f t="shared" si="4"/>
        <v>12L</v>
      </c>
      <c r="D33" s="173" t="str">
        <f t="shared" si="5"/>
        <v>3L</v>
      </c>
      <c r="E33" s="174" t="str">
        <f t="shared" si="0"/>
        <v>USD12L3L25Y_LCHQuote</v>
      </c>
      <c r="F33" s="174" t="str">
        <f>_xll.qlSimpleQuote(E33,,RateTickValue,Permanent,Trigger,ObjectOverwrite)</f>
        <v>USD12L3L25Y_LCHQuote#0002</v>
      </c>
      <c r="G33" s="211" t="str">
        <f>_xll.ohRangeRetrieveError(F33)</f>
        <v/>
      </c>
      <c r="H33" s="115"/>
      <c r="J33" s="218"/>
      <c r="K33" s="127" t="s">
        <v>33</v>
      </c>
      <c r="L33" s="127" t="s">
        <v>69</v>
      </c>
      <c r="M33" s="127" t="s">
        <v>64</v>
      </c>
      <c r="N33" s="128" t="str">
        <f t="shared" si="1"/>
        <v>USD3L12L25Y</v>
      </c>
      <c r="O33" s="32" t="str">
        <v>USD3L12L25Y=SMKR</v>
      </c>
      <c r="P33" s="375">
        <v>21.375</v>
      </c>
      <c r="Q33" s="375">
        <v>31.375</v>
      </c>
      <c r="R33" s="209">
        <f>_xll.qlMidEquivalent(P33,Q33)</f>
        <v>26.375</v>
      </c>
      <c r="S33" s="220">
        <v>25</v>
      </c>
      <c r="T33" s="35" t="b">
        <f t="shared" si="2"/>
        <v>1</v>
      </c>
      <c r="U33" s="224">
        <v>26.375</v>
      </c>
      <c r="V33" s="139"/>
      <c r="W33" s="215">
        <v>26.25</v>
      </c>
      <c r="X33" s="139"/>
      <c r="Y33" s="209">
        <v>26.375</v>
      </c>
      <c r="Z33" s="132" t="e">
        <f>_xll.qlSimpleQuoteSetValue(F33,Y33/10000,Trigger)</f>
        <v>#N/A</v>
      </c>
      <c r="AA33" s="27"/>
    </row>
    <row r="34" spans="1:27" ht="11.25" customHeight="1" x14ac:dyDescent="0.2">
      <c r="A34" s="26"/>
      <c r="B34" s="127" t="str">
        <f t="shared" si="3"/>
        <v>26Y</v>
      </c>
      <c r="C34" s="172" t="str">
        <f t="shared" si="4"/>
        <v>12L</v>
      </c>
      <c r="D34" s="173" t="str">
        <f t="shared" si="5"/>
        <v>3L</v>
      </c>
      <c r="E34" s="174" t="str">
        <f t="shared" si="0"/>
        <v>USD12L3L26Y_LCHQuote</v>
      </c>
      <c r="F34" s="174" t="str">
        <f>_xll.qlSimpleQuote(E34,,RateTickValue,Permanent,Trigger,ObjectOverwrite)</f>
        <v>USD12L3L26Y_LCHQuote#0002</v>
      </c>
      <c r="G34" s="211" t="str">
        <f>_xll.ohRangeRetrieveError(F34)</f>
        <v/>
      </c>
      <c r="H34" s="115"/>
      <c r="J34" s="218"/>
      <c r="K34" s="127" t="s">
        <v>32</v>
      </c>
      <c r="L34" s="127" t="s">
        <v>69</v>
      </c>
      <c r="M34" s="127" t="s">
        <v>64</v>
      </c>
      <c r="N34" s="128" t="str">
        <f t="shared" si="1"/>
        <v>USD3L12L26Y</v>
      </c>
      <c r="O34" s="32" t="str">
        <v>USD3L12L26Y=SMKR</v>
      </c>
      <c r="P34" s="375" t="s">
        <v>213</v>
      </c>
      <c r="Q34" s="375" t="s">
        <v>213</v>
      </c>
      <c r="R34" s="209" t="e">
        <f>_xll.qlMidEquivalent(P34,Q34)</f>
        <v>#NUM!</v>
      </c>
      <c r="S34" s="220">
        <v>26</v>
      </c>
      <c r="T34" s="35" t="b">
        <f t="shared" si="2"/>
        <v>0</v>
      </c>
      <c r="U34" s="224">
        <v>26.298495462224729</v>
      </c>
      <c r="V34" s="139"/>
      <c r="W34" s="215">
        <v>26.176394242764882</v>
      </c>
      <c r="X34" s="139"/>
      <c r="Y34" s="209">
        <v>26.298495462224729</v>
      </c>
      <c r="Z34" s="132" t="e">
        <f>_xll.qlSimpleQuoteSetValue(F34,Y34/10000,Trigger)</f>
        <v>#N/A</v>
      </c>
      <c r="AA34" s="27"/>
    </row>
    <row r="35" spans="1:27" ht="11.25" customHeight="1" x14ac:dyDescent="0.2">
      <c r="A35" s="26"/>
      <c r="B35" s="127" t="str">
        <f t="shared" si="3"/>
        <v>27Y</v>
      </c>
      <c r="C35" s="172" t="str">
        <f t="shared" si="4"/>
        <v>12L</v>
      </c>
      <c r="D35" s="173" t="str">
        <f t="shared" si="5"/>
        <v>3L</v>
      </c>
      <c r="E35" s="174" t="str">
        <f t="shared" si="0"/>
        <v>USD12L3L27Y_LCHQuote</v>
      </c>
      <c r="F35" s="174" t="str">
        <f>_xll.qlSimpleQuote(E35,,RateTickValue,Permanent,Trigger,ObjectOverwrite)</f>
        <v>USD12L3L27Y_LCHQuote#0002</v>
      </c>
      <c r="G35" s="211" t="str">
        <f>_xll.ohRangeRetrieveError(F35)</f>
        <v/>
      </c>
      <c r="H35" s="115"/>
      <c r="J35" s="218"/>
      <c r="K35" s="127" t="s">
        <v>31</v>
      </c>
      <c r="L35" s="127" t="s">
        <v>69</v>
      </c>
      <c r="M35" s="127" t="s">
        <v>64</v>
      </c>
      <c r="N35" s="128" t="str">
        <f t="shared" si="1"/>
        <v>USD3L12L27Y</v>
      </c>
      <c r="O35" s="32" t="str">
        <v>USD3L12L27Y=SMKR</v>
      </c>
      <c r="P35" s="375" t="s">
        <v>213</v>
      </c>
      <c r="Q35" s="375" t="s">
        <v>213</v>
      </c>
      <c r="R35" s="209" t="e">
        <f>_xll.qlMidEquivalent(P35,Q35)</f>
        <v>#NUM!</v>
      </c>
      <c r="S35" s="220">
        <v>27</v>
      </c>
      <c r="T35" s="35" t="b">
        <f t="shared" si="2"/>
        <v>0</v>
      </c>
      <c r="U35" s="224">
        <v>26.206327282966303</v>
      </c>
      <c r="V35" s="139"/>
      <c r="W35" s="215">
        <v>26.101858990353179</v>
      </c>
      <c r="X35" s="139"/>
      <c r="Y35" s="209">
        <v>26.206327282966303</v>
      </c>
      <c r="Z35" s="132" t="e">
        <f>_xll.qlSimpleQuoteSetValue(F35,Y35/10000,Trigger)</f>
        <v>#N/A</v>
      </c>
      <c r="AA35" s="27"/>
    </row>
    <row r="36" spans="1:27" ht="11.25" customHeight="1" x14ac:dyDescent="0.2">
      <c r="A36" s="26"/>
      <c r="B36" s="127" t="str">
        <f t="shared" si="3"/>
        <v>28Y</v>
      </c>
      <c r="C36" s="172" t="str">
        <f t="shared" si="4"/>
        <v>12L</v>
      </c>
      <c r="D36" s="173" t="str">
        <f t="shared" si="5"/>
        <v>3L</v>
      </c>
      <c r="E36" s="174" t="str">
        <f t="shared" si="0"/>
        <v>USD12L3L28Y_LCHQuote</v>
      </c>
      <c r="F36" s="174" t="str">
        <f>_xll.qlSimpleQuote(E36,,RateTickValue,Permanent,Trigger,ObjectOverwrite)</f>
        <v>USD12L3L28Y_LCHQuote#0002</v>
      </c>
      <c r="G36" s="211" t="str">
        <f>_xll.ohRangeRetrieveError(F36)</f>
        <v/>
      </c>
      <c r="H36" s="115"/>
      <c r="J36" s="218"/>
      <c r="K36" s="127" t="s">
        <v>30</v>
      </c>
      <c r="L36" s="127" t="s">
        <v>69</v>
      </c>
      <c r="M36" s="127" t="s">
        <v>64</v>
      </c>
      <c r="N36" s="128" t="str">
        <f t="shared" si="1"/>
        <v>USD3L12L28Y</v>
      </c>
      <c r="O36" s="32" t="str">
        <v>USD3L12L28Y=SMKR</v>
      </c>
      <c r="P36" s="375" t="s">
        <v>213</v>
      </c>
      <c r="Q36" s="375" t="s">
        <v>213</v>
      </c>
      <c r="R36" s="209" t="e">
        <f>_xll.qlMidEquivalent(P36,Q36)</f>
        <v>#NUM!</v>
      </c>
      <c r="S36" s="220">
        <v>28</v>
      </c>
      <c r="T36" s="35" t="b">
        <f t="shared" si="2"/>
        <v>0</v>
      </c>
      <c r="U36" s="224">
        <v>26.102411372595515</v>
      </c>
      <c r="V36" s="139"/>
      <c r="W36" s="215">
        <v>26.026626616559032</v>
      </c>
      <c r="X36" s="139"/>
      <c r="Y36" s="209">
        <v>26.102411372595515</v>
      </c>
      <c r="Z36" s="132" t="e">
        <f>_xll.qlSimpleQuoteSetValue(F36,Y36/10000,Trigger)</f>
        <v>#N/A</v>
      </c>
      <c r="AA36" s="27"/>
    </row>
    <row r="37" spans="1:27" ht="11.25" customHeight="1" x14ac:dyDescent="0.2">
      <c r="A37" s="26"/>
      <c r="B37" s="127" t="str">
        <f t="shared" si="3"/>
        <v>29Y</v>
      </c>
      <c r="C37" s="172" t="str">
        <f t="shared" si="4"/>
        <v>12L</v>
      </c>
      <c r="D37" s="173" t="str">
        <f t="shared" si="5"/>
        <v>3L</v>
      </c>
      <c r="E37" s="174" t="str">
        <f t="shared" si="0"/>
        <v>USD12L3L29Y_LCHQuote</v>
      </c>
      <c r="F37" s="174" t="str">
        <f>_xll.qlSimpleQuote(E37,,RateTickValue,Permanent,Trigger,ObjectOverwrite)</f>
        <v>USD12L3L29Y_LCHQuote#0002</v>
      </c>
      <c r="G37" s="211" t="str">
        <f>_xll.ohRangeRetrieveError(F37)</f>
        <v/>
      </c>
      <c r="H37" s="115"/>
      <c r="J37" s="218"/>
      <c r="K37" s="127" t="s">
        <v>29</v>
      </c>
      <c r="L37" s="127" t="s">
        <v>69</v>
      </c>
      <c r="M37" s="127" t="s">
        <v>64</v>
      </c>
      <c r="N37" s="128" t="str">
        <f t="shared" si="1"/>
        <v>USD3L12L29Y</v>
      </c>
      <c r="O37" s="32" t="str">
        <v>USD3L12L29Y=SMKR</v>
      </c>
      <c r="P37" s="375" t="s">
        <v>213</v>
      </c>
      <c r="Q37" s="375" t="s">
        <v>213</v>
      </c>
      <c r="R37" s="209" t="e">
        <f>_xll.qlMidEquivalent(P37,Q37)</f>
        <v>#NUM!</v>
      </c>
      <c r="S37" s="220">
        <v>29</v>
      </c>
      <c r="T37" s="35" t="b">
        <f t="shared" si="2"/>
        <v>0</v>
      </c>
      <c r="U37" s="224">
        <v>25.990663641483152</v>
      </c>
      <c r="V37" s="139"/>
      <c r="W37" s="418">
        <v>25.950929495176588</v>
      </c>
      <c r="X37" s="137"/>
      <c r="Y37" s="418">
        <v>25.990663641483152</v>
      </c>
      <c r="Z37" s="132" t="e">
        <f>_xll.qlSimpleQuoteSetValue(F37,Y37/10000,Trigger)</f>
        <v>#N/A</v>
      </c>
      <c r="AA37" s="27"/>
    </row>
    <row r="38" spans="1:27" ht="11.25" customHeight="1" x14ac:dyDescent="0.2">
      <c r="A38" s="26"/>
      <c r="B38" s="127" t="str">
        <f t="shared" si="3"/>
        <v>30Y</v>
      </c>
      <c r="C38" s="172" t="str">
        <f t="shared" si="4"/>
        <v>12L</v>
      </c>
      <c r="D38" s="173" t="str">
        <f t="shared" si="5"/>
        <v>3L</v>
      </c>
      <c r="E38" s="174" t="str">
        <f t="shared" si="0"/>
        <v>USD12L3L30Y_LCHQuote</v>
      </c>
      <c r="F38" s="174" t="str">
        <f>_xll.qlSimpleQuote(E38,,RateTickValue,Permanent,Trigger,ObjectOverwrite)</f>
        <v>USD12L3L30Y_LCHQuote#0002</v>
      </c>
      <c r="G38" s="211" t="str">
        <f>_xll.ohRangeRetrieveError(F38)</f>
        <v/>
      </c>
      <c r="H38" s="115"/>
      <c r="J38" s="218"/>
      <c r="K38" s="127" t="s">
        <v>28</v>
      </c>
      <c r="L38" s="127" t="s">
        <v>69</v>
      </c>
      <c r="M38" s="127" t="s">
        <v>64</v>
      </c>
      <c r="N38" s="128" t="str">
        <f t="shared" si="1"/>
        <v>USD3L12L30Y</v>
      </c>
      <c r="O38" s="32" t="str">
        <v>USD3L12L30Y=SMKR</v>
      </c>
      <c r="P38" s="375">
        <v>20.875</v>
      </c>
      <c r="Q38" s="375">
        <v>30.875</v>
      </c>
      <c r="R38" s="209">
        <f>_xll.qlMidEquivalent(P38,Q38)</f>
        <v>25.875</v>
      </c>
      <c r="S38" s="220">
        <v>30</v>
      </c>
      <c r="T38" s="35" t="b">
        <f t="shared" si="2"/>
        <v>1</v>
      </c>
      <c r="U38" s="224">
        <v>25.875</v>
      </c>
      <c r="V38" s="139"/>
      <c r="W38" s="418">
        <v>25.875</v>
      </c>
      <c r="X38" s="137"/>
      <c r="Y38" s="418">
        <v>25.875</v>
      </c>
      <c r="Z38" s="132" t="e">
        <f>_xll.qlSimpleQuoteSetValue(F38,Y38/10000,Trigger)</f>
        <v>#N/A</v>
      </c>
      <c r="AA38" s="27"/>
    </row>
    <row r="39" spans="1:27" ht="11.25" customHeight="1" x14ac:dyDescent="0.2">
      <c r="A39" s="26"/>
      <c r="B39" s="127" t="str">
        <f t="shared" si="3"/>
        <v>35Y</v>
      </c>
      <c r="C39" s="172" t="str">
        <f t="shared" si="4"/>
        <v>12L</v>
      </c>
      <c r="D39" s="173" t="str">
        <f t="shared" si="5"/>
        <v>3L</v>
      </c>
      <c r="E39" s="174" t="str">
        <f t="shared" si="0"/>
        <v>USD12L3L35Y_LCHQuote</v>
      </c>
      <c r="F39" s="174" t="str">
        <f>_xll.qlSimpleQuote(E39,,RateTickValue,Permanent,Trigger,ObjectOverwrite)</f>
        <v>USD12L3L35Y_LCHQuote#0002</v>
      </c>
      <c r="G39" s="211" t="str">
        <f>_xll.ohRangeRetrieveError(F39)</f>
        <v/>
      </c>
      <c r="H39" s="115"/>
      <c r="J39" s="218"/>
      <c r="K39" s="127" t="s">
        <v>27</v>
      </c>
      <c r="L39" s="127" t="s">
        <v>69</v>
      </c>
      <c r="M39" s="127" t="s">
        <v>64</v>
      </c>
      <c r="N39" s="128" t="str">
        <f t="shared" si="1"/>
        <v>USD3L12L35Y</v>
      </c>
      <c r="O39" s="32" t="str">
        <v>USD3L12L35Y=SMKR</v>
      </c>
      <c r="P39" s="375" t="s">
        <v>213</v>
      </c>
      <c r="Q39" s="375" t="s">
        <v>213</v>
      </c>
      <c r="R39" s="209" t="e">
        <f>_xll.qlMidEquivalent(P39,Q39)</f>
        <v>#NUM!</v>
      </c>
      <c r="S39" s="220">
        <v>35</v>
      </c>
      <c r="T39" s="35" t="b">
        <f t="shared" si="2"/>
        <v>0</v>
      </c>
      <c r="U39" s="224">
        <f>U38</f>
        <v>25.875</v>
      </c>
      <c r="V39" s="139"/>
      <c r="W39" s="418">
        <v>25.875</v>
      </c>
      <c r="X39" s="137"/>
      <c r="Y39" s="418">
        <v>25.875</v>
      </c>
      <c r="Z39" s="132" t="e">
        <f>_xll.qlSimpleQuoteSetValue(F39,Y39/10000,Trigger)</f>
        <v>#N/A</v>
      </c>
      <c r="AA39" s="27"/>
    </row>
    <row r="40" spans="1:27" ht="11.25" customHeight="1" x14ac:dyDescent="0.2">
      <c r="A40" s="26"/>
      <c r="B40" s="127" t="str">
        <f t="shared" si="3"/>
        <v>40Y</v>
      </c>
      <c r="C40" s="172" t="str">
        <f t="shared" si="4"/>
        <v>12L</v>
      </c>
      <c r="D40" s="173" t="str">
        <f t="shared" si="5"/>
        <v>3L</v>
      </c>
      <c r="E40" s="174" t="str">
        <f t="shared" si="0"/>
        <v>USD12L3L40Y_LCHQuote</v>
      </c>
      <c r="F40" s="174" t="str">
        <f>_xll.qlSimpleQuote(E40,,RateTickValue,Permanent,Trigger,ObjectOverwrite)</f>
        <v>USD12L3L40Y_LCHQuote#0002</v>
      </c>
      <c r="G40" s="211" t="str">
        <f>_xll.ohRangeRetrieveError(F40)</f>
        <v/>
      </c>
      <c r="H40" s="115"/>
      <c r="J40" s="218"/>
      <c r="K40" s="127" t="s">
        <v>26</v>
      </c>
      <c r="L40" s="127" t="s">
        <v>69</v>
      </c>
      <c r="M40" s="127" t="s">
        <v>64</v>
      </c>
      <c r="N40" s="128" t="str">
        <f t="shared" si="1"/>
        <v>USD3L12L40Y</v>
      </c>
      <c r="O40" s="32" t="str">
        <v>USD3L12L40Y=SMKR</v>
      </c>
      <c r="P40" s="375" t="s">
        <v>213</v>
      </c>
      <c r="Q40" s="375" t="s">
        <v>213</v>
      </c>
      <c r="R40" s="209" t="e">
        <f>_xll.qlMidEquivalent(P40,Q40)</f>
        <v>#NUM!</v>
      </c>
      <c r="S40" s="220">
        <v>40</v>
      </c>
      <c r="T40" s="35" t="b">
        <f t="shared" si="2"/>
        <v>0</v>
      </c>
      <c r="U40" s="224">
        <f t="shared" ref="U40:U42" si="6">U39</f>
        <v>25.875</v>
      </c>
      <c r="V40" s="139"/>
      <c r="W40" s="418">
        <v>25.875</v>
      </c>
      <c r="X40" s="137"/>
      <c r="Y40" s="418">
        <v>25.875</v>
      </c>
      <c r="Z40" s="132" t="e">
        <f>_xll.qlSimpleQuoteSetValue(F40,Y40/10000,Trigger)</f>
        <v>#N/A</v>
      </c>
      <c r="AA40" s="27"/>
    </row>
    <row r="41" spans="1:27" ht="11.25" customHeight="1" x14ac:dyDescent="0.2">
      <c r="A41" s="26"/>
      <c r="B41" s="127" t="str">
        <f t="shared" si="3"/>
        <v>50Y</v>
      </c>
      <c r="C41" s="172" t="str">
        <f t="shared" si="4"/>
        <v>12L</v>
      </c>
      <c r="D41" s="173" t="str">
        <f t="shared" si="5"/>
        <v>3L</v>
      </c>
      <c r="E41" s="174" t="str">
        <f t="shared" si="0"/>
        <v>USD12L3L50Y_LCHQuote</v>
      </c>
      <c r="F41" s="174" t="str">
        <f>_xll.qlSimpleQuote(E41,,RateTickValue,Permanent,Trigger,ObjectOverwrite)</f>
        <v>USD12L3L50Y_LCHQuote#0002</v>
      </c>
      <c r="G41" s="211" t="str">
        <f>_xll.ohRangeRetrieveError(F41)</f>
        <v/>
      </c>
      <c r="H41" s="115"/>
      <c r="J41" s="218"/>
      <c r="K41" s="127" t="s">
        <v>24</v>
      </c>
      <c r="L41" s="127" t="s">
        <v>69</v>
      </c>
      <c r="M41" s="127" t="s">
        <v>64</v>
      </c>
      <c r="N41" s="128" t="str">
        <f t="shared" si="1"/>
        <v>USD3L12L50Y</v>
      </c>
      <c r="O41" s="32" t="str">
        <v>USD3L12L50Y=SMKR</v>
      </c>
      <c r="P41" s="375" t="s">
        <v>213</v>
      </c>
      <c r="Q41" s="375" t="s">
        <v>213</v>
      </c>
      <c r="R41" s="209" t="e">
        <f>_xll.qlMidEquivalent(P41,Q41)</f>
        <v>#NUM!</v>
      </c>
      <c r="S41" s="220">
        <v>50</v>
      </c>
      <c r="T41" s="35" t="b">
        <f t="shared" si="2"/>
        <v>0</v>
      </c>
      <c r="U41" s="224">
        <f t="shared" si="6"/>
        <v>25.875</v>
      </c>
      <c r="V41" s="139"/>
      <c r="W41" s="418">
        <v>25.875</v>
      </c>
      <c r="X41" s="137"/>
      <c r="Y41" s="418">
        <v>25.875</v>
      </c>
      <c r="Z41" s="132" t="e">
        <f>_xll.qlSimpleQuoteSetValue(F41,Y41/10000,Trigger)</f>
        <v>#N/A</v>
      </c>
      <c r="AA41" s="27"/>
    </row>
    <row r="42" spans="1:27" ht="11.25" customHeight="1" x14ac:dyDescent="0.2">
      <c r="A42" s="26"/>
      <c r="B42" s="129" t="str">
        <f t="shared" si="3"/>
        <v>60Y</v>
      </c>
      <c r="C42" s="177" t="str">
        <f t="shared" si="4"/>
        <v>12L</v>
      </c>
      <c r="D42" s="178" t="str">
        <f t="shared" si="5"/>
        <v>3L</v>
      </c>
      <c r="E42" s="179" t="str">
        <f t="shared" si="0"/>
        <v>USD12L3L60Y_LCHQuote</v>
      </c>
      <c r="F42" s="179" t="str">
        <f>_xll.qlSimpleQuote(E42,,RateTickValue,Permanent,Trigger,ObjectOverwrite)</f>
        <v>USD12L3L60Y_LCHQuote#0002</v>
      </c>
      <c r="G42" s="213" t="str">
        <f>_xll.ohRangeRetrieveError(F42)</f>
        <v/>
      </c>
      <c r="H42" s="115"/>
      <c r="J42" s="218"/>
      <c r="K42" s="129" t="s">
        <v>23</v>
      </c>
      <c r="L42" s="129" t="s">
        <v>69</v>
      </c>
      <c r="M42" s="129" t="s">
        <v>64</v>
      </c>
      <c r="N42" s="130" t="str">
        <f t="shared" si="1"/>
        <v>USD3L12L60Y</v>
      </c>
      <c r="O42" s="33" t="str">
        <v>USD3L12L60Y=SMKR</v>
      </c>
      <c r="P42" s="376" t="s">
        <v>213</v>
      </c>
      <c r="Q42" s="376" t="s">
        <v>213</v>
      </c>
      <c r="R42" s="214" t="e">
        <f>_xll.qlMidEquivalent(P42,Q42)</f>
        <v>#NUM!</v>
      </c>
      <c r="S42" s="221">
        <v>60</v>
      </c>
      <c r="T42" s="36" t="b">
        <f t="shared" si="2"/>
        <v>0</v>
      </c>
      <c r="U42" s="225">
        <f t="shared" si="6"/>
        <v>25.875</v>
      </c>
      <c r="V42" s="139"/>
      <c r="W42" s="419">
        <v>25.875</v>
      </c>
      <c r="X42" s="137"/>
      <c r="Y42" s="419">
        <v>25.875</v>
      </c>
      <c r="Z42" s="133" t="e">
        <f>_xll.qlSimpleQuoteSetValue(F42,Y42/10000,Trigger)</f>
        <v>#N/A</v>
      </c>
      <c r="AA42" s="27"/>
    </row>
    <row r="43" spans="1:27" ht="11.25" customHeight="1" x14ac:dyDescent="0.2">
      <c r="A43" s="116"/>
      <c r="B43" s="117"/>
      <c r="C43" s="117"/>
      <c r="D43" s="117"/>
      <c r="E43" s="117"/>
      <c r="F43" s="118"/>
      <c r="G43" s="118"/>
      <c r="H43" s="119"/>
      <c r="J43" s="116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83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4" hidden="1" customWidth="1" outlineLevel="1"/>
    <col min="2" max="2" width="4" style="404" hidden="1" customWidth="1" outlineLevel="1"/>
    <col min="3" max="3" width="10" style="404" hidden="1" customWidth="1" outlineLevel="1"/>
    <col min="4" max="4" width="38" style="404" hidden="1" customWidth="1" outlineLevel="1"/>
    <col min="5" max="5" width="44.140625" style="404" hidden="1" customWidth="1" outlineLevel="1"/>
    <col min="6" max="6" width="20.7109375" style="404" hidden="1" customWidth="1" outlineLevel="1"/>
    <col min="7" max="7" width="2.7109375" style="404" customWidth="1" collapsed="1"/>
    <col min="8" max="10" width="5.7109375" style="404" customWidth="1"/>
    <col min="11" max="11" width="25.5703125" style="404" bestFit="1" customWidth="1"/>
    <col min="12" max="12" width="2.7109375" style="404" customWidth="1"/>
    <col min="13" max="14" width="9.7109375" style="404" customWidth="1"/>
    <col min="15" max="15" width="24.42578125" style="404" bestFit="1" customWidth="1"/>
    <col min="16" max="16" width="35.85546875" style="404" bestFit="1" customWidth="1"/>
    <col min="17" max="17" width="39" style="404" bestFit="1" customWidth="1"/>
    <col min="18" max="18" width="20.7109375" style="404" customWidth="1"/>
    <col min="19" max="19" width="4.7109375" style="404" customWidth="1"/>
    <col min="20" max="21" width="9.140625" style="404"/>
    <col min="22" max="22" width="26.5703125" style="404" bestFit="1" customWidth="1"/>
    <col min="23" max="23" width="33.85546875" style="404" bestFit="1" customWidth="1"/>
    <col min="24" max="24" width="39" style="404" bestFit="1" customWidth="1"/>
    <col min="25" max="25" width="20.7109375" style="404" customWidth="1"/>
    <col min="26" max="26" width="2.7109375" style="404" customWidth="1"/>
    <col min="27" max="16384" width="9.140625" style="404"/>
  </cols>
  <sheetData>
    <row r="1" spans="1:26" s="226" customFormat="1" x14ac:dyDescent="0.2">
      <c r="A1" s="335"/>
      <c r="B1" s="364"/>
      <c r="C1" s="364"/>
      <c r="D1" s="338"/>
      <c r="E1" s="364"/>
      <c r="F1" s="364"/>
      <c r="G1" s="364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14"/>
    </row>
    <row r="2" spans="1:26" s="226" customFormat="1" x14ac:dyDescent="0.2">
      <c r="A2" s="337"/>
      <c r="B2" s="345"/>
      <c r="C2" s="345"/>
      <c r="D2" s="227" t="s">
        <v>22</v>
      </c>
      <c r="E2" s="235" t="s">
        <v>59</v>
      </c>
      <c r="F2" s="345"/>
      <c r="G2" s="345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407"/>
    </row>
    <row r="3" spans="1:26" s="226" customFormat="1" x14ac:dyDescent="0.2">
      <c r="A3" s="337"/>
      <c r="B3" s="345"/>
      <c r="C3" s="345"/>
      <c r="D3" s="227" t="s">
        <v>58</v>
      </c>
      <c r="E3" s="235" t="s">
        <v>61</v>
      </c>
      <c r="F3" s="345"/>
      <c r="G3" s="345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399"/>
      <c r="Y3" s="399"/>
      <c r="Z3" s="407"/>
    </row>
    <row r="4" spans="1:26" s="226" customFormat="1" x14ac:dyDescent="0.2">
      <c r="A4" s="337"/>
      <c r="B4" s="345"/>
      <c r="C4" s="345"/>
      <c r="D4" s="227" t="s">
        <v>60</v>
      </c>
      <c r="E4" s="243" t="str">
        <f>PROPER(Currency)&amp;FamilyName&amp;"3M"</f>
        <v>UsdLibor3M</v>
      </c>
      <c r="F4" s="345"/>
      <c r="G4" s="345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407"/>
    </row>
    <row r="5" spans="1:26" s="226" customFormat="1" x14ac:dyDescent="0.2">
      <c r="A5" s="337"/>
      <c r="B5" s="345"/>
      <c r="C5" s="345"/>
      <c r="D5" s="227" t="s">
        <v>148</v>
      </c>
      <c r="E5" s="243" t="str">
        <f>IF(HolidayCheck,JoinCalendar,LiborCalendar)</f>
        <v>UnitedKingdom::Exchange</v>
      </c>
      <c r="F5" s="345"/>
      <c r="G5" s="345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407"/>
    </row>
    <row r="6" spans="1:26" s="226" customFormat="1" x14ac:dyDescent="0.2">
      <c r="A6" s="337"/>
      <c r="B6" s="345"/>
      <c r="C6" s="345"/>
      <c r="D6" s="345"/>
      <c r="E6" s="345"/>
      <c r="F6" s="345"/>
      <c r="G6" s="345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407"/>
    </row>
    <row r="7" spans="1:26" s="226" customFormat="1" ht="11.25" customHeight="1" x14ac:dyDescent="0.2">
      <c r="A7" s="337"/>
      <c r="B7" s="345"/>
      <c r="C7" s="236" t="s">
        <v>57</v>
      </c>
      <c r="D7" s="366" t="s">
        <v>222</v>
      </c>
      <c r="E7" s="237" t="s">
        <v>249</v>
      </c>
      <c r="F7" s="238" t="s">
        <v>199</v>
      </c>
      <c r="G7" s="345"/>
      <c r="H7" s="400"/>
      <c r="I7" s="400"/>
      <c r="J7" s="400"/>
      <c r="K7" s="400" t="s">
        <v>193</v>
      </c>
      <c r="L7" s="399"/>
      <c r="M7" s="400" t="s">
        <v>244</v>
      </c>
      <c r="N7" s="400"/>
      <c r="O7" s="400" t="s">
        <v>241</v>
      </c>
      <c r="P7" s="400" t="s">
        <v>222</v>
      </c>
      <c r="Q7" s="400" t="s">
        <v>185</v>
      </c>
      <c r="R7" s="401" t="s">
        <v>243</v>
      </c>
      <c r="S7" s="399"/>
      <c r="T7" s="400" t="s">
        <v>244</v>
      </c>
      <c r="U7" s="400"/>
      <c r="V7" s="400" t="s">
        <v>241</v>
      </c>
      <c r="W7" s="400" t="s">
        <v>222</v>
      </c>
      <c r="X7" s="400" t="s">
        <v>185</v>
      </c>
      <c r="Y7" s="401" t="s">
        <v>243</v>
      </c>
      <c r="Z7" s="407"/>
    </row>
    <row r="8" spans="1:26" s="226" customFormat="1" x14ac:dyDescent="0.2">
      <c r="A8" s="337"/>
      <c r="B8" s="228" t="s">
        <v>5</v>
      </c>
      <c r="C8" s="239" t="s">
        <v>14</v>
      </c>
      <c r="D8" s="240" t="str">
        <f t="shared" ref="D8:D44" si="0">PROPER(Currency)&amp;FamilyName2&amp;FixingType&amp;$B8&amp;LCHlinear</f>
        <v>UsdLiborSwapForBasisCalc1Y_linearLCH</v>
      </c>
      <c r="E8" s="230" t="str">
        <f>_xll.qlSwapIndex($D8,FixingType,B8,2,Currency,$E$5,"1Y","f",MoneyMarketDayCounter,Libor!$G$10,Discounting1,Permanent,Trigger,ObjectOverwrite)</f>
        <v>UsdLiborSwapForBasisCalc1Y_linearLCH#0002</v>
      </c>
      <c r="F8" s="232" t="str">
        <f>_xll.ohRangeRetrieveError(E8)</f>
        <v/>
      </c>
      <c r="G8" s="398"/>
      <c r="H8" s="386" t="s">
        <v>5</v>
      </c>
      <c r="I8" s="387" t="s">
        <v>95</v>
      </c>
      <c r="J8" s="387" t="s">
        <v>64</v>
      </c>
      <c r="K8" s="387" t="str">
        <f>Swap3M!F5</f>
        <v>USDAM3L6M_LCHQuote#0002</v>
      </c>
      <c r="L8" s="399"/>
      <c r="M8" s="387" t="s">
        <v>242</v>
      </c>
      <c r="N8" s="387" t="s">
        <v>65</v>
      </c>
      <c r="O8" s="387" t="str">
        <f>BasisSwap3M6M!F6</f>
        <v>USD6L3L1Y_LCHQuote#0002</v>
      </c>
      <c r="P8" s="388" t="str">
        <f t="shared" ref="P8:P44" si="1">Currency&amp;$I8&amp;$J8&amp;$H8&amp;IF(N8=0,,"_S"&amp;$N8&amp;$J8)&amp;"_linear"&amp;QuoteSuffix</f>
        <v>USDAM3L1Y_S6L3L_linear_LCHQuote</v>
      </c>
      <c r="Q8" s="415" t="str">
        <f>_xll.qlForwardSwapQuote(P8,E8,O8,M8,Permanent,Trigger,ObjectOverwrite)</f>
        <v>USDAM3L1Y_S6L3L_linear_LCHQuote#0002</v>
      </c>
      <c r="R8" s="232" t="str">
        <f>_xll.ohRangeRetrieveError(Q8)</f>
        <v/>
      </c>
      <c r="S8" s="399"/>
      <c r="T8" s="387" t="s">
        <v>242</v>
      </c>
      <c r="U8" s="387" t="s">
        <v>69</v>
      </c>
      <c r="V8" s="387" t="str">
        <f>BasisSwap3M12M!F6</f>
        <v>USD12L3L1Y_LCHQuote#0002</v>
      </c>
      <c r="W8" s="388" t="str">
        <f t="shared" ref="W8:W44" si="2">Currency&amp;$I8&amp;$J8&amp;$H8&amp;IF(U8=0,,"_S"&amp;$U8&amp;$J8)&amp;"_linear"&amp;QuoteSuffix</f>
        <v>USDAM3L1Y_S12L3L_linear_LCHQuote</v>
      </c>
      <c r="X8" s="415" t="str">
        <f>_xll.qlForwardSwapQuote(W8,E8,V8,T8,Permanent,Trigger,ObjectOverwrite)</f>
        <v>USDAM3L1Y_S12L3L_linear_LCHQuote#0002</v>
      </c>
      <c r="Y8" s="232" t="s">
        <v>245</v>
      </c>
      <c r="Z8" s="407"/>
    </row>
    <row r="9" spans="1:26" s="226" customFormat="1" x14ac:dyDescent="0.2">
      <c r="A9" s="337"/>
      <c r="B9" s="229" t="s">
        <v>68</v>
      </c>
      <c r="C9" s="241" t="s">
        <v>14</v>
      </c>
      <c r="D9" s="242" t="str">
        <f t="shared" si="0"/>
        <v>UsdLiborSwapForBasisCalc15M_linearLCH</v>
      </c>
      <c r="E9" s="231" t="str">
        <f>_xll.qlSwapIndex($D9,FixingType,B9,2,Currency,$E$5,"1Y","f",MoneyMarketDayCounter,Libor!$G$10,Discounting1,Permanent,Trigger,ObjectOverwrite)</f>
        <v>UsdLiborSwapForBasisCalc15M_linearLCH#0002</v>
      </c>
      <c r="F9" s="233" t="str">
        <f>_xll.ohRangeRetrieveError(E9)</f>
        <v/>
      </c>
      <c r="G9" s="398"/>
      <c r="H9" s="389" t="s">
        <v>68</v>
      </c>
      <c r="I9" s="390" t="s">
        <v>95</v>
      </c>
      <c r="J9" s="390" t="s">
        <v>64</v>
      </c>
      <c r="K9" s="390" t="str">
        <f>Swap3M!F6</f>
        <v>USDAM3L1Y_LCHQuote#0002</v>
      </c>
      <c r="L9" s="399"/>
      <c r="M9" s="390" t="s">
        <v>242</v>
      </c>
      <c r="N9" s="390" t="s">
        <v>65</v>
      </c>
      <c r="O9" s="390" t="str">
        <f>BasisSwap3M6M!F7</f>
        <v>USD6L3L15M_LCHQuote#0002</v>
      </c>
      <c r="P9" s="391" t="str">
        <f t="shared" si="1"/>
        <v>USDAM3L15M_S6L3L_linear_LCHQuote</v>
      </c>
      <c r="Q9" s="392" t="str">
        <f>_xll.qlForwardSwapQuote(P9,E9,O9,M9,Permanent,Trigger,ObjectOverwrite)</f>
        <v>USDAM3L15M_S6L3L_linear_LCHQuote#0002</v>
      </c>
      <c r="R9" s="233" t="str">
        <f>_xll.ohRangeRetrieveError(Q9)</f>
        <v/>
      </c>
      <c r="S9" s="399"/>
      <c r="T9" s="390" t="s">
        <v>242</v>
      </c>
      <c r="U9" s="390" t="s">
        <v>69</v>
      </c>
      <c r="V9" s="390" t="str">
        <f>BasisSwap3M12M!F7</f>
        <v>USD12L3L15M_LCHQuote#0002</v>
      </c>
      <c r="W9" s="391" t="str">
        <f t="shared" si="2"/>
        <v>USDAM3L15M_S12L3L_linear_LCHQuote</v>
      </c>
      <c r="X9" s="392" t="str">
        <f>_xll.qlForwardSwapQuote(W9,E9,V9,T9,Permanent,Trigger,ObjectOverwrite)</f>
        <v>USDAM3L15M_S12L3L_linear_LCHQuote#0002</v>
      </c>
      <c r="Y9" s="233" t="s">
        <v>245</v>
      </c>
      <c r="Z9" s="407"/>
    </row>
    <row r="10" spans="1:26" s="226" customFormat="1" x14ac:dyDescent="0.2">
      <c r="A10" s="337"/>
      <c r="B10" s="229" t="s">
        <v>67</v>
      </c>
      <c r="C10" s="241" t="s">
        <v>14</v>
      </c>
      <c r="D10" s="242" t="str">
        <f t="shared" si="0"/>
        <v>UsdLiborSwapForBasisCalc18M_linearLCH</v>
      </c>
      <c r="E10" s="231" t="str">
        <f>_xll.qlSwapIndex($D10,FixingType,B10,2,Currency,$E$5,"1Y","f",MoneyMarketDayCounter,Libor!$G$10,Discounting1,Permanent,Trigger,ObjectOverwrite)</f>
        <v>UsdLiborSwapForBasisCalc18M_linearLCH#0002</v>
      </c>
      <c r="F10" s="233" t="str">
        <f>_xll.ohRangeRetrieveError(E10)</f>
        <v/>
      </c>
      <c r="G10" s="398"/>
      <c r="H10" s="389" t="s">
        <v>67</v>
      </c>
      <c r="I10" s="390" t="s">
        <v>95</v>
      </c>
      <c r="J10" s="390" t="s">
        <v>64</v>
      </c>
      <c r="K10" s="390" t="str">
        <f>Swap3M!F7</f>
        <v>USDAM3L15M_LCHQuote#0002</v>
      </c>
      <c r="L10" s="399"/>
      <c r="M10" s="390" t="s">
        <v>242</v>
      </c>
      <c r="N10" s="390" t="s">
        <v>65</v>
      </c>
      <c r="O10" s="390" t="str">
        <f>BasisSwap3M6M!F8</f>
        <v>USD6L3L18M_LCHQuote#0002</v>
      </c>
      <c r="P10" s="391" t="str">
        <f t="shared" si="1"/>
        <v>USDAM3L18M_S6L3L_linear_LCHQuote</v>
      </c>
      <c r="Q10" s="392" t="str">
        <f>_xll.qlForwardSwapQuote(P10,E10,O10,M10,Permanent,Trigger,ObjectOverwrite)</f>
        <v>USDAM3L18M_S6L3L_linear_LCHQuote#0002</v>
      </c>
      <c r="R10" s="233" t="str">
        <f>_xll.ohRangeRetrieveError(Q10)</f>
        <v/>
      </c>
      <c r="S10" s="399"/>
      <c r="T10" s="390" t="s">
        <v>242</v>
      </c>
      <c r="U10" s="390" t="s">
        <v>69</v>
      </c>
      <c r="V10" s="390" t="str">
        <f>BasisSwap3M12M!F8</f>
        <v>USD12L3L18M_LCHQuote#0002</v>
      </c>
      <c r="W10" s="391" t="str">
        <f t="shared" si="2"/>
        <v>USDAM3L18M_S12L3L_linear_LCHQuote</v>
      </c>
      <c r="X10" s="392" t="str">
        <f>_xll.qlForwardSwapQuote(W10,E10,V10,T10,Permanent,Trigger,ObjectOverwrite)</f>
        <v>USDAM3L18M_S12L3L_linear_LCHQuote#0002</v>
      </c>
      <c r="Y10" s="233" t="s">
        <v>245</v>
      </c>
      <c r="Z10" s="407"/>
    </row>
    <row r="11" spans="1:26" s="226" customFormat="1" x14ac:dyDescent="0.2">
      <c r="A11" s="337"/>
      <c r="B11" s="229" t="s">
        <v>66</v>
      </c>
      <c r="C11" s="241" t="s">
        <v>14</v>
      </c>
      <c r="D11" s="242" t="str">
        <f t="shared" si="0"/>
        <v>UsdLiborSwapForBasisCalc21M_linearLCH</v>
      </c>
      <c r="E11" s="231" t="str">
        <f>_xll.qlSwapIndex($D11,FixingType,B11,2,Currency,$E$5,"1Y","f",MoneyMarketDayCounter,Libor!$G$10,Discounting1,Permanent,Trigger,ObjectOverwrite)</f>
        <v>UsdLiborSwapForBasisCalc21M_linearLCH#0010</v>
      </c>
      <c r="F11" s="233" t="str">
        <f>_xll.ohRangeRetrieveError(E11)</f>
        <v/>
      </c>
      <c r="G11" s="398"/>
      <c r="H11" s="389" t="s">
        <v>66</v>
      </c>
      <c r="I11" s="390" t="s">
        <v>95</v>
      </c>
      <c r="J11" s="390" t="s">
        <v>64</v>
      </c>
      <c r="K11" s="390" t="str">
        <f>Swap3M!F8</f>
        <v>USDAM3L18M_LCHQuote#0002</v>
      </c>
      <c r="L11" s="399"/>
      <c r="M11" s="390" t="s">
        <v>242</v>
      </c>
      <c r="N11" s="390" t="s">
        <v>65</v>
      </c>
      <c r="O11" s="390" t="str">
        <f>BasisSwap3M6M!F9</f>
        <v>USD6L3L21M_LCHQuote#0002</v>
      </c>
      <c r="P11" s="391" t="str">
        <f t="shared" si="1"/>
        <v>USDAM3L21M_S6L3L_linear_LCHQuote</v>
      </c>
      <c r="Q11" s="392" t="str">
        <f>_xll.qlForwardSwapQuote(P11,E11,O11,M11,Permanent,Trigger,ObjectOverwrite)</f>
        <v>USDAM3L21M_S6L3L_linear_LCHQuote#0002</v>
      </c>
      <c r="R11" s="233" t="str">
        <f>_xll.ohRangeRetrieveError(Q11)</f>
        <v/>
      </c>
      <c r="S11" s="399"/>
      <c r="T11" s="390" t="s">
        <v>242</v>
      </c>
      <c r="U11" s="390" t="s">
        <v>69</v>
      </c>
      <c r="V11" s="390" t="str">
        <f>BasisSwap3M12M!F9</f>
        <v>USD12L3L21M_LCHQuote#0002</v>
      </c>
      <c r="W11" s="391" t="str">
        <f t="shared" si="2"/>
        <v>USDAM3L21M_S12L3L_linear_LCHQuote</v>
      </c>
      <c r="X11" s="392" t="str">
        <f>_xll.qlForwardSwapQuote(W11,E11,V11,T11,Permanent,Trigger,ObjectOverwrite)</f>
        <v>USDAM3L21M_S12L3L_linear_LCHQuote#0002</v>
      </c>
      <c r="Y11" s="233" t="s">
        <v>245</v>
      </c>
      <c r="Z11" s="407"/>
    </row>
    <row r="12" spans="1:26" s="226" customFormat="1" x14ac:dyDescent="0.2">
      <c r="A12" s="337"/>
      <c r="B12" s="229" t="s">
        <v>56</v>
      </c>
      <c r="C12" s="241" t="s">
        <v>14</v>
      </c>
      <c r="D12" s="242" t="str">
        <f t="shared" si="0"/>
        <v>UsdLiborSwapForBasisCalc2Y_linearLCH</v>
      </c>
      <c r="E12" s="231" t="str">
        <f>_xll.qlSwapIndex($D12,FixingType,B12,2,Currency,$E$5,"1Y","f",MoneyMarketDayCounter,Libor!$G$10,Discounting1,Permanent,Trigger,ObjectOverwrite)</f>
        <v>UsdLiborSwapForBasisCalc2Y_linearLCH#0002</v>
      </c>
      <c r="F12" s="233" t="str">
        <f>_xll.ohRangeRetrieveError(E12)</f>
        <v/>
      </c>
      <c r="G12" s="398"/>
      <c r="H12" s="389" t="s">
        <v>56</v>
      </c>
      <c r="I12" s="390" t="s">
        <v>95</v>
      </c>
      <c r="J12" s="390" t="s">
        <v>64</v>
      </c>
      <c r="K12" s="390" t="str">
        <f>Swap3M!F9</f>
        <v>USDAM3L21M_LCHQuote#0002</v>
      </c>
      <c r="L12" s="399"/>
      <c r="M12" s="390" t="s">
        <v>242</v>
      </c>
      <c r="N12" s="390" t="s">
        <v>65</v>
      </c>
      <c r="O12" s="390" t="str">
        <f>BasisSwap3M6M!F10</f>
        <v>USD6L3L2Y_LCHQuote#0002</v>
      </c>
      <c r="P12" s="391" t="str">
        <f t="shared" si="1"/>
        <v>USDAM3L2Y_S6L3L_linear_LCHQuote</v>
      </c>
      <c r="Q12" s="392" t="str">
        <f>_xll.qlForwardSwapQuote(P12,E12,O12,M12,Permanent,Trigger,ObjectOverwrite)</f>
        <v>USDAM3L2Y_S6L3L_linear_LCHQuote#0002</v>
      </c>
      <c r="R12" s="233" t="str">
        <f>_xll.ohRangeRetrieveError(Q12)</f>
        <v/>
      </c>
      <c r="S12" s="399"/>
      <c r="T12" s="390" t="s">
        <v>242</v>
      </c>
      <c r="U12" s="390" t="s">
        <v>69</v>
      </c>
      <c r="V12" s="390" t="str">
        <f>BasisSwap3M12M!F10</f>
        <v>USD12L3L2Y_LCHQuote#0002</v>
      </c>
      <c r="W12" s="391" t="str">
        <f t="shared" si="2"/>
        <v>USDAM3L2Y_S12L3L_linear_LCHQuote</v>
      </c>
      <c r="X12" s="392" t="str">
        <f>_xll.qlForwardSwapQuote(W12,E12,V12,T12,Permanent,Trigger,ObjectOverwrite)</f>
        <v>USDAM3L2Y_S12L3L_linear_LCHQuote#0002</v>
      </c>
      <c r="Y12" s="233" t="s">
        <v>245</v>
      </c>
      <c r="Z12" s="407"/>
    </row>
    <row r="13" spans="1:26" s="226" customFormat="1" x14ac:dyDescent="0.2">
      <c r="A13" s="337"/>
      <c r="B13" s="229" t="s">
        <v>55</v>
      </c>
      <c r="C13" s="241" t="s">
        <v>14</v>
      </c>
      <c r="D13" s="242" t="str">
        <f t="shared" si="0"/>
        <v>UsdLiborSwapForBasisCalc3Y_linearLCH</v>
      </c>
      <c r="E13" s="231" t="str">
        <f>_xll.qlSwapIndex($D13,FixingType,B13,2,Currency,$E$5,"1Y","f",MoneyMarketDayCounter,Libor!$G$10,Discounting1,Permanent,Trigger,ObjectOverwrite)</f>
        <v>UsdLiborSwapForBasisCalc3Y_linearLCH#0002</v>
      </c>
      <c r="F13" s="233" t="str">
        <f>_xll.ohRangeRetrieveError(E13)</f>
        <v/>
      </c>
      <c r="G13" s="398"/>
      <c r="H13" s="389" t="s">
        <v>55</v>
      </c>
      <c r="I13" s="390" t="s">
        <v>95</v>
      </c>
      <c r="J13" s="390" t="s">
        <v>64</v>
      </c>
      <c r="K13" s="390" t="str">
        <f>Swap3M!F10</f>
        <v>USDAM3L2Y_LCHQuote#0002</v>
      </c>
      <c r="L13" s="399"/>
      <c r="M13" s="390" t="s">
        <v>242</v>
      </c>
      <c r="N13" s="390" t="s">
        <v>65</v>
      </c>
      <c r="O13" s="390" t="str">
        <f>BasisSwap3M6M!F11</f>
        <v>USD6L3L3Y_LCHQuote#0002</v>
      </c>
      <c r="P13" s="391" t="str">
        <f t="shared" si="1"/>
        <v>USDAM3L3Y_S6L3L_linear_LCHQuote</v>
      </c>
      <c r="Q13" s="392" t="str">
        <f>_xll.qlForwardSwapQuote(P13,E13,O13,M13,Permanent,Trigger,ObjectOverwrite)</f>
        <v>USDAM3L3Y_S6L3L_linear_LCHQuote#0002</v>
      </c>
      <c r="R13" s="233" t="str">
        <f>_xll.ohRangeRetrieveError(Q13)</f>
        <v/>
      </c>
      <c r="S13" s="399"/>
      <c r="T13" s="390" t="s">
        <v>242</v>
      </c>
      <c r="U13" s="390" t="s">
        <v>69</v>
      </c>
      <c r="V13" s="390" t="str">
        <f>BasisSwap3M12M!F11</f>
        <v>USD12L3L3Y_LCHQuote#0002</v>
      </c>
      <c r="W13" s="391" t="str">
        <f t="shared" si="2"/>
        <v>USDAM3L3Y_S12L3L_linear_LCHQuote</v>
      </c>
      <c r="X13" s="392" t="str">
        <f>_xll.qlForwardSwapQuote(W13,E13,V13,T13,Permanent,Trigger,ObjectOverwrite)</f>
        <v>USDAM3L3Y_S12L3L_linear_LCHQuote#0002</v>
      </c>
      <c r="Y13" s="233" t="s">
        <v>245</v>
      </c>
      <c r="Z13" s="407"/>
    </row>
    <row r="14" spans="1:26" s="226" customFormat="1" x14ac:dyDescent="0.2">
      <c r="A14" s="337"/>
      <c r="B14" s="229" t="s">
        <v>54</v>
      </c>
      <c r="C14" s="241" t="s">
        <v>14</v>
      </c>
      <c r="D14" s="242" t="str">
        <f t="shared" si="0"/>
        <v>UsdLiborSwapForBasisCalc4Y_linearLCH</v>
      </c>
      <c r="E14" s="231" t="str">
        <f>_xll.qlSwapIndex($D14,FixingType,B14,2,Currency,$E$5,"1Y","f",MoneyMarketDayCounter,Libor!$G$10,Discounting1,Permanent,Trigger,ObjectOverwrite)</f>
        <v>UsdLiborSwapForBasisCalc4Y_linearLCH#0002</v>
      </c>
      <c r="F14" s="233" t="str">
        <f>_xll.ohRangeRetrieveError(E14)</f>
        <v/>
      </c>
      <c r="G14" s="398"/>
      <c r="H14" s="389" t="s">
        <v>54</v>
      </c>
      <c r="I14" s="390" t="s">
        <v>95</v>
      </c>
      <c r="J14" s="390" t="s">
        <v>64</v>
      </c>
      <c r="K14" s="390" t="str">
        <f>Swap3M!F11</f>
        <v>USDAM3L3Y_LCHQuote#0002</v>
      </c>
      <c r="L14" s="399"/>
      <c r="M14" s="390" t="s">
        <v>242</v>
      </c>
      <c r="N14" s="390" t="s">
        <v>65</v>
      </c>
      <c r="O14" s="390" t="str">
        <f>BasisSwap3M6M!F12</f>
        <v>USD6L3L4Y_LCHQuote#0002</v>
      </c>
      <c r="P14" s="391" t="str">
        <f t="shared" si="1"/>
        <v>USDAM3L4Y_S6L3L_linear_LCHQuote</v>
      </c>
      <c r="Q14" s="392" t="str">
        <f>_xll.qlForwardSwapQuote(P14,E14,O14,M14,Permanent,Trigger,ObjectOverwrite)</f>
        <v>USDAM3L4Y_S6L3L_linear_LCHQuote#0002</v>
      </c>
      <c r="R14" s="233" t="str">
        <f>_xll.ohRangeRetrieveError(Q14)</f>
        <v/>
      </c>
      <c r="S14" s="399"/>
      <c r="T14" s="390" t="s">
        <v>242</v>
      </c>
      <c r="U14" s="390" t="s">
        <v>69</v>
      </c>
      <c r="V14" s="390" t="str">
        <f>BasisSwap3M12M!F12</f>
        <v>USD12L3L4Y_LCHQuote#0002</v>
      </c>
      <c r="W14" s="391" t="str">
        <f t="shared" si="2"/>
        <v>USDAM3L4Y_S12L3L_linear_LCHQuote</v>
      </c>
      <c r="X14" s="392" t="str">
        <f>_xll.qlForwardSwapQuote(W14,E14,V14,T14,Permanent,Trigger,ObjectOverwrite)</f>
        <v>USDAM3L4Y_S12L3L_linear_LCHQuote#0002</v>
      </c>
      <c r="Y14" s="233" t="s">
        <v>245</v>
      </c>
      <c r="Z14" s="407"/>
    </row>
    <row r="15" spans="1:26" s="226" customFormat="1" x14ac:dyDescent="0.2">
      <c r="A15" s="337"/>
      <c r="B15" s="229" t="s">
        <v>53</v>
      </c>
      <c r="C15" s="241" t="s">
        <v>14</v>
      </c>
      <c r="D15" s="242" t="str">
        <f t="shared" si="0"/>
        <v>UsdLiborSwapForBasisCalc5Y_linearLCH</v>
      </c>
      <c r="E15" s="231" t="str">
        <f>_xll.qlSwapIndex($D15,FixingType,B15,2,Currency,$E$5,"1Y","f",MoneyMarketDayCounter,Libor!$G$10,Discounting1,Permanent,Trigger,ObjectOverwrite)</f>
        <v>UsdLiborSwapForBasisCalc5Y_linearLCH#0002</v>
      </c>
      <c r="F15" s="233" t="str">
        <f>_xll.ohRangeRetrieveError(E15)</f>
        <v/>
      </c>
      <c r="G15" s="398"/>
      <c r="H15" s="389" t="s">
        <v>53</v>
      </c>
      <c r="I15" s="390" t="s">
        <v>95</v>
      </c>
      <c r="J15" s="390" t="s">
        <v>64</v>
      </c>
      <c r="K15" s="390" t="str">
        <f>Swap3M!F12</f>
        <v>USDAM3L4Y_LCHQuote#0002</v>
      </c>
      <c r="L15" s="399"/>
      <c r="M15" s="390" t="s">
        <v>242</v>
      </c>
      <c r="N15" s="390" t="s">
        <v>65</v>
      </c>
      <c r="O15" s="390" t="str">
        <f>BasisSwap3M6M!F13</f>
        <v>USD6L3L5Y_LCHQuote#0002</v>
      </c>
      <c r="P15" s="391" t="str">
        <f t="shared" si="1"/>
        <v>USDAM3L5Y_S6L3L_linear_LCHQuote</v>
      </c>
      <c r="Q15" s="392" t="str">
        <f>_xll.qlForwardSwapQuote(P15,E15,O15,M15,Permanent,Trigger,ObjectOverwrite)</f>
        <v>USDAM3L5Y_S6L3L_linear_LCHQuote#0002</v>
      </c>
      <c r="R15" s="233" t="str">
        <f>_xll.ohRangeRetrieveError(Q15)</f>
        <v/>
      </c>
      <c r="S15" s="399"/>
      <c r="T15" s="390" t="s">
        <v>242</v>
      </c>
      <c r="U15" s="390" t="s">
        <v>69</v>
      </c>
      <c r="V15" s="390" t="str">
        <f>BasisSwap3M12M!F13</f>
        <v>USD12L3L5Y_LCHQuote#0002</v>
      </c>
      <c r="W15" s="391" t="str">
        <f t="shared" si="2"/>
        <v>USDAM3L5Y_S12L3L_linear_LCHQuote</v>
      </c>
      <c r="X15" s="392" t="str">
        <f>_xll.qlForwardSwapQuote(W15,E15,V15,T15,Permanent,Trigger,ObjectOverwrite)</f>
        <v>USDAM3L5Y_S12L3L_linear_LCHQuote#0002</v>
      </c>
      <c r="Y15" s="233" t="s">
        <v>245</v>
      </c>
      <c r="Z15" s="407"/>
    </row>
    <row r="16" spans="1:26" s="226" customFormat="1" x14ac:dyDescent="0.2">
      <c r="A16" s="337"/>
      <c r="B16" s="229" t="s">
        <v>52</v>
      </c>
      <c r="C16" s="241" t="s">
        <v>14</v>
      </c>
      <c r="D16" s="242" t="str">
        <f t="shared" si="0"/>
        <v>UsdLiborSwapForBasisCalc6Y_linearLCH</v>
      </c>
      <c r="E16" s="231" t="str">
        <f>_xll.qlSwapIndex($D16,FixingType,B16,2,Currency,$E$5,"1Y","f",MoneyMarketDayCounter,Libor!$G$10,Discounting1,Permanent,Trigger,ObjectOverwrite)</f>
        <v>UsdLiborSwapForBasisCalc6Y_linearLCH#0002</v>
      </c>
      <c r="F16" s="233" t="str">
        <f>_xll.ohRangeRetrieveError(E16)</f>
        <v/>
      </c>
      <c r="G16" s="398"/>
      <c r="H16" s="389" t="s">
        <v>52</v>
      </c>
      <c r="I16" s="390" t="s">
        <v>95</v>
      </c>
      <c r="J16" s="390" t="s">
        <v>64</v>
      </c>
      <c r="K16" s="390" t="str">
        <f>Swap3M!F13</f>
        <v>USDAM3L5Y_LCHQuote#0002</v>
      </c>
      <c r="L16" s="399"/>
      <c r="M16" s="390" t="s">
        <v>242</v>
      </c>
      <c r="N16" s="390" t="s">
        <v>65</v>
      </c>
      <c r="O16" s="390" t="str">
        <f>BasisSwap3M6M!F14</f>
        <v>USD6L3L6Y_LCHQuote#0002</v>
      </c>
      <c r="P16" s="391" t="str">
        <f t="shared" si="1"/>
        <v>USDAM3L6Y_S6L3L_linear_LCHQuote</v>
      </c>
      <c r="Q16" s="392" t="str">
        <f>_xll.qlForwardSwapQuote(P16,E16,O16,M16,Permanent,Trigger,ObjectOverwrite)</f>
        <v>USDAM3L6Y_S6L3L_linear_LCHQuote#0002</v>
      </c>
      <c r="R16" s="233" t="str">
        <f>_xll.ohRangeRetrieveError(Q16)</f>
        <v/>
      </c>
      <c r="S16" s="399"/>
      <c r="T16" s="390" t="s">
        <v>242</v>
      </c>
      <c r="U16" s="390" t="s">
        <v>69</v>
      </c>
      <c r="V16" s="390" t="str">
        <f>BasisSwap3M12M!F14</f>
        <v>USD12L3L6Y_LCHQuote#0002</v>
      </c>
      <c r="W16" s="391" t="str">
        <f t="shared" si="2"/>
        <v>USDAM3L6Y_S12L3L_linear_LCHQuote</v>
      </c>
      <c r="X16" s="392" t="str">
        <f>_xll.qlForwardSwapQuote(W16,E16,V16,T16,Permanent,Trigger,ObjectOverwrite)</f>
        <v>USDAM3L6Y_S12L3L_linear_LCHQuote#0002</v>
      </c>
      <c r="Y16" s="233" t="s">
        <v>245</v>
      </c>
      <c r="Z16" s="407"/>
    </row>
    <row r="17" spans="1:26" s="226" customFormat="1" x14ac:dyDescent="0.2">
      <c r="A17" s="337"/>
      <c r="B17" s="229" t="s">
        <v>51</v>
      </c>
      <c r="C17" s="241" t="s">
        <v>14</v>
      </c>
      <c r="D17" s="242" t="str">
        <f t="shared" si="0"/>
        <v>UsdLiborSwapForBasisCalc7Y_linearLCH</v>
      </c>
      <c r="E17" s="231" t="str">
        <f>_xll.qlSwapIndex($D17,FixingType,B17,2,Currency,$E$5,"1Y","f",MoneyMarketDayCounter,Libor!$G$10,Discounting1,Permanent,Trigger,ObjectOverwrite)</f>
        <v>UsdLiborSwapForBasisCalc7Y_linearLCH#0002</v>
      </c>
      <c r="F17" s="233" t="str">
        <f>_xll.ohRangeRetrieveError(E17)</f>
        <v/>
      </c>
      <c r="G17" s="398"/>
      <c r="H17" s="389" t="s">
        <v>51</v>
      </c>
      <c r="I17" s="390" t="s">
        <v>95</v>
      </c>
      <c r="J17" s="390" t="s">
        <v>64</v>
      </c>
      <c r="K17" s="390" t="str">
        <f>Swap3M!F14</f>
        <v>USDAM3L6Y_LCHQuote#0002</v>
      </c>
      <c r="L17" s="399"/>
      <c r="M17" s="390" t="s">
        <v>242</v>
      </c>
      <c r="N17" s="390" t="s">
        <v>65</v>
      </c>
      <c r="O17" s="390" t="str">
        <f>BasisSwap3M6M!F15</f>
        <v>USD6L3L7Y_LCHQuote#0002</v>
      </c>
      <c r="P17" s="391" t="str">
        <f t="shared" si="1"/>
        <v>USDAM3L7Y_S6L3L_linear_LCHQuote</v>
      </c>
      <c r="Q17" s="392" t="str">
        <f>_xll.qlForwardSwapQuote(P17,E17,O17,M17,Permanent,Trigger,ObjectOverwrite)</f>
        <v>USDAM3L7Y_S6L3L_linear_LCHQuote#0002</v>
      </c>
      <c r="R17" s="393" t="str">
        <f>_xll.ohRangeRetrieveError(Q17)</f>
        <v/>
      </c>
      <c r="S17" s="399"/>
      <c r="T17" s="390" t="s">
        <v>242</v>
      </c>
      <c r="U17" s="390" t="s">
        <v>69</v>
      </c>
      <c r="V17" s="390" t="str">
        <f>BasisSwap3M12M!F15</f>
        <v>USD12L3L7Y_LCHQuote#0002</v>
      </c>
      <c r="W17" s="391" t="str">
        <f t="shared" si="2"/>
        <v>USDAM3L7Y_S12L3L_linear_LCHQuote</v>
      </c>
      <c r="X17" s="392" t="str">
        <f>_xll.qlForwardSwapQuote(W17,E17,V17,T17,Permanent,Trigger,ObjectOverwrite)</f>
        <v>USDAM3L7Y_S12L3L_linear_LCHQuote#0002</v>
      </c>
      <c r="Y17" s="393" t="s">
        <v>245</v>
      </c>
      <c r="Z17" s="407"/>
    </row>
    <row r="18" spans="1:26" s="226" customFormat="1" x14ac:dyDescent="0.2">
      <c r="A18" s="337"/>
      <c r="B18" s="229" t="s">
        <v>50</v>
      </c>
      <c r="C18" s="241" t="s">
        <v>14</v>
      </c>
      <c r="D18" s="242" t="str">
        <f t="shared" si="0"/>
        <v>UsdLiborSwapForBasisCalc8Y_linearLCH</v>
      </c>
      <c r="E18" s="231" t="str">
        <f>_xll.qlSwapIndex($D18,FixingType,B18,2,Currency,$E$5,"1Y","f",MoneyMarketDayCounter,Libor!$G$10,Discounting1,Permanent,Trigger,ObjectOverwrite)</f>
        <v>UsdLiborSwapForBasisCalc8Y_linearLCH#0002</v>
      </c>
      <c r="F18" s="233" t="str">
        <f>_xll.ohRangeRetrieveError(E18)</f>
        <v/>
      </c>
      <c r="G18" s="398"/>
      <c r="H18" s="389" t="s">
        <v>50</v>
      </c>
      <c r="I18" s="390" t="s">
        <v>95</v>
      </c>
      <c r="J18" s="390" t="s">
        <v>64</v>
      </c>
      <c r="K18" s="390" t="str">
        <f>Swap3M!F15</f>
        <v>USDAM3L7Y_LCHQuote#0002</v>
      </c>
      <c r="L18" s="399"/>
      <c r="M18" s="390" t="s">
        <v>242</v>
      </c>
      <c r="N18" s="390" t="s">
        <v>65</v>
      </c>
      <c r="O18" s="390" t="str">
        <f>BasisSwap3M6M!F16</f>
        <v>USD6L3L8Y_LCHQuote#0002</v>
      </c>
      <c r="P18" s="391" t="str">
        <f t="shared" si="1"/>
        <v>USDAM3L8Y_S6L3L_linear_LCHQuote</v>
      </c>
      <c r="Q18" s="392" t="str">
        <f>_xll.qlForwardSwapQuote(P18,E18,O18,M18,Permanent,Trigger,ObjectOverwrite)</f>
        <v>USDAM3L8Y_S6L3L_linear_LCHQuote#0002</v>
      </c>
      <c r="R18" s="393" t="str">
        <f>_xll.ohRangeRetrieveError(Q18)</f>
        <v/>
      </c>
      <c r="S18" s="399"/>
      <c r="T18" s="390" t="s">
        <v>242</v>
      </c>
      <c r="U18" s="390" t="s">
        <v>69</v>
      </c>
      <c r="V18" s="390" t="str">
        <f>BasisSwap3M12M!F16</f>
        <v>USD12L3L8Y_LCHQuote#0002</v>
      </c>
      <c r="W18" s="391" t="str">
        <f t="shared" si="2"/>
        <v>USDAM3L8Y_S12L3L_linear_LCHQuote</v>
      </c>
      <c r="X18" s="392" t="str">
        <f>_xll.qlForwardSwapQuote(W18,E18,V18,T18,Permanent,Trigger,ObjectOverwrite)</f>
        <v>USDAM3L8Y_S12L3L_linear_LCHQuote#0002</v>
      </c>
      <c r="Y18" s="393" t="s">
        <v>245</v>
      </c>
      <c r="Z18" s="407"/>
    </row>
    <row r="19" spans="1:26" s="226" customFormat="1" x14ac:dyDescent="0.2">
      <c r="A19" s="337"/>
      <c r="B19" s="229" t="s">
        <v>49</v>
      </c>
      <c r="C19" s="241" t="s">
        <v>14</v>
      </c>
      <c r="D19" s="242" t="str">
        <f t="shared" si="0"/>
        <v>UsdLiborSwapForBasisCalc9Y_linearLCH</v>
      </c>
      <c r="E19" s="231" t="str">
        <f>_xll.qlSwapIndex($D19,FixingType,B19,2,Currency,$E$5,"1Y","f",MoneyMarketDayCounter,Libor!$G$10,Discounting1,Permanent,Trigger,ObjectOverwrite)</f>
        <v>UsdLiborSwapForBasisCalc9Y_linearLCH#0002</v>
      </c>
      <c r="F19" s="233" t="str">
        <f>_xll.ohRangeRetrieveError(E19)</f>
        <v/>
      </c>
      <c r="G19" s="398"/>
      <c r="H19" s="389" t="s">
        <v>49</v>
      </c>
      <c r="I19" s="390" t="s">
        <v>95</v>
      </c>
      <c r="J19" s="390" t="s">
        <v>64</v>
      </c>
      <c r="K19" s="390" t="str">
        <f>Swap3M!F16</f>
        <v>USDAM3L8Y_LCHQuote#0002</v>
      </c>
      <c r="L19" s="399"/>
      <c r="M19" s="390" t="s">
        <v>242</v>
      </c>
      <c r="N19" s="390" t="s">
        <v>65</v>
      </c>
      <c r="O19" s="390" t="str">
        <f>BasisSwap3M6M!F17</f>
        <v>USD6L3L9Y_LCHQuote#0002</v>
      </c>
      <c r="P19" s="391" t="str">
        <f t="shared" si="1"/>
        <v>USDAM3L9Y_S6L3L_linear_LCHQuote</v>
      </c>
      <c r="Q19" s="392" t="str">
        <f>_xll.qlForwardSwapQuote(P19,E19,O19,M19,Permanent,Trigger,ObjectOverwrite)</f>
        <v>USDAM3L9Y_S6L3L_linear_LCHQuote#0002</v>
      </c>
      <c r="R19" s="393" t="str">
        <f>_xll.ohRangeRetrieveError(Q19)</f>
        <v/>
      </c>
      <c r="S19" s="399"/>
      <c r="T19" s="390" t="s">
        <v>242</v>
      </c>
      <c r="U19" s="390" t="s">
        <v>69</v>
      </c>
      <c r="V19" s="390" t="str">
        <f>BasisSwap3M12M!F17</f>
        <v>USD12L3L9Y_LCHQuote#0002</v>
      </c>
      <c r="W19" s="391" t="str">
        <f t="shared" si="2"/>
        <v>USDAM3L9Y_S12L3L_linear_LCHQuote</v>
      </c>
      <c r="X19" s="392" t="str">
        <f>_xll.qlForwardSwapQuote(W19,E19,V19,T19,Permanent,Trigger,ObjectOverwrite)</f>
        <v>USDAM3L9Y_S12L3L_linear_LCHQuote#0002</v>
      </c>
      <c r="Y19" s="393" t="s">
        <v>245</v>
      </c>
      <c r="Z19" s="407"/>
    </row>
    <row r="20" spans="1:26" s="226" customFormat="1" x14ac:dyDescent="0.2">
      <c r="A20" s="337"/>
      <c r="B20" s="229" t="s">
        <v>48</v>
      </c>
      <c r="C20" s="241" t="s">
        <v>14</v>
      </c>
      <c r="D20" s="242" t="str">
        <f t="shared" si="0"/>
        <v>UsdLiborSwapForBasisCalc10Y_linearLCH</v>
      </c>
      <c r="E20" s="231" t="str">
        <f>_xll.qlSwapIndex($D20,FixingType,B20,2,Currency,$E$5,"1Y","f",MoneyMarketDayCounter,Libor!$G$10,Discounting1,Permanent,Trigger,ObjectOverwrite)</f>
        <v>UsdLiborSwapForBasisCalc10Y_linearLCH#0002</v>
      </c>
      <c r="F20" s="233" t="str">
        <f>_xll.ohRangeRetrieveError(E20)</f>
        <v/>
      </c>
      <c r="G20" s="398"/>
      <c r="H20" s="389" t="s">
        <v>48</v>
      </c>
      <c r="I20" s="390" t="s">
        <v>95</v>
      </c>
      <c r="J20" s="390" t="s">
        <v>64</v>
      </c>
      <c r="K20" s="390" t="str">
        <f>Swap3M!F17</f>
        <v>USDAM3L9Y_LCHQuote#0002</v>
      </c>
      <c r="L20" s="399"/>
      <c r="M20" s="390" t="s">
        <v>242</v>
      </c>
      <c r="N20" s="390" t="s">
        <v>65</v>
      </c>
      <c r="O20" s="390" t="str">
        <f>BasisSwap3M6M!F18</f>
        <v>USD6L3L10Y_LCHQuote#0002</v>
      </c>
      <c r="P20" s="391" t="str">
        <f t="shared" si="1"/>
        <v>USDAM3L10Y_S6L3L_linear_LCHQuote</v>
      </c>
      <c r="Q20" s="392" t="str">
        <f>_xll.qlForwardSwapQuote(P20,E20,O20,M20,Permanent,Trigger,ObjectOverwrite)</f>
        <v>USDAM3L10Y_S6L3L_linear_LCHQuote#0002</v>
      </c>
      <c r="R20" s="393" t="str">
        <f>_xll.ohRangeRetrieveError(Q20)</f>
        <v/>
      </c>
      <c r="S20" s="399"/>
      <c r="T20" s="390" t="s">
        <v>242</v>
      </c>
      <c r="U20" s="390" t="s">
        <v>69</v>
      </c>
      <c r="V20" s="390" t="str">
        <f>BasisSwap3M12M!F18</f>
        <v>USD12L3L10Y_LCHQuote#0002</v>
      </c>
      <c r="W20" s="391" t="str">
        <f t="shared" si="2"/>
        <v>USDAM3L10Y_S12L3L_linear_LCHQuote</v>
      </c>
      <c r="X20" s="392" t="str">
        <f>_xll.qlForwardSwapQuote(W20,E20,V20,T20,Permanent,Trigger,ObjectOverwrite)</f>
        <v>USDAM3L10Y_S12L3L_linear_LCHQuote#0002</v>
      </c>
      <c r="Y20" s="393" t="s">
        <v>245</v>
      </c>
      <c r="Z20" s="407"/>
    </row>
    <row r="21" spans="1:26" s="226" customFormat="1" x14ac:dyDescent="0.2">
      <c r="A21" s="337"/>
      <c r="B21" s="229" t="s">
        <v>47</v>
      </c>
      <c r="C21" s="241" t="s">
        <v>14</v>
      </c>
      <c r="D21" s="242" t="str">
        <f t="shared" si="0"/>
        <v>UsdLiborSwapForBasisCalc11Y_linearLCH</v>
      </c>
      <c r="E21" s="231" t="str">
        <f>_xll.qlSwapIndex($D21,FixingType,B21,2,Currency,$E$5,"1Y","f",MoneyMarketDayCounter,Libor!$G$10,Discounting1,Permanent,Trigger,ObjectOverwrite)</f>
        <v>UsdLiborSwapForBasisCalc11Y_linearLCH#0002</v>
      </c>
      <c r="F21" s="233" t="str">
        <f>_xll.ohRangeRetrieveError(E21)</f>
        <v/>
      </c>
      <c r="G21" s="398"/>
      <c r="H21" s="389" t="s">
        <v>47</v>
      </c>
      <c r="I21" s="390" t="s">
        <v>95</v>
      </c>
      <c r="J21" s="390" t="s">
        <v>64</v>
      </c>
      <c r="K21" s="390" t="str">
        <f>Swap3M!F18</f>
        <v>USDAM3L10Y_LCHQuote#0002</v>
      </c>
      <c r="L21" s="399"/>
      <c r="M21" s="390" t="s">
        <v>242</v>
      </c>
      <c r="N21" s="390" t="s">
        <v>65</v>
      </c>
      <c r="O21" s="390" t="str">
        <f>BasisSwap3M6M!F19</f>
        <v>USD6L3L11Y_LCHQuote#0002</v>
      </c>
      <c r="P21" s="391" t="str">
        <f t="shared" si="1"/>
        <v>USDAM3L11Y_S6L3L_linear_LCHQuote</v>
      </c>
      <c r="Q21" s="392" t="str">
        <f>_xll.qlForwardSwapQuote(P21,E21,O21,M21,Permanent,Trigger,ObjectOverwrite)</f>
        <v>USDAM3L11Y_S6L3L_linear_LCHQuote#0002</v>
      </c>
      <c r="R21" s="393" t="str">
        <f>_xll.ohRangeRetrieveError(Q21)</f>
        <v/>
      </c>
      <c r="S21" s="399"/>
      <c r="T21" s="390" t="s">
        <v>242</v>
      </c>
      <c r="U21" s="390" t="s">
        <v>69</v>
      </c>
      <c r="V21" s="390" t="str">
        <f>BasisSwap3M12M!F19</f>
        <v>USD12L3L11Y_LCHQuote#0002</v>
      </c>
      <c r="W21" s="391" t="str">
        <f t="shared" si="2"/>
        <v>USDAM3L11Y_S12L3L_linear_LCHQuote</v>
      </c>
      <c r="X21" s="392" t="str">
        <f>_xll.qlForwardSwapQuote(W21,E21,V21,T21,Permanent,Trigger,ObjectOverwrite)</f>
        <v>USDAM3L11Y_S12L3L_linear_LCHQuote#0002</v>
      </c>
      <c r="Y21" s="393" t="s">
        <v>245</v>
      </c>
      <c r="Z21" s="407"/>
    </row>
    <row r="22" spans="1:26" s="226" customFormat="1" x14ac:dyDescent="0.2">
      <c r="A22" s="337"/>
      <c r="B22" s="229" t="s">
        <v>46</v>
      </c>
      <c r="C22" s="241" t="s">
        <v>14</v>
      </c>
      <c r="D22" s="242" t="str">
        <f t="shared" si="0"/>
        <v>UsdLiborSwapForBasisCalc12Y_linearLCH</v>
      </c>
      <c r="E22" s="231" t="str">
        <f>_xll.qlSwapIndex($D22,FixingType,B22,2,Currency,$E$5,"1Y","f",MoneyMarketDayCounter,Libor!$G$10,Discounting1,Permanent,Trigger,ObjectOverwrite)</f>
        <v>UsdLiborSwapForBasisCalc12Y_linearLCH#0002</v>
      </c>
      <c r="F22" s="233" t="str">
        <f>_xll.ohRangeRetrieveError(E22)</f>
        <v/>
      </c>
      <c r="G22" s="398"/>
      <c r="H22" s="389" t="s">
        <v>46</v>
      </c>
      <c r="I22" s="390" t="s">
        <v>95</v>
      </c>
      <c r="J22" s="390" t="s">
        <v>64</v>
      </c>
      <c r="K22" s="390" t="str">
        <f>Swap3M!F19</f>
        <v>USDAM3L11Y_LCHQuote#0002</v>
      </c>
      <c r="L22" s="399"/>
      <c r="M22" s="390" t="s">
        <v>242</v>
      </c>
      <c r="N22" s="390" t="s">
        <v>65</v>
      </c>
      <c r="O22" s="390" t="str">
        <f>BasisSwap3M6M!F20</f>
        <v>USD6L3L12Y_LCHQuote#0002</v>
      </c>
      <c r="P22" s="391" t="str">
        <f t="shared" si="1"/>
        <v>USDAM3L12Y_S6L3L_linear_LCHQuote</v>
      </c>
      <c r="Q22" s="392" t="str">
        <f>_xll.qlForwardSwapQuote(P22,E22,O22,M22,Permanent,Trigger,ObjectOverwrite)</f>
        <v>USDAM3L12Y_S6L3L_linear_LCHQuote#0002</v>
      </c>
      <c r="R22" s="393" t="str">
        <f>_xll.ohRangeRetrieveError(Q22)</f>
        <v/>
      </c>
      <c r="S22" s="399"/>
      <c r="T22" s="390" t="s">
        <v>242</v>
      </c>
      <c r="U22" s="390" t="s">
        <v>69</v>
      </c>
      <c r="V22" s="390" t="str">
        <f>BasisSwap3M12M!F20</f>
        <v>USD12L3L12Y_LCHQuote#0002</v>
      </c>
      <c r="W22" s="391" t="str">
        <f t="shared" si="2"/>
        <v>USDAM3L12Y_S12L3L_linear_LCHQuote</v>
      </c>
      <c r="X22" s="392" t="str">
        <f>_xll.qlForwardSwapQuote(W22,E22,V22,T22,Permanent,Trigger,ObjectOverwrite)</f>
        <v>USDAM3L12Y_S12L3L_linear_LCHQuote#0002</v>
      </c>
      <c r="Y22" s="393" t="s">
        <v>245</v>
      </c>
      <c r="Z22" s="407"/>
    </row>
    <row r="23" spans="1:26" s="226" customFormat="1" x14ac:dyDescent="0.2">
      <c r="A23" s="337"/>
      <c r="B23" s="229" t="s">
        <v>45</v>
      </c>
      <c r="C23" s="241" t="s">
        <v>14</v>
      </c>
      <c r="D23" s="242" t="str">
        <f t="shared" si="0"/>
        <v>UsdLiborSwapForBasisCalc13Y_linearLCH</v>
      </c>
      <c r="E23" s="231" t="str">
        <f>_xll.qlSwapIndex($D23,FixingType,B23,2,Currency,$E$5,"1Y","f",MoneyMarketDayCounter,Libor!$G$10,Discounting1,Permanent,Trigger,ObjectOverwrite)</f>
        <v>UsdLiborSwapForBasisCalc13Y_linearLCH#0002</v>
      </c>
      <c r="F23" s="233" t="str">
        <f>_xll.ohRangeRetrieveError(E23)</f>
        <v/>
      </c>
      <c r="G23" s="398"/>
      <c r="H23" s="389" t="s">
        <v>45</v>
      </c>
      <c r="I23" s="390" t="s">
        <v>95</v>
      </c>
      <c r="J23" s="390" t="s">
        <v>64</v>
      </c>
      <c r="K23" s="390" t="str">
        <f>Swap3M!F20</f>
        <v>USDAM3L12Y_LCHQuote#0002</v>
      </c>
      <c r="L23" s="399"/>
      <c r="M23" s="390" t="s">
        <v>242</v>
      </c>
      <c r="N23" s="390" t="s">
        <v>65</v>
      </c>
      <c r="O23" s="390" t="str">
        <f>BasisSwap3M6M!F21</f>
        <v>USD6L3L13Y_LCHQuote#0002</v>
      </c>
      <c r="P23" s="391" t="str">
        <f t="shared" si="1"/>
        <v>USDAM3L13Y_S6L3L_linear_LCHQuote</v>
      </c>
      <c r="Q23" s="392" t="str">
        <f>_xll.qlForwardSwapQuote(P23,E23,O23,M23,Permanent,Trigger,ObjectOverwrite)</f>
        <v>USDAM3L13Y_S6L3L_linear_LCHQuote#0002</v>
      </c>
      <c r="R23" s="393" t="str">
        <f>_xll.ohRangeRetrieveError(Q23)</f>
        <v/>
      </c>
      <c r="S23" s="399"/>
      <c r="T23" s="390" t="s">
        <v>242</v>
      </c>
      <c r="U23" s="390" t="s">
        <v>69</v>
      </c>
      <c r="V23" s="390" t="str">
        <f>BasisSwap3M12M!F21</f>
        <v>USD12L3L13Y_LCHQuote#0002</v>
      </c>
      <c r="W23" s="391" t="str">
        <f t="shared" si="2"/>
        <v>USDAM3L13Y_S12L3L_linear_LCHQuote</v>
      </c>
      <c r="X23" s="392" t="str">
        <f>_xll.qlForwardSwapQuote(W23,E23,V23,T23,Permanent,Trigger,ObjectOverwrite)</f>
        <v>USDAM3L13Y_S12L3L_linear_LCHQuote#0002</v>
      </c>
      <c r="Y23" s="393" t="s">
        <v>245</v>
      </c>
      <c r="Z23" s="407"/>
    </row>
    <row r="24" spans="1:26" s="226" customFormat="1" x14ac:dyDescent="0.2">
      <c r="A24" s="337"/>
      <c r="B24" s="229" t="s">
        <v>44</v>
      </c>
      <c r="C24" s="241" t="s">
        <v>14</v>
      </c>
      <c r="D24" s="242" t="str">
        <f t="shared" si="0"/>
        <v>UsdLiborSwapForBasisCalc14Y_linearLCH</v>
      </c>
      <c r="E24" s="231" t="str">
        <f>_xll.qlSwapIndex($D24,FixingType,B24,2,Currency,$E$5,"1Y","f",MoneyMarketDayCounter,Libor!$G$10,Discounting1,Permanent,Trigger,ObjectOverwrite)</f>
        <v>UsdLiborSwapForBasisCalc14Y_linearLCH#0002</v>
      </c>
      <c r="F24" s="233" t="str">
        <f>_xll.ohRangeRetrieveError(E24)</f>
        <v/>
      </c>
      <c r="G24" s="398"/>
      <c r="H24" s="389" t="s">
        <v>44</v>
      </c>
      <c r="I24" s="390" t="s">
        <v>95</v>
      </c>
      <c r="J24" s="390" t="s">
        <v>64</v>
      </c>
      <c r="K24" s="390" t="str">
        <f>Swap3M!F21</f>
        <v>USDAM3L13Y_LCHQuote#0002</v>
      </c>
      <c r="L24" s="399"/>
      <c r="M24" s="390" t="s">
        <v>242</v>
      </c>
      <c r="N24" s="390" t="s">
        <v>65</v>
      </c>
      <c r="O24" s="390" t="str">
        <f>BasisSwap3M6M!F22</f>
        <v>USD6L3L14Y_LCHQuote#0002</v>
      </c>
      <c r="P24" s="391" t="str">
        <f t="shared" si="1"/>
        <v>USDAM3L14Y_S6L3L_linear_LCHQuote</v>
      </c>
      <c r="Q24" s="392" t="str">
        <f>_xll.qlForwardSwapQuote(P24,E24,O24,M24,Permanent,Trigger,ObjectOverwrite)</f>
        <v>USDAM3L14Y_S6L3L_linear_LCHQuote#0002</v>
      </c>
      <c r="R24" s="393" t="str">
        <f>_xll.ohRangeRetrieveError(Q24)</f>
        <v/>
      </c>
      <c r="S24" s="399"/>
      <c r="T24" s="390" t="s">
        <v>242</v>
      </c>
      <c r="U24" s="390" t="s">
        <v>69</v>
      </c>
      <c r="V24" s="390" t="str">
        <f>BasisSwap3M12M!F22</f>
        <v>USD12L3L14Y_LCHQuote#0002</v>
      </c>
      <c r="W24" s="391" t="str">
        <f t="shared" si="2"/>
        <v>USDAM3L14Y_S12L3L_linear_LCHQuote</v>
      </c>
      <c r="X24" s="392" t="str">
        <f>_xll.qlForwardSwapQuote(W24,E24,V24,T24,Permanent,Trigger,ObjectOverwrite)</f>
        <v>USDAM3L14Y_S12L3L_linear_LCHQuote#0002</v>
      </c>
      <c r="Y24" s="393" t="s">
        <v>245</v>
      </c>
      <c r="Z24" s="407"/>
    </row>
    <row r="25" spans="1:26" s="226" customFormat="1" x14ac:dyDescent="0.2">
      <c r="A25" s="337"/>
      <c r="B25" s="229" t="s">
        <v>43</v>
      </c>
      <c r="C25" s="241" t="s">
        <v>14</v>
      </c>
      <c r="D25" s="242" t="str">
        <f t="shared" si="0"/>
        <v>UsdLiborSwapForBasisCalc15Y_linearLCH</v>
      </c>
      <c r="E25" s="231" t="str">
        <f>_xll.qlSwapIndex($D25,FixingType,B25,2,Currency,$E$5,"1Y","f",MoneyMarketDayCounter,Libor!$G$10,Discounting1,Permanent,Trigger,ObjectOverwrite)</f>
        <v>UsdLiborSwapForBasisCalc15Y_linearLCH#0002</v>
      </c>
      <c r="F25" s="233" t="str">
        <f>_xll.ohRangeRetrieveError(E25)</f>
        <v/>
      </c>
      <c r="G25" s="398"/>
      <c r="H25" s="389" t="s">
        <v>43</v>
      </c>
      <c r="I25" s="390" t="s">
        <v>95</v>
      </c>
      <c r="J25" s="390" t="s">
        <v>64</v>
      </c>
      <c r="K25" s="390" t="str">
        <f>Swap3M!F22</f>
        <v>USDAM3L14Y_LCHQuote#0002</v>
      </c>
      <c r="L25" s="399"/>
      <c r="M25" s="390" t="s">
        <v>242</v>
      </c>
      <c r="N25" s="390" t="s">
        <v>65</v>
      </c>
      <c r="O25" s="390" t="str">
        <f>BasisSwap3M6M!F23</f>
        <v>USD6L3L15Y_LCHQuote#0002</v>
      </c>
      <c r="P25" s="391" t="str">
        <f t="shared" si="1"/>
        <v>USDAM3L15Y_S6L3L_linear_LCHQuote</v>
      </c>
      <c r="Q25" s="392" t="str">
        <f>_xll.qlForwardSwapQuote(P25,E25,O25,M25,Permanent,Trigger,ObjectOverwrite)</f>
        <v>USDAM3L15Y_S6L3L_linear_LCHQuote#0002</v>
      </c>
      <c r="R25" s="393" t="str">
        <f>_xll.ohRangeRetrieveError(Q25)</f>
        <v/>
      </c>
      <c r="S25" s="399"/>
      <c r="T25" s="390" t="s">
        <v>242</v>
      </c>
      <c r="U25" s="390" t="s">
        <v>69</v>
      </c>
      <c r="V25" s="390" t="str">
        <f>BasisSwap3M12M!F23</f>
        <v>USD12L3L15Y_LCHQuote#0002</v>
      </c>
      <c r="W25" s="391" t="str">
        <f t="shared" si="2"/>
        <v>USDAM3L15Y_S12L3L_linear_LCHQuote</v>
      </c>
      <c r="X25" s="392" t="str">
        <f>_xll.qlForwardSwapQuote(W25,E25,V25,T25,Permanent,Trigger,ObjectOverwrite)</f>
        <v>USDAM3L15Y_S12L3L_linear_LCHQuote#0002</v>
      </c>
      <c r="Y25" s="393" t="s">
        <v>245</v>
      </c>
      <c r="Z25" s="407"/>
    </row>
    <row r="26" spans="1:26" s="226" customFormat="1" x14ac:dyDescent="0.2">
      <c r="A26" s="337"/>
      <c r="B26" s="229" t="s">
        <v>42</v>
      </c>
      <c r="C26" s="241" t="s">
        <v>14</v>
      </c>
      <c r="D26" s="242" t="str">
        <f t="shared" si="0"/>
        <v>UsdLiborSwapForBasisCalc16Y_linearLCH</v>
      </c>
      <c r="E26" s="231" t="str">
        <f>_xll.qlSwapIndex($D26,FixingType,B26,2,Currency,$E$5,"1Y","f",MoneyMarketDayCounter,Libor!$G$10,Discounting1,Permanent,Trigger,ObjectOverwrite)</f>
        <v>UsdLiborSwapForBasisCalc16Y_linearLCH#0002</v>
      </c>
      <c r="F26" s="233" t="str">
        <f>_xll.ohRangeRetrieveError(E26)</f>
        <v/>
      </c>
      <c r="G26" s="398"/>
      <c r="H26" s="389" t="s">
        <v>42</v>
      </c>
      <c r="I26" s="390" t="s">
        <v>95</v>
      </c>
      <c r="J26" s="390" t="s">
        <v>64</v>
      </c>
      <c r="K26" s="390" t="str">
        <f>Swap3M!F23</f>
        <v>USDAM3L15Y_LCHQuote#0002</v>
      </c>
      <c r="L26" s="399"/>
      <c r="M26" s="390" t="s">
        <v>242</v>
      </c>
      <c r="N26" s="390" t="s">
        <v>65</v>
      </c>
      <c r="O26" s="390" t="str">
        <f>BasisSwap3M6M!F24</f>
        <v>USD6L3L16Y_LCHQuote#0002</v>
      </c>
      <c r="P26" s="391" t="str">
        <f t="shared" si="1"/>
        <v>USDAM3L16Y_S6L3L_linear_LCHQuote</v>
      </c>
      <c r="Q26" s="392" t="str">
        <f>_xll.qlForwardSwapQuote(P26,E26,O26,M26,Permanent,Trigger,ObjectOverwrite)</f>
        <v>USDAM3L16Y_S6L3L_linear_LCHQuote#0002</v>
      </c>
      <c r="R26" s="393" t="str">
        <f>_xll.ohRangeRetrieveError(Q26)</f>
        <v/>
      </c>
      <c r="S26" s="399"/>
      <c r="T26" s="390" t="s">
        <v>242</v>
      </c>
      <c r="U26" s="390" t="s">
        <v>69</v>
      </c>
      <c r="V26" s="390" t="str">
        <f>BasisSwap3M12M!F24</f>
        <v>USD12L3L16Y_LCHQuote#0002</v>
      </c>
      <c r="W26" s="391" t="str">
        <f t="shared" si="2"/>
        <v>USDAM3L16Y_S12L3L_linear_LCHQuote</v>
      </c>
      <c r="X26" s="392" t="str">
        <f>_xll.qlForwardSwapQuote(W26,E26,V26,T26,Permanent,Trigger,ObjectOverwrite)</f>
        <v>USDAM3L16Y_S12L3L_linear_LCHQuote#0002</v>
      </c>
      <c r="Y26" s="393" t="s">
        <v>245</v>
      </c>
      <c r="Z26" s="407"/>
    </row>
    <row r="27" spans="1:26" s="226" customFormat="1" x14ac:dyDescent="0.2">
      <c r="A27" s="337"/>
      <c r="B27" s="229" t="s">
        <v>41</v>
      </c>
      <c r="C27" s="241" t="s">
        <v>14</v>
      </c>
      <c r="D27" s="242" t="str">
        <f t="shared" si="0"/>
        <v>UsdLiborSwapForBasisCalc17Y_linearLCH</v>
      </c>
      <c r="E27" s="231" t="str">
        <f>_xll.qlSwapIndex($D27,FixingType,B27,2,Currency,$E$5,"1Y","f",MoneyMarketDayCounter,Libor!$G$10,Discounting1,Permanent,Trigger,ObjectOverwrite)</f>
        <v>UsdLiborSwapForBasisCalc17Y_linearLCH#0002</v>
      </c>
      <c r="F27" s="233" t="str">
        <f>_xll.ohRangeRetrieveError(E27)</f>
        <v/>
      </c>
      <c r="G27" s="398"/>
      <c r="H27" s="389" t="s">
        <v>41</v>
      </c>
      <c r="I27" s="390" t="s">
        <v>95</v>
      </c>
      <c r="J27" s="390" t="s">
        <v>64</v>
      </c>
      <c r="K27" s="390" t="str">
        <f>Swap3M!F24</f>
        <v>USDAM3L16Y_LCHQuote#0002</v>
      </c>
      <c r="L27" s="399"/>
      <c r="M27" s="390" t="s">
        <v>242</v>
      </c>
      <c r="N27" s="390" t="s">
        <v>65</v>
      </c>
      <c r="O27" s="390" t="str">
        <f>BasisSwap3M6M!F25</f>
        <v>USD6L3L17Y_LCHQuote#0002</v>
      </c>
      <c r="P27" s="391" t="str">
        <f t="shared" si="1"/>
        <v>USDAM3L17Y_S6L3L_linear_LCHQuote</v>
      </c>
      <c r="Q27" s="392" t="str">
        <f>_xll.qlForwardSwapQuote(P27,E27,O27,M27,Permanent,Trigger,ObjectOverwrite)</f>
        <v>USDAM3L17Y_S6L3L_linear_LCHQuote#0002</v>
      </c>
      <c r="R27" s="393" t="str">
        <f>_xll.ohRangeRetrieveError(Q27)</f>
        <v/>
      </c>
      <c r="S27" s="399"/>
      <c r="T27" s="390" t="s">
        <v>242</v>
      </c>
      <c r="U27" s="390" t="s">
        <v>69</v>
      </c>
      <c r="V27" s="390" t="str">
        <f>BasisSwap3M12M!F25</f>
        <v>USD12L3L17Y_LCHQuote#0002</v>
      </c>
      <c r="W27" s="391" t="str">
        <f t="shared" si="2"/>
        <v>USDAM3L17Y_S12L3L_linear_LCHQuote</v>
      </c>
      <c r="X27" s="392" t="str">
        <f>_xll.qlForwardSwapQuote(W27,E27,V27,T27,Permanent,Trigger,ObjectOverwrite)</f>
        <v>USDAM3L17Y_S12L3L_linear_LCHQuote#0002</v>
      </c>
      <c r="Y27" s="393" t="s">
        <v>245</v>
      </c>
      <c r="Z27" s="407"/>
    </row>
    <row r="28" spans="1:26" s="226" customFormat="1" x14ac:dyDescent="0.2">
      <c r="A28" s="337"/>
      <c r="B28" s="229" t="s">
        <v>40</v>
      </c>
      <c r="C28" s="241" t="s">
        <v>14</v>
      </c>
      <c r="D28" s="242" t="str">
        <f t="shared" si="0"/>
        <v>UsdLiborSwapForBasisCalc18Y_linearLCH</v>
      </c>
      <c r="E28" s="231" t="str">
        <f>_xll.qlSwapIndex($D28,FixingType,B28,2,Currency,$E$5,"1Y","f",MoneyMarketDayCounter,Libor!$G$10,Discounting1,Permanent,Trigger,ObjectOverwrite)</f>
        <v>UsdLiborSwapForBasisCalc18Y_linearLCH#0002</v>
      </c>
      <c r="F28" s="233" t="str">
        <f>_xll.ohRangeRetrieveError(E28)</f>
        <v/>
      </c>
      <c r="G28" s="398"/>
      <c r="H28" s="389" t="s">
        <v>40</v>
      </c>
      <c r="I28" s="390" t="s">
        <v>95</v>
      </c>
      <c r="J28" s="390" t="s">
        <v>64</v>
      </c>
      <c r="K28" s="390" t="str">
        <f>Swap3M!F25</f>
        <v>USDAM3L17Y_LCHQuote#0002</v>
      </c>
      <c r="L28" s="399"/>
      <c r="M28" s="390" t="s">
        <v>242</v>
      </c>
      <c r="N28" s="390" t="s">
        <v>65</v>
      </c>
      <c r="O28" s="390" t="str">
        <f>BasisSwap3M6M!F26</f>
        <v>USD6L3L18Y_LCHQuote#0002</v>
      </c>
      <c r="P28" s="391" t="str">
        <f t="shared" si="1"/>
        <v>USDAM3L18Y_S6L3L_linear_LCHQuote</v>
      </c>
      <c r="Q28" s="392" t="str">
        <f>_xll.qlForwardSwapQuote(P28,E28,O28,M28,Permanent,Trigger,ObjectOverwrite)</f>
        <v>USDAM3L18Y_S6L3L_linear_LCHQuote#0002</v>
      </c>
      <c r="R28" s="393" t="str">
        <f>_xll.ohRangeRetrieveError(Q28)</f>
        <v/>
      </c>
      <c r="S28" s="399"/>
      <c r="T28" s="390" t="s">
        <v>242</v>
      </c>
      <c r="U28" s="390" t="s">
        <v>69</v>
      </c>
      <c r="V28" s="390" t="str">
        <f>BasisSwap3M12M!F26</f>
        <v>USD12L3L18Y_LCHQuote#0002</v>
      </c>
      <c r="W28" s="391" t="str">
        <f t="shared" si="2"/>
        <v>USDAM3L18Y_S12L3L_linear_LCHQuote</v>
      </c>
      <c r="X28" s="392" t="str">
        <f>_xll.qlForwardSwapQuote(W28,E28,V28,T28,Permanent,Trigger,ObjectOverwrite)</f>
        <v>USDAM3L18Y_S12L3L_linear_LCHQuote#0002</v>
      </c>
      <c r="Y28" s="393" t="s">
        <v>245</v>
      </c>
      <c r="Z28" s="407"/>
    </row>
    <row r="29" spans="1:26" s="226" customFormat="1" x14ac:dyDescent="0.2">
      <c r="A29" s="337"/>
      <c r="B29" s="229" t="s">
        <v>39</v>
      </c>
      <c r="C29" s="241" t="s">
        <v>14</v>
      </c>
      <c r="D29" s="242" t="str">
        <f t="shared" si="0"/>
        <v>UsdLiborSwapForBasisCalc19Y_linearLCH</v>
      </c>
      <c r="E29" s="231" t="str">
        <f>_xll.qlSwapIndex($D29,FixingType,B29,2,Currency,$E$5,"1Y","f",MoneyMarketDayCounter,Libor!$G$10,Discounting1,Permanent,Trigger,ObjectOverwrite)</f>
        <v>UsdLiborSwapForBasisCalc19Y_linearLCH#0002</v>
      </c>
      <c r="F29" s="233" t="str">
        <f>_xll.ohRangeRetrieveError(E29)</f>
        <v/>
      </c>
      <c r="G29" s="398"/>
      <c r="H29" s="389" t="s">
        <v>39</v>
      </c>
      <c r="I29" s="390" t="s">
        <v>95</v>
      </c>
      <c r="J29" s="390" t="s">
        <v>64</v>
      </c>
      <c r="K29" s="390" t="str">
        <f>Swap3M!F26</f>
        <v>USDAM3L18Y_LCHQuote#0002</v>
      </c>
      <c r="L29" s="399"/>
      <c r="M29" s="390" t="s">
        <v>242</v>
      </c>
      <c r="N29" s="390" t="s">
        <v>65</v>
      </c>
      <c r="O29" s="390" t="str">
        <f>BasisSwap3M6M!F27</f>
        <v>USD6L3L19Y_LCHQuote#0002</v>
      </c>
      <c r="P29" s="391" t="str">
        <f t="shared" si="1"/>
        <v>USDAM3L19Y_S6L3L_linear_LCHQuote</v>
      </c>
      <c r="Q29" s="392" t="str">
        <f>_xll.qlForwardSwapQuote(P29,E29,O29,M29,Permanent,Trigger,ObjectOverwrite)</f>
        <v>USDAM3L19Y_S6L3L_linear_LCHQuote#0002</v>
      </c>
      <c r="R29" s="233" t="str">
        <f>_xll.ohRangeRetrieveError(Q29)</f>
        <v/>
      </c>
      <c r="S29" s="399"/>
      <c r="T29" s="390" t="s">
        <v>242</v>
      </c>
      <c r="U29" s="390" t="s">
        <v>69</v>
      </c>
      <c r="V29" s="390" t="str">
        <f>BasisSwap3M12M!F27</f>
        <v>USD12L3L19Y_LCHQuote#0002</v>
      </c>
      <c r="W29" s="391" t="str">
        <f t="shared" si="2"/>
        <v>USDAM3L19Y_S12L3L_linear_LCHQuote</v>
      </c>
      <c r="X29" s="392" t="str">
        <f>_xll.qlForwardSwapQuote(W29,E29,V29,T29,Permanent,Trigger,ObjectOverwrite)</f>
        <v>USDAM3L19Y_S12L3L_linear_LCHQuote#0002</v>
      </c>
      <c r="Y29" s="233" t="s">
        <v>245</v>
      </c>
      <c r="Z29" s="407"/>
    </row>
    <row r="30" spans="1:26" s="226" customFormat="1" x14ac:dyDescent="0.2">
      <c r="A30" s="337"/>
      <c r="B30" s="229" t="s">
        <v>38</v>
      </c>
      <c r="C30" s="241" t="s">
        <v>14</v>
      </c>
      <c r="D30" s="242" t="str">
        <f t="shared" si="0"/>
        <v>UsdLiborSwapForBasisCalc20Y_linearLCH</v>
      </c>
      <c r="E30" s="231" t="str">
        <f>_xll.qlSwapIndex($D30,FixingType,B30,2,Currency,$E$5,"1Y","f",MoneyMarketDayCounter,Libor!$G$10,Discounting1,Permanent,Trigger,ObjectOverwrite)</f>
        <v>UsdLiborSwapForBasisCalc20Y_linearLCH#0002</v>
      </c>
      <c r="F30" s="233" t="str">
        <f>_xll.ohRangeRetrieveError(E30)</f>
        <v/>
      </c>
      <c r="G30" s="398"/>
      <c r="H30" s="389" t="s">
        <v>38</v>
      </c>
      <c r="I30" s="390" t="s">
        <v>95</v>
      </c>
      <c r="J30" s="390" t="s">
        <v>64</v>
      </c>
      <c r="K30" s="390" t="str">
        <f>Swap3M!F27</f>
        <v>USDAM3L19Y_LCHQuote#0002</v>
      </c>
      <c r="L30" s="399"/>
      <c r="M30" s="390" t="s">
        <v>242</v>
      </c>
      <c r="N30" s="390" t="s">
        <v>65</v>
      </c>
      <c r="O30" s="390" t="str">
        <f>BasisSwap3M6M!F28</f>
        <v>USD6L3L20Y_LCHQuote#0002</v>
      </c>
      <c r="P30" s="391" t="str">
        <f t="shared" si="1"/>
        <v>USDAM3L20Y_S6L3L_linear_LCHQuote</v>
      </c>
      <c r="Q30" s="392" t="str">
        <f>_xll.qlForwardSwapQuote(P30,E30,O30,M30,Permanent,Trigger,ObjectOverwrite)</f>
        <v>USDAM3L20Y_S6L3L_linear_LCHQuote#0002</v>
      </c>
      <c r="R30" s="233" t="str">
        <f>_xll.ohRangeRetrieveError(Q30)</f>
        <v/>
      </c>
      <c r="S30" s="399"/>
      <c r="T30" s="390" t="s">
        <v>242</v>
      </c>
      <c r="U30" s="390" t="s">
        <v>69</v>
      </c>
      <c r="V30" s="390" t="str">
        <f>BasisSwap3M12M!F28</f>
        <v>USD12L3L20Y_LCHQuote#0002</v>
      </c>
      <c r="W30" s="391" t="str">
        <f t="shared" si="2"/>
        <v>USDAM3L20Y_S12L3L_linear_LCHQuote</v>
      </c>
      <c r="X30" s="392" t="str">
        <f>_xll.qlForwardSwapQuote(W30,E30,V30,T30,Permanent,Trigger,ObjectOverwrite)</f>
        <v>USDAM3L20Y_S12L3L_linear_LCHQuote#0002</v>
      </c>
      <c r="Y30" s="233" t="s">
        <v>245</v>
      </c>
      <c r="Z30" s="407"/>
    </row>
    <row r="31" spans="1:26" s="226" customFormat="1" x14ac:dyDescent="0.2">
      <c r="A31" s="337"/>
      <c r="B31" s="229" t="s">
        <v>37</v>
      </c>
      <c r="C31" s="241" t="s">
        <v>14</v>
      </c>
      <c r="D31" s="242" t="str">
        <f t="shared" si="0"/>
        <v>UsdLiborSwapForBasisCalc21Y_linearLCH</v>
      </c>
      <c r="E31" s="231" t="str">
        <f>_xll.qlSwapIndex($D31,FixingType,B31,2,Currency,$E$5,"1Y","f",MoneyMarketDayCounter,Libor!$G$10,Discounting1,Permanent,Trigger,ObjectOverwrite)</f>
        <v>UsdLiborSwapForBasisCalc21Y_linearLCH#0002</v>
      </c>
      <c r="F31" s="233" t="str">
        <f>_xll.ohRangeRetrieveError(E31)</f>
        <v/>
      </c>
      <c r="G31" s="398"/>
      <c r="H31" s="389" t="s">
        <v>37</v>
      </c>
      <c r="I31" s="390" t="s">
        <v>95</v>
      </c>
      <c r="J31" s="390" t="s">
        <v>64</v>
      </c>
      <c r="K31" s="390" t="str">
        <f>Swap3M!F28</f>
        <v>USDAM3L20Y_LCHQuote#0002</v>
      </c>
      <c r="L31" s="399"/>
      <c r="M31" s="390" t="s">
        <v>242</v>
      </c>
      <c r="N31" s="390" t="s">
        <v>65</v>
      </c>
      <c r="O31" s="390" t="str">
        <f>BasisSwap3M6M!F29</f>
        <v>USD6L3L21Y_LCHQuote#0002</v>
      </c>
      <c r="P31" s="391" t="str">
        <f t="shared" si="1"/>
        <v>USDAM3L21Y_S6L3L_linear_LCHQuote</v>
      </c>
      <c r="Q31" s="392" t="str">
        <f>_xll.qlForwardSwapQuote(P31,E31,O31,M31,Permanent,Trigger,ObjectOverwrite)</f>
        <v>USDAM3L21Y_S6L3L_linear_LCHQuote#0002</v>
      </c>
      <c r="R31" s="233" t="str">
        <f>_xll.ohRangeRetrieveError(Q31)</f>
        <v/>
      </c>
      <c r="S31" s="399"/>
      <c r="T31" s="390" t="s">
        <v>242</v>
      </c>
      <c r="U31" s="390" t="s">
        <v>69</v>
      </c>
      <c r="V31" s="390" t="str">
        <f>BasisSwap3M12M!F29</f>
        <v>USD12L3L21Y_LCHQuote#0002</v>
      </c>
      <c r="W31" s="391" t="str">
        <f t="shared" si="2"/>
        <v>USDAM3L21Y_S12L3L_linear_LCHQuote</v>
      </c>
      <c r="X31" s="392" t="str">
        <f>_xll.qlForwardSwapQuote(W31,E31,V31,T31,Permanent,Trigger,ObjectOverwrite)</f>
        <v>USDAM3L21Y_S12L3L_linear_LCHQuote#0002</v>
      </c>
      <c r="Y31" s="233" t="s">
        <v>245</v>
      </c>
      <c r="Z31" s="407"/>
    </row>
    <row r="32" spans="1:26" s="226" customFormat="1" x14ac:dyDescent="0.2">
      <c r="A32" s="337"/>
      <c r="B32" s="229" t="s">
        <v>36</v>
      </c>
      <c r="C32" s="241" t="s">
        <v>14</v>
      </c>
      <c r="D32" s="242" t="str">
        <f t="shared" si="0"/>
        <v>UsdLiborSwapForBasisCalc22Y_linearLCH</v>
      </c>
      <c r="E32" s="231" t="str">
        <f>_xll.qlSwapIndex($D32,FixingType,B32,2,Currency,$E$5,"1Y","f",MoneyMarketDayCounter,Libor!$G$10,Discounting1,Permanent,Trigger,ObjectOverwrite)</f>
        <v>UsdLiborSwapForBasisCalc22Y_linearLCH#0002</v>
      </c>
      <c r="F32" s="233" t="str">
        <f>_xll.ohRangeRetrieveError(E32)</f>
        <v/>
      </c>
      <c r="G32" s="398"/>
      <c r="H32" s="389" t="s">
        <v>36</v>
      </c>
      <c r="I32" s="390" t="s">
        <v>95</v>
      </c>
      <c r="J32" s="390" t="s">
        <v>64</v>
      </c>
      <c r="K32" s="390" t="str">
        <f>Swap3M!F29</f>
        <v>USDAM3L21Y_LCHQuote#0002</v>
      </c>
      <c r="L32" s="399"/>
      <c r="M32" s="390" t="s">
        <v>242</v>
      </c>
      <c r="N32" s="390" t="s">
        <v>65</v>
      </c>
      <c r="O32" s="390" t="str">
        <f>BasisSwap3M6M!F30</f>
        <v>USD6L3L22Y_LCHQuote#0002</v>
      </c>
      <c r="P32" s="391" t="str">
        <f t="shared" si="1"/>
        <v>USDAM3L22Y_S6L3L_linear_LCHQuote</v>
      </c>
      <c r="Q32" s="392" t="str">
        <f>_xll.qlForwardSwapQuote(P32,E32,O32,M32,Permanent,Trigger,ObjectOverwrite)</f>
        <v>USDAM3L22Y_S6L3L_linear_LCHQuote#0002</v>
      </c>
      <c r="R32" s="233" t="str">
        <f>_xll.ohRangeRetrieveError(Q32)</f>
        <v/>
      </c>
      <c r="S32" s="399"/>
      <c r="T32" s="390" t="s">
        <v>242</v>
      </c>
      <c r="U32" s="390" t="s">
        <v>69</v>
      </c>
      <c r="V32" s="390" t="str">
        <f>BasisSwap3M12M!F30</f>
        <v>USD12L3L22Y_LCHQuote#0002</v>
      </c>
      <c r="W32" s="391" t="str">
        <f t="shared" si="2"/>
        <v>USDAM3L22Y_S12L3L_linear_LCHQuote</v>
      </c>
      <c r="X32" s="392" t="str">
        <f>_xll.qlForwardSwapQuote(W32,E32,V32,T32,Permanent,Trigger,ObjectOverwrite)</f>
        <v>USDAM3L22Y_S12L3L_linear_LCHQuote#0002</v>
      </c>
      <c r="Y32" s="233" t="s">
        <v>245</v>
      </c>
      <c r="Z32" s="407"/>
    </row>
    <row r="33" spans="1:26" s="226" customFormat="1" x14ac:dyDescent="0.2">
      <c r="A33" s="337"/>
      <c r="B33" s="229" t="s">
        <v>35</v>
      </c>
      <c r="C33" s="241" t="s">
        <v>14</v>
      </c>
      <c r="D33" s="242" t="str">
        <f t="shared" si="0"/>
        <v>UsdLiborSwapForBasisCalc23Y_linearLCH</v>
      </c>
      <c r="E33" s="231" t="str">
        <f>_xll.qlSwapIndex($D33,FixingType,B33,2,Currency,$E$5,"1Y","f",MoneyMarketDayCounter,Libor!$G$10,Discounting1,Permanent,Trigger,ObjectOverwrite)</f>
        <v>UsdLiborSwapForBasisCalc23Y_linearLCH#0002</v>
      </c>
      <c r="F33" s="233" t="str">
        <f>_xll.ohRangeRetrieveError(E33)</f>
        <v/>
      </c>
      <c r="G33" s="398"/>
      <c r="H33" s="389" t="s">
        <v>35</v>
      </c>
      <c r="I33" s="390" t="s">
        <v>95</v>
      </c>
      <c r="J33" s="390" t="s">
        <v>64</v>
      </c>
      <c r="K33" s="390" t="str">
        <f>Swap3M!F30</f>
        <v>USDAM3L22Y_LCHQuote#0002</v>
      </c>
      <c r="L33" s="399"/>
      <c r="M33" s="390" t="s">
        <v>242</v>
      </c>
      <c r="N33" s="390" t="s">
        <v>65</v>
      </c>
      <c r="O33" s="390" t="str">
        <f>BasisSwap3M6M!F31</f>
        <v>USD6L3L23Y_LCHQuote#0002</v>
      </c>
      <c r="P33" s="391" t="str">
        <f t="shared" si="1"/>
        <v>USDAM3L23Y_S6L3L_linear_LCHQuote</v>
      </c>
      <c r="Q33" s="392" t="str">
        <f>_xll.qlForwardSwapQuote(P33,E33,O33,M33,Permanent,Trigger,ObjectOverwrite)</f>
        <v>USDAM3L23Y_S6L3L_linear_LCHQuote#0002</v>
      </c>
      <c r="R33" s="233" t="str">
        <f>_xll.ohRangeRetrieveError(Q33)</f>
        <v/>
      </c>
      <c r="S33" s="399"/>
      <c r="T33" s="390" t="s">
        <v>242</v>
      </c>
      <c r="U33" s="390" t="s">
        <v>69</v>
      </c>
      <c r="V33" s="390" t="str">
        <f>BasisSwap3M12M!F31</f>
        <v>USD12L3L23Y_LCHQuote#0002</v>
      </c>
      <c r="W33" s="391" t="str">
        <f t="shared" si="2"/>
        <v>USDAM3L23Y_S12L3L_linear_LCHQuote</v>
      </c>
      <c r="X33" s="392" t="str">
        <f>_xll.qlForwardSwapQuote(W33,E33,V33,T33,Permanent,Trigger,ObjectOverwrite)</f>
        <v>USDAM3L23Y_S12L3L_linear_LCHQuote#0002</v>
      </c>
      <c r="Y33" s="233" t="s">
        <v>245</v>
      </c>
      <c r="Z33" s="407"/>
    </row>
    <row r="34" spans="1:26" s="226" customFormat="1" x14ac:dyDescent="0.2">
      <c r="A34" s="337"/>
      <c r="B34" s="229" t="s">
        <v>34</v>
      </c>
      <c r="C34" s="241" t="s">
        <v>14</v>
      </c>
      <c r="D34" s="242" t="str">
        <f t="shared" si="0"/>
        <v>UsdLiborSwapForBasisCalc24Y_linearLCH</v>
      </c>
      <c r="E34" s="231" t="str">
        <f>_xll.qlSwapIndex($D34,FixingType,B34,2,Currency,$E$5,"1Y","f",MoneyMarketDayCounter,Libor!$G$10,Discounting1,Permanent,Trigger,ObjectOverwrite)</f>
        <v>UsdLiborSwapForBasisCalc24Y_linearLCH#0002</v>
      </c>
      <c r="F34" s="233" t="str">
        <f>_xll.ohRangeRetrieveError(E34)</f>
        <v/>
      </c>
      <c r="G34" s="398"/>
      <c r="H34" s="389" t="s">
        <v>34</v>
      </c>
      <c r="I34" s="390" t="s">
        <v>95</v>
      </c>
      <c r="J34" s="390" t="s">
        <v>64</v>
      </c>
      <c r="K34" s="390" t="str">
        <f>Swap3M!F31</f>
        <v>USDAM3L23Y_LCHQuote#0002</v>
      </c>
      <c r="L34" s="399"/>
      <c r="M34" s="390" t="s">
        <v>242</v>
      </c>
      <c r="N34" s="390" t="s">
        <v>65</v>
      </c>
      <c r="O34" s="390" t="str">
        <f>BasisSwap3M6M!F32</f>
        <v>USD6L3L24Y_LCHQuote#0002</v>
      </c>
      <c r="P34" s="391" t="str">
        <f t="shared" si="1"/>
        <v>USDAM3L24Y_S6L3L_linear_LCHQuote</v>
      </c>
      <c r="Q34" s="392" t="str">
        <f>_xll.qlForwardSwapQuote(P34,E34,O34,M34,Permanent,Trigger,ObjectOverwrite)</f>
        <v>USDAM3L24Y_S6L3L_linear_LCHQuote#0002</v>
      </c>
      <c r="R34" s="233" t="str">
        <f>_xll.ohRangeRetrieveError(Q34)</f>
        <v/>
      </c>
      <c r="S34" s="399"/>
      <c r="T34" s="390" t="s">
        <v>242</v>
      </c>
      <c r="U34" s="390" t="s">
        <v>69</v>
      </c>
      <c r="V34" s="390" t="str">
        <f>BasisSwap3M12M!F32</f>
        <v>USD12L3L24Y_LCHQuote#0002</v>
      </c>
      <c r="W34" s="391" t="str">
        <f t="shared" si="2"/>
        <v>USDAM3L24Y_S12L3L_linear_LCHQuote</v>
      </c>
      <c r="X34" s="392" t="str">
        <f>_xll.qlForwardSwapQuote(W34,E34,V34,T34,Permanent,Trigger,ObjectOverwrite)</f>
        <v>USDAM3L24Y_S12L3L_linear_LCHQuote#0002</v>
      </c>
      <c r="Y34" s="233" t="s">
        <v>245</v>
      </c>
      <c r="Z34" s="407"/>
    </row>
    <row r="35" spans="1:26" s="226" customFormat="1" x14ac:dyDescent="0.2">
      <c r="A35" s="337"/>
      <c r="B35" s="229" t="s">
        <v>33</v>
      </c>
      <c r="C35" s="241" t="s">
        <v>14</v>
      </c>
      <c r="D35" s="242" t="str">
        <f t="shared" si="0"/>
        <v>UsdLiborSwapForBasisCalc25Y_linearLCH</v>
      </c>
      <c r="E35" s="231" t="str">
        <f>_xll.qlSwapIndex($D35,FixingType,B35,2,Currency,$E$5,"1Y","f",MoneyMarketDayCounter,Libor!$G$10,Discounting1,Permanent,Trigger,ObjectOverwrite)</f>
        <v>UsdLiborSwapForBasisCalc25Y_linearLCH#0002</v>
      </c>
      <c r="F35" s="233" t="str">
        <f>_xll.ohRangeRetrieveError(E35)</f>
        <v/>
      </c>
      <c r="G35" s="398"/>
      <c r="H35" s="389" t="s">
        <v>33</v>
      </c>
      <c r="I35" s="390" t="s">
        <v>95</v>
      </c>
      <c r="J35" s="390" t="s">
        <v>64</v>
      </c>
      <c r="K35" s="390" t="str">
        <f>Swap3M!F32</f>
        <v>USDAM3L24Y_LCHQuote#0002</v>
      </c>
      <c r="L35" s="399"/>
      <c r="M35" s="390" t="s">
        <v>242</v>
      </c>
      <c r="N35" s="390" t="s">
        <v>65</v>
      </c>
      <c r="O35" s="390" t="str">
        <f>BasisSwap3M6M!F33</f>
        <v>USD6L3L25Y_LCHQuote#0002</v>
      </c>
      <c r="P35" s="391" t="str">
        <f t="shared" si="1"/>
        <v>USDAM3L25Y_S6L3L_linear_LCHQuote</v>
      </c>
      <c r="Q35" s="392" t="str">
        <f>_xll.qlForwardSwapQuote(P35,E35,O35,M35,Permanent,Trigger,ObjectOverwrite)</f>
        <v>USDAM3L25Y_S6L3L_linear_LCHQuote#0002</v>
      </c>
      <c r="R35" s="233" t="str">
        <f>_xll.ohRangeRetrieveError(Q35)</f>
        <v/>
      </c>
      <c r="S35" s="399"/>
      <c r="T35" s="390" t="s">
        <v>242</v>
      </c>
      <c r="U35" s="390" t="s">
        <v>69</v>
      </c>
      <c r="V35" s="390" t="str">
        <f>BasisSwap3M12M!F33</f>
        <v>USD12L3L25Y_LCHQuote#0002</v>
      </c>
      <c r="W35" s="391" t="str">
        <f t="shared" si="2"/>
        <v>USDAM3L25Y_S12L3L_linear_LCHQuote</v>
      </c>
      <c r="X35" s="392" t="str">
        <f>_xll.qlForwardSwapQuote(W35,E35,V35,T35,Permanent,Trigger,ObjectOverwrite)</f>
        <v>USDAM3L25Y_S12L3L_linear_LCHQuote#0002</v>
      </c>
      <c r="Y35" s="233" t="s">
        <v>245</v>
      </c>
      <c r="Z35" s="407"/>
    </row>
    <row r="36" spans="1:26" s="226" customFormat="1" x14ac:dyDescent="0.2">
      <c r="A36" s="337"/>
      <c r="B36" s="229" t="s">
        <v>32</v>
      </c>
      <c r="C36" s="241" t="s">
        <v>14</v>
      </c>
      <c r="D36" s="242" t="str">
        <f t="shared" si="0"/>
        <v>UsdLiborSwapForBasisCalc26Y_linearLCH</v>
      </c>
      <c r="E36" s="231" t="str">
        <f>_xll.qlSwapIndex($D36,FixingType,B36,2,Currency,$E$5,"1Y","f",MoneyMarketDayCounter,Libor!$G$10,Discounting1,Permanent,Trigger,ObjectOverwrite)</f>
        <v>UsdLiborSwapForBasisCalc26Y_linearLCH#0002</v>
      </c>
      <c r="F36" s="233" t="str">
        <f>_xll.ohRangeRetrieveError(E36)</f>
        <v/>
      </c>
      <c r="G36" s="398"/>
      <c r="H36" s="389" t="s">
        <v>32</v>
      </c>
      <c r="I36" s="390" t="s">
        <v>95</v>
      </c>
      <c r="J36" s="390" t="s">
        <v>64</v>
      </c>
      <c r="K36" s="390" t="str">
        <f>Swap3M!F33</f>
        <v>USDAM3L25Y_LCHQuote#0002</v>
      </c>
      <c r="L36" s="399"/>
      <c r="M36" s="390" t="s">
        <v>242</v>
      </c>
      <c r="N36" s="390" t="s">
        <v>65</v>
      </c>
      <c r="O36" s="390" t="str">
        <f>BasisSwap3M6M!F34</f>
        <v>USD6L3L26Y_LCHQuote#0002</v>
      </c>
      <c r="P36" s="391" t="str">
        <f t="shared" si="1"/>
        <v>USDAM3L26Y_S6L3L_linear_LCHQuote</v>
      </c>
      <c r="Q36" s="392" t="str">
        <f>_xll.qlForwardSwapQuote(P36,E36,O36,M36,Permanent,Trigger,ObjectOverwrite)</f>
        <v>USDAM3L26Y_S6L3L_linear_LCHQuote#0003</v>
      </c>
      <c r="R36" s="233" t="str">
        <f>_xll.ohRangeRetrieveError(Q36)</f>
        <v/>
      </c>
      <c r="S36" s="399"/>
      <c r="T36" s="390" t="s">
        <v>242</v>
      </c>
      <c r="U36" s="390" t="s">
        <v>69</v>
      </c>
      <c r="V36" s="390" t="str">
        <f>BasisSwap3M12M!F34</f>
        <v>USD12L3L26Y_LCHQuote#0002</v>
      </c>
      <c r="W36" s="391" t="str">
        <f t="shared" si="2"/>
        <v>USDAM3L26Y_S12L3L_linear_LCHQuote</v>
      </c>
      <c r="X36" s="392" t="str">
        <f>_xll.qlForwardSwapQuote(W36,E36,V36,T36,Permanent,Trigger,ObjectOverwrite)</f>
        <v>USDAM3L26Y_S12L3L_linear_LCHQuote#0003</v>
      </c>
      <c r="Y36" s="233" t="s">
        <v>245</v>
      </c>
      <c r="Z36" s="407"/>
    </row>
    <row r="37" spans="1:26" s="226" customFormat="1" x14ac:dyDescent="0.2">
      <c r="A37" s="337"/>
      <c r="B37" s="229" t="s">
        <v>31</v>
      </c>
      <c r="C37" s="241" t="s">
        <v>14</v>
      </c>
      <c r="D37" s="242" t="str">
        <f t="shared" si="0"/>
        <v>UsdLiborSwapForBasisCalc27Y_linearLCH</v>
      </c>
      <c r="E37" s="231" t="str">
        <f>_xll.qlSwapIndex($D37,FixingType,B37,2,Currency,$E$5,"1Y","f",MoneyMarketDayCounter,Libor!$G$10,Discounting1,Permanent,Trigger,ObjectOverwrite)</f>
        <v>UsdLiborSwapForBasisCalc27Y_linearLCH#0002</v>
      </c>
      <c r="F37" s="233" t="str">
        <f>_xll.ohRangeRetrieveError(E37)</f>
        <v/>
      </c>
      <c r="G37" s="398"/>
      <c r="H37" s="389" t="s">
        <v>31</v>
      </c>
      <c r="I37" s="390" t="s">
        <v>95</v>
      </c>
      <c r="J37" s="390" t="s">
        <v>64</v>
      </c>
      <c r="K37" s="390" t="str">
        <f>Swap3M!F34</f>
        <v>USDAM3L26Y_LCHQuote#0002</v>
      </c>
      <c r="L37" s="399"/>
      <c r="M37" s="390" t="s">
        <v>242</v>
      </c>
      <c r="N37" s="390" t="s">
        <v>65</v>
      </c>
      <c r="O37" s="390" t="str">
        <f>BasisSwap3M6M!F35</f>
        <v>USD6L3L27Y_LCHQuote#0002</v>
      </c>
      <c r="P37" s="391" t="str">
        <f t="shared" si="1"/>
        <v>USDAM3L27Y_S6L3L_linear_LCHQuote</v>
      </c>
      <c r="Q37" s="392" t="str">
        <f>_xll.qlForwardSwapQuote(P37,E37,O37,M37,Permanent,Trigger,ObjectOverwrite)</f>
        <v>USDAM3L27Y_S6L3L_linear_LCHQuote#0003</v>
      </c>
      <c r="R37" s="393" t="str">
        <f>_xll.ohRangeRetrieveError(Q37)</f>
        <v/>
      </c>
      <c r="S37" s="399"/>
      <c r="T37" s="390" t="s">
        <v>242</v>
      </c>
      <c r="U37" s="390" t="s">
        <v>69</v>
      </c>
      <c r="V37" s="390" t="str">
        <f>BasisSwap3M12M!F35</f>
        <v>USD12L3L27Y_LCHQuote#0002</v>
      </c>
      <c r="W37" s="391" t="str">
        <f t="shared" si="2"/>
        <v>USDAM3L27Y_S12L3L_linear_LCHQuote</v>
      </c>
      <c r="X37" s="392" t="str">
        <f>_xll.qlForwardSwapQuote(W37,E37,V37,T37,Permanent,Trigger,ObjectOverwrite)</f>
        <v>USDAM3L27Y_S12L3L_linear_LCHQuote#0003</v>
      </c>
      <c r="Y37" s="393" t="s">
        <v>245</v>
      </c>
      <c r="Z37" s="407"/>
    </row>
    <row r="38" spans="1:26" s="226" customFormat="1" x14ac:dyDescent="0.2">
      <c r="A38" s="337"/>
      <c r="B38" s="229" t="s">
        <v>30</v>
      </c>
      <c r="C38" s="241" t="s">
        <v>14</v>
      </c>
      <c r="D38" s="242" t="str">
        <f t="shared" si="0"/>
        <v>UsdLiborSwapForBasisCalc28Y_linearLCH</v>
      </c>
      <c r="E38" s="231" t="str">
        <f>_xll.qlSwapIndex($D38,FixingType,B38,2,Currency,$E$5,"1Y","f",MoneyMarketDayCounter,Libor!$G$10,Discounting1,Permanent,Trigger,ObjectOverwrite)</f>
        <v>UsdLiborSwapForBasisCalc28Y_linearLCH#0002</v>
      </c>
      <c r="F38" s="233" t="str">
        <f>_xll.ohRangeRetrieveError(E38)</f>
        <v/>
      </c>
      <c r="G38" s="398"/>
      <c r="H38" s="389" t="s">
        <v>30</v>
      </c>
      <c r="I38" s="390" t="s">
        <v>95</v>
      </c>
      <c r="J38" s="390" t="s">
        <v>64</v>
      </c>
      <c r="K38" s="390" t="str">
        <f>Swap3M!F35</f>
        <v>USDAM3L27Y_LCHQuote#0002</v>
      </c>
      <c r="L38" s="399"/>
      <c r="M38" s="390" t="s">
        <v>242</v>
      </c>
      <c r="N38" s="390" t="s">
        <v>65</v>
      </c>
      <c r="O38" s="390" t="str">
        <f>BasisSwap3M6M!F36</f>
        <v>USD6L3L28Y_LCHQuote#0002</v>
      </c>
      <c r="P38" s="391" t="str">
        <f t="shared" si="1"/>
        <v>USDAM3L28Y_S6L3L_linear_LCHQuote</v>
      </c>
      <c r="Q38" s="392" t="str">
        <f>_xll.qlForwardSwapQuote(P38,E38,O38,M38,Permanent,Trigger,ObjectOverwrite)</f>
        <v>USDAM3L28Y_S6L3L_linear_LCHQuote#0003</v>
      </c>
      <c r="R38" s="393" t="str">
        <f>_xll.ohRangeRetrieveError(Q38)</f>
        <v/>
      </c>
      <c r="S38" s="399"/>
      <c r="T38" s="390" t="s">
        <v>242</v>
      </c>
      <c r="U38" s="390" t="s">
        <v>69</v>
      </c>
      <c r="V38" s="390" t="str">
        <f>BasisSwap3M12M!F36</f>
        <v>USD12L3L28Y_LCHQuote#0002</v>
      </c>
      <c r="W38" s="391" t="str">
        <f t="shared" si="2"/>
        <v>USDAM3L28Y_S12L3L_linear_LCHQuote</v>
      </c>
      <c r="X38" s="392" t="str">
        <f>_xll.qlForwardSwapQuote(W38,E38,V38,T38,Permanent,Trigger,ObjectOverwrite)</f>
        <v>USDAM3L28Y_S12L3L_linear_LCHQuote#0003</v>
      </c>
      <c r="Y38" s="393" t="s">
        <v>245</v>
      </c>
      <c r="Z38" s="407"/>
    </row>
    <row r="39" spans="1:26" s="226" customFormat="1" x14ac:dyDescent="0.2">
      <c r="A39" s="337"/>
      <c r="B39" s="229" t="s">
        <v>29</v>
      </c>
      <c r="C39" s="241" t="s">
        <v>14</v>
      </c>
      <c r="D39" s="242" t="str">
        <f t="shared" si="0"/>
        <v>UsdLiborSwapForBasisCalc29Y_linearLCH</v>
      </c>
      <c r="E39" s="231" t="str">
        <f>_xll.qlSwapIndex($D39,FixingType,B39,2,Currency,$E$5,"1Y","f",MoneyMarketDayCounter,Libor!$G$10,Discounting1,Permanent,Trigger,ObjectOverwrite)</f>
        <v>UsdLiborSwapForBasisCalc29Y_linearLCH#0002</v>
      </c>
      <c r="F39" s="233" t="str">
        <f>_xll.ohRangeRetrieveError(E39)</f>
        <v/>
      </c>
      <c r="G39" s="398"/>
      <c r="H39" s="389" t="s">
        <v>29</v>
      </c>
      <c r="I39" s="390" t="s">
        <v>95</v>
      </c>
      <c r="J39" s="390" t="s">
        <v>64</v>
      </c>
      <c r="K39" s="390" t="str">
        <f>Swap3M!F36</f>
        <v>USDAM3L28Y_LCHQuote#0002</v>
      </c>
      <c r="L39" s="399"/>
      <c r="M39" s="390" t="s">
        <v>242</v>
      </c>
      <c r="N39" s="390" t="s">
        <v>65</v>
      </c>
      <c r="O39" s="390" t="str">
        <f>BasisSwap3M6M!F37</f>
        <v>USD6L3L29Y_LCHQuote#0002</v>
      </c>
      <c r="P39" s="391" t="str">
        <f t="shared" si="1"/>
        <v>USDAM3L29Y_S6L3L_linear_LCHQuote</v>
      </c>
      <c r="Q39" s="392" t="str">
        <f>_xll.qlForwardSwapQuote(P39,E39,O39,M39,Permanent,Trigger,ObjectOverwrite)</f>
        <v>USDAM3L29Y_S6L3L_linear_LCHQuote#0003</v>
      </c>
      <c r="R39" s="393" t="str">
        <f>_xll.ohRangeRetrieveError(Q39)</f>
        <v/>
      </c>
      <c r="S39" s="399"/>
      <c r="T39" s="390" t="s">
        <v>242</v>
      </c>
      <c r="U39" s="390" t="s">
        <v>69</v>
      </c>
      <c r="V39" s="390" t="str">
        <f>BasisSwap3M12M!F37</f>
        <v>USD12L3L29Y_LCHQuote#0002</v>
      </c>
      <c r="W39" s="391" t="str">
        <f t="shared" si="2"/>
        <v>USDAM3L29Y_S12L3L_linear_LCHQuote</v>
      </c>
      <c r="X39" s="392" t="str">
        <f>_xll.qlForwardSwapQuote(W39,E39,V39,T39,Permanent,Trigger,ObjectOverwrite)</f>
        <v>USDAM3L29Y_S12L3L_linear_LCHQuote#0003</v>
      </c>
      <c r="Y39" s="393" t="s">
        <v>245</v>
      </c>
      <c r="Z39" s="407"/>
    </row>
    <row r="40" spans="1:26" s="226" customFormat="1" x14ac:dyDescent="0.2">
      <c r="A40" s="337"/>
      <c r="B40" s="229" t="s">
        <v>28</v>
      </c>
      <c r="C40" s="241" t="s">
        <v>14</v>
      </c>
      <c r="D40" s="242" t="str">
        <f t="shared" si="0"/>
        <v>UsdLiborSwapForBasisCalc30Y_linearLCH</v>
      </c>
      <c r="E40" s="231" t="str">
        <f>_xll.qlSwapIndex($D40,FixingType,B40,2,Currency,$E$5,"1Y","f",MoneyMarketDayCounter,Libor!$G$10,Discounting1,Permanent,Trigger,ObjectOverwrite)</f>
        <v>UsdLiborSwapForBasisCalc30Y_linearLCH#0002</v>
      </c>
      <c r="F40" s="233" t="str">
        <f>_xll.ohRangeRetrieveError(E40)</f>
        <v/>
      </c>
      <c r="G40" s="398"/>
      <c r="H40" s="389" t="s">
        <v>28</v>
      </c>
      <c r="I40" s="390" t="s">
        <v>95</v>
      </c>
      <c r="J40" s="390" t="s">
        <v>64</v>
      </c>
      <c r="K40" s="390" t="str">
        <f>Swap3M!F37</f>
        <v>USDAM3L29Y_LCHQuote#0002</v>
      </c>
      <c r="L40" s="399"/>
      <c r="M40" s="390" t="s">
        <v>242</v>
      </c>
      <c r="N40" s="390" t="s">
        <v>65</v>
      </c>
      <c r="O40" s="390" t="str">
        <f>BasisSwap3M6M!F38</f>
        <v>USD6L3L30Y_LCHQuote#0002</v>
      </c>
      <c r="P40" s="391" t="str">
        <f t="shared" si="1"/>
        <v>USDAM3L30Y_S6L3L_linear_LCHQuote</v>
      </c>
      <c r="Q40" s="392" t="str">
        <f>_xll.qlForwardSwapQuote(P40,E40,O40,M40,Permanent,Trigger,ObjectOverwrite)</f>
        <v>USDAM3L30Y_S6L3L_linear_LCHQuote#0003</v>
      </c>
      <c r="R40" s="393" t="str">
        <f>_xll.ohRangeRetrieveError(Q40)</f>
        <v/>
      </c>
      <c r="S40" s="399"/>
      <c r="T40" s="390" t="s">
        <v>242</v>
      </c>
      <c r="U40" s="390" t="s">
        <v>69</v>
      </c>
      <c r="V40" s="390" t="str">
        <f>BasisSwap3M12M!F38</f>
        <v>USD12L3L30Y_LCHQuote#0002</v>
      </c>
      <c r="W40" s="391" t="str">
        <f t="shared" si="2"/>
        <v>USDAM3L30Y_S12L3L_linear_LCHQuote</v>
      </c>
      <c r="X40" s="392" t="str">
        <f>_xll.qlForwardSwapQuote(W40,E40,V40,T40,Permanent,Trigger,ObjectOverwrite)</f>
        <v>USDAM3L30Y_S12L3L_linear_LCHQuote#0003</v>
      </c>
      <c r="Y40" s="393" t="s">
        <v>245</v>
      </c>
      <c r="Z40" s="407"/>
    </row>
    <row r="41" spans="1:26" s="226" customFormat="1" x14ac:dyDescent="0.2">
      <c r="A41" s="337"/>
      <c r="B41" s="229" t="s">
        <v>27</v>
      </c>
      <c r="C41" s="241" t="s">
        <v>14</v>
      </c>
      <c r="D41" s="242" t="str">
        <f t="shared" si="0"/>
        <v>UsdLiborSwapForBasisCalc35Y_linearLCH</v>
      </c>
      <c r="E41" s="231" t="str">
        <f>_xll.qlSwapIndex($D41,FixingType,B41,2,Currency,$E$5,"1Y","f",MoneyMarketDayCounter,Libor!$G$10,Discounting1,Permanent,Trigger,ObjectOverwrite)</f>
        <v>UsdLiborSwapForBasisCalc35Y_linearLCH#0002</v>
      </c>
      <c r="F41" s="233" t="str">
        <f>_xll.ohRangeRetrieveError(E41)</f>
        <v/>
      </c>
      <c r="G41" s="398"/>
      <c r="H41" s="389" t="s">
        <v>27</v>
      </c>
      <c r="I41" s="390" t="s">
        <v>95</v>
      </c>
      <c r="J41" s="390" t="s">
        <v>64</v>
      </c>
      <c r="K41" s="390" t="str">
        <f>Swap3M!F38</f>
        <v>USDAM3L30Y_LCHQuote#0002</v>
      </c>
      <c r="L41" s="399"/>
      <c r="M41" s="390" t="s">
        <v>242</v>
      </c>
      <c r="N41" s="390" t="s">
        <v>65</v>
      </c>
      <c r="O41" s="390" t="str">
        <f>BasisSwap3M6M!F39</f>
        <v>USD6L3L35Y_LCHQuote#0002</v>
      </c>
      <c r="P41" s="391" t="str">
        <f t="shared" si="1"/>
        <v>USDAM3L35Y_S6L3L_linear_LCHQuote</v>
      </c>
      <c r="Q41" s="392" t="str">
        <f>_xll.qlForwardSwapQuote(P41,E41,O41,M41,Permanent,Trigger,ObjectOverwrite)</f>
        <v>USDAM3L35Y_S6L3L_linear_LCHQuote#0003</v>
      </c>
      <c r="R41" s="393" t="str">
        <f>_xll.ohRangeRetrieveError(Q41)</f>
        <v/>
      </c>
      <c r="S41" s="399"/>
      <c r="T41" s="390" t="s">
        <v>242</v>
      </c>
      <c r="U41" s="390" t="s">
        <v>69</v>
      </c>
      <c r="V41" s="390" t="str">
        <f>BasisSwap3M12M!F39</f>
        <v>USD12L3L35Y_LCHQuote#0002</v>
      </c>
      <c r="W41" s="391" t="str">
        <f t="shared" si="2"/>
        <v>USDAM3L35Y_S12L3L_linear_LCHQuote</v>
      </c>
      <c r="X41" s="392" t="str">
        <f>_xll.qlForwardSwapQuote(W41,E41,V41,T41,Permanent,Trigger,ObjectOverwrite)</f>
        <v>USDAM3L35Y_S12L3L_linear_LCHQuote#0003</v>
      </c>
      <c r="Y41" s="393" t="s">
        <v>245</v>
      </c>
      <c r="Z41" s="407"/>
    </row>
    <row r="42" spans="1:26" s="226" customFormat="1" x14ac:dyDescent="0.2">
      <c r="A42" s="337"/>
      <c r="B42" s="229" t="s">
        <v>26</v>
      </c>
      <c r="C42" s="241" t="s">
        <v>14</v>
      </c>
      <c r="D42" s="242" t="str">
        <f t="shared" si="0"/>
        <v>UsdLiborSwapForBasisCalc40Y_linearLCH</v>
      </c>
      <c r="E42" s="231" t="str">
        <f>_xll.qlSwapIndex($D42,FixingType,B42,2,Currency,$E$5,"1Y","f",MoneyMarketDayCounter,Libor!$G$10,Discounting1,Permanent,Trigger,ObjectOverwrite)</f>
        <v>UsdLiborSwapForBasisCalc40Y_linearLCH#0002</v>
      </c>
      <c r="F42" s="233" t="str">
        <f>_xll.ohRangeRetrieveError(E42)</f>
        <v/>
      </c>
      <c r="G42" s="398"/>
      <c r="H42" s="389" t="s">
        <v>26</v>
      </c>
      <c r="I42" s="390" t="s">
        <v>95</v>
      </c>
      <c r="J42" s="390" t="s">
        <v>64</v>
      </c>
      <c r="K42" s="390" t="str">
        <f>Swap3M!F39</f>
        <v>USDAM3L35Y_LCHQuote#0002</v>
      </c>
      <c r="L42" s="399"/>
      <c r="M42" s="390" t="s">
        <v>242</v>
      </c>
      <c r="N42" s="390" t="s">
        <v>65</v>
      </c>
      <c r="O42" s="390" t="str">
        <f>BasisSwap3M6M!F40</f>
        <v>USD6L3L40Y_LCHQuote#0002</v>
      </c>
      <c r="P42" s="391" t="str">
        <f t="shared" si="1"/>
        <v>USDAM3L40Y_S6L3L_linear_LCHQuote</v>
      </c>
      <c r="Q42" s="392" t="str">
        <f>_xll.qlForwardSwapQuote(P42,E42,O42,M42,Permanent,Trigger,ObjectOverwrite)</f>
        <v>USDAM3L40Y_S6L3L_linear_LCHQuote#0003</v>
      </c>
      <c r="R42" s="393" t="str">
        <f>_xll.ohRangeRetrieveError(Q42)</f>
        <v/>
      </c>
      <c r="S42" s="399"/>
      <c r="T42" s="390" t="s">
        <v>242</v>
      </c>
      <c r="U42" s="390" t="s">
        <v>69</v>
      </c>
      <c r="V42" s="390" t="str">
        <f>BasisSwap3M12M!F40</f>
        <v>USD12L3L40Y_LCHQuote#0002</v>
      </c>
      <c r="W42" s="391" t="str">
        <f t="shared" si="2"/>
        <v>USDAM3L40Y_S12L3L_linear_LCHQuote</v>
      </c>
      <c r="X42" s="392" t="str">
        <f>_xll.qlForwardSwapQuote(W42,E42,V42,T42,Permanent,Trigger,ObjectOverwrite)</f>
        <v>USDAM3L40Y_S12L3L_linear_LCHQuote#0003</v>
      </c>
      <c r="Y42" s="393" t="s">
        <v>245</v>
      </c>
      <c r="Z42" s="407"/>
    </row>
    <row r="43" spans="1:26" s="226" customFormat="1" x14ac:dyDescent="0.2">
      <c r="A43" s="337"/>
      <c r="B43" s="229" t="s">
        <v>24</v>
      </c>
      <c r="C43" s="241" t="s">
        <v>14</v>
      </c>
      <c r="D43" s="242" t="str">
        <f t="shared" si="0"/>
        <v>UsdLiborSwapForBasisCalc50Y_linearLCH</v>
      </c>
      <c r="E43" s="231" t="str">
        <f>_xll.qlSwapIndex($D43,FixingType,B43,2,Currency,$E$5,"1Y","f",MoneyMarketDayCounter,Libor!$G$10,Discounting1,Permanent,Trigger,ObjectOverwrite)</f>
        <v>UsdLiborSwapForBasisCalc50Y_linearLCH#0002</v>
      </c>
      <c r="F43" s="233" t="str">
        <f>_xll.ohRangeRetrieveError(E43)</f>
        <v/>
      </c>
      <c r="G43" s="398"/>
      <c r="H43" s="389" t="s">
        <v>24</v>
      </c>
      <c r="I43" s="390" t="s">
        <v>95</v>
      </c>
      <c r="J43" s="390" t="s">
        <v>64</v>
      </c>
      <c r="K43" s="390" t="str">
        <f>Swap3M!F40</f>
        <v>USDAM3L40Y_LCHQuote#0002</v>
      </c>
      <c r="L43" s="399"/>
      <c r="M43" s="390" t="s">
        <v>242</v>
      </c>
      <c r="N43" s="390" t="s">
        <v>65</v>
      </c>
      <c r="O43" s="390" t="str">
        <f>BasisSwap3M6M!F41</f>
        <v>USD6L3L50Y_LCHQuote#0002</v>
      </c>
      <c r="P43" s="391" t="str">
        <f t="shared" si="1"/>
        <v>USDAM3L50Y_S6L3L_linear_LCHQuote</v>
      </c>
      <c r="Q43" s="392" t="str">
        <f>_xll.qlForwardSwapQuote(P43,E43,O43,M43,Permanent,Trigger,ObjectOverwrite)</f>
        <v>USDAM3L50Y_S6L3L_linear_LCHQuote#0003</v>
      </c>
      <c r="R43" s="393" t="str">
        <f>_xll.ohRangeRetrieveError(Q43)</f>
        <v/>
      </c>
      <c r="S43" s="399"/>
      <c r="T43" s="390" t="s">
        <v>242</v>
      </c>
      <c r="U43" s="390" t="s">
        <v>69</v>
      </c>
      <c r="V43" s="390" t="str">
        <f>BasisSwap3M12M!F41</f>
        <v>USD12L3L50Y_LCHQuote#0002</v>
      </c>
      <c r="W43" s="391" t="str">
        <f t="shared" si="2"/>
        <v>USDAM3L50Y_S12L3L_linear_LCHQuote</v>
      </c>
      <c r="X43" s="392" t="str">
        <f>_xll.qlForwardSwapQuote(W43,E43,V43,T43,Permanent,Trigger,ObjectOverwrite)</f>
        <v>USDAM3L50Y_S12L3L_linear_LCHQuote#0003</v>
      </c>
      <c r="Y43" s="393" t="s">
        <v>245</v>
      </c>
      <c r="Z43" s="407"/>
    </row>
    <row r="44" spans="1:26" s="226" customFormat="1" x14ac:dyDescent="0.2">
      <c r="A44" s="337"/>
      <c r="B44" s="229" t="s">
        <v>23</v>
      </c>
      <c r="C44" s="241" t="s">
        <v>14</v>
      </c>
      <c r="D44" s="242" t="str">
        <f t="shared" si="0"/>
        <v>UsdLiborSwapForBasisCalc60Y_linearLCH</v>
      </c>
      <c r="E44" s="231" t="str">
        <f>_xll.qlSwapIndex($D44,FixingType,B44,2,Currency,$E$5,"1Y","f",MoneyMarketDayCounter,Libor!$G$10,Discounting1,Permanent,Trigger,ObjectOverwrite)</f>
        <v>UsdLiborSwapForBasisCalc60Y_linearLCH#0002</v>
      </c>
      <c r="F44" s="233" t="str">
        <f>_xll.ohRangeRetrieveError(E44)</f>
        <v/>
      </c>
      <c r="G44" s="398"/>
      <c r="H44" s="394" t="s">
        <v>23</v>
      </c>
      <c r="I44" s="395" t="s">
        <v>95</v>
      </c>
      <c r="J44" s="395" t="s">
        <v>64</v>
      </c>
      <c r="K44" s="395" t="str">
        <f>Swap3M!F41</f>
        <v>USDAM3L50Y_LCHQuote#0002</v>
      </c>
      <c r="L44" s="399"/>
      <c r="M44" s="395" t="s">
        <v>242</v>
      </c>
      <c r="N44" s="395" t="s">
        <v>65</v>
      </c>
      <c r="O44" s="395" t="str">
        <f>BasisSwap3M6M!F42</f>
        <v>USD6L3L60Y_LCHQuote#0002</v>
      </c>
      <c r="P44" s="396" t="str">
        <f t="shared" si="1"/>
        <v>USDAM3L60Y_S6L3L_linear_LCHQuote</v>
      </c>
      <c r="Q44" s="397" t="str">
        <f>_xll.qlForwardSwapQuote(P44,E44,O44,M44,Permanent,Trigger,ObjectOverwrite)</f>
        <v>USDAM3L60Y_S6L3L_linear_LCHQuote#0003</v>
      </c>
      <c r="R44" s="234" t="str">
        <f>_xll.ohRangeRetrieveError(Q44)</f>
        <v/>
      </c>
      <c r="S44" s="399"/>
      <c r="T44" s="395" t="s">
        <v>242</v>
      </c>
      <c r="U44" s="395" t="s">
        <v>69</v>
      </c>
      <c r="V44" s="395" t="str">
        <f>BasisSwap3M12M!F42</f>
        <v>USD12L3L60Y_LCHQuote#0002</v>
      </c>
      <c r="W44" s="396" t="str">
        <f t="shared" si="2"/>
        <v>USDAM3L60Y_S12L3L_linear_LCHQuote</v>
      </c>
      <c r="X44" s="397" t="str">
        <f>_xll.qlForwardSwapQuote(W44,E44,V44,T44,Permanent,Trigger,ObjectOverwrite)</f>
        <v>USDAM3L60Y_S12L3L_linear_LCHQuote#0003</v>
      </c>
      <c r="Y44" s="234" t="s">
        <v>245</v>
      </c>
      <c r="Z44" s="407"/>
    </row>
    <row r="45" spans="1:26" s="226" customFormat="1" x14ac:dyDescent="0.2">
      <c r="A45" s="408"/>
      <c r="B45" s="409"/>
      <c r="C45" s="409"/>
      <c r="D45" s="410"/>
      <c r="E45" s="411"/>
      <c r="F45" s="411"/>
      <c r="G45" s="365"/>
      <c r="H45" s="412"/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3"/>
    </row>
    <row r="46" spans="1:26" s="403" customFormat="1" x14ac:dyDescent="0.2">
      <c r="B46" s="405"/>
      <c r="C46" s="405"/>
      <c r="E46" s="406"/>
      <c r="F46" s="406"/>
      <c r="G46" s="404"/>
    </row>
    <row r="47" spans="1:26" s="403" customFormat="1" x14ac:dyDescent="0.2">
      <c r="B47" s="405"/>
      <c r="C47" s="405"/>
      <c r="E47" s="406"/>
      <c r="F47" s="406"/>
      <c r="G47" s="404"/>
    </row>
    <row r="48" spans="1:26" s="403" customFormat="1" x14ac:dyDescent="0.2">
      <c r="B48" s="405"/>
      <c r="C48" s="405"/>
      <c r="E48" s="406"/>
      <c r="F48" s="406"/>
      <c r="G48" s="404"/>
    </row>
    <row r="49" spans="2:7" s="403" customFormat="1" x14ac:dyDescent="0.2">
      <c r="B49" s="405"/>
      <c r="C49" s="405"/>
      <c r="E49" s="406"/>
      <c r="F49" s="406"/>
      <c r="G49" s="404"/>
    </row>
    <row r="50" spans="2:7" s="403" customFormat="1" x14ac:dyDescent="0.2">
      <c r="B50" s="405"/>
      <c r="C50" s="405"/>
      <c r="E50" s="406"/>
      <c r="F50" s="406"/>
      <c r="G50" s="404"/>
    </row>
    <row r="51" spans="2:7" s="403" customFormat="1" x14ac:dyDescent="0.2">
      <c r="B51" s="405"/>
      <c r="C51" s="405"/>
      <c r="E51" s="406"/>
      <c r="F51" s="406"/>
      <c r="G51" s="404"/>
    </row>
    <row r="52" spans="2:7" s="403" customFormat="1" x14ac:dyDescent="0.2">
      <c r="B52" s="405"/>
      <c r="C52" s="405"/>
      <c r="E52" s="406"/>
      <c r="F52" s="406"/>
      <c r="G52" s="404"/>
    </row>
    <row r="53" spans="2:7" s="403" customFormat="1" x14ac:dyDescent="0.2">
      <c r="B53" s="405"/>
      <c r="C53" s="405"/>
      <c r="E53" s="406"/>
      <c r="F53" s="406"/>
      <c r="G53" s="404"/>
    </row>
    <row r="54" spans="2:7" s="403" customFormat="1" x14ac:dyDescent="0.2">
      <c r="B54" s="405"/>
      <c r="C54" s="405"/>
      <c r="E54" s="406"/>
      <c r="F54" s="406"/>
      <c r="G54" s="404"/>
    </row>
    <row r="55" spans="2:7" s="403" customFormat="1" x14ac:dyDescent="0.2">
      <c r="B55" s="405"/>
      <c r="C55" s="405"/>
      <c r="E55" s="406"/>
      <c r="F55" s="406"/>
      <c r="G55" s="404"/>
    </row>
    <row r="56" spans="2:7" s="403" customFormat="1" x14ac:dyDescent="0.2">
      <c r="B56" s="405"/>
      <c r="C56" s="405"/>
      <c r="E56" s="406"/>
      <c r="F56" s="406"/>
      <c r="G56" s="404"/>
    </row>
    <row r="57" spans="2:7" s="403" customFormat="1" x14ac:dyDescent="0.2">
      <c r="B57" s="405"/>
      <c r="C57" s="405"/>
      <c r="E57" s="406"/>
      <c r="F57" s="406"/>
      <c r="G57" s="404"/>
    </row>
    <row r="58" spans="2:7" s="403" customFormat="1" x14ac:dyDescent="0.2">
      <c r="B58" s="405"/>
      <c r="C58" s="405"/>
      <c r="E58" s="406"/>
      <c r="F58" s="406"/>
      <c r="G58" s="404"/>
    </row>
    <row r="59" spans="2:7" s="403" customFormat="1" x14ac:dyDescent="0.2">
      <c r="B59" s="405"/>
      <c r="C59" s="405"/>
      <c r="E59" s="406"/>
      <c r="F59" s="406"/>
      <c r="G59" s="404"/>
    </row>
    <row r="60" spans="2:7" s="403" customFormat="1" x14ac:dyDescent="0.2">
      <c r="B60" s="405"/>
      <c r="C60" s="405"/>
      <c r="E60" s="406"/>
      <c r="F60" s="406"/>
      <c r="G60" s="404"/>
    </row>
    <row r="61" spans="2:7" s="403" customFormat="1" x14ac:dyDescent="0.2">
      <c r="B61" s="405"/>
      <c r="C61" s="405"/>
      <c r="E61" s="406"/>
      <c r="F61" s="406"/>
      <c r="G61" s="404"/>
    </row>
    <row r="62" spans="2:7" s="403" customFormat="1" x14ac:dyDescent="0.2">
      <c r="B62" s="405"/>
      <c r="C62" s="405"/>
      <c r="E62" s="406"/>
      <c r="F62" s="406"/>
      <c r="G62" s="404"/>
    </row>
    <row r="63" spans="2:7" s="403" customFormat="1" x14ac:dyDescent="0.2">
      <c r="B63" s="405"/>
      <c r="C63" s="405"/>
      <c r="E63" s="406"/>
      <c r="F63" s="406"/>
      <c r="G63" s="404"/>
    </row>
    <row r="64" spans="2:7" s="403" customFormat="1" x14ac:dyDescent="0.2">
      <c r="B64" s="405"/>
      <c r="C64" s="405"/>
      <c r="E64" s="406"/>
      <c r="F64" s="406"/>
      <c r="G64" s="404"/>
    </row>
    <row r="65" spans="1:18" s="403" customFormat="1" x14ac:dyDescent="0.2">
      <c r="B65" s="405"/>
      <c r="C65" s="405"/>
      <c r="E65" s="406"/>
      <c r="F65" s="406"/>
      <c r="G65" s="404"/>
    </row>
    <row r="66" spans="1:18" s="403" customFormat="1" x14ac:dyDescent="0.2">
      <c r="B66" s="405"/>
      <c r="C66" s="405"/>
      <c r="E66" s="406"/>
      <c r="F66" s="406"/>
      <c r="G66" s="404"/>
    </row>
    <row r="67" spans="1:18" s="403" customFormat="1" x14ac:dyDescent="0.2">
      <c r="B67" s="405"/>
      <c r="C67" s="405"/>
      <c r="E67" s="406"/>
      <c r="F67" s="406"/>
      <c r="G67" s="404"/>
    </row>
    <row r="68" spans="1:18" s="403" customFormat="1" x14ac:dyDescent="0.2">
      <c r="A68" s="404"/>
      <c r="B68" s="404"/>
      <c r="C68" s="404"/>
      <c r="D68" s="404"/>
      <c r="E68" s="404"/>
      <c r="F68" s="404"/>
      <c r="G68" s="404"/>
    </row>
    <row r="69" spans="1:18" s="403" customFormat="1" x14ac:dyDescent="0.2">
      <c r="H69" s="404"/>
      <c r="I69" s="404"/>
      <c r="J69" s="404"/>
      <c r="K69" s="404"/>
      <c r="L69" s="404"/>
      <c r="M69" s="404"/>
      <c r="N69" s="404"/>
      <c r="O69" s="404"/>
      <c r="P69" s="404"/>
      <c r="Q69" s="404"/>
      <c r="R69" s="404"/>
    </row>
    <row r="70" spans="1:18" s="403" customFormat="1" x14ac:dyDescent="0.2">
      <c r="A70" s="404"/>
      <c r="B70" s="404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404"/>
      <c r="O70" s="404"/>
      <c r="P70" s="404"/>
      <c r="Q70" s="404"/>
      <c r="R70" s="404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G1" workbookViewId="0">
      <selection activeCell="G1" sqref="G1"/>
    </sheetView>
  </sheetViews>
  <sheetFormatPr defaultRowHeight="11.25" outlineLevelCol="1" x14ac:dyDescent="0.2"/>
  <cols>
    <col min="1" max="1" width="2.7109375" style="404" hidden="1" customWidth="1" outlineLevel="1"/>
    <col min="2" max="2" width="4" style="404" hidden="1" customWidth="1" outlineLevel="1"/>
    <col min="3" max="3" width="10" style="404" hidden="1" customWidth="1" outlineLevel="1"/>
    <col min="4" max="4" width="38" style="404" hidden="1" customWidth="1" outlineLevel="1"/>
    <col min="5" max="5" width="43.140625" style="404" hidden="1" customWidth="1" outlineLevel="1"/>
    <col min="6" max="6" width="20.7109375" style="404" hidden="1" customWidth="1" outlineLevel="1"/>
    <col min="7" max="7" width="2.7109375" style="404" customWidth="1" collapsed="1"/>
    <col min="8" max="10" width="5.7109375" style="404" customWidth="1"/>
    <col min="11" max="11" width="24.42578125" style="404" bestFit="1" customWidth="1"/>
    <col min="12" max="12" width="2.7109375" style="404" customWidth="1"/>
    <col min="13" max="14" width="9.7109375" style="404" customWidth="1"/>
    <col min="15" max="15" width="24.42578125" style="404" bestFit="1" customWidth="1"/>
    <col min="16" max="16" width="35.85546875" style="404" bestFit="1" customWidth="1"/>
    <col min="17" max="17" width="38" style="404" bestFit="1" customWidth="1"/>
    <col min="18" max="18" width="20.7109375" style="404" customWidth="1"/>
    <col min="19" max="19" width="4.7109375" style="404" customWidth="1"/>
    <col min="20" max="21" width="9.140625" style="404"/>
    <col min="22" max="22" width="26.5703125" style="404" bestFit="1" customWidth="1"/>
    <col min="23" max="23" width="33.85546875" style="404" bestFit="1" customWidth="1"/>
    <col min="24" max="24" width="39" style="404" bestFit="1" customWidth="1"/>
    <col min="25" max="25" width="20.7109375" style="404" customWidth="1"/>
    <col min="26" max="26" width="2.7109375" style="404" customWidth="1"/>
    <col min="27" max="16384" width="9.140625" style="404"/>
  </cols>
  <sheetData>
    <row r="1" spans="1:26" s="226" customFormat="1" x14ac:dyDescent="0.2">
      <c r="A1" s="335"/>
      <c r="B1" s="364"/>
      <c r="C1" s="364"/>
      <c r="D1" s="338"/>
      <c r="E1" s="364"/>
      <c r="F1" s="364"/>
      <c r="G1" s="364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2"/>
      <c r="Y1" s="402"/>
      <c r="Z1" s="414"/>
    </row>
    <row r="2" spans="1:26" s="226" customFormat="1" x14ac:dyDescent="0.2">
      <c r="A2" s="337"/>
      <c r="B2" s="345"/>
      <c r="C2" s="345"/>
      <c r="D2" s="227" t="s">
        <v>22</v>
      </c>
      <c r="E2" s="235" t="s">
        <v>59</v>
      </c>
      <c r="F2" s="345"/>
      <c r="G2" s="345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407"/>
    </row>
    <row r="3" spans="1:26" s="226" customFormat="1" x14ac:dyDescent="0.2">
      <c r="A3" s="337"/>
      <c r="B3" s="345"/>
      <c r="C3" s="345"/>
      <c r="D3" s="227" t="s">
        <v>58</v>
      </c>
      <c r="E3" s="235" t="s">
        <v>61</v>
      </c>
      <c r="F3" s="345"/>
      <c r="G3" s="345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399"/>
      <c r="Y3" s="399"/>
      <c r="Z3" s="407"/>
    </row>
    <row r="4" spans="1:26" s="226" customFormat="1" x14ac:dyDescent="0.2">
      <c r="A4" s="337"/>
      <c r="B4" s="345"/>
      <c r="C4" s="345"/>
      <c r="D4" s="227" t="s">
        <v>60</v>
      </c>
      <c r="E4" s="243" t="str">
        <f>PROPER(Currency)&amp;FamilyName&amp;"3M"</f>
        <v>UsdLibor3M</v>
      </c>
      <c r="F4" s="345"/>
      <c r="G4" s="345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399"/>
      <c r="T4" s="399"/>
      <c r="U4" s="399"/>
      <c r="V4" s="399"/>
      <c r="W4" s="399"/>
      <c r="X4" s="399"/>
      <c r="Y4" s="399"/>
      <c r="Z4" s="407"/>
    </row>
    <row r="5" spans="1:26" s="226" customFormat="1" x14ac:dyDescent="0.2">
      <c r="A5" s="337"/>
      <c r="B5" s="345"/>
      <c r="C5" s="345"/>
      <c r="D5" s="227" t="s">
        <v>148</v>
      </c>
      <c r="E5" s="243" t="str">
        <f>IF(HolidayCheck,JoinCalendar,LiborCalendar)</f>
        <v>UnitedKingdom::Exchange</v>
      </c>
      <c r="F5" s="345"/>
      <c r="G5" s="345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407"/>
    </row>
    <row r="6" spans="1:26" s="226" customFormat="1" x14ac:dyDescent="0.2">
      <c r="A6" s="337"/>
      <c r="B6" s="345"/>
      <c r="C6" s="345"/>
      <c r="D6" s="345"/>
      <c r="E6" s="345"/>
      <c r="F6" s="345"/>
      <c r="G6" s="345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407"/>
    </row>
    <row r="7" spans="1:26" s="226" customFormat="1" ht="11.25" customHeight="1" x14ac:dyDescent="0.2">
      <c r="A7" s="337"/>
      <c r="B7" s="345"/>
      <c r="C7" s="236" t="s">
        <v>57</v>
      </c>
      <c r="D7" s="366" t="s">
        <v>222</v>
      </c>
      <c r="E7" s="237" t="s">
        <v>250</v>
      </c>
      <c r="F7" s="238" t="s">
        <v>199</v>
      </c>
      <c r="G7" s="345"/>
      <c r="H7" s="400"/>
      <c r="I7" s="400"/>
      <c r="J7" s="400"/>
      <c r="K7" s="400" t="s">
        <v>193</v>
      </c>
      <c r="L7" s="399"/>
      <c r="M7" s="400" t="s">
        <v>244</v>
      </c>
      <c r="N7" s="400"/>
      <c r="O7" s="400" t="s">
        <v>241</v>
      </c>
      <c r="P7" s="400" t="s">
        <v>222</v>
      </c>
      <c r="Q7" s="400" t="s">
        <v>185</v>
      </c>
      <c r="R7" s="401" t="s">
        <v>243</v>
      </c>
      <c r="S7" s="399"/>
      <c r="T7" s="400" t="s">
        <v>244</v>
      </c>
      <c r="U7" s="400"/>
      <c r="V7" s="400" t="s">
        <v>241</v>
      </c>
      <c r="W7" s="400" t="s">
        <v>222</v>
      </c>
      <c r="X7" s="400" t="s">
        <v>185</v>
      </c>
      <c r="Y7" s="401" t="s">
        <v>243</v>
      </c>
      <c r="Z7" s="407"/>
    </row>
    <row r="8" spans="1:26" s="226" customFormat="1" x14ac:dyDescent="0.2">
      <c r="A8" s="337"/>
      <c r="B8" s="228" t="s">
        <v>5</v>
      </c>
      <c r="C8" s="239" t="s">
        <v>14</v>
      </c>
      <c r="D8" s="240" t="str">
        <f t="shared" ref="D8:D44" si="0">PROPER(Currency)&amp;FamilyName2&amp;FixingType&amp;$B8&amp;LCHcubic</f>
        <v>UsdLiborSwapForBasisCalc1Y_cubicLCH</v>
      </c>
      <c r="E8" s="230" t="str">
        <f>_xll.qlSwapIndex($D8,FixingType,B8,2,Currency,$E$5,"1Y","f",MoneyMarketDayCounter,Libor!$H$10,Discounting2,Permanent,Trigger,ObjectOverwrite)</f>
        <v>UsdLiborSwapForBasisCalc1Y_cubicLCH#0002</v>
      </c>
      <c r="F8" s="232" t="str">
        <f>_xll.ohRangeRetrieveError(E8)</f>
        <v/>
      </c>
      <c r="G8" s="398"/>
      <c r="H8" s="386" t="s">
        <v>5</v>
      </c>
      <c r="I8" s="387" t="s">
        <v>95</v>
      </c>
      <c r="J8" s="387" t="s">
        <v>64</v>
      </c>
      <c r="K8" s="387" t="str">
        <f>Swap3M!F5</f>
        <v>USDAM3L6M_LCHQuote#0002</v>
      </c>
      <c r="L8" s="399"/>
      <c r="M8" s="387" t="s">
        <v>242</v>
      </c>
      <c r="N8" s="387" t="s">
        <v>65</v>
      </c>
      <c r="O8" s="387" t="str">
        <f>BasisSwap3M6M!F6</f>
        <v>USD6L3L1Y_LCHQuote#0002</v>
      </c>
      <c r="P8" s="388" t="str">
        <f t="shared" ref="P8:P44" si="1">Currency&amp;$I8&amp;$J8&amp;$H8&amp;IF(N8=0,,"_S"&amp;$N8&amp;$J8)&amp;"_cubic"&amp;QuoteSuffix</f>
        <v>USDAM3L1Y_S6L3L_cubic_LCHQuote</v>
      </c>
      <c r="Q8" s="415" t="str">
        <f>_xll.qlForwardSwapQuote(P8,E8,O8,M8,Permanent,Trigger,ObjectOverwrite)</f>
        <v>USDAM3L1Y_S6L3L_cubic_LCHQuote#0002</v>
      </c>
      <c r="R8" s="232" t="str">
        <f>_xll.ohRangeRetrieveError(Q8)</f>
        <v/>
      </c>
      <c r="S8" s="399"/>
      <c r="T8" s="387" t="s">
        <v>242</v>
      </c>
      <c r="U8" s="387" t="s">
        <v>69</v>
      </c>
      <c r="V8" s="387" t="str">
        <f>BasisSwap3M12M!F6</f>
        <v>USD12L3L1Y_LCHQuote#0002</v>
      </c>
      <c r="W8" s="388" t="str">
        <f t="shared" ref="W8:W44" si="2">Currency&amp;$I8&amp;$J8&amp;$H8&amp;IF(U8=0,,"_S"&amp;$U8&amp;$J8)&amp;"_cubic"&amp;QuoteSuffix</f>
        <v>USDAM3L1Y_S12L3L_cubic_LCHQuote</v>
      </c>
      <c r="X8" s="415" t="str">
        <f>_xll.qlForwardSwapQuote(W8,E8,V8,T8,Permanent,Trigger,ObjectOverwrite)</f>
        <v>USDAM3L1Y_S12L3L_cubic_LCHQuote#0002</v>
      </c>
      <c r="Y8" s="232" t="s">
        <v>245</v>
      </c>
      <c r="Z8" s="407"/>
    </row>
    <row r="9" spans="1:26" s="226" customFormat="1" x14ac:dyDescent="0.2">
      <c r="A9" s="337"/>
      <c r="B9" s="229" t="s">
        <v>68</v>
      </c>
      <c r="C9" s="241" t="s">
        <v>14</v>
      </c>
      <c r="D9" s="242" t="str">
        <f t="shared" si="0"/>
        <v>UsdLiborSwapForBasisCalc15M_cubicLCH</v>
      </c>
      <c r="E9" s="231" t="str">
        <f>_xll.qlSwapIndex($D9,FixingType,B9,2,Currency,$E$5,"1Y","f",MoneyMarketDayCounter,Libor!$H$10,Discounting2,Permanent,Trigger,ObjectOverwrite)</f>
        <v>UsdLiborSwapForBasisCalc15M_cubicLCH#0002</v>
      </c>
      <c r="F9" s="233" t="str">
        <f>_xll.ohRangeRetrieveError(E9)</f>
        <v/>
      </c>
      <c r="G9" s="398"/>
      <c r="H9" s="389" t="s">
        <v>68</v>
      </c>
      <c r="I9" s="390" t="s">
        <v>95</v>
      </c>
      <c r="J9" s="390" t="s">
        <v>64</v>
      </c>
      <c r="K9" s="390" t="str">
        <f>Swap3M!F6</f>
        <v>USDAM3L1Y_LCHQuote#0002</v>
      </c>
      <c r="L9" s="399"/>
      <c r="M9" s="390" t="s">
        <v>242</v>
      </c>
      <c r="N9" s="390" t="s">
        <v>65</v>
      </c>
      <c r="O9" s="390" t="str">
        <f>BasisSwap3M6M!F7</f>
        <v>USD6L3L15M_LCHQuote#0002</v>
      </c>
      <c r="P9" s="391" t="str">
        <f t="shared" si="1"/>
        <v>USDAM3L15M_S6L3L_cubic_LCHQuote</v>
      </c>
      <c r="Q9" s="392" t="str">
        <f>_xll.qlForwardSwapQuote(P9,E9,O9,M9,Permanent,Trigger,ObjectOverwrite)</f>
        <v>USDAM3L15M_S6L3L_cubic_LCHQuote#0002</v>
      </c>
      <c r="R9" s="233" t="str">
        <f>_xll.ohRangeRetrieveError(Q9)</f>
        <v/>
      </c>
      <c r="S9" s="399"/>
      <c r="T9" s="390" t="s">
        <v>242</v>
      </c>
      <c r="U9" s="390" t="s">
        <v>69</v>
      </c>
      <c r="V9" s="390" t="str">
        <f>BasisSwap3M12M!F7</f>
        <v>USD12L3L15M_LCHQuote#0002</v>
      </c>
      <c r="W9" s="391" t="str">
        <f t="shared" si="2"/>
        <v>USDAM3L15M_S12L3L_cubic_LCHQuote</v>
      </c>
      <c r="X9" s="392" t="str">
        <f>_xll.qlForwardSwapQuote(W9,E9,V9,T9,Permanent,Trigger,ObjectOverwrite)</f>
        <v>USDAM3L15M_S12L3L_cubic_LCHQuote#0002</v>
      </c>
      <c r="Y9" s="233" t="s">
        <v>245</v>
      </c>
      <c r="Z9" s="407"/>
    </row>
    <row r="10" spans="1:26" s="226" customFormat="1" x14ac:dyDescent="0.2">
      <c r="A10" s="337"/>
      <c r="B10" s="229" t="s">
        <v>67</v>
      </c>
      <c r="C10" s="241" t="s">
        <v>14</v>
      </c>
      <c r="D10" s="242" t="str">
        <f t="shared" si="0"/>
        <v>UsdLiborSwapForBasisCalc18M_cubicLCH</v>
      </c>
      <c r="E10" s="231" t="str">
        <f>_xll.qlSwapIndex($D10,FixingType,B10,2,Currency,$E$5,"1Y","f",MoneyMarketDayCounter,Libor!$H$10,Discounting2,Permanent,Trigger,ObjectOverwrite)</f>
        <v>UsdLiborSwapForBasisCalc18M_cubicLCH#0002</v>
      </c>
      <c r="F10" s="233" t="str">
        <f>_xll.ohRangeRetrieveError(E10)</f>
        <v/>
      </c>
      <c r="G10" s="398"/>
      <c r="H10" s="389" t="s">
        <v>67</v>
      </c>
      <c r="I10" s="390" t="s">
        <v>95</v>
      </c>
      <c r="J10" s="390" t="s">
        <v>64</v>
      </c>
      <c r="K10" s="390" t="str">
        <f>Swap3M!F7</f>
        <v>USDAM3L15M_LCHQuote#0002</v>
      </c>
      <c r="L10" s="399"/>
      <c r="M10" s="390" t="s">
        <v>242</v>
      </c>
      <c r="N10" s="390" t="s">
        <v>65</v>
      </c>
      <c r="O10" s="390" t="str">
        <f>BasisSwap3M6M!F8</f>
        <v>USD6L3L18M_LCHQuote#0002</v>
      </c>
      <c r="P10" s="391" t="str">
        <f t="shared" si="1"/>
        <v>USDAM3L18M_S6L3L_cubic_LCHQuote</v>
      </c>
      <c r="Q10" s="392" t="str">
        <f>_xll.qlForwardSwapQuote(P10,E10,O10,M10,Permanent,Trigger,ObjectOverwrite)</f>
        <v>USDAM3L18M_S6L3L_cubic_LCHQuote#0002</v>
      </c>
      <c r="R10" s="233" t="str">
        <f>_xll.ohRangeRetrieveError(Q10)</f>
        <v/>
      </c>
      <c r="S10" s="399"/>
      <c r="T10" s="390" t="s">
        <v>242</v>
      </c>
      <c r="U10" s="390" t="s">
        <v>69</v>
      </c>
      <c r="V10" s="390" t="str">
        <f>BasisSwap3M12M!F8</f>
        <v>USD12L3L18M_LCHQuote#0002</v>
      </c>
      <c r="W10" s="391" t="str">
        <f t="shared" si="2"/>
        <v>USDAM3L18M_S12L3L_cubic_LCHQuote</v>
      </c>
      <c r="X10" s="392" t="str">
        <f>_xll.qlForwardSwapQuote(W10,E10,V10,T10,Permanent,Trigger,ObjectOverwrite)</f>
        <v>USDAM3L18M_S12L3L_cubic_LCHQuote#0002</v>
      </c>
      <c r="Y10" s="233" t="s">
        <v>245</v>
      </c>
      <c r="Z10" s="407"/>
    </row>
    <row r="11" spans="1:26" s="226" customFormat="1" x14ac:dyDescent="0.2">
      <c r="A11" s="337"/>
      <c r="B11" s="229" t="s">
        <v>66</v>
      </c>
      <c r="C11" s="241" t="s">
        <v>14</v>
      </c>
      <c r="D11" s="242" t="str">
        <f t="shared" si="0"/>
        <v>UsdLiborSwapForBasisCalc21M_cubicLCH</v>
      </c>
      <c r="E11" s="231" t="str">
        <f>_xll.qlSwapIndex($D11,FixingType,B11,2,Currency,$E$5,"1Y","f",MoneyMarketDayCounter,Libor!$H$10,Discounting2,Permanent,Trigger,ObjectOverwrite)</f>
        <v>UsdLiborSwapForBasisCalc21M_cubicLCH#0002</v>
      </c>
      <c r="F11" s="233" t="str">
        <f>_xll.ohRangeRetrieveError(E11)</f>
        <v/>
      </c>
      <c r="G11" s="398"/>
      <c r="H11" s="389" t="s">
        <v>66</v>
      </c>
      <c r="I11" s="390" t="s">
        <v>95</v>
      </c>
      <c r="J11" s="390" t="s">
        <v>64</v>
      </c>
      <c r="K11" s="390" t="str">
        <f>Swap3M!F8</f>
        <v>USDAM3L18M_LCHQuote#0002</v>
      </c>
      <c r="L11" s="399"/>
      <c r="M11" s="390" t="s">
        <v>242</v>
      </c>
      <c r="N11" s="390" t="s">
        <v>65</v>
      </c>
      <c r="O11" s="390" t="str">
        <f>BasisSwap3M6M!F9</f>
        <v>USD6L3L21M_LCHQuote#0002</v>
      </c>
      <c r="P11" s="391" t="str">
        <f t="shared" si="1"/>
        <v>USDAM3L21M_S6L3L_cubic_LCHQuote</v>
      </c>
      <c r="Q11" s="392" t="str">
        <f>_xll.qlForwardSwapQuote(P11,E11,O11,M11,Permanent,Trigger,ObjectOverwrite)</f>
        <v>USDAM3L21M_S6L3L_cubic_LCHQuote#0002</v>
      </c>
      <c r="R11" s="233" t="str">
        <f>_xll.ohRangeRetrieveError(Q11)</f>
        <v/>
      </c>
      <c r="S11" s="399"/>
      <c r="T11" s="390" t="s">
        <v>242</v>
      </c>
      <c r="U11" s="390" t="s">
        <v>69</v>
      </c>
      <c r="V11" s="390" t="str">
        <f>BasisSwap3M12M!F9</f>
        <v>USD12L3L21M_LCHQuote#0002</v>
      </c>
      <c r="W11" s="391" t="str">
        <f t="shared" si="2"/>
        <v>USDAM3L21M_S12L3L_cubic_LCHQuote</v>
      </c>
      <c r="X11" s="392" t="str">
        <f>_xll.qlForwardSwapQuote(W11,E11,V11,T11,Permanent,Trigger,ObjectOverwrite)</f>
        <v>USDAM3L21M_S12L3L_cubic_LCHQuote#0002</v>
      </c>
      <c r="Y11" s="233" t="s">
        <v>245</v>
      </c>
      <c r="Z11" s="407"/>
    </row>
    <row r="12" spans="1:26" s="226" customFormat="1" x14ac:dyDescent="0.2">
      <c r="A12" s="337"/>
      <c r="B12" s="229" t="s">
        <v>56</v>
      </c>
      <c r="C12" s="241" t="s">
        <v>14</v>
      </c>
      <c r="D12" s="242" t="str">
        <f t="shared" si="0"/>
        <v>UsdLiborSwapForBasisCalc2Y_cubicLCH</v>
      </c>
      <c r="E12" s="231" t="str">
        <f>_xll.qlSwapIndex($D12,FixingType,B12,2,Currency,$E$5,"1Y","f",MoneyMarketDayCounter,Libor!$H$10,Discounting2,Permanent,Trigger,ObjectOverwrite)</f>
        <v>UsdLiborSwapForBasisCalc2Y_cubicLCH#0002</v>
      </c>
      <c r="F12" s="233" t="str">
        <f>_xll.ohRangeRetrieveError(E12)</f>
        <v/>
      </c>
      <c r="G12" s="398"/>
      <c r="H12" s="389" t="s">
        <v>56</v>
      </c>
      <c r="I12" s="390" t="s">
        <v>95</v>
      </c>
      <c r="J12" s="390" t="s">
        <v>64</v>
      </c>
      <c r="K12" s="390" t="str">
        <f>Swap3M!F9</f>
        <v>USDAM3L21M_LCHQuote#0002</v>
      </c>
      <c r="L12" s="399"/>
      <c r="M12" s="390" t="s">
        <v>242</v>
      </c>
      <c r="N12" s="390" t="s">
        <v>65</v>
      </c>
      <c r="O12" s="390" t="str">
        <f>BasisSwap3M6M!F10</f>
        <v>USD6L3L2Y_LCHQuote#0002</v>
      </c>
      <c r="P12" s="391" t="str">
        <f t="shared" si="1"/>
        <v>USDAM3L2Y_S6L3L_cubic_LCHQuote</v>
      </c>
      <c r="Q12" s="392" t="str">
        <f>_xll.qlForwardSwapQuote(P12,E12,O12,M12,Permanent,Trigger,ObjectOverwrite)</f>
        <v>USDAM3L2Y_S6L3L_cubic_LCHQuote#0002</v>
      </c>
      <c r="R12" s="233" t="str">
        <f>_xll.ohRangeRetrieveError(Q12)</f>
        <v/>
      </c>
      <c r="S12" s="399"/>
      <c r="T12" s="390" t="s">
        <v>242</v>
      </c>
      <c r="U12" s="390" t="s">
        <v>69</v>
      </c>
      <c r="V12" s="390" t="str">
        <f>BasisSwap3M12M!F10</f>
        <v>USD12L3L2Y_LCHQuote#0002</v>
      </c>
      <c r="W12" s="391" t="str">
        <f t="shared" si="2"/>
        <v>USDAM3L2Y_S12L3L_cubic_LCHQuote</v>
      </c>
      <c r="X12" s="392" t="str">
        <f>_xll.qlForwardSwapQuote(W12,E12,V12,T12,Permanent,Trigger,ObjectOverwrite)</f>
        <v>USDAM3L2Y_S12L3L_cubic_LCHQuote#0002</v>
      </c>
      <c r="Y12" s="233" t="s">
        <v>245</v>
      </c>
      <c r="Z12" s="407"/>
    </row>
    <row r="13" spans="1:26" s="226" customFormat="1" x14ac:dyDescent="0.2">
      <c r="A13" s="337"/>
      <c r="B13" s="229" t="s">
        <v>55</v>
      </c>
      <c r="C13" s="241" t="s">
        <v>14</v>
      </c>
      <c r="D13" s="242" t="str">
        <f t="shared" si="0"/>
        <v>UsdLiborSwapForBasisCalc3Y_cubicLCH</v>
      </c>
      <c r="E13" s="231" t="str">
        <f>_xll.qlSwapIndex($D13,FixingType,B13,2,Currency,$E$5,"1Y","f",MoneyMarketDayCounter,Libor!$H$10,Discounting2,Permanent,Trigger,ObjectOverwrite)</f>
        <v>UsdLiborSwapForBasisCalc3Y_cubicLCH#0002</v>
      </c>
      <c r="F13" s="233" t="str">
        <f>_xll.ohRangeRetrieveError(E13)</f>
        <v/>
      </c>
      <c r="G13" s="398"/>
      <c r="H13" s="389" t="s">
        <v>55</v>
      </c>
      <c r="I13" s="390" t="s">
        <v>95</v>
      </c>
      <c r="J13" s="390" t="s">
        <v>64</v>
      </c>
      <c r="K13" s="390" t="str">
        <f>Swap3M!F10</f>
        <v>USDAM3L2Y_LCHQuote#0002</v>
      </c>
      <c r="L13" s="399"/>
      <c r="M13" s="390" t="s">
        <v>242</v>
      </c>
      <c r="N13" s="390" t="s">
        <v>65</v>
      </c>
      <c r="O13" s="390" t="str">
        <f>BasisSwap3M6M!F11</f>
        <v>USD6L3L3Y_LCHQuote#0002</v>
      </c>
      <c r="P13" s="391" t="str">
        <f t="shared" si="1"/>
        <v>USDAM3L3Y_S6L3L_cubic_LCHQuote</v>
      </c>
      <c r="Q13" s="392" t="str">
        <f>_xll.qlForwardSwapQuote(P13,E13,O13,M13,Permanent,Trigger,ObjectOverwrite)</f>
        <v>USDAM3L3Y_S6L3L_cubic_LCHQuote#0002</v>
      </c>
      <c r="R13" s="233" t="str">
        <f>_xll.ohRangeRetrieveError(Q13)</f>
        <v/>
      </c>
      <c r="S13" s="399"/>
      <c r="T13" s="390" t="s">
        <v>242</v>
      </c>
      <c r="U13" s="390" t="s">
        <v>69</v>
      </c>
      <c r="V13" s="390" t="str">
        <f>BasisSwap3M12M!F11</f>
        <v>USD12L3L3Y_LCHQuote#0002</v>
      </c>
      <c r="W13" s="391" t="str">
        <f t="shared" si="2"/>
        <v>USDAM3L3Y_S12L3L_cubic_LCHQuote</v>
      </c>
      <c r="X13" s="392" t="str">
        <f>_xll.qlForwardSwapQuote(W13,E13,V13,T13,Permanent,Trigger,ObjectOverwrite)</f>
        <v>USDAM3L3Y_S12L3L_cubic_LCHQuote#0002</v>
      </c>
      <c r="Y13" s="233" t="s">
        <v>245</v>
      </c>
      <c r="Z13" s="407"/>
    </row>
    <row r="14" spans="1:26" s="226" customFormat="1" x14ac:dyDescent="0.2">
      <c r="A14" s="337"/>
      <c r="B14" s="229" t="s">
        <v>54</v>
      </c>
      <c r="C14" s="241" t="s">
        <v>14</v>
      </c>
      <c r="D14" s="242" t="str">
        <f t="shared" si="0"/>
        <v>UsdLiborSwapForBasisCalc4Y_cubicLCH</v>
      </c>
      <c r="E14" s="231" t="str">
        <f>_xll.qlSwapIndex($D14,FixingType,B14,2,Currency,$E$5,"1Y","f",MoneyMarketDayCounter,Libor!$H$10,Discounting2,Permanent,Trigger,ObjectOverwrite)</f>
        <v>UsdLiborSwapForBasisCalc4Y_cubicLCH#0002</v>
      </c>
      <c r="F14" s="233" t="str">
        <f>_xll.ohRangeRetrieveError(E14)</f>
        <v/>
      </c>
      <c r="G14" s="398"/>
      <c r="H14" s="389" t="s">
        <v>54</v>
      </c>
      <c r="I14" s="390" t="s">
        <v>95</v>
      </c>
      <c r="J14" s="390" t="s">
        <v>64</v>
      </c>
      <c r="K14" s="390" t="str">
        <f>Swap3M!F11</f>
        <v>USDAM3L3Y_LCHQuote#0002</v>
      </c>
      <c r="L14" s="399"/>
      <c r="M14" s="390" t="s">
        <v>242</v>
      </c>
      <c r="N14" s="390" t="s">
        <v>65</v>
      </c>
      <c r="O14" s="390" t="str">
        <f>BasisSwap3M6M!F12</f>
        <v>USD6L3L4Y_LCHQuote#0002</v>
      </c>
      <c r="P14" s="391" t="str">
        <f t="shared" si="1"/>
        <v>USDAM3L4Y_S6L3L_cubic_LCHQuote</v>
      </c>
      <c r="Q14" s="392" t="str">
        <f>_xll.qlForwardSwapQuote(P14,E14,O14,M14,Permanent,Trigger,ObjectOverwrite)</f>
        <v>USDAM3L4Y_S6L3L_cubic_LCHQuote#0002</v>
      </c>
      <c r="R14" s="233" t="str">
        <f>_xll.ohRangeRetrieveError(Q14)</f>
        <v/>
      </c>
      <c r="S14" s="399"/>
      <c r="T14" s="390" t="s">
        <v>242</v>
      </c>
      <c r="U14" s="390" t="s">
        <v>69</v>
      </c>
      <c r="V14" s="390" t="str">
        <f>BasisSwap3M12M!F12</f>
        <v>USD12L3L4Y_LCHQuote#0002</v>
      </c>
      <c r="W14" s="391" t="str">
        <f t="shared" si="2"/>
        <v>USDAM3L4Y_S12L3L_cubic_LCHQuote</v>
      </c>
      <c r="X14" s="392" t="str">
        <f>_xll.qlForwardSwapQuote(W14,E14,V14,T14,Permanent,Trigger,ObjectOverwrite)</f>
        <v>USDAM3L4Y_S12L3L_cubic_LCHQuote#0002</v>
      </c>
      <c r="Y14" s="233" t="s">
        <v>245</v>
      </c>
      <c r="Z14" s="407"/>
    </row>
    <row r="15" spans="1:26" s="226" customFormat="1" x14ac:dyDescent="0.2">
      <c r="A15" s="337"/>
      <c r="B15" s="229" t="s">
        <v>53</v>
      </c>
      <c r="C15" s="241" t="s">
        <v>14</v>
      </c>
      <c r="D15" s="242" t="str">
        <f t="shared" si="0"/>
        <v>UsdLiborSwapForBasisCalc5Y_cubicLCH</v>
      </c>
      <c r="E15" s="231" t="str">
        <f>_xll.qlSwapIndex($D15,FixingType,B15,2,Currency,$E$5,"1Y","f",MoneyMarketDayCounter,Libor!$H$10,Discounting2,Permanent,Trigger,ObjectOverwrite)</f>
        <v>UsdLiborSwapForBasisCalc5Y_cubicLCH#0002</v>
      </c>
      <c r="F15" s="233" t="str">
        <f>_xll.ohRangeRetrieveError(E15)</f>
        <v/>
      </c>
      <c r="G15" s="398"/>
      <c r="H15" s="389" t="s">
        <v>53</v>
      </c>
      <c r="I15" s="390" t="s">
        <v>95</v>
      </c>
      <c r="J15" s="390" t="s">
        <v>64</v>
      </c>
      <c r="K15" s="390" t="str">
        <f>Swap3M!F12</f>
        <v>USDAM3L4Y_LCHQuote#0002</v>
      </c>
      <c r="L15" s="399"/>
      <c r="M15" s="390" t="s">
        <v>242</v>
      </c>
      <c r="N15" s="390" t="s">
        <v>65</v>
      </c>
      <c r="O15" s="390" t="str">
        <f>BasisSwap3M6M!F13</f>
        <v>USD6L3L5Y_LCHQuote#0002</v>
      </c>
      <c r="P15" s="391" t="str">
        <f t="shared" si="1"/>
        <v>USDAM3L5Y_S6L3L_cubic_LCHQuote</v>
      </c>
      <c r="Q15" s="392" t="str">
        <f>_xll.qlForwardSwapQuote(P15,E15,O15,M15,Permanent,Trigger,ObjectOverwrite)</f>
        <v>USDAM3L5Y_S6L3L_cubic_LCHQuote#0002</v>
      </c>
      <c r="R15" s="233" t="str">
        <f>_xll.ohRangeRetrieveError(Q15)</f>
        <v/>
      </c>
      <c r="S15" s="399"/>
      <c r="T15" s="390" t="s">
        <v>242</v>
      </c>
      <c r="U15" s="390" t="s">
        <v>69</v>
      </c>
      <c r="V15" s="390" t="str">
        <f>BasisSwap3M12M!F13</f>
        <v>USD12L3L5Y_LCHQuote#0002</v>
      </c>
      <c r="W15" s="391" t="str">
        <f t="shared" si="2"/>
        <v>USDAM3L5Y_S12L3L_cubic_LCHQuote</v>
      </c>
      <c r="X15" s="392" t="str">
        <f>_xll.qlForwardSwapQuote(W15,E15,V15,T15,Permanent,Trigger,ObjectOverwrite)</f>
        <v>USDAM3L5Y_S12L3L_cubic_LCHQuote#0002</v>
      </c>
      <c r="Y15" s="233" t="s">
        <v>245</v>
      </c>
      <c r="Z15" s="407"/>
    </row>
    <row r="16" spans="1:26" s="226" customFormat="1" x14ac:dyDescent="0.2">
      <c r="A16" s="337"/>
      <c r="B16" s="229" t="s">
        <v>52</v>
      </c>
      <c r="C16" s="241" t="s">
        <v>14</v>
      </c>
      <c r="D16" s="242" t="str">
        <f t="shared" si="0"/>
        <v>UsdLiborSwapForBasisCalc6Y_cubicLCH</v>
      </c>
      <c r="E16" s="231" t="str">
        <f>_xll.qlSwapIndex($D16,FixingType,B16,2,Currency,$E$5,"1Y","f",MoneyMarketDayCounter,Libor!$H$10,Discounting2,Permanent,Trigger,ObjectOverwrite)</f>
        <v>UsdLiborSwapForBasisCalc6Y_cubicLCH#0002</v>
      </c>
      <c r="F16" s="233" t="str">
        <f>_xll.ohRangeRetrieveError(E16)</f>
        <v/>
      </c>
      <c r="G16" s="398"/>
      <c r="H16" s="389" t="s">
        <v>52</v>
      </c>
      <c r="I16" s="390" t="s">
        <v>95</v>
      </c>
      <c r="J16" s="390" t="s">
        <v>64</v>
      </c>
      <c r="K16" s="390" t="str">
        <f>Swap3M!F13</f>
        <v>USDAM3L5Y_LCHQuote#0002</v>
      </c>
      <c r="L16" s="399"/>
      <c r="M16" s="390" t="s">
        <v>242</v>
      </c>
      <c r="N16" s="390" t="s">
        <v>65</v>
      </c>
      <c r="O16" s="390" t="str">
        <f>BasisSwap3M6M!F14</f>
        <v>USD6L3L6Y_LCHQuote#0002</v>
      </c>
      <c r="P16" s="391" t="str">
        <f t="shared" si="1"/>
        <v>USDAM3L6Y_S6L3L_cubic_LCHQuote</v>
      </c>
      <c r="Q16" s="392" t="str">
        <f>_xll.qlForwardSwapQuote(P16,E16,O16,M16,Permanent,Trigger,ObjectOverwrite)</f>
        <v>USDAM3L6Y_S6L3L_cubic_LCHQuote#0002</v>
      </c>
      <c r="R16" s="233" t="str">
        <f>_xll.ohRangeRetrieveError(Q16)</f>
        <v/>
      </c>
      <c r="S16" s="399"/>
      <c r="T16" s="390" t="s">
        <v>242</v>
      </c>
      <c r="U16" s="390" t="s">
        <v>69</v>
      </c>
      <c r="V16" s="390" t="str">
        <f>BasisSwap3M12M!F14</f>
        <v>USD12L3L6Y_LCHQuote#0002</v>
      </c>
      <c r="W16" s="391" t="str">
        <f t="shared" si="2"/>
        <v>USDAM3L6Y_S12L3L_cubic_LCHQuote</v>
      </c>
      <c r="X16" s="392" t="str">
        <f>_xll.qlForwardSwapQuote(W16,E16,V16,T16,Permanent,Trigger,ObjectOverwrite)</f>
        <v>USDAM3L6Y_S12L3L_cubic_LCHQuote#0002</v>
      </c>
      <c r="Y16" s="233" t="s">
        <v>245</v>
      </c>
      <c r="Z16" s="407"/>
    </row>
    <row r="17" spans="1:26" s="226" customFormat="1" x14ac:dyDescent="0.2">
      <c r="A17" s="337"/>
      <c r="B17" s="229" t="s">
        <v>51</v>
      </c>
      <c r="C17" s="241" t="s">
        <v>14</v>
      </c>
      <c r="D17" s="242" t="str">
        <f t="shared" si="0"/>
        <v>UsdLiborSwapForBasisCalc7Y_cubicLCH</v>
      </c>
      <c r="E17" s="231" t="str">
        <f>_xll.qlSwapIndex($D17,FixingType,B17,2,Currency,$E$5,"1Y","f",MoneyMarketDayCounter,Libor!$H$10,Discounting2,Permanent,Trigger,ObjectOverwrite)</f>
        <v>UsdLiborSwapForBasisCalc7Y_cubicLCH#0002</v>
      </c>
      <c r="F17" s="233" t="str">
        <f>_xll.ohRangeRetrieveError(E17)</f>
        <v/>
      </c>
      <c r="G17" s="398"/>
      <c r="H17" s="389" t="s">
        <v>51</v>
      </c>
      <c r="I17" s="390" t="s">
        <v>95</v>
      </c>
      <c r="J17" s="390" t="s">
        <v>64</v>
      </c>
      <c r="K17" s="390" t="str">
        <f>Swap3M!F14</f>
        <v>USDAM3L6Y_LCHQuote#0002</v>
      </c>
      <c r="L17" s="399"/>
      <c r="M17" s="390" t="s">
        <v>242</v>
      </c>
      <c r="N17" s="390" t="s">
        <v>65</v>
      </c>
      <c r="O17" s="390" t="str">
        <f>BasisSwap3M6M!F15</f>
        <v>USD6L3L7Y_LCHQuote#0002</v>
      </c>
      <c r="P17" s="391" t="str">
        <f t="shared" si="1"/>
        <v>USDAM3L7Y_S6L3L_cubic_LCHQuote</v>
      </c>
      <c r="Q17" s="392" t="str">
        <f>_xll.qlForwardSwapQuote(P17,E17,O17,M17,Permanent,Trigger,ObjectOverwrite)</f>
        <v>USDAM3L7Y_S6L3L_cubic_LCHQuote#0002</v>
      </c>
      <c r="R17" s="393" t="str">
        <f>_xll.ohRangeRetrieveError(Q17)</f>
        <v/>
      </c>
      <c r="S17" s="399"/>
      <c r="T17" s="390" t="s">
        <v>242</v>
      </c>
      <c r="U17" s="390" t="s">
        <v>69</v>
      </c>
      <c r="V17" s="390" t="str">
        <f>BasisSwap3M12M!F15</f>
        <v>USD12L3L7Y_LCHQuote#0002</v>
      </c>
      <c r="W17" s="391" t="str">
        <f t="shared" si="2"/>
        <v>USDAM3L7Y_S12L3L_cubic_LCHQuote</v>
      </c>
      <c r="X17" s="392" t="str">
        <f>_xll.qlForwardSwapQuote(W17,E17,V17,T17,Permanent,Trigger,ObjectOverwrite)</f>
        <v>USDAM3L7Y_S12L3L_cubic_LCHQuote#0002</v>
      </c>
      <c r="Y17" s="393" t="s">
        <v>245</v>
      </c>
      <c r="Z17" s="407"/>
    </row>
    <row r="18" spans="1:26" s="226" customFormat="1" x14ac:dyDescent="0.2">
      <c r="A18" s="337"/>
      <c r="B18" s="229" t="s">
        <v>50</v>
      </c>
      <c r="C18" s="241" t="s">
        <v>14</v>
      </c>
      <c r="D18" s="242" t="str">
        <f t="shared" si="0"/>
        <v>UsdLiborSwapForBasisCalc8Y_cubicLCH</v>
      </c>
      <c r="E18" s="231" t="str">
        <f>_xll.qlSwapIndex($D18,FixingType,B18,2,Currency,$E$5,"1Y","f",MoneyMarketDayCounter,Libor!$H$10,Discounting2,Permanent,Trigger,ObjectOverwrite)</f>
        <v>UsdLiborSwapForBasisCalc8Y_cubicLCH#0002</v>
      </c>
      <c r="F18" s="233" t="str">
        <f>_xll.ohRangeRetrieveError(E18)</f>
        <v/>
      </c>
      <c r="G18" s="398"/>
      <c r="H18" s="389" t="s">
        <v>50</v>
      </c>
      <c r="I18" s="390" t="s">
        <v>95</v>
      </c>
      <c r="J18" s="390" t="s">
        <v>64</v>
      </c>
      <c r="K18" s="390" t="str">
        <f>Swap3M!F15</f>
        <v>USDAM3L7Y_LCHQuote#0002</v>
      </c>
      <c r="L18" s="399"/>
      <c r="M18" s="390" t="s">
        <v>242</v>
      </c>
      <c r="N18" s="390" t="s">
        <v>65</v>
      </c>
      <c r="O18" s="390" t="str">
        <f>BasisSwap3M6M!F16</f>
        <v>USD6L3L8Y_LCHQuote#0002</v>
      </c>
      <c r="P18" s="391" t="str">
        <f t="shared" si="1"/>
        <v>USDAM3L8Y_S6L3L_cubic_LCHQuote</v>
      </c>
      <c r="Q18" s="392" t="str">
        <f>_xll.qlForwardSwapQuote(P18,E18,O18,M18,Permanent,Trigger,ObjectOverwrite)</f>
        <v>USDAM3L8Y_S6L3L_cubic_LCHQuote#0002</v>
      </c>
      <c r="R18" s="393" t="str">
        <f>_xll.ohRangeRetrieveError(Q18)</f>
        <v/>
      </c>
      <c r="S18" s="399"/>
      <c r="T18" s="390" t="s">
        <v>242</v>
      </c>
      <c r="U18" s="390" t="s">
        <v>69</v>
      </c>
      <c r="V18" s="390" t="str">
        <f>BasisSwap3M12M!F16</f>
        <v>USD12L3L8Y_LCHQuote#0002</v>
      </c>
      <c r="W18" s="391" t="str">
        <f t="shared" si="2"/>
        <v>USDAM3L8Y_S12L3L_cubic_LCHQuote</v>
      </c>
      <c r="X18" s="392" t="str">
        <f>_xll.qlForwardSwapQuote(W18,E18,V18,T18,Permanent,Trigger,ObjectOverwrite)</f>
        <v>USDAM3L8Y_S12L3L_cubic_LCHQuote#0002</v>
      </c>
      <c r="Y18" s="393" t="s">
        <v>245</v>
      </c>
      <c r="Z18" s="407"/>
    </row>
    <row r="19" spans="1:26" s="226" customFormat="1" x14ac:dyDescent="0.2">
      <c r="A19" s="337"/>
      <c r="B19" s="229" t="s">
        <v>49</v>
      </c>
      <c r="C19" s="241" t="s">
        <v>14</v>
      </c>
      <c r="D19" s="242" t="str">
        <f t="shared" si="0"/>
        <v>UsdLiborSwapForBasisCalc9Y_cubicLCH</v>
      </c>
      <c r="E19" s="231" t="str">
        <f>_xll.qlSwapIndex($D19,FixingType,B19,2,Currency,$E$5,"1Y","f",MoneyMarketDayCounter,Libor!$H$10,Discounting2,Permanent,Trigger,ObjectOverwrite)</f>
        <v>UsdLiborSwapForBasisCalc9Y_cubicLCH#0002</v>
      </c>
      <c r="F19" s="233" t="str">
        <f>_xll.ohRangeRetrieveError(E19)</f>
        <v/>
      </c>
      <c r="G19" s="398"/>
      <c r="H19" s="389" t="s">
        <v>49</v>
      </c>
      <c r="I19" s="390" t="s">
        <v>95</v>
      </c>
      <c r="J19" s="390" t="s">
        <v>64</v>
      </c>
      <c r="K19" s="390" t="str">
        <f>Swap3M!F16</f>
        <v>USDAM3L8Y_LCHQuote#0002</v>
      </c>
      <c r="L19" s="399"/>
      <c r="M19" s="390" t="s">
        <v>242</v>
      </c>
      <c r="N19" s="390" t="s">
        <v>65</v>
      </c>
      <c r="O19" s="390" t="str">
        <f>BasisSwap3M6M!F17</f>
        <v>USD6L3L9Y_LCHQuote#0002</v>
      </c>
      <c r="P19" s="391" t="str">
        <f t="shared" si="1"/>
        <v>USDAM3L9Y_S6L3L_cubic_LCHQuote</v>
      </c>
      <c r="Q19" s="392" t="str">
        <f>_xll.qlForwardSwapQuote(P19,E19,O19,M19,Permanent,Trigger,ObjectOverwrite)</f>
        <v>USDAM3L9Y_S6L3L_cubic_LCHQuote#0002</v>
      </c>
      <c r="R19" s="393" t="str">
        <f>_xll.ohRangeRetrieveError(Q19)</f>
        <v/>
      </c>
      <c r="S19" s="399"/>
      <c r="T19" s="390" t="s">
        <v>242</v>
      </c>
      <c r="U19" s="390" t="s">
        <v>69</v>
      </c>
      <c r="V19" s="390" t="str">
        <f>BasisSwap3M12M!F17</f>
        <v>USD12L3L9Y_LCHQuote#0002</v>
      </c>
      <c r="W19" s="391" t="str">
        <f t="shared" si="2"/>
        <v>USDAM3L9Y_S12L3L_cubic_LCHQuote</v>
      </c>
      <c r="X19" s="392" t="str">
        <f>_xll.qlForwardSwapQuote(W19,E19,V19,T19,Permanent,Trigger,ObjectOverwrite)</f>
        <v>USDAM3L9Y_S12L3L_cubic_LCHQuote#0002</v>
      </c>
      <c r="Y19" s="393" t="s">
        <v>245</v>
      </c>
      <c r="Z19" s="407"/>
    </row>
    <row r="20" spans="1:26" s="226" customFormat="1" x14ac:dyDescent="0.2">
      <c r="A20" s="337"/>
      <c r="B20" s="229" t="s">
        <v>48</v>
      </c>
      <c r="C20" s="241" t="s">
        <v>14</v>
      </c>
      <c r="D20" s="242" t="str">
        <f t="shared" si="0"/>
        <v>UsdLiborSwapForBasisCalc10Y_cubicLCH</v>
      </c>
      <c r="E20" s="231" t="str">
        <f>_xll.qlSwapIndex($D20,FixingType,B20,2,Currency,$E$5,"1Y","f",MoneyMarketDayCounter,Libor!$H$10,Discounting2,Permanent,Trigger,ObjectOverwrite)</f>
        <v>UsdLiborSwapForBasisCalc10Y_cubicLCH#0002</v>
      </c>
      <c r="F20" s="233" t="str">
        <f>_xll.ohRangeRetrieveError(E20)</f>
        <v/>
      </c>
      <c r="G20" s="398"/>
      <c r="H20" s="389" t="s">
        <v>48</v>
      </c>
      <c r="I20" s="390" t="s">
        <v>95</v>
      </c>
      <c r="J20" s="390" t="s">
        <v>64</v>
      </c>
      <c r="K20" s="390" t="str">
        <f>Swap3M!F17</f>
        <v>USDAM3L9Y_LCHQuote#0002</v>
      </c>
      <c r="L20" s="399"/>
      <c r="M20" s="390" t="s">
        <v>242</v>
      </c>
      <c r="N20" s="390" t="s">
        <v>65</v>
      </c>
      <c r="O20" s="390" t="str">
        <f>BasisSwap3M6M!F18</f>
        <v>USD6L3L10Y_LCHQuote#0002</v>
      </c>
      <c r="P20" s="391" t="str">
        <f t="shared" si="1"/>
        <v>USDAM3L10Y_S6L3L_cubic_LCHQuote</v>
      </c>
      <c r="Q20" s="392" t="str">
        <f>_xll.qlForwardSwapQuote(P20,E20,O20,M20,Permanent,Trigger,ObjectOverwrite)</f>
        <v>USDAM3L10Y_S6L3L_cubic_LCHQuote#0002</v>
      </c>
      <c r="R20" s="393" t="str">
        <f>_xll.ohRangeRetrieveError(Q20)</f>
        <v/>
      </c>
      <c r="S20" s="399"/>
      <c r="T20" s="390" t="s">
        <v>242</v>
      </c>
      <c r="U20" s="390" t="s">
        <v>69</v>
      </c>
      <c r="V20" s="390" t="str">
        <f>BasisSwap3M12M!F18</f>
        <v>USD12L3L10Y_LCHQuote#0002</v>
      </c>
      <c r="W20" s="391" t="str">
        <f t="shared" si="2"/>
        <v>USDAM3L10Y_S12L3L_cubic_LCHQuote</v>
      </c>
      <c r="X20" s="392" t="str">
        <f>_xll.qlForwardSwapQuote(W20,E20,V20,T20,Permanent,Trigger,ObjectOverwrite)</f>
        <v>USDAM3L10Y_S12L3L_cubic_LCHQuote#0002</v>
      </c>
      <c r="Y20" s="393" t="s">
        <v>245</v>
      </c>
      <c r="Z20" s="407"/>
    </row>
    <row r="21" spans="1:26" s="226" customFormat="1" x14ac:dyDescent="0.2">
      <c r="A21" s="337"/>
      <c r="B21" s="229" t="s">
        <v>47</v>
      </c>
      <c r="C21" s="241" t="s">
        <v>14</v>
      </c>
      <c r="D21" s="242" t="str">
        <f t="shared" si="0"/>
        <v>UsdLiborSwapForBasisCalc11Y_cubicLCH</v>
      </c>
      <c r="E21" s="231" t="str">
        <f>_xll.qlSwapIndex($D21,FixingType,B21,2,Currency,$E$5,"1Y","f",MoneyMarketDayCounter,Libor!$H$10,Discounting2,Permanent,Trigger,ObjectOverwrite)</f>
        <v>UsdLiborSwapForBasisCalc11Y_cubicLCH#0002</v>
      </c>
      <c r="F21" s="233" t="str">
        <f>_xll.ohRangeRetrieveError(E21)</f>
        <v/>
      </c>
      <c r="G21" s="398"/>
      <c r="H21" s="389" t="s">
        <v>47</v>
      </c>
      <c r="I21" s="390" t="s">
        <v>95</v>
      </c>
      <c r="J21" s="390" t="s">
        <v>64</v>
      </c>
      <c r="K21" s="390" t="str">
        <f>Swap3M!F18</f>
        <v>USDAM3L10Y_LCHQuote#0002</v>
      </c>
      <c r="L21" s="399"/>
      <c r="M21" s="390" t="s">
        <v>242</v>
      </c>
      <c r="N21" s="390" t="s">
        <v>65</v>
      </c>
      <c r="O21" s="390" t="str">
        <f>BasisSwap3M6M!F19</f>
        <v>USD6L3L11Y_LCHQuote#0002</v>
      </c>
      <c r="P21" s="391" t="str">
        <f t="shared" si="1"/>
        <v>USDAM3L11Y_S6L3L_cubic_LCHQuote</v>
      </c>
      <c r="Q21" s="392" t="str">
        <f>_xll.qlForwardSwapQuote(P21,E21,O21,M21,Permanent,Trigger,ObjectOverwrite)</f>
        <v>USDAM3L11Y_S6L3L_cubic_LCHQuote#0002</v>
      </c>
      <c r="R21" s="393" t="str">
        <f>_xll.ohRangeRetrieveError(Q21)</f>
        <v/>
      </c>
      <c r="S21" s="399"/>
      <c r="T21" s="390" t="s">
        <v>242</v>
      </c>
      <c r="U21" s="390" t="s">
        <v>69</v>
      </c>
      <c r="V21" s="390" t="str">
        <f>BasisSwap3M12M!F19</f>
        <v>USD12L3L11Y_LCHQuote#0002</v>
      </c>
      <c r="W21" s="391" t="str">
        <f t="shared" si="2"/>
        <v>USDAM3L11Y_S12L3L_cubic_LCHQuote</v>
      </c>
      <c r="X21" s="392" t="str">
        <f>_xll.qlForwardSwapQuote(W21,E21,V21,T21,Permanent,Trigger,ObjectOverwrite)</f>
        <v>USDAM3L11Y_S12L3L_cubic_LCHQuote#0002</v>
      </c>
      <c r="Y21" s="393" t="s">
        <v>245</v>
      </c>
      <c r="Z21" s="407"/>
    </row>
    <row r="22" spans="1:26" s="226" customFormat="1" x14ac:dyDescent="0.2">
      <c r="A22" s="337"/>
      <c r="B22" s="229" t="s">
        <v>46</v>
      </c>
      <c r="C22" s="241" t="s">
        <v>14</v>
      </c>
      <c r="D22" s="242" t="str">
        <f t="shared" si="0"/>
        <v>UsdLiborSwapForBasisCalc12Y_cubicLCH</v>
      </c>
      <c r="E22" s="231" t="str">
        <f>_xll.qlSwapIndex($D22,FixingType,B22,2,Currency,$E$5,"1Y","f",MoneyMarketDayCounter,Libor!$H$10,Discounting2,Permanent,Trigger,ObjectOverwrite)</f>
        <v>UsdLiborSwapForBasisCalc12Y_cubicLCH#0002</v>
      </c>
      <c r="F22" s="233" t="str">
        <f>_xll.ohRangeRetrieveError(E22)</f>
        <v/>
      </c>
      <c r="G22" s="398"/>
      <c r="H22" s="389" t="s">
        <v>46</v>
      </c>
      <c r="I22" s="390" t="s">
        <v>95</v>
      </c>
      <c r="J22" s="390" t="s">
        <v>64</v>
      </c>
      <c r="K22" s="390" t="str">
        <f>Swap3M!F19</f>
        <v>USDAM3L11Y_LCHQuote#0002</v>
      </c>
      <c r="L22" s="399"/>
      <c r="M22" s="390" t="s">
        <v>242</v>
      </c>
      <c r="N22" s="390" t="s">
        <v>65</v>
      </c>
      <c r="O22" s="390" t="str">
        <f>BasisSwap3M6M!F20</f>
        <v>USD6L3L12Y_LCHQuote#0002</v>
      </c>
      <c r="P22" s="391" t="str">
        <f t="shared" si="1"/>
        <v>USDAM3L12Y_S6L3L_cubic_LCHQuote</v>
      </c>
      <c r="Q22" s="392" t="str">
        <f>_xll.qlForwardSwapQuote(P22,E22,O22,M22,Permanent,Trigger,ObjectOverwrite)</f>
        <v>USDAM3L12Y_S6L3L_cubic_LCHQuote#0002</v>
      </c>
      <c r="R22" s="393" t="str">
        <f>_xll.ohRangeRetrieveError(Q22)</f>
        <v/>
      </c>
      <c r="S22" s="399"/>
      <c r="T22" s="390" t="s">
        <v>242</v>
      </c>
      <c r="U22" s="390" t="s">
        <v>69</v>
      </c>
      <c r="V22" s="390" t="str">
        <f>BasisSwap3M12M!F20</f>
        <v>USD12L3L12Y_LCHQuote#0002</v>
      </c>
      <c r="W22" s="391" t="str">
        <f t="shared" si="2"/>
        <v>USDAM3L12Y_S12L3L_cubic_LCHQuote</v>
      </c>
      <c r="X22" s="392" t="str">
        <f>_xll.qlForwardSwapQuote(W22,E22,V22,T22,Permanent,Trigger,ObjectOverwrite)</f>
        <v>USDAM3L12Y_S12L3L_cubic_LCHQuote#0002</v>
      </c>
      <c r="Y22" s="393" t="s">
        <v>245</v>
      </c>
      <c r="Z22" s="407"/>
    </row>
    <row r="23" spans="1:26" s="226" customFormat="1" x14ac:dyDescent="0.2">
      <c r="A23" s="337"/>
      <c r="B23" s="229" t="s">
        <v>45</v>
      </c>
      <c r="C23" s="241" t="s">
        <v>14</v>
      </c>
      <c r="D23" s="242" t="str">
        <f t="shared" si="0"/>
        <v>UsdLiborSwapForBasisCalc13Y_cubicLCH</v>
      </c>
      <c r="E23" s="231" t="str">
        <f>_xll.qlSwapIndex($D23,FixingType,B23,2,Currency,$E$5,"1Y","f",MoneyMarketDayCounter,Libor!$H$10,Discounting2,Permanent,Trigger,ObjectOverwrite)</f>
        <v>UsdLiborSwapForBasisCalc13Y_cubicLCH#0002</v>
      </c>
      <c r="F23" s="233" t="str">
        <f>_xll.ohRangeRetrieveError(E23)</f>
        <v/>
      </c>
      <c r="G23" s="398"/>
      <c r="H23" s="389" t="s">
        <v>45</v>
      </c>
      <c r="I23" s="390" t="s">
        <v>95</v>
      </c>
      <c r="J23" s="390" t="s">
        <v>64</v>
      </c>
      <c r="K23" s="390" t="str">
        <f>Swap3M!F20</f>
        <v>USDAM3L12Y_LCHQuote#0002</v>
      </c>
      <c r="L23" s="399"/>
      <c r="M23" s="390" t="s">
        <v>242</v>
      </c>
      <c r="N23" s="390" t="s">
        <v>65</v>
      </c>
      <c r="O23" s="390" t="str">
        <f>BasisSwap3M6M!F21</f>
        <v>USD6L3L13Y_LCHQuote#0002</v>
      </c>
      <c r="P23" s="391" t="str">
        <f t="shared" si="1"/>
        <v>USDAM3L13Y_S6L3L_cubic_LCHQuote</v>
      </c>
      <c r="Q23" s="392" t="str">
        <f>_xll.qlForwardSwapQuote(P23,E23,O23,M23,Permanent,Trigger,ObjectOverwrite)</f>
        <v>USDAM3L13Y_S6L3L_cubic_LCHQuote#0002</v>
      </c>
      <c r="R23" s="393" t="str">
        <f>_xll.ohRangeRetrieveError(Q23)</f>
        <v/>
      </c>
      <c r="S23" s="399"/>
      <c r="T23" s="390" t="s">
        <v>242</v>
      </c>
      <c r="U23" s="390" t="s">
        <v>69</v>
      </c>
      <c r="V23" s="390" t="str">
        <f>BasisSwap3M12M!F21</f>
        <v>USD12L3L13Y_LCHQuote#0002</v>
      </c>
      <c r="W23" s="391" t="str">
        <f t="shared" si="2"/>
        <v>USDAM3L13Y_S12L3L_cubic_LCHQuote</v>
      </c>
      <c r="X23" s="392" t="str">
        <f>_xll.qlForwardSwapQuote(W23,E23,V23,T23,Permanent,Trigger,ObjectOverwrite)</f>
        <v>USDAM3L13Y_S12L3L_cubic_LCHQuote#0002</v>
      </c>
      <c r="Y23" s="393" t="s">
        <v>245</v>
      </c>
      <c r="Z23" s="407"/>
    </row>
    <row r="24" spans="1:26" s="226" customFormat="1" x14ac:dyDescent="0.2">
      <c r="A24" s="337"/>
      <c r="B24" s="229" t="s">
        <v>44</v>
      </c>
      <c r="C24" s="241" t="s">
        <v>14</v>
      </c>
      <c r="D24" s="242" t="str">
        <f t="shared" si="0"/>
        <v>UsdLiborSwapForBasisCalc14Y_cubicLCH</v>
      </c>
      <c r="E24" s="231" t="str">
        <f>_xll.qlSwapIndex($D24,FixingType,B24,2,Currency,$E$5,"1Y","f",MoneyMarketDayCounter,Libor!$H$10,Discounting2,Permanent,Trigger,ObjectOverwrite)</f>
        <v>UsdLiborSwapForBasisCalc14Y_cubicLCH#0002</v>
      </c>
      <c r="F24" s="233" t="str">
        <f>_xll.ohRangeRetrieveError(E24)</f>
        <v/>
      </c>
      <c r="G24" s="398"/>
      <c r="H24" s="389" t="s">
        <v>44</v>
      </c>
      <c r="I24" s="390" t="s">
        <v>95</v>
      </c>
      <c r="J24" s="390" t="s">
        <v>64</v>
      </c>
      <c r="K24" s="390" t="str">
        <f>Swap3M!F21</f>
        <v>USDAM3L13Y_LCHQuote#0002</v>
      </c>
      <c r="L24" s="399"/>
      <c r="M24" s="390" t="s">
        <v>242</v>
      </c>
      <c r="N24" s="390" t="s">
        <v>65</v>
      </c>
      <c r="O24" s="390" t="str">
        <f>BasisSwap3M6M!F22</f>
        <v>USD6L3L14Y_LCHQuote#0002</v>
      </c>
      <c r="P24" s="391" t="str">
        <f t="shared" si="1"/>
        <v>USDAM3L14Y_S6L3L_cubic_LCHQuote</v>
      </c>
      <c r="Q24" s="392" t="str">
        <f>_xll.qlForwardSwapQuote(P24,E24,O24,M24,Permanent,Trigger,ObjectOverwrite)</f>
        <v>USDAM3L14Y_S6L3L_cubic_LCHQuote#0002</v>
      </c>
      <c r="R24" s="393" t="str">
        <f>_xll.ohRangeRetrieveError(Q24)</f>
        <v/>
      </c>
      <c r="S24" s="399"/>
      <c r="T24" s="390" t="s">
        <v>242</v>
      </c>
      <c r="U24" s="390" t="s">
        <v>69</v>
      </c>
      <c r="V24" s="390" t="str">
        <f>BasisSwap3M12M!F22</f>
        <v>USD12L3L14Y_LCHQuote#0002</v>
      </c>
      <c r="W24" s="391" t="str">
        <f t="shared" si="2"/>
        <v>USDAM3L14Y_S12L3L_cubic_LCHQuote</v>
      </c>
      <c r="X24" s="392" t="str">
        <f>_xll.qlForwardSwapQuote(W24,E24,V24,T24,Permanent,Trigger,ObjectOverwrite)</f>
        <v>USDAM3L14Y_S12L3L_cubic_LCHQuote#0002</v>
      </c>
      <c r="Y24" s="393" t="s">
        <v>245</v>
      </c>
      <c r="Z24" s="407"/>
    </row>
    <row r="25" spans="1:26" s="226" customFormat="1" x14ac:dyDescent="0.2">
      <c r="A25" s="337"/>
      <c r="B25" s="229" t="s">
        <v>43</v>
      </c>
      <c r="C25" s="241" t="s">
        <v>14</v>
      </c>
      <c r="D25" s="242" t="str">
        <f t="shared" si="0"/>
        <v>UsdLiborSwapForBasisCalc15Y_cubicLCH</v>
      </c>
      <c r="E25" s="231" t="str">
        <f>_xll.qlSwapIndex($D25,FixingType,B25,2,Currency,$E$5,"1Y","f",MoneyMarketDayCounter,Libor!$H$10,Discounting2,Permanent,Trigger,ObjectOverwrite)</f>
        <v>UsdLiborSwapForBasisCalc15Y_cubicLCH#0002</v>
      </c>
      <c r="F25" s="233" t="str">
        <f>_xll.ohRangeRetrieveError(E25)</f>
        <v/>
      </c>
      <c r="G25" s="398"/>
      <c r="H25" s="389" t="s">
        <v>43</v>
      </c>
      <c r="I25" s="390" t="s">
        <v>95</v>
      </c>
      <c r="J25" s="390" t="s">
        <v>64</v>
      </c>
      <c r="K25" s="390" t="str">
        <f>Swap3M!F22</f>
        <v>USDAM3L14Y_LCHQuote#0002</v>
      </c>
      <c r="L25" s="399"/>
      <c r="M25" s="390" t="s">
        <v>242</v>
      </c>
      <c r="N25" s="390" t="s">
        <v>65</v>
      </c>
      <c r="O25" s="390" t="str">
        <f>BasisSwap3M6M!F23</f>
        <v>USD6L3L15Y_LCHQuote#0002</v>
      </c>
      <c r="P25" s="391" t="str">
        <f t="shared" si="1"/>
        <v>USDAM3L15Y_S6L3L_cubic_LCHQuote</v>
      </c>
      <c r="Q25" s="392" t="str">
        <f>_xll.qlForwardSwapQuote(P25,E25,O25,M25,Permanent,Trigger,ObjectOverwrite)</f>
        <v>USDAM3L15Y_S6L3L_cubic_LCHQuote#0002</v>
      </c>
      <c r="R25" s="393" t="str">
        <f>_xll.ohRangeRetrieveError(Q25)</f>
        <v/>
      </c>
      <c r="S25" s="399"/>
      <c r="T25" s="390" t="s">
        <v>242</v>
      </c>
      <c r="U25" s="390" t="s">
        <v>69</v>
      </c>
      <c r="V25" s="390" t="str">
        <f>BasisSwap3M12M!F23</f>
        <v>USD12L3L15Y_LCHQuote#0002</v>
      </c>
      <c r="W25" s="391" t="str">
        <f t="shared" si="2"/>
        <v>USDAM3L15Y_S12L3L_cubic_LCHQuote</v>
      </c>
      <c r="X25" s="392" t="str">
        <f>_xll.qlForwardSwapQuote(W25,E25,V25,T25,Permanent,Trigger,ObjectOverwrite)</f>
        <v>USDAM3L15Y_S12L3L_cubic_LCHQuote#0002</v>
      </c>
      <c r="Y25" s="393" t="s">
        <v>245</v>
      </c>
      <c r="Z25" s="407"/>
    </row>
    <row r="26" spans="1:26" s="226" customFormat="1" x14ac:dyDescent="0.2">
      <c r="A26" s="337"/>
      <c r="B26" s="229" t="s">
        <v>42</v>
      </c>
      <c r="C26" s="241" t="s">
        <v>14</v>
      </c>
      <c r="D26" s="242" t="str">
        <f t="shared" si="0"/>
        <v>UsdLiborSwapForBasisCalc16Y_cubicLCH</v>
      </c>
      <c r="E26" s="231" t="str">
        <f>_xll.qlSwapIndex($D26,FixingType,B26,2,Currency,$E$5,"1Y","f",MoneyMarketDayCounter,Libor!$H$10,Discounting2,Permanent,Trigger,ObjectOverwrite)</f>
        <v>UsdLiborSwapForBasisCalc16Y_cubicLCH#0002</v>
      </c>
      <c r="F26" s="233" t="str">
        <f>_xll.ohRangeRetrieveError(E26)</f>
        <v/>
      </c>
      <c r="G26" s="398"/>
      <c r="H26" s="389" t="s">
        <v>42</v>
      </c>
      <c r="I26" s="390" t="s">
        <v>95</v>
      </c>
      <c r="J26" s="390" t="s">
        <v>64</v>
      </c>
      <c r="K26" s="390" t="str">
        <f>Swap3M!F23</f>
        <v>USDAM3L15Y_LCHQuote#0002</v>
      </c>
      <c r="L26" s="399"/>
      <c r="M26" s="390" t="s">
        <v>242</v>
      </c>
      <c r="N26" s="390" t="s">
        <v>65</v>
      </c>
      <c r="O26" s="390" t="str">
        <f>BasisSwap3M6M!F24</f>
        <v>USD6L3L16Y_LCHQuote#0002</v>
      </c>
      <c r="P26" s="391" t="str">
        <f t="shared" si="1"/>
        <v>USDAM3L16Y_S6L3L_cubic_LCHQuote</v>
      </c>
      <c r="Q26" s="392" t="str">
        <f>_xll.qlForwardSwapQuote(P26,E26,O26,M26,Permanent,Trigger,ObjectOverwrite)</f>
        <v>USDAM3L16Y_S6L3L_cubic_LCHQuote#0002</v>
      </c>
      <c r="R26" s="393" t="str">
        <f>_xll.ohRangeRetrieveError(Q26)</f>
        <v/>
      </c>
      <c r="S26" s="399"/>
      <c r="T26" s="390" t="s">
        <v>242</v>
      </c>
      <c r="U26" s="390" t="s">
        <v>69</v>
      </c>
      <c r="V26" s="390" t="str">
        <f>BasisSwap3M12M!F24</f>
        <v>USD12L3L16Y_LCHQuote#0002</v>
      </c>
      <c r="W26" s="391" t="str">
        <f t="shared" si="2"/>
        <v>USDAM3L16Y_S12L3L_cubic_LCHQuote</v>
      </c>
      <c r="X26" s="392" t="str">
        <f>_xll.qlForwardSwapQuote(W26,E26,V26,T26,Permanent,Trigger,ObjectOverwrite)</f>
        <v>USDAM3L16Y_S12L3L_cubic_LCHQuote#0002</v>
      </c>
      <c r="Y26" s="393" t="s">
        <v>245</v>
      </c>
      <c r="Z26" s="407"/>
    </row>
    <row r="27" spans="1:26" s="226" customFormat="1" x14ac:dyDescent="0.2">
      <c r="A27" s="337"/>
      <c r="B27" s="229" t="s">
        <v>41</v>
      </c>
      <c r="C27" s="241" t="s">
        <v>14</v>
      </c>
      <c r="D27" s="242" t="str">
        <f t="shared" si="0"/>
        <v>UsdLiborSwapForBasisCalc17Y_cubicLCH</v>
      </c>
      <c r="E27" s="231" t="str">
        <f>_xll.qlSwapIndex($D27,FixingType,B27,2,Currency,$E$5,"1Y","f",MoneyMarketDayCounter,Libor!$H$10,Discounting2,Permanent,Trigger,ObjectOverwrite)</f>
        <v>UsdLiborSwapForBasisCalc17Y_cubicLCH#0002</v>
      </c>
      <c r="F27" s="233" t="str">
        <f>_xll.ohRangeRetrieveError(E27)</f>
        <v/>
      </c>
      <c r="G27" s="398"/>
      <c r="H27" s="389" t="s">
        <v>41</v>
      </c>
      <c r="I27" s="390" t="s">
        <v>95</v>
      </c>
      <c r="J27" s="390" t="s">
        <v>64</v>
      </c>
      <c r="K27" s="390" t="str">
        <f>Swap3M!F24</f>
        <v>USDAM3L16Y_LCHQuote#0002</v>
      </c>
      <c r="L27" s="399"/>
      <c r="M27" s="390" t="s">
        <v>242</v>
      </c>
      <c r="N27" s="390" t="s">
        <v>65</v>
      </c>
      <c r="O27" s="390" t="str">
        <f>BasisSwap3M6M!F25</f>
        <v>USD6L3L17Y_LCHQuote#0002</v>
      </c>
      <c r="P27" s="391" t="str">
        <f t="shared" si="1"/>
        <v>USDAM3L17Y_S6L3L_cubic_LCHQuote</v>
      </c>
      <c r="Q27" s="392" t="str">
        <f>_xll.qlForwardSwapQuote(P27,E27,O27,M27,Permanent,Trigger,ObjectOverwrite)</f>
        <v>USDAM3L17Y_S6L3L_cubic_LCHQuote#0002</v>
      </c>
      <c r="R27" s="393" t="str">
        <f>_xll.ohRangeRetrieveError(Q27)</f>
        <v/>
      </c>
      <c r="S27" s="399"/>
      <c r="T27" s="390" t="s">
        <v>242</v>
      </c>
      <c r="U27" s="390" t="s">
        <v>69</v>
      </c>
      <c r="V27" s="390" t="str">
        <f>BasisSwap3M12M!F25</f>
        <v>USD12L3L17Y_LCHQuote#0002</v>
      </c>
      <c r="W27" s="391" t="str">
        <f t="shared" si="2"/>
        <v>USDAM3L17Y_S12L3L_cubic_LCHQuote</v>
      </c>
      <c r="X27" s="392" t="str">
        <f>_xll.qlForwardSwapQuote(W27,E27,V27,T27,Permanent,Trigger,ObjectOverwrite)</f>
        <v>USDAM3L17Y_S12L3L_cubic_LCHQuote#0002</v>
      </c>
      <c r="Y27" s="393" t="s">
        <v>245</v>
      </c>
      <c r="Z27" s="407"/>
    </row>
    <row r="28" spans="1:26" s="226" customFormat="1" x14ac:dyDescent="0.2">
      <c r="A28" s="337"/>
      <c r="B28" s="229" t="s">
        <v>40</v>
      </c>
      <c r="C28" s="241" t="s">
        <v>14</v>
      </c>
      <c r="D28" s="242" t="str">
        <f t="shared" si="0"/>
        <v>UsdLiborSwapForBasisCalc18Y_cubicLCH</v>
      </c>
      <c r="E28" s="231" t="str">
        <f>_xll.qlSwapIndex($D28,FixingType,B28,2,Currency,$E$5,"1Y","f",MoneyMarketDayCounter,Libor!$H$10,Discounting2,Permanent,Trigger,ObjectOverwrite)</f>
        <v>UsdLiborSwapForBasisCalc18Y_cubicLCH#0002</v>
      </c>
      <c r="F28" s="233" t="str">
        <f>_xll.ohRangeRetrieveError(E28)</f>
        <v/>
      </c>
      <c r="G28" s="398"/>
      <c r="H28" s="389" t="s">
        <v>40</v>
      </c>
      <c r="I28" s="390" t="s">
        <v>95</v>
      </c>
      <c r="J28" s="390" t="s">
        <v>64</v>
      </c>
      <c r="K28" s="390" t="str">
        <f>Swap3M!F25</f>
        <v>USDAM3L17Y_LCHQuote#0002</v>
      </c>
      <c r="L28" s="399"/>
      <c r="M28" s="390" t="s">
        <v>242</v>
      </c>
      <c r="N28" s="390" t="s">
        <v>65</v>
      </c>
      <c r="O28" s="390" t="str">
        <f>BasisSwap3M6M!F26</f>
        <v>USD6L3L18Y_LCHQuote#0002</v>
      </c>
      <c r="P28" s="391" t="str">
        <f t="shared" si="1"/>
        <v>USDAM3L18Y_S6L3L_cubic_LCHQuote</v>
      </c>
      <c r="Q28" s="392" t="str">
        <f>_xll.qlForwardSwapQuote(P28,E28,O28,M28,Permanent,Trigger,ObjectOverwrite)</f>
        <v>USDAM3L18Y_S6L3L_cubic_LCHQuote#0002</v>
      </c>
      <c r="R28" s="393" t="str">
        <f>_xll.ohRangeRetrieveError(Q28)</f>
        <v/>
      </c>
      <c r="S28" s="399"/>
      <c r="T28" s="390" t="s">
        <v>242</v>
      </c>
      <c r="U28" s="390" t="s">
        <v>69</v>
      </c>
      <c r="V28" s="390" t="str">
        <f>BasisSwap3M12M!F26</f>
        <v>USD12L3L18Y_LCHQuote#0002</v>
      </c>
      <c r="W28" s="391" t="str">
        <f t="shared" si="2"/>
        <v>USDAM3L18Y_S12L3L_cubic_LCHQuote</v>
      </c>
      <c r="X28" s="392" t="str">
        <f>_xll.qlForwardSwapQuote(W28,E28,V28,T28,Permanent,Trigger,ObjectOverwrite)</f>
        <v>USDAM3L18Y_S12L3L_cubic_LCHQuote#0002</v>
      </c>
      <c r="Y28" s="393" t="s">
        <v>245</v>
      </c>
      <c r="Z28" s="407"/>
    </row>
    <row r="29" spans="1:26" s="226" customFormat="1" x14ac:dyDescent="0.2">
      <c r="A29" s="337"/>
      <c r="B29" s="229" t="s">
        <v>39</v>
      </c>
      <c r="C29" s="241" t="s">
        <v>14</v>
      </c>
      <c r="D29" s="242" t="str">
        <f t="shared" si="0"/>
        <v>UsdLiborSwapForBasisCalc19Y_cubicLCH</v>
      </c>
      <c r="E29" s="231" t="str">
        <f>_xll.qlSwapIndex($D29,FixingType,B29,2,Currency,$E$5,"1Y","f",MoneyMarketDayCounter,Libor!$H$10,Discounting2,Permanent,Trigger,ObjectOverwrite)</f>
        <v>UsdLiborSwapForBasisCalc19Y_cubicLCH#0002</v>
      </c>
      <c r="F29" s="233" t="str">
        <f>_xll.ohRangeRetrieveError(E29)</f>
        <v/>
      </c>
      <c r="G29" s="398"/>
      <c r="H29" s="389" t="s">
        <v>39</v>
      </c>
      <c r="I29" s="390" t="s">
        <v>95</v>
      </c>
      <c r="J29" s="390" t="s">
        <v>64</v>
      </c>
      <c r="K29" s="390" t="str">
        <f>Swap3M!F26</f>
        <v>USDAM3L18Y_LCHQuote#0002</v>
      </c>
      <c r="L29" s="399"/>
      <c r="M29" s="390" t="s">
        <v>242</v>
      </c>
      <c r="N29" s="390" t="s">
        <v>65</v>
      </c>
      <c r="O29" s="390" t="str">
        <f>BasisSwap3M6M!F27</f>
        <v>USD6L3L19Y_LCHQuote#0002</v>
      </c>
      <c r="P29" s="391" t="str">
        <f t="shared" si="1"/>
        <v>USDAM3L19Y_S6L3L_cubic_LCHQuote</v>
      </c>
      <c r="Q29" s="392" t="str">
        <f>_xll.qlForwardSwapQuote(P29,E29,O29,M29,Permanent,Trigger,ObjectOverwrite)</f>
        <v>USDAM3L19Y_S6L3L_cubic_LCHQuote#0002</v>
      </c>
      <c r="R29" s="233" t="str">
        <f>_xll.ohRangeRetrieveError(Q29)</f>
        <v/>
      </c>
      <c r="S29" s="399"/>
      <c r="T29" s="390" t="s">
        <v>242</v>
      </c>
      <c r="U29" s="390" t="s">
        <v>69</v>
      </c>
      <c r="V29" s="390" t="str">
        <f>BasisSwap3M12M!F27</f>
        <v>USD12L3L19Y_LCHQuote#0002</v>
      </c>
      <c r="W29" s="391" t="str">
        <f t="shared" si="2"/>
        <v>USDAM3L19Y_S12L3L_cubic_LCHQuote</v>
      </c>
      <c r="X29" s="392" t="str">
        <f>_xll.qlForwardSwapQuote(W29,E29,V29,T29,Permanent,Trigger,ObjectOverwrite)</f>
        <v>USDAM3L19Y_S12L3L_cubic_LCHQuote#0002</v>
      </c>
      <c r="Y29" s="233" t="s">
        <v>245</v>
      </c>
      <c r="Z29" s="407"/>
    </row>
    <row r="30" spans="1:26" s="226" customFormat="1" x14ac:dyDescent="0.2">
      <c r="A30" s="337"/>
      <c r="B30" s="229" t="s">
        <v>38</v>
      </c>
      <c r="C30" s="241" t="s">
        <v>14</v>
      </c>
      <c r="D30" s="242" t="str">
        <f t="shared" si="0"/>
        <v>UsdLiborSwapForBasisCalc20Y_cubicLCH</v>
      </c>
      <c r="E30" s="231" t="str">
        <f>_xll.qlSwapIndex($D30,FixingType,B30,2,Currency,$E$5,"1Y","f",MoneyMarketDayCounter,Libor!$H$10,Discounting2,Permanent,Trigger,ObjectOverwrite)</f>
        <v>UsdLiborSwapForBasisCalc20Y_cubicLCH#0002</v>
      </c>
      <c r="F30" s="233" t="str">
        <f>_xll.ohRangeRetrieveError(E30)</f>
        <v/>
      </c>
      <c r="G30" s="398"/>
      <c r="H30" s="389" t="s">
        <v>38</v>
      </c>
      <c r="I30" s="390" t="s">
        <v>95</v>
      </c>
      <c r="J30" s="390" t="s">
        <v>64</v>
      </c>
      <c r="K30" s="390" t="str">
        <f>Swap3M!F27</f>
        <v>USDAM3L19Y_LCHQuote#0002</v>
      </c>
      <c r="L30" s="399"/>
      <c r="M30" s="390" t="s">
        <v>242</v>
      </c>
      <c r="N30" s="390" t="s">
        <v>65</v>
      </c>
      <c r="O30" s="390" t="str">
        <f>BasisSwap3M6M!F28</f>
        <v>USD6L3L20Y_LCHQuote#0002</v>
      </c>
      <c r="P30" s="391" t="str">
        <f t="shared" si="1"/>
        <v>USDAM3L20Y_S6L3L_cubic_LCHQuote</v>
      </c>
      <c r="Q30" s="392" t="str">
        <f>_xll.qlForwardSwapQuote(P30,E30,O30,M30,Permanent,Trigger,ObjectOverwrite)</f>
        <v>USDAM3L20Y_S6L3L_cubic_LCHQuote#0002</v>
      </c>
      <c r="R30" s="233" t="str">
        <f>_xll.ohRangeRetrieveError(Q30)</f>
        <v/>
      </c>
      <c r="S30" s="399"/>
      <c r="T30" s="390" t="s">
        <v>242</v>
      </c>
      <c r="U30" s="390" t="s">
        <v>69</v>
      </c>
      <c r="V30" s="390" t="str">
        <f>BasisSwap3M12M!F28</f>
        <v>USD12L3L20Y_LCHQuote#0002</v>
      </c>
      <c r="W30" s="391" t="str">
        <f t="shared" si="2"/>
        <v>USDAM3L20Y_S12L3L_cubic_LCHQuote</v>
      </c>
      <c r="X30" s="392" t="str">
        <f>_xll.qlForwardSwapQuote(W30,E30,V30,T30,Permanent,Trigger,ObjectOverwrite)</f>
        <v>USDAM3L20Y_S12L3L_cubic_LCHQuote#0002</v>
      </c>
      <c r="Y30" s="233" t="s">
        <v>245</v>
      </c>
      <c r="Z30" s="407"/>
    </row>
    <row r="31" spans="1:26" s="226" customFormat="1" x14ac:dyDescent="0.2">
      <c r="A31" s="337"/>
      <c r="B31" s="229" t="s">
        <v>37</v>
      </c>
      <c r="C31" s="241" t="s">
        <v>14</v>
      </c>
      <c r="D31" s="242" t="str">
        <f t="shared" si="0"/>
        <v>UsdLiborSwapForBasisCalc21Y_cubicLCH</v>
      </c>
      <c r="E31" s="231" t="str">
        <f>_xll.qlSwapIndex($D31,FixingType,B31,2,Currency,$E$5,"1Y","f",MoneyMarketDayCounter,Libor!$H$10,Discounting2,Permanent,Trigger,ObjectOverwrite)</f>
        <v>UsdLiborSwapForBasisCalc21Y_cubicLCH#0002</v>
      </c>
      <c r="F31" s="233" t="str">
        <f>_xll.ohRangeRetrieveError(E31)</f>
        <v/>
      </c>
      <c r="G31" s="398"/>
      <c r="H31" s="389" t="s">
        <v>37</v>
      </c>
      <c r="I31" s="390" t="s">
        <v>95</v>
      </c>
      <c r="J31" s="390" t="s">
        <v>64</v>
      </c>
      <c r="K31" s="390" t="str">
        <f>Swap3M!F28</f>
        <v>USDAM3L20Y_LCHQuote#0002</v>
      </c>
      <c r="L31" s="399"/>
      <c r="M31" s="390" t="s">
        <v>242</v>
      </c>
      <c r="N31" s="390" t="s">
        <v>65</v>
      </c>
      <c r="O31" s="390" t="str">
        <f>BasisSwap3M6M!F29</f>
        <v>USD6L3L21Y_LCHQuote#0002</v>
      </c>
      <c r="P31" s="391" t="str">
        <f t="shared" si="1"/>
        <v>USDAM3L21Y_S6L3L_cubic_LCHQuote</v>
      </c>
      <c r="Q31" s="392" t="str">
        <f>_xll.qlForwardSwapQuote(P31,E31,O31,M31,Permanent,Trigger,ObjectOverwrite)</f>
        <v>USDAM3L21Y_S6L3L_cubic_LCHQuote#0002</v>
      </c>
      <c r="R31" s="233" t="str">
        <f>_xll.ohRangeRetrieveError(Q31)</f>
        <v/>
      </c>
      <c r="S31" s="399"/>
      <c r="T31" s="390" t="s">
        <v>242</v>
      </c>
      <c r="U31" s="390" t="s">
        <v>69</v>
      </c>
      <c r="V31" s="390" t="str">
        <f>BasisSwap3M12M!F29</f>
        <v>USD12L3L21Y_LCHQuote#0002</v>
      </c>
      <c r="W31" s="391" t="str">
        <f t="shared" si="2"/>
        <v>USDAM3L21Y_S12L3L_cubic_LCHQuote</v>
      </c>
      <c r="X31" s="392" t="str">
        <f>_xll.qlForwardSwapQuote(W31,E31,V31,T31,Permanent,Trigger,ObjectOverwrite)</f>
        <v>USDAM3L21Y_S12L3L_cubic_LCHQuote#0002</v>
      </c>
      <c r="Y31" s="233" t="s">
        <v>245</v>
      </c>
      <c r="Z31" s="407"/>
    </row>
    <row r="32" spans="1:26" s="226" customFormat="1" x14ac:dyDescent="0.2">
      <c r="A32" s="337"/>
      <c r="B32" s="229" t="s">
        <v>36</v>
      </c>
      <c r="C32" s="241" t="s">
        <v>14</v>
      </c>
      <c r="D32" s="242" t="str">
        <f t="shared" si="0"/>
        <v>UsdLiborSwapForBasisCalc22Y_cubicLCH</v>
      </c>
      <c r="E32" s="231" t="str">
        <f>_xll.qlSwapIndex($D32,FixingType,B32,2,Currency,$E$5,"1Y","f",MoneyMarketDayCounter,Libor!$H$10,Discounting2,Permanent,Trigger,ObjectOverwrite)</f>
        <v>UsdLiborSwapForBasisCalc22Y_cubicLCH#0002</v>
      </c>
      <c r="F32" s="233" t="str">
        <f>_xll.ohRangeRetrieveError(E32)</f>
        <v/>
      </c>
      <c r="G32" s="398"/>
      <c r="H32" s="389" t="s">
        <v>36</v>
      </c>
      <c r="I32" s="390" t="s">
        <v>95</v>
      </c>
      <c r="J32" s="390" t="s">
        <v>64</v>
      </c>
      <c r="K32" s="390" t="str">
        <f>Swap3M!F29</f>
        <v>USDAM3L21Y_LCHQuote#0002</v>
      </c>
      <c r="L32" s="399"/>
      <c r="M32" s="390" t="s">
        <v>242</v>
      </c>
      <c r="N32" s="390" t="s">
        <v>65</v>
      </c>
      <c r="O32" s="390" t="str">
        <f>BasisSwap3M6M!F30</f>
        <v>USD6L3L22Y_LCHQuote#0002</v>
      </c>
      <c r="P32" s="391" t="str">
        <f t="shared" si="1"/>
        <v>USDAM3L22Y_S6L3L_cubic_LCHQuote</v>
      </c>
      <c r="Q32" s="392" t="str">
        <f>_xll.qlForwardSwapQuote(P32,E32,O32,M32,Permanent,Trigger,ObjectOverwrite)</f>
        <v>USDAM3L22Y_S6L3L_cubic_LCHQuote#0002</v>
      </c>
      <c r="R32" s="233" t="str">
        <f>_xll.ohRangeRetrieveError(Q32)</f>
        <v/>
      </c>
      <c r="S32" s="399"/>
      <c r="T32" s="390" t="s">
        <v>242</v>
      </c>
      <c r="U32" s="390" t="s">
        <v>69</v>
      </c>
      <c r="V32" s="390" t="str">
        <f>BasisSwap3M12M!F30</f>
        <v>USD12L3L22Y_LCHQuote#0002</v>
      </c>
      <c r="W32" s="391" t="str">
        <f t="shared" si="2"/>
        <v>USDAM3L22Y_S12L3L_cubic_LCHQuote</v>
      </c>
      <c r="X32" s="392" t="str">
        <f>_xll.qlForwardSwapQuote(W32,E32,V32,T32,Permanent,Trigger,ObjectOverwrite)</f>
        <v>USDAM3L22Y_S12L3L_cubic_LCHQuote#0002</v>
      </c>
      <c r="Y32" s="233" t="s">
        <v>245</v>
      </c>
      <c r="Z32" s="407"/>
    </row>
    <row r="33" spans="1:26" s="226" customFormat="1" x14ac:dyDescent="0.2">
      <c r="A33" s="337"/>
      <c r="B33" s="229" t="s">
        <v>35</v>
      </c>
      <c r="C33" s="241" t="s">
        <v>14</v>
      </c>
      <c r="D33" s="242" t="str">
        <f t="shared" si="0"/>
        <v>UsdLiborSwapForBasisCalc23Y_cubicLCH</v>
      </c>
      <c r="E33" s="231" t="str">
        <f>_xll.qlSwapIndex($D33,FixingType,B33,2,Currency,$E$5,"1Y","f",MoneyMarketDayCounter,Libor!$H$10,Discounting2,Permanent,Trigger,ObjectOverwrite)</f>
        <v>UsdLiborSwapForBasisCalc23Y_cubicLCH#0002</v>
      </c>
      <c r="F33" s="233" t="str">
        <f>_xll.ohRangeRetrieveError(E33)</f>
        <v/>
      </c>
      <c r="G33" s="398"/>
      <c r="H33" s="389" t="s">
        <v>35</v>
      </c>
      <c r="I33" s="390" t="s">
        <v>95</v>
      </c>
      <c r="J33" s="390" t="s">
        <v>64</v>
      </c>
      <c r="K33" s="390" t="str">
        <f>Swap3M!F30</f>
        <v>USDAM3L22Y_LCHQuote#0002</v>
      </c>
      <c r="L33" s="399"/>
      <c r="M33" s="390" t="s">
        <v>242</v>
      </c>
      <c r="N33" s="390" t="s">
        <v>65</v>
      </c>
      <c r="O33" s="390" t="str">
        <f>BasisSwap3M6M!F31</f>
        <v>USD6L3L23Y_LCHQuote#0002</v>
      </c>
      <c r="P33" s="391" t="str">
        <f t="shared" si="1"/>
        <v>USDAM3L23Y_S6L3L_cubic_LCHQuote</v>
      </c>
      <c r="Q33" s="392" t="str">
        <f>_xll.qlForwardSwapQuote(P33,E33,O33,M33,Permanent,Trigger,ObjectOverwrite)</f>
        <v>USDAM3L23Y_S6L3L_cubic_LCHQuote#0002</v>
      </c>
      <c r="R33" s="233" t="str">
        <f>_xll.ohRangeRetrieveError(Q33)</f>
        <v/>
      </c>
      <c r="S33" s="399"/>
      <c r="T33" s="390" t="s">
        <v>242</v>
      </c>
      <c r="U33" s="390" t="s">
        <v>69</v>
      </c>
      <c r="V33" s="390" t="str">
        <f>BasisSwap3M12M!F31</f>
        <v>USD12L3L23Y_LCHQuote#0002</v>
      </c>
      <c r="W33" s="391" t="str">
        <f t="shared" si="2"/>
        <v>USDAM3L23Y_S12L3L_cubic_LCHQuote</v>
      </c>
      <c r="X33" s="392" t="str">
        <f>_xll.qlForwardSwapQuote(W33,E33,V33,T33,Permanent,Trigger,ObjectOverwrite)</f>
        <v>USDAM3L23Y_S12L3L_cubic_LCHQuote#0002</v>
      </c>
      <c r="Y33" s="233" t="s">
        <v>245</v>
      </c>
      <c r="Z33" s="407"/>
    </row>
    <row r="34" spans="1:26" s="226" customFormat="1" x14ac:dyDescent="0.2">
      <c r="A34" s="337"/>
      <c r="B34" s="229" t="s">
        <v>34</v>
      </c>
      <c r="C34" s="241" t="s">
        <v>14</v>
      </c>
      <c r="D34" s="242" t="str">
        <f t="shared" si="0"/>
        <v>UsdLiborSwapForBasisCalc24Y_cubicLCH</v>
      </c>
      <c r="E34" s="231" t="str">
        <f>_xll.qlSwapIndex($D34,FixingType,B34,2,Currency,$E$5,"1Y","f",MoneyMarketDayCounter,Libor!$H$10,Discounting2,Permanent,Trigger,ObjectOverwrite)</f>
        <v>UsdLiborSwapForBasisCalc24Y_cubicLCH#0002</v>
      </c>
      <c r="F34" s="233" t="str">
        <f>_xll.ohRangeRetrieveError(E34)</f>
        <v/>
      </c>
      <c r="G34" s="398"/>
      <c r="H34" s="389" t="s">
        <v>34</v>
      </c>
      <c r="I34" s="390" t="s">
        <v>95</v>
      </c>
      <c r="J34" s="390" t="s">
        <v>64</v>
      </c>
      <c r="K34" s="390" t="str">
        <f>Swap3M!F31</f>
        <v>USDAM3L23Y_LCHQuote#0002</v>
      </c>
      <c r="L34" s="399"/>
      <c r="M34" s="390" t="s">
        <v>242</v>
      </c>
      <c r="N34" s="390" t="s">
        <v>65</v>
      </c>
      <c r="O34" s="390" t="str">
        <f>BasisSwap3M6M!F32</f>
        <v>USD6L3L24Y_LCHQuote#0002</v>
      </c>
      <c r="P34" s="391" t="str">
        <f t="shared" si="1"/>
        <v>USDAM3L24Y_S6L3L_cubic_LCHQuote</v>
      </c>
      <c r="Q34" s="392" t="str">
        <f>_xll.qlForwardSwapQuote(P34,E34,O34,M34,Permanent,Trigger,ObjectOverwrite)</f>
        <v>USDAM3L24Y_S6L3L_cubic_LCHQuote#0002</v>
      </c>
      <c r="R34" s="233" t="str">
        <f>_xll.ohRangeRetrieveError(Q34)</f>
        <v/>
      </c>
      <c r="S34" s="399"/>
      <c r="T34" s="390" t="s">
        <v>242</v>
      </c>
      <c r="U34" s="390" t="s">
        <v>69</v>
      </c>
      <c r="V34" s="390" t="str">
        <f>BasisSwap3M12M!F32</f>
        <v>USD12L3L24Y_LCHQuote#0002</v>
      </c>
      <c r="W34" s="391" t="str">
        <f t="shared" si="2"/>
        <v>USDAM3L24Y_S12L3L_cubic_LCHQuote</v>
      </c>
      <c r="X34" s="392" t="str">
        <f>_xll.qlForwardSwapQuote(W34,E34,V34,T34,Permanent,Trigger,ObjectOverwrite)</f>
        <v>USDAM3L24Y_S12L3L_cubic_LCHQuote#0002</v>
      </c>
      <c r="Y34" s="233" t="s">
        <v>245</v>
      </c>
      <c r="Z34" s="407"/>
    </row>
    <row r="35" spans="1:26" s="226" customFormat="1" x14ac:dyDescent="0.2">
      <c r="A35" s="337"/>
      <c r="B35" s="229" t="s">
        <v>33</v>
      </c>
      <c r="C35" s="241" t="s">
        <v>14</v>
      </c>
      <c r="D35" s="242" t="str">
        <f t="shared" si="0"/>
        <v>UsdLiborSwapForBasisCalc25Y_cubicLCH</v>
      </c>
      <c r="E35" s="231" t="str">
        <f>_xll.qlSwapIndex($D35,FixingType,B35,2,Currency,$E$5,"1Y","f",MoneyMarketDayCounter,Libor!$H$10,Discounting2,Permanent,Trigger,ObjectOverwrite)</f>
        <v>UsdLiborSwapForBasisCalc25Y_cubicLCH#0002</v>
      </c>
      <c r="F35" s="233" t="str">
        <f>_xll.ohRangeRetrieveError(E35)</f>
        <v/>
      </c>
      <c r="G35" s="398"/>
      <c r="H35" s="389" t="s">
        <v>33</v>
      </c>
      <c r="I35" s="390" t="s">
        <v>95</v>
      </c>
      <c r="J35" s="390" t="s">
        <v>64</v>
      </c>
      <c r="K35" s="390" t="str">
        <f>Swap3M!F32</f>
        <v>USDAM3L24Y_LCHQuote#0002</v>
      </c>
      <c r="L35" s="399"/>
      <c r="M35" s="390" t="s">
        <v>242</v>
      </c>
      <c r="N35" s="390" t="s">
        <v>65</v>
      </c>
      <c r="O35" s="390" t="str">
        <f>BasisSwap3M6M!F33</f>
        <v>USD6L3L25Y_LCHQuote#0002</v>
      </c>
      <c r="P35" s="391" t="str">
        <f t="shared" si="1"/>
        <v>USDAM3L25Y_S6L3L_cubic_LCHQuote</v>
      </c>
      <c r="Q35" s="392" t="str">
        <f>_xll.qlForwardSwapQuote(P35,E35,O35,M35,Permanent,Trigger,ObjectOverwrite)</f>
        <v>USDAM3L25Y_S6L3L_cubic_LCHQuote#0002</v>
      </c>
      <c r="R35" s="233" t="str">
        <f>_xll.ohRangeRetrieveError(Q35)</f>
        <v/>
      </c>
      <c r="S35" s="399"/>
      <c r="T35" s="390" t="s">
        <v>242</v>
      </c>
      <c r="U35" s="390" t="s">
        <v>69</v>
      </c>
      <c r="V35" s="390" t="str">
        <f>BasisSwap3M12M!F33</f>
        <v>USD12L3L25Y_LCHQuote#0002</v>
      </c>
      <c r="W35" s="391" t="str">
        <f t="shared" si="2"/>
        <v>USDAM3L25Y_S12L3L_cubic_LCHQuote</v>
      </c>
      <c r="X35" s="392" t="str">
        <f>_xll.qlForwardSwapQuote(W35,E35,V35,T35,Permanent,Trigger,ObjectOverwrite)</f>
        <v>USDAM3L25Y_S12L3L_cubic_LCHQuote#0002</v>
      </c>
      <c r="Y35" s="233" t="s">
        <v>245</v>
      </c>
      <c r="Z35" s="407"/>
    </row>
    <row r="36" spans="1:26" s="226" customFormat="1" x14ac:dyDescent="0.2">
      <c r="A36" s="337"/>
      <c r="B36" s="229" t="s">
        <v>32</v>
      </c>
      <c r="C36" s="241" t="s">
        <v>14</v>
      </c>
      <c r="D36" s="242" t="str">
        <f t="shared" si="0"/>
        <v>UsdLiborSwapForBasisCalc26Y_cubicLCH</v>
      </c>
      <c r="E36" s="231" t="str">
        <f>_xll.qlSwapIndex($D36,FixingType,B36,2,Currency,$E$5,"1Y","f",MoneyMarketDayCounter,Libor!$H$10,Discounting2,Permanent,Trigger,ObjectOverwrite)</f>
        <v>UsdLiborSwapForBasisCalc26Y_cubicLCH#0002</v>
      </c>
      <c r="F36" s="233" t="str">
        <f>_xll.ohRangeRetrieveError(E36)</f>
        <v/>
      </c>
      <c r="G36" s="398"/>
      <c r="H36" s="389" t="s">
        <v>32</v>
      </c>
      <c r="I36" s="390" t="s">
        <v>95</v>
      </c>
      <c r="J36" s="390" t="s">
        <v>64</v>
      </c>
      <c r="K36" s="390" t="str">
        <f>Swap3M!F33</f>
        <v>USDAM3L25Y_LCHQuote#0002</v>
      </c>
      <c r="L36" s="399"/>
      <c r="M36" s="390" t="s">
        <v>242</v>
      </c>
      <c r="N36" s="390" t="s">
        <v>65</v>
      </c>
      <c r="O36" s="390" t="str">
        <f>BasisSwap3M6M!F34</f>
        <v>USD6L3L26Y_LCHQuote#0002</v>
      </c>
      <c r="P36" s="391" t="str">
        <f t="shared" si="1"/>
        <v>USDAM3L26Y_S6L3L_cubic_LCHQuote</v>
      </c>
      <c r="Q36" s="392" t="str">
        <f>_xll.qlForwardSwapQuote(P36,E36,O36,M36,Permanent,Trigger,ObjectOverwrite)</f>
        <v>USDAM3L26Y_S6L3L_cubic_LCHQuote#0002</v>
      </c>
      <c r="R36" s="233" t="str">
        <f>_xll.ohRangeRetrieveError(Q36)</f>
        <v/>
      </c>
      <c r="S36" s="399"/>
      <c r="T36" s="390" t="s">
        <v>242</v>
      </c>
      <c r="U36" s="390" t="s">
        <v>69</v>
      </c>
      <c r="V36" s="390" t="str">
        <f>BasisSwap3M12M!F34</f>
        <v>USD12L3L26Y_LCHQuote#0002</v>
      </c>
      <c r="W36" s="391" t="str">
        <f t="shared" si="2"/>
        <v>USDAM3L26Y_S12L3L_cubic_LCHQuote</v>
      </c>
      <c r="X36" s="392" t="str">
        <f>_xll.qlForwardSwapQuote(W36,E36,V36,T36,Permanent,Trigger,ObjectOverwrite)</f>
        <v>USDAM3L26Y_S12L3L_cubic_LCHQuote#0002</v>
      </c>
      <c r="Y36" s="233" t="s">
        <v>245</v>
      </c>
      <c r="Z36" s="407"/>
    </row>
    <row r="37" spans="1:26" s="226" customFormat="1" x14ac:dyDescent="0.2">
      <c r="A37" s="337"/>
      <c r="B37" s="229" t="s">
        <v>31</v>
      </c>
      <c r="C37" s="241" t="s">
        <v>14</v>
      </c>
      <c r="D37" s="242" t="str">
        <f t="shared" si="0"/>
        <v>UsdLiborSwapForBasisCalc27Y_cubicLCH</v>
      </c>
      <c r="E37" s="231" t="str">
        <f>_xll.qlSwapIndex($D37,FixingType,B37,2,Currency,$E$5,"1Y","f",MoneyMarketDayCounter,Libor!$H$10,Discounting2,Permanent,Trigger,ObjectOverwrite)</f>
        <v>UsdLiborSwapForBasisCalc27Y_cubicLCH#0002</v>
      </c>
      <c r="F37" s="233" t="str">
        <f>_xll.ohRangeRetrieveError(E37)</f>
        <v/>
      </c>
      <c r="G37" s="398"/>
      <c r="H37" s="389" t="s">
        <v>31</v>
      </c>
      <c r="I37" s="390" t="s">
        <v>95</v>
      </c>
      <c r="J37" s="390" t="s">
        <v>64</v>
      </c>
      <c r="K37" s="390" t="str">
        <f>Swap3M!F34</f>
        <v>USDAM3L26Y_LCHQuote#0002</v>
      </c>
      <c r="L37" s="399"/>
      <c r="M37" s="390" t="s">
        <v>242</v>
      </c>
      <c r="N37" s="390" t="s">
        <v>65</v>
      </c>
      <c r="O37" s="390" t="str">
        <f>BasisSwap3M6M!F35</f>
        <v>USD6L3L27Y_LCHQuote#0002</v>
      </c>
      <c r="P37" s="391" t="str">
        <f t="shared" si="1"/>
        <v>USDAM3L27Y_S6L3L_cubic_LCHQuote</v>
      </c>
      <c r="Q37" s="392" t="str">
        <f>_xll.qlForwardSwapQuote(P37,E37,O37,M37,Permanent,Trigger,ObjectOverwrite)</f>
        <v>USDAM3L27Y_S6L3L_cubic_LCHQuote#0002</v>
      </c>
      <c r="R37" s="393" t="str">
        <f>_xll.ohRangeRetrieveError(Q37)</f>
        <v/>
      </c>
      <c r="S37" s="399"/>
      <c r="T37" s="390" t="s">
        <v>242</v>
      </c>
      <c r="U37" s="390" t="s">
        <v>69</v>
      </c>
      <c r="V37" s="390" t="str">
        <f>BasisSwap3M12M!F35</f>
        <v>USD12L3L27Y_LCHQuote#0002</v>
      </c>
      <c r="W37" s="391" t="str">
        <f t="shared" si="2"/>
        <v>USDAM3L27Y_S12L3L_cubic_LCHQuote</v>
      </c>
      <c r="X37" s="392" t="str">
        <f>_xll.qlForwardSwapQuote(W37,E37,V37,T37,Permanent,Trigger,ObjectOverwrite)</f>
        <v>USDAM3L27Y_S12L3L_cubic_LCHQuote#0002</v>
      </c>
      <c r="Y37" s="393" t="s">
        <v>245</v>
      </c>
      <c r="Z37" s="407"/>
    </row>
    <row r="38" spans="1:26" s="226" customFormat="1" x14ac:dyDescent="0.2">
      <c r="A38" s="337"/>
      <c r="B38" s="229" t="s">
        <v>30</v>
      </c>
      <c r="C38" s="241" t="s">
        <v>14</v>
      </c>
      <c r="D38" s="242" t="str">
        <f t="shared" si="0"/>
        <v>UsdLiborSwapForBasisCalc28Y_cubicLCH</v>
      </c>
      <c r="E38" s="231" t="str">
        <f>_xll.qlSwapIndex($D38,FixingType,B38,2,Currency,$E$5,"1Y","f",MoneyMarketDayCounter,Libor!$H$10,Discounting2,Permanent,Trigger,ObjectOverwrite)</f>
        <v>UsdLiborSwapForBasisCalc28Y_cubicLCH#0002</v>
      </c>
      <c r="F38" s="233" t="str">
        <f>_xll.ohRangeRetrieveError(E38)</f>
        <v/>
      </c>
      <c r="G38" s="398"/>
      <c r="H38" s="389" t="s">
        <v>30</v>
      </c>
      <c r="I38" s="390" t="s">
        <v>95</v>
      </c>
      <c r="J38" s="390" t="s">
        <v>64</v>
      </c>
      <c r="K38" s="390" t="str">
        <f>Swap3M!F35</f>
        <v>USDAM3L27Y_LCHQuote#0002</v>
      </c>
      <c r="L38" s="399"/>
      <c r="M38" s="390" t="s">
        <v>242</v>
      </c>
      <c r="N38" s="390" t="s">
        <v>65</v>
      </c>
      <c r="O38" s="390" t="str">
        <f>BasisSwap3M6M!F36</f>
        <v>USD6L3L28Y_LCHQuote#0002</v>
      </c>
      <c r="P38" s="391" t="str">
        <f t="shared" si="1"/>
        <v>USDAM3L28Y_S6L3L_cubic_LCHQuote</v>
      </c>
      <c r="Q38" s="392" t="str">
        <f>_xll.qlForwardSwapQuote(P38,E38,O38,M38,Permanent,Trigger,ObjectOverwrite)</f>
        <v>USDAM3L28Y_S6L3L_cubic_LCHQuote#0002</v>
      </c>
      <c r="R38" s="393" t="str">
        <f>_xll.ohRangeRetrieveError(Q38)</f>
        <v/>
      </c>
      <c r="S38" s="399"/>
      <c r="T38" s="390" t="s">
        <v>242</v>
      </c>
      <c r="U38" s="390" t="s">
        <v>69</v>
      </c>
      <c r="V38" s="390" t="str">
        <f>BasisSwap3M12M!F36</f>
        <v>USD12L3L28Y_LCHQuote#0002</v>
      </c>
      <c r="W38" s="391" t="str">
        <f t="shared" si="2"/>
        <v>USDAM3L28Y_S12L3L_cubic_LCHQuote</v>
      </c>
      <c r="X38" s="392" t="str">
        <f>_xll.qlForwardSwapQuote(W38,E38,V38,T38,Permanent,Trigger,ObjectOverwrite)</f>
        <v>USDAM3L28Y_S12L3L_cubic_LCHQuote#0002</v>
      </c>
      <c r="Y38" s="393" t="s">
        <v>245</v>
      </c>
      <c r="Z38" s="407"/>
    </row>
    <row r="39" spans="1:26" s="226" customFormat="1" x14ac:dyDescent="0.2">
      <c r="A39" s="337"/>
      <c r="B39" s="229" t="s">
        <v>29</v>
      </c>
      <c r="C39" s="241" t="s">
        <v>14</v>
      </c>
      <c r="D39" s="242" t="str">
        <f t="shared" si="0"/>
        <v>UsdLiborSwapForBasisCalc29Y_cubicLCH</v>
      </c>
      <c r="E39" s="231" t="str">
        <f>_xll.qlSwapIndex($D39,FixingType,B39,2,Currency,$E$5,"1Y","f",MoneyMarketDayCounter,Libor!$H$10,Discounting2,Permanent,Trigger,ObjectOverwrite)</f>
        <v>UsdLiborSwapForBasisCalc29Y_cubicLCH#0002</v>
      </c>
      <c r="F39" s="233" t="str">
        <f>_xll.ohRangeRetrieveError(E39)</f>
        <v/>
      </c>
      <c r="G39" s="398"/>
      <c r="H39" s="389" t="s">
        <v>29</v>
      </c>
      <c r="I39" s="390" t="s">
        <v>95</v>
      </c>
      <c r="J39" s="390" t="s">
        <v>64</v>
      </c>
      <c r="K39" s="390" t="str">
        <f>Swap3M!F36</f>
        <v>USDAM3L28Y_LCHQuote#0002</v>
      </c>
      <c r="L39" s="399"/>
      <c r="M39" s="390" t="s">
        <v>242</v>
      </c>
      <c r="N39" s="390" t="s">
        <v>65</v>
      </c>
      <c r="O39" s="390" t="str">
        <f>BasisSwap3M6M!F37</f>
        <v>USD6L3L29Y_LCHQuote#0002</v>
      </c>
      <c r="P39" s="391" t="str">
        <f t="shared" si="1"/>
        <v>USDAM3L29Y_S6L3L_cubic_LCHQuote</v>
      </c>
      <c r="Q39" s="392" t="str">
        <f>_xll.qlForwardSwapQuote(P39,E39,O39,M39,Permanent,Trigger,ObjectOverwrite)</f>
        <v>USDAM3L29Y_S6L3L_cubic_LCHQuote#0002</v>
      </c>
      <c r="R39" s="393" t="str">
        <f>_xll.ohRangeRetrieveError(Q39)</f>
        <v/>
      </c>
      <c r="S39" s="399"/>
      <c r="T39" s="390" t="s">
        <v>242</v>
      </c>
      <c r="U39" s="390" t="s">
        <v>69</v>
      </c>
      <c r="V39" s="390" t="str">
        <f>BasisSwap3M12M!F37</f>
        <v>USD12L3L29Y_LCHQuote#0002</v>
      </c>
      <c r="W39" s="391" t="str">
        <f t="shared" si="2"/>
        <v>USDAM3L29Y_S12L3L_cubic_LCHQuote</v>
      </c>
      <c r="X39" s="392" t="str">
        <f>_xll.qlForwardSwapQuote(W39,E39,V39,T39,Permanent,Trigger,ObjectOverwrite)</f>
        <v>USDAM3L29Y_S12L3L_cubic_LCHQuote#0002</v>
      </c>
      <c r="Y39" s="393" t="s">
        <v>245</v>
      </c>
      <c r="Z39" s="407"/>
    </row>
    <row r="40" spans="1:26" s="226" customFormat="1" x14ac:dyDescent="0.2">
      <c r="A40" s="337"/>
      <c r="B40" s="229" t="s">
        <v>28</v>
      </c>
      <c r="C40" s="241" t="s">
        <v>14</v>
      </c>
      <c r="D40" s="242" t="str">
        <f t="shared" si="0"/>
        <v>UsdLiborSwapForBasisCalc30Y_cubicLCH</v>
      </c>
      <c r="E40" s="231" t="str">
        <f>_xll.qlSwapIndex($D40,FixingType,B40,2,Currency,$E$5,"1Y","f",MoneyMarketDayCounter,Libor!$H$10,Discounting2,Permanent,Trigger,ObjectOverwrite)</f>
        <v>UsdLiborSwapForBasisCalc30Y_cubicLCH#0002</v>
      </c>
      <c r="F40" s="233" t="str">
        <f>_xll.ohRangeRetrieveError(E40)</f>
        <v/>
      </c>
      <c r="G40" s="398"/>
      <c r="H40" s="389" t="s">
        <v>28</v>
      </c>
      <c r="I40" s="390" t="s">
        <v>95</v>
      </c>
      <c r="J40" s="390" t="s">
        <v>64</v>
      </c>
      <c r="K40" s="390" t="str">
        <f>Swap3M!F37</f>
        <v>USDAM3L29Y_LCHQuote#0002</v>
      </c>
      <c r="L40" s="399"/>
      <c r="M40" s="390" t="s">
        <v>242</v>
      </c>
      <c r="N40" s="390" t="s">
        <v>65</v>
      </c>
      <c r="O40" s="390" t="str">
        <f>BasisSwap3M6M!F38</f>
        <v>USD6L3L30Y_LCHQuote#0002</v>
      </c>
      <c r="P40" s="391" t="str">
        <f t="shared" si="1"/>
        <v>USDAM3L30Y_S6L3L_cubic_LCHQuote</v>
      </c>
      <c r="Q40" s="392" t="str">
        <f>_xll.qlForwardSwapQuote(P40,E40,O40,M40,Permanent,Trigger,ObjectOverwrite)</f>
        <v>USDAM3L30Y_S6L3L_cubic_LCHQuote#0002</v>
      </c>
      <c r="R40" s="393" t="str">
        <f>_xll.ohRangeRetrieveError(Q40)</f>
        <v/>
      </c>
      <c r="S40" s="399"/>
      <c r="T40" s="390" t="s">
        <v>242</v>
      </c>
      <c r="U40" s="390" t="s">
        <v>69</v>
      </c>
      <c r="V40" s="390" t="str">
        <f>BasisSwap3M12M!F38</f>
        <v>USD12L3L30Y_LCHQuote#0002</v>
      </c>
      <c r="W40" s="391" t="str">
        <f t="shared" si="2"/>
        <v>USDAM3L30Y_S12L3L_cubic_LCHQuote</v>
      </c>
      <c r="X40" s="392" t="str">
        <f>_xll.qlForwardSwapQuote(W40,E40,V40,T40,Permanent,Trigger,ObjectOverwrite)</f>
        <v>USDAM3L30Y_S12L3L_cubic_LCHQuote#0002</v>
      </c>
      <c r="Y40" s="393" t="s">
        <v>245</v>
      </c>
      <c r="Z40" s="407"/>
    </row>
    <row r="41" spans="1:26" s="226" customFormat="1" x14ac:dyDescent="0.2">
      <c r="A41" s="337"/>
      <c r="B41" s="229" t="s">
        <v>27</v>
      </c>
      <c r="C41" s="241" t="s">
        <v>14</v>
      </c>
      <c r="D41" s="242" t="str">
        <f t="shared" si="0"/>
        <v>UsdLiborSwapForBasisCalc35Y_cubicLCH</v>
      </c>
      <c r="E41" s="231" t="str">
        <f>_xll.qlSwapIndex($D41,FixingType,B41,2,Currency,$E$5,"1Y","f",MoneyMarketDayCounter,Libor!$H$10,Discounting2,Permanent,Trigger,ObjectOverwrite)</f>
        <v>UsdLiborSwapForBasisCalc35Y_cubicLCH#0002</v>
      </c>
      <c r="F41" s="233" t="str">
        <f>_xll.ohRangeRetrieveError(E41)</f>
        <v/>
      </c>
      <c r="G41" s="398"/>
      <c r="H41" s="389" t="s">
        <v>27</v>
      </c>
      <c r="I41" s="390" t="s">
        <v>95</v>
      </c>
      <c r="J41" s="390" t="s">
        <v>64</v>
      </c>
      <c r="K41" s="390" t="str">
        <f>Swap3M!F38</f>
        <v>USDAM3L30Y_LCHQuote#0002</v>
      </c>
      <c r="L41" s="399"/>
      <c r="M41" s="390" t="s">
        <v>242</v>
      </c>
      <c r="N41" s="390" t="s">
        <v>65</v>
      </c>
      <c r="O41" s="390" t="str">
        <f>BasisSwap3M6M!F39</f>
        <v>USD6L3L35Y_LCHQuote#0002</v>
      </c>
      <c r="P41" s="391" t="str">
        <f t="shared" si="1"/>
        <v>USDAM3L35Y_S6L3L_cubic_LCHQuote</v>
      </c>
      <c r="Q41" s="392" t="str">
        <f>_xll.qlForwardSwapQuote(P41,E41,O41,M41,Permanent,Trigger,ObjectOverwrite)</f>
        <v>USDAM3L35Y_S6L3L_cubic_LCHQuote#0002</v>
      </c>
      <c r="R41" s="393" t="str">
        <f>_xll.ohRangeRetrieveError(Q41)</f>
        <v/>
      </c>
      <c r="S41" s="399"/>
      <c r="T41" s="390" t="s">
        <v>242</v>
      </c>
      <c r="U41" s="390" t="s">
        <v>69</v>
      </c>
      <c r="V41" s="390" t="str">
        <f>BasisSwap3M12M!F39</f>
        <v>USD12L3L35Y_LCHQuote#0002</v>
      </c>
      <c r="W41" s="391" t="str">
        <f t="shared" si="2"/>
        <v>USDAM3L35Y_S12L3L_cubic_LCHQuote</v>
      </c>
      <c r="X41" s="392" t="str">
        <f>_xll.qlForwardSwapQuote(W41,E41,V41,T41,Permanent,Trigger,ObjectOverwrite)</f>
        <v>USDAM3L35Y_S12L3L_cubic_LCHQuote#0002</v>
      </c>
      <c r="Y41" s="393" t="s">
        <v>245</v>
      </c>
      <c r="Z41" s="407"/>
    </row>
    <row r="42" spans="1:26" s="226" customFormat="1" x14ac:dyDescent="0.2">
      <c r="A42" s="337"/>
      <c r="B42" s="229" t="s">
        <v>26</v>
      </c>
      <c r="C42" s="241" t="s">
        <v>14</v>
      </c>
      <c r="D42" s="242" t="str">
        <f t="shared" si="0"/>
        <v>UsdLiborSwapForBasisCalc40Y_cubicLCH</v>
      </c>
      <c r="E42" s="231" t="str">
        <f>_xll.qlSwapIndex($D42,FixingType,B42,2,Currency,$E$5,"1Y","f",MoneyMarketDayCounter,Libor!$H$10,Discounting2,Permanent,Trigger,ObjectOverwrite)</f>
        <v>UsdLiborSwapForBasisCalc40Y_cubicLCH#0002</v>
      </c>
      <c r="F42" s="233" t="str">
        <f>_xll.ohRangeRetrieveError(E42)</f>
        <v/>
      </c>
      <c r="G42" s="398"/>
      <c r="H42" s="389" t="s">
        <v>26</v>
      </c>
      <c r="I42" s="390" t="s">
        <v>95</v>
      </c>
      <c r="J42" s="390" t="s">
        <v>64</v>
      </c>
      <c r="K42" s="390" t="str">
        <f>Swap3M!F39</f>
        <v>USDAM3L35Y_LCHQuote#0002</v>
      </c>
      <c r="L42" s="399"/>
      <c r="M42" s="390" t="s">
        <v>242</v>
      </c>
      <c r="N42" s="390" t="s">
        <v>65</v>
      </c>
      <c r="O42" s="390" t="str">
        <f>BasisSwap3M6M!F40</f>
        <v>USD6L3L40Y_LCHQuote#0002</v>
      </c>
      <c r="P42" s="391" t="str">
        <f t="shared" si="1"/>
        <v>USDAM3L40Y_S6L3L_cubic_LCHQuote</v>
      </c>
      <c r="Q42" s="392" t="str">
        <f>_xll.qlForwardSwapQuote(P42,E42,O42,M42,Permanent,Trigger,ObjectOverwrite)</f>
        <v>USDAM3L40Y_S6L3L_cubic_LCHQuote#0002</v>
      </c>
      <c r="R42" s="393" t="str">
        <f>_xll.ohRangeRetrieveError(Q42)</f>
        <v/>
      </c>
      <c r="S42" s="399"/>
      <c r="T42" s="390" t="s">
        <v>242</v>
      </c>
      <c r="U42" s="390" t="s">
        <v>69</v>
      </c>
      <c r="V42" s="390" t="str">
        <f>BasisSwap3M12M!F40</f>
        <v>USD12L3L40Y_LCHQuote#0002</v>
      </c>
      <c r="W42" s="391" t="str">
        <f t="shared" si="2"/>
        <v>USDAM3L40Y_S12L3L_cubic_LCHQuote</v>
      </c>
      <c r="X42" s="392" t="str">
        <f>_xll.qlForwardSwapQuote(W42,E42,V42,T42,Permanent,Trigger,ObjectOverwrite)</f>
        <v>USDAM3L40Y_S12L3L_cubic_LCHQuote#0002</v>
      </c>
      <c r="Y42" s="393" t="s">
        <v>245</v>
      </c>
      <c r="Z42" s="407"/>
    </row>
    <row r="43" spans="1:26" s="226" customFormat="1" x14ac:dyDescent="0.2">
      <c r="A43" s="337"/>
      <c r="B43" s="229" t="s">
        <v>24</v>
      </c>
      <c r="C43" s="241" t="s">
        <v>14</v>
      </c>
      <c r="D43" s="242" t="str">
        <f t="shared" si="0"/>
        <v>UsdLiborSwapForBasisCalc50Y_cubicLCH</v>
      </c>
      <c r="E43" s="231" t="str">
        <f>_xll.qlSwapIndex($D43,FixingType,B43,2,Currency,$E$5,"1Y","f",MoneyMarketDayCounter,Libor!$H$10,Discounting2,Permanent,Trigger,ObjectOverwrite)</f>
        <v>UsdLiborSwapForBasisCalc50Y_cubicLCH#0002</v>
      </c>
      <c r="F43" s="233" t="str">
        <f>_xll.ohRangeRetrieveError(E43)</f>
        <v/>
      </c>
      <c r="G43" s="398"/>
      <c r="H43" s="389" t="s">
        <v>24</v>
      </c>
      <c r="I43" s="390" t="s">
        <v>95</v>
      </c>
      <c r="J43" s="390" t="s">
        <v>64</v>
      </c>
      <c r="K43" s="390" t="str">
        <f>Swap3M!F40</f>
        <v>USDAM3L40Y_LCHQuote#0002</v>
      </c>
      <c r="L43" s="399"/>
      <c r="M43" s="390" t="s">
        <v>242</v>
      </c>
      <c r="N43" s="390" t="s">
        <v>65</v>
      </c>
      <c r="O43" s="390" t="str">
        <f>BasisSwap3M6M!F41</f>
        <v>USD6L3L50Y_LCHQuote#0002</v>
      </c>
      <c r="P43" s="391" t="str">
        <f t="shared" si="1"/>
        <v>USDAM3L50Y_S6L3L_cubic_LCHQuote</v>
      </c>
      <c r="Q43" s="392" t="str">
        <f>_xll.qlForwardSwapQuote(P43,E43,O43,M43,Permanent,Trigger,ObjectOverwrite)</f>
        <v>USDAM3L50Y_S6L3L_cubic_LCHQuote#0002</v>
      </c>
      <c r="R43" s="393" t="str">
        <f>_xll.ohRangeRetrieveError(Q43)</f>
        <v/>
      </c>
      <c r="S43" s="399"/>
      <c r="T43" s="390" t="s">
        <v>242</v>
      </c>
      <c r="U43" s="390" t="s">
        <v>69</v>
      </c>
      <c r="V43" s="390" t="str">
        <f>BasisSwap3M12M!F41</f>
        <v>USD12L3L50Y_LCHQuote#0002</v>
      </c>
      <c r="W43" s="391" t="str">
        <f t="shared" si="2"/>
        <v>USDAM3L50Y_S12L3L_cubic_LCHQuote</v>
      </c>
      <c r="X43" s="392" t="str">
        <f>_xll.qlForwardSwapQuote(W43,E43,V43,T43,Permanent,Trigger,ObjectOverwrite)</f>
        <v>USDAM3L50Y_S12L3L_cubic_LCHQuote#0002</v>
      </c>
      <c r="Y43" s="393" t="s">
        <v>245</v>
      </c>
      <c r="Z43" s="407"/>
    </row>
    <row r="44" spans="1:26" s="226" customFormat="1" x14ac:dyDescent="0.2">
      <c r="A44" s="337"/>
      <c r="B44" s="229" t="s">
        <v>23</v>
      </c>
      <c r="C44" s="241" t="s">
        <v>14</v>
      </c>
      <c r="D44" s="242" t="str">
        <f t="shared" si="0"/>
        <v>UsdLiborSwapForBasisCalc60Y_cubicLCH</v>
      </c>
      <c r="E44" s="231" t="str">
        <f>_xll.qlSwapIndex($D44,FixingType,B44,2,Currency,$E$5,"1Y","f",MoneyMarketDayCounter,Libor!$H$10,Discounting2,Permanent,Trigger,ObjectOverwrite)</f>
        <v>UsdLiborSwapForBasisCalc60Y_cubicLCH#0002</v>
      </c>
      <c r="F44" s="233" t="str">
        <f>_xll.ohRangeRetrieveError(E44)</f>
        <v/>
      </c>
      <c r="G44" s="398"/>
      <c r="H44" s="394" t="s">
        <v>23</v>
      </c>
      <c r="I44" s="395" t="s">
        <v>95</v>
      </c>
      <c r="J44" s="395" t="s">
        <v>64</v>
      </c>
      <c r="K44" s="395" t="str">
        <f>Swap3M!F41</f>
        <v>USDAM3L50Y_LCHQuote#0002</v>
      </c>
      <c r="L44" s="399"/>
      <c r="M44" s="395" t="s">
        <v>242</v>
      </c>
      <c r="N44" s="395" t="s">
        <v>65</v>
      </c>
      <c r="O44" s="395" t="str">
        <f>BasisSwap3M6M!F42</f>
        <v>USD6L3L60Y_LCHQuote#0002</v>
      </c>
      <c r="P44" s="396" t="str">
        <f t="shared" si="1"/>
        <v>USDAM3L60Y_S6L3L_cubic_LCHQuote</v>
      </c>
      <c r="Q44" s="397" t="str">
        <f>_xll.qlForwardSwapQuote(P44,E44,O44,M44,Permanent,Trigger,ObjectOverwrite)</f>
        <v>USDAM3L60Y_S6L3L_cubic_LCHQuote#0002</v>
      </c>
      <c r="R44" s="234" t="str">
        <f>_xll.ohRangeRetrieveError(Q44)</f>
        <v/>
      </c>
      <c r="S44" s="399"/>
      <c r="T44" s="395" t="s">
        <v>242</v>
      </c>
      <c r="U44" s="395" t="s">
        <v>69</v>
      </c>
      <c r="V44" s="395" t="str">
        <f>BasisSwap3M12M!F42</f>
        <v>USD12L3L60Y_LCHQuote#0002</v>
      </c>
      <c r="W44" s="396" t="str">
        <f t="shared" si="2"/>
        <v>USDAM3L60Y_S12L3L_cubic_LCHQuote</v>
      </c>
      <c r="X44" s="397" t="str">
        <f>_xll.qlForwardSwapQuote(W44,E44,V44,T44,Permanent,Trigger,ObjectOverwrite)</f>
        <v>USDAM3L60Y_S12L3L_cubic_LCHQuote#0002</v>
      </c>
      <c r="Y44" s="234" t="s">
        <v>245</v>
      </c>
      <c r="Z44" s="407"/>
    </row>
    <row r="45" spans="1:26" s="226" customFormat="1" x14ac:dyDescent="0.2">
      <c r="A45" s="408"/>
      <c r="B45" s="409"/>
      <c r="C45" s="409"/>
      <c r="D45" s="410"/>
      <c r="E45" s="411"/>
      <c r="F45" s="411"/>
      <c r="G45" s="365"/>
      <c r="H45" s="412"/>
      <c r="I45" s="412"/>
      <c r="J45" s="412"/>
      <c r="K45" s="412"/>
      <c r="L45" s="412"/>
      <c r="M45" s="412"/>
      <c r="N45" s="412"/>
      <c r="O45" s="412"/>
      <c r="P45" s="412"/>
      <c r="Q45" s="412"/>
      <c r="R45" s="412"/>
      <c r="S45" s="412"/>
      <c r="T45" s="412"/>
      <c r="U45" s="412"/>
      <c r="V45" s="412"/>
      <c r="W45" s="412"/>
      <c r="X45" s="412"/>
      <c r="Y45" s="412"/>
      <c r="Z45" s="413"/>
    </row>
    <row r="46" spans="1:26" s="403" customFormat="1" x14ac:dyDescent="0.2">
      <c r="B46" s="405"/>
      <c r="C46" s="405"/>
      <c r="E46" s="406"/>
      <c r="F46" s="406"/>
      <c r="G46" s="404"/>
    </row>
    <row r="47" spans="1:26" s="403" customFormat="1" x14ac:dyDescent="0.2">
      <c r="B47" s="405"/>
      <c r="C47" s="405"/>
      <c r="E47" s="406"/>
      <c r="F47" s="406"/>
      <c r="G47" s="404"/>
    </row>
    <row r="48" spans="1:26" s="403" customFormat="1" x14ac:dyDescent="0.2">
      <c r="B48" s="405"/>
      <c r="C48" s="405"/>
      <c r="E48" s="406"/>
      <c r="F48" s="406"/>
      <c r="G48" s="404"/>
    </row>
    <row r="49" spans="2:7" s="403" customFormat="1" x14ac:dyDescent="0.2">
      <c r="B49" s="405"/>
      <c r="C49" s="405"/>
      <c r="E49" s="406"/>
      <c r="F49" s="406"/>
      <c r="G49" s="404"/>
    </row>
    <row r="50" spans="2:7" s="403" customFormat="1" x14ac:dyDescent="0.2">
      <c r="B50" s="405"/>
      <c r="C50" s="405"/>
      <c r="E50" s="406"/>
      <c r="F50" s="406"/>
      <c r="G50" s="404"/>
    </row>
    <row r="51" spans="2:7" s="403" customFormat="1" x14ac:dyDescent="0.2">
      <c r="B51" s="405"/>
      <c r="C51" s="405"/>
      <c r="E51" s="406"/>
      <c r="F51" s="406"/>
      <c r="G51" s="404"/>
    </row>
    <row r="52" spans="2:7" s="403" customFormat="1" x14ac:dyDescent="0.2">
      <c r="B52" s="405"/>
      <c r="C52" s="405"/>
      <c r="E52" s="406"/>
      <c r="F52" s="406"/>
      <c r="G52" s="404"/>
    </row>
    <row r="53" spans="2:7" s="403" customFormat="1" x14ac:dyDescent="0.2">
      <c r="B53" s="405"/>
      <c r="C53" s="405"/>
      <c r="E53" s="406"/>
      <c r="F53" s="406"/>
      <c r="G53" s="404"/>
    </row>
    <row r="54" spans="2:7" s="403" customFormat="1" x14ac:dyDescent="0.2">
      <c r="B54" s="405"/>
      <c r="C54" s="405"/>
      <c r="E54" s="406"/>
      <c r="F54" s="406"/>
      <c r="G54" s="404"/>
    </row>
    <row r="55" spans="2:7" s="403" customFormat="1" x14ac:dyDescent="0.2">
      <c r="B55" s="405"/>
      <c r="C55" s="405"/>
      <c r="E55" s="406"/>
      <c r="F55" s="406"/>
      <c r="G55" s="404"/>
    </row>
    <row r="56" spans="2:7" s="403" customFormat="1" x14ac:dyDescent="0.2">
      <c r="B56" s="405"/>
      <c r="C56" s="405"/>
      <c r="E56" s="406"/>
      <c r="F56" s="406"/>
      <c r="G56" s="404"/>
    </row>
    <row r="57" spans="2:7" s="403" customFormat="1" x14ac:dyDescent="0.2">
      <c r="B57" s="405"/>
      <c r="C57" s="405"/>
      <c r="E57" s="406"/>
      <c r="F57" s="406"/>
      <c r="G57" s="404"/>
    </row>
    <row r="58" spans="2:7" s="403" customFormat="1" x14ac:dyDescent="0.2">
      <c r="B58" s="405"/>
      <c r="C58" s="405"/>
      <c r="E58" s="406"/>
      <c r="F58" s="406"/>
      <c r="G58" s="404"/>
    </row>
    <row r="59" spans="2:7" s="403" customFormat="1" x14ac:dyDescent="0.2">
      <c r="B59" s="405"/>
      <c r="C59" s="405"/>
      <c r="E59" s="406"/>
      <c r="F59" s="406"/>
      <c r="G59" s="404"/>
    </row>
    <row r="60" spans="2:7" s="403" customFormat="1" x14ac:dyDescent="0.2">
      <c r="B60" s="405"/>
      <c r="C60" s="405"/>
      <c r="E60" s="406"/>
      <c r="F60" s="406"/>
      <c r="G60" s="404"/>
    </row>
    <row r="61" spans="2:7" s="403" customFormat="1" x14ac:dyDescent="0.2">
      <c r="B61" s="405"/>
      <c r="C61" s="405"/>
      <c r="E61" s="406"/>
      <c r="F61" s="406"/>
      <c r="G61" s="404"/>
    </row>
    <row r="62" spans="2:7" s="403" customFormat="1" x14ac:dyDescent="0.2">
      <c r="B62" s="405"/>
      <c r="C62" s="405"/>
      <c r="E62" s="406"/>
      <c r="F62" s="406"/>
      <c r="G62" s="404"/>
    </row>
    <row r="63" spans="2:7" s="403" customFormat="1" x14ac:dyDescent="0.2">
      <c r="B63" s="405"/>
      <c r="C63" s="405"/>
      <c r="E63" s="406"/>
      <c r="F63" s="406"/>
      <c r="G63" s="404"/>
    </row>
    <row r="64" spans="2:7" s="403" customFormat="1" x14ac:dyDescent="0.2">
      <c r="B64" s="405"/>
      <c r="C64" s="405"/>
      <c r="E64" s="406"/>
      <c r="F64" s="406"/>
      <c r="G64" s="404"/>
    </row>
    <row r="65" spans="1:18" s="403" customFormat="1" x14ac:dyDescent="0.2">
      <c r="B65" s="405"/>
      <c r="C65" s="405"/>
      <c r="E65" s="406"/>
      <c r="F65" s="406"/>
      <c r="G65" s="404"/>
    </row>
    <row r="66" spans="1:18" s="403" customFormat="1" x14ac:dyDescent="0.2">
      <c r="B66" s="405"/>
      <c r="C66" s="405"/>
      <c r="E66" s="406"/>
      <c r="F66" s="406"/>
      <c r="G66" s="404"/>
    </row>
    <row r="67" spans="1:18" s="403" customFormat="1" x14ac:dyDescent="0.2">
      <c r="B67" s="405"/>
      <c r="C67" s="405"/>
      <c r="E67" s="406"/>
      <c r="F67" s="406"/>
      <c r="G67" s="404"/>
    </row>
    <row r="68" spans="1:18" s="403" customFormat="1" x14ac:dyDescent="0.2">
      <c r="A68" s="404"/>
      <c r="B68" s="404"/>
      <c r="C68" s="404"/>
      <c r="D68" s="404"/>
      <c r="E68" s="404"/>
      <c r="F68" s="404"/>
      <c r="G68" s="404"/>
    </row>
    <row r="69" spans="1:18" s="403" customFormat="1" x14ac:dyDescent="0.2">
      <c r="H69" s="404"/>
      <c r="I69" s="404"/>
      <c r="J69" s="404"/>
      <c r="K69" s="404"/>
      <c r="L69" s="404"/>
      <c r="M69" s="404"/>
      <c r="N69" s="404"/>
      <c r="O69" s="404"/>
      <c r="P69" s="404"/>
      <c r="Q69" s="404"/>
      <c r="R69" s="404"/>
    </row>
    <row r="70" spans="1:18" s="403" customFormat="1" x14ac:dyDescent="0.2">
      <c r="A70" s="404"/>
      <c r="B70" s="404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404"/>
      <c r="O70" s="404"/>
      <c r="P70" s="404"/>
      <c r="Q70" s="404"/>
      <c r="R70" s="404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U2" sqref="U2"/>
    </sheetView>
  </sheetViews>
  <sheetFormatPr defaultRowHeight="11.25" outlineLevelCol="1" x14ac:dyDescent="0.2"/>
  <cols>
    <col min="1" max="1" width="2.7109375" style="143" hidden="1" customWidth="1" outlineLevel="1"/>
    <col min="2" max="2" width="26.5703125" style="143" hidden="1" customWidth="1" outlineLevel="1"/>
    <col min="3" max="3" width="31.7109375" style="143" hidden="1" customWidth="1" outlineLevel="1"/>
    <col min="4" max="4" width="20.7109375" style="143" hidden="1" customWidth="1" outlineLevel="1"/>
    <col min="5" max="5" width="2.7109375" style="143" hidden="1" customWidth="1" outlineLevel="1"/>
    <col min="6" max="6" width="2.7109375" style="143" customWidth="1" collapsed="1"/>
    <col min="7" max="10" width="2.7109375" style="143" customWidth="1"/>
    <col min="11" max="11" width="11.7109375" style="143" customWidth="1"/>
    <col min="12" max="12" width="15.140625" style="143" bestFit="1" customWidth="1"/>
    <col min="13" max="13" width="10.7109375" style="143" customWidth="1"/>
    <col min="14" max="14" width="2.7109375" style="143" customWidth="1"/>
    <col min="15" max="15" width="15.140625" style="143" bestFit="1" customWidth="1"/>
    <col min="16" max="16" width="10.7109375" style="143" customWidth="1"/>
    <col min="17" max="17" width="2.7109375" style="143" customWidth="1"/>
    <col min="18" max="18" width="10.7109375" style="143" customWidth="1"/>
    <col min="19" max="19" width="2.7109375" style="143" customWidth="1"/>
    <col min="20" max="21" width="10.7109375" style="143" customWidth="1"/>
    <col min="22" max="23" width="2.7109375" style="143" customWidth="1"/>
    <col min="24" max="16384" width="9.140625" style="143"/>
  </cols>
  <sheetData>
    <row r="1" spans="1:22" x14ac:dyDescent="0.2">
      <c r="A1" s="87"/>
      <c r="B1" s="78"/>
      <c r="C1" s="78"/>
      <c r="D1" s="78"/>
      <c r="E1" s="79"/>
      <c r="G1" s="285" t="s">
        <v>208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13"/>
    </row>
    <row r="2" spans="1:22" x14ac:dyDescent="0.2">
      <c r="A2" s="80"/>
      <c r="B2" s="81"/>
      <c r="C2" s="81"/>
      <c r="D2" s="24"/>
      <c r="E2" s="82"/>
      <c r="G2" s="114"/>
      <c r="H2" s="3"/>
      <c r="I2" s="3"/>
      <c r="J2" s="3"/>
      <c r="K2" s="3"/>
      <c r="L2" s="186" t="s">
        <v>178</v>
      </c>
      <c r="M2" s="3"/>
      <c r="N2" s="3"/>
      <c r="O2" s="3"/>
      <c r="P2" s="3"/>
      <c r="Q2" s="3"/>
      <c r="R2" s="3"/>
      <c r="S2" s="3"/>
      <c r="T2" s="3"/>
      <c r="U2" s="54">
        <f>_xll.ohTrigger(U5:U9)</f>
        <v>3102</v>
      </c>
      <c r="V2" s="115"/>
    </row>
    <row r="3" spans="1:22" x14ac:dyDescent="0.2">
      <c r="A3" s="114"/>
      <c r="B3" s="3"/>
      <c r="C3" s="3"/>
      <c r="D3" s="3"/>
      <c r="E3" s="115"/>
      <c r="G3" s="1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5"/>
    </row>
    <row r="4" spans="1:22" ht="23.25" thickBot="1" x14ac:dyDescent="0.25">
      <c r="A4" s="114"/>
      <c r="B4" s="244" t="s">
        <v>184</v>
      </c>
      <c r="C4" s="275" t="s">
        <v>185</v>
      </c>
      <c r="D4" s="284" t="s">
        <v>199</v>
      </c>
      <c r="E4" s="115"/>
      <c r="G4" s="114"/>
      <c r="H4" s="120"/>
      <c r="I4" s="186"/>
      <c r="J4" s="49"/>
      <c r="K4" s="49" t="s">
        <v>209</v>
      </c>
      <c r="L4" s="276" t="str">
        <f>_xll.RData(L5,M4,"RTFEED:IDN",ReutersRtMode,,M5)</f>
        <v>Updated at 18:49:02</v>
      </c>
      <c r="M4" s="277" t="s">
        <v>100</v>
      </c>
      <c r="N4" s="278"/>
      <c r="O4" s="421" t="s">
        <v>123</v>
      </c>
      <c r="P4" s="422"/>
      <c r="Q4" s="278"/>
      <c r="R4" s="37" t="s">
        <v>114</v>
      </c>
      <c r="S4" s="279"/>
      <c r="T4" s="37" t="s">
        <v>113</v>
      </c>
      <c r="U4" s="37" t="s">
        <v>112</v>
      </c>
      <c r="V4" s="115"/>
    </row>
    <row r="5" spans="1:22" x14ac:dyDescent="0.2">
      <c r="A5" s="114"/>
      <c r="B5" s="223" t="str">
        <f>Currency&amp;"HW_Volatility"&amp;QuoteSuffix</f>
        <v>USDHW_Volatility_LCHQuote</v>
      </c>
      <c r="C5" s="223" t="str">
        <f>_xll.qlSimpleQuote(B5,,,Permanent,Trigger,ObjectOverwrite)</f>
        <v>USDHW_Volatility_LCHQuote#0002</v>
      </c>
      <c r="D5" s="280" t="str">
        <f>_xll.ohRangeRetrieveError(C5)</f>
        <v/>
      </c>
      <c r="E5" s="115"/>
      <c r="G5" s="114"/>
      <c r="H5" s="286" t="s">
        <v>56</v>
      </c>
      <c r="I5" s="193" t="s">
        <v>120</v>
      </c>
      <c r="J5" s="125" t="s">
        <v>64</v>
      </c>
      <c r="K5" s="125" t="str">
        <f>I5&amp;H5&amp;J5&amp;"ATM"</f>
        <v>US2Y3LATM</v>
      </c>
      <c r="L5" s="35" t="str">
        <f>K5&amp;"="&amp;VLOOKUP($L$2,ContributorTable,2,FALSE)</f>
        <v>US2Y3LATM=ICAP</v>
      </c>
      <c r="M5" s="209">
        <v>56.21</v>
      </c>
      <c r="N5" s="278"/>
      <c r="O5" s="126" t="s">
        <v>122</v>
      </c>
      <c r="P5" s="281">
        <f>M5/100*IF(ISNUMBER(Swap3M4Y),Swap3M4Y/100,Swap6M4Y/100)</f>
        <v>8.0262259000000013E-3</v>
      </c>
      <c r="Q5" s="278"/>
      <c r="R5" s="281">
        <v>8.031597599999999E-3</v>
      </c>
      <c r="S5" s="279"/>
      <c r="T5" s="281">
        <f t="array" ref="T5:T6">QuoteLive</f>
        <v>8.0262259000000013E-3</v>
      </c>
      <c r="U5" s="281">
        <f>_xll.qlSimpleQuoteSetValue(C5,T5,Trigger)</f>
        <v>0</v>
      </c>
      <c r="V5" s="115"/>
    </row>
    <row r="6" spans="1:22" x14ac:dyDescent="0.2">
      <c r="A6" s="114"/>
      <c r="B6" s="223" t="str">
        <f>Currency&amp;"HW_MeanReversion"&amp;QuoteSuffix</f>
        <v>USDHW_MeanReversion_LCHQuote</v>
      </c>
      <c r="C6" s="223" t="str">
        <f>_xll.qlSimpleQuote(B6,,,Permanent,Trigger,ObjectOverwrite)</f>
        <v>USDHW_MeanReversion_LCHQuote#0002</v>
      </c>
      <c r="D6" s="280" t="str">
        <f>_xll.ohRangeRetrieveError(C6)</f>
        <v/>
      </c>
      <c r="E6" s="115"/>
      <c r="G6" s="114"/>
      <c r="H6" s="287"/>
      <c r="I6" s="287"/>
      <c r="J6" s="287"/>
      <c r="K6" s="287"/>
      <c r="L6" s="288"/>
      <c r="M6" s="289"/>
      <c r="N6" s="278"/>
      <c r="O6" s="282" t="s">
        <v>121</v>
      </c>
      <c r="P6" s="283">
        <v>0.03</v>
      </c>
      <c r="Q6" s="278"/>
      <c r="R6" s="283">
        <v>0.03</v>
      </c>
      <c r="S6" s="279"/>
      <c r="T6" s="283">
        <v>0.03</v>
      </c>
      <c r="U6" s="283">
        <f>_xll.qlSimpleQuoteSetValue(C6,T6,Trigger)</f>
        <v>0</v>
      </c>
      <c r="V6" s="115"/>
    </row>
    <row r="7" spans="1:22" x14ac:dyDescent="0.2">
      <c r="A7" s="116"/>
      <c r="B7" s="117"/>
      <c r="C7" s="117"/>
      <c r="D7" s="117"/>
      <c r="E7" s="119"/>
      <c r="G7" s="116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9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BasisSwapFF3M</vt:lpstr>
      <vt:lpstr>BasisSwap1M3M</vt:lpstr>
      <vt:lpstr>BasisSwap3M6M</vt:lpstr>
      <vt:lpstr>BasisSwap3M12M</vt:lpstr>
      <vt:lpstr>LiborSwapForBasisCalc (2)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BasisSwap3M12M!Contributor</vt:lpstr>
      <vt:lpstr>BasisSwap3M6M!Contributor</vt:lpstr>
      <vt:lpstr>BasisSwapFF3M!Contributor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Discounting1</vt:lpstr>
      <vt:lpstr>Discounting2</vt:lpstr>
      <vt:lpstr>EvaluationDate</vt:lpstr>
      <vt:lpstr>Libor!FamilyName</vt:lpstr>
      <vt:lpstr>FamilyName</vt:lpstr>
      <vt:lpstr>LiborSwapForBasisCalc!FamilyName2</vt:lpstr>
      <vt:lpstr>'LiborSwapForBasisCalc (2)'!FamilyName2</vt:lpstr>
      <vt:lpstr>LiborSwapForBasisCalc!FileName</vt:lpstr>
      <vt:lpstr>'LiborSwapForBasisCalc (2)'!FileName</vt:lpstr>
      <vt:lpstr>LiborSwapForBasisCalc!FixingType</vt:lpstr>
      <vt:lpstr>'LiborSwapForBasisCalc (2)'!FixingType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BasisSwap3M12M!Instruments</vt:lpstr>
      <vt:lpstr>BasisSwapFF3M!Instruments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InterpolationType</vt:lpstr>
      <vt:lpstr>JoinCalendar</vt:lpstr>
      <vt:lpstr>LastFixingsTrigger</vt:lpstr>
      <vt:lpstr>LastUpdate</vt:lpstr>
      <vt:lpstr>LCHcubic</vt:lpstr>
      <vt:lpstr>LCHlinear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BasisSwap3M12M!Quote</vt:lpstr>
      <vt:lpstr>BasisSwap3M6M!Quote</vt:lpstr>
      <vt:lpstr>BasisSwapFF3M!Quote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BasisSwap1M3M!QuoteLive</vt:lpstr>
      <vt:lpstr>BasisSwap3M12M!QuoteLive</vt:lpstr>
      <vt:lpstr>BasisSwap3M6M!QuoteLive</vt:lpstr>
      <vt:lpstr>BasisSwapFF3M!QuoteLive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BasisSwap1M3M!QuoteStatic</vt:lpstr>
      <vt:lpstr>BasisSwap3M12M!QuoteStatic</vt:lpstr>
      <vt:lpstr>BasisSwap3M6M!QuoteStatic</vt:lpstr>
      <vt:lpstr>BasisSwapFF3M!QuoteStatic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QuoteSuffix</vt:lpstr>
      <vt:lpstr>RateTickValue</vt:lpstr>
      <vt:lpstr>ReutersRtMode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2015-11-13T17:49:41Z</dcterms:modified>
</cp:coreProperties>
</file>