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-15" windowWidth="19170" windowHeight="10500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USDON!$N$3:$N$113</definedName>
    <definedName name="JoinCalendar">GeneralSettings!$I$8</definedName>
    <definedName name="LiborCalendar">GeneralSettings!$I$6</definedName>
    <definedName name="LocalCalendar">GeneralSettings!$I$7</definedName>
    <definedName name="MeanReversion">GeneralSettings!$I$22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USDON!$P$3:$P$113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USDON!$O$3:$O$113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USDON!$K$3:$K$113</definedName>
    <definedName name="Settlementdate">GeneralSettings!$I$4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USDON!$E$1</definedName>
    <definedName name="Trigger">GeneralSettings!$D$5</definedName>
    <definedName name="Volatility">GeneralSettings!$I$21</definedName>
    <definedName name="YieldCurve_1M">GeneralSettings!$I$31</definedName>
    <definedName name="YieldCurve_1Y">GeneralSettings!$D$46</definedName>
    <definedName name="YieldCurve_3M">GeneralSettings!$I$14</definedName>
    <definedName name="YieldCurve_6M">GeneralSettings!$D$31</definedName>
    <definedName name="YieldCurve_ON">GeneralSettings!$D$14</definedName>
    <definedName name="YieldCurve_STD">GeneralSettings!$I$46</definedName>
  </definedNames>
  <calcPr calcId="145621"/>
</workbook>
</file>

<file path=xl/calcChain.xml><?xml version="1.0" encoding="utf-8"?>
<calcChain xmlns="http://schemas.openxmlformats.org/spreadsheetml/2006/main">
  <c r="H62" i="14" l="1"/>
  <c r="G62" i="14"/>
  <c r="AE15" i="14" l="1"/>
  <c r="AT66" i="14"/>
  <c r="AS66" i="14"/>
  <c r="AR66" i="14"/>
  <c r="AQ66" i="14"/>
  <c r="AP66" i="14"/>
  <c r="AO66" i="14"/>
  <c r="AH66" i="14"/>
  <c r="AI66" i="14"/>
  <c r="AJ66" i="14"/>
  <c r="AK66" i="14"/>
  <c r="AL66" i="14"/>
  <c r="AG66" i="14"/>
  <c r="I22" i="1"/>
  <c r="I21" i="1"/>
  <c r="J61" i="14" l="1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60" i="14"/>
  <c r="J58" i="14"/>
  <c r="K58" i="14"/>
  <c r="J59" i="14"/>
  <c r="F117" i="14"/>
  <c r="F116" i="14"/>
  <c r="F115" i="14"/>
  <c r="F114" i="14"/>
  <c r="F113" i="14"/>
  <c r="F112" i="14"/>
  <c r="F111" i="14"/>
  <c r="F110" i="14"/>
  <c r="F109" i="14"/>
  <c r="F108" i="14"/>
  <c r="F107" i="14"/>
  <c r="F106" i="14"/>
  <c r="F105" i="14"/>
  <c r="F104" i="14"/>
  <c r="F103" i="14"/>
  <c r="F102" i="14"/>
  <c r="F101" i="14"/>
  <c r="F100" i="14"/>
  <c r="F99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H102" i="14"/>
  <c r="H94" i="14"/>
  <c r="H104" i="14"/>
  <c r="H107" i="14"/>
  <c r="H98" i="14"/>
  <c r="H90" i="14"/>
  <c r="Q58" i="14"/>
  <c r="AD9" i="14"/>
  <c r="M58" i="14"/>
  <c r="R58" i="14"/>
  <c r="L58" i="14"/>
  <c r="AD13" i="14"/>
  <c r="AC21" i="14" s="1"/>
  <c r="H78" i="14"/>
  <c r="AG3" i="14" a="1"/>
  <c r="AG3" i="14" l="1"/>
  <c r="AK8" i="14"/>
  <c r="AO13" i="14"/>
  <c r="AG19" i="14"/>
  <c r="AK24" i="14"/>
  <c r="AO29" i="14"/>
  <c r="AG35" i="14"/>
  <c r="AK40" i="14"/>
  <c r="AO45" i="14"/>
  <c r="AG51" i="14"/>
  <c r="AH7" i="14"/>
  <c r="AN6" i="14"/>
  <c r="AI13" i="14"/>
  <c r="AJ19" i="14"/>
  <c r="AK25" i="14"/>
  <c r="AL31" i="14"/>
  <c r="AM37" i="14"/>
  <c r="AN43" i="14"/>
  <c r="AP49" i="14"/>
  <c r="AM7" i="14"/>
  <c r="AG14" i="14"/>
  <c r="AH20" i="14"/>
  <c r="AJ11" i="14"/>
  <c r="AL19" i="14"/>
  <c r="AM26" i="14"/>
  <c r="AL33" i="14"/>
  <c r="AL40" i="14"/>
  <c r="AK47" i="14"/>
  <c r="AR6" i="14"/>
  <c r="AL22" i="14"/>
  <c r="AN34" i="14"/>
  <c r="AK49" i="14"/>
  <c r="AN17" i="14"/>
  <c r="AG32" i="14"/>
  <c r="AG46" i="14"/>
  <c r="AP12" i="14"/>
  <c r="AQ27" i="14"/>
  <c r="AP41" i="14"/>
  <c r="AO8" i="14"/>
  <c r="AL24" i="14"/>
  <c r="AL38" i="14"/>
  <c r="AH4" i="14"/>
  <c r="AI20" i="14"/>
  <c r="AI9" i="14"/>
  <c r="AL17" i="14"/>
  <c r="AQ24" i="14"/>
  <c r="AQ31" i="14"/>
  <c r="AP38" i="14"/>
  <c r="AP45" i="14"/>
  <c r="AL3" i="14"/>
  <c r="AJ23" i="14"/>
  <c r="AQ38" i="14"/>
  <c r="AR51" i="14"/>
  <c r="AP18" i="14"/>
  <c r="AQ32" i="14"/>
  <c r="AQ46" i="14"/>
  <c r="AQ15" i="14"/>
  <c r="AL30" i="14"/>
  <c r="AJ44" i="14"/>
  <c r="AR11" i="14"/>
  <c r="AH27" i="14"/>
  <c r="AR40" i="14"/>
  <c r="AN7" i="14"/>
  <c r="AM24" i="14"/>
  <c r="AJ40" i="14"/>
  <c r="AN30" i="14"/>
  <c r="AI15" i="14"/>
  <c r="AH48" i="14"/>
  <c r="AM38" i="14"/>
  <c r="AN31" i="14"/>
  <c r="AL25" i="14"/>
  <c r="AI11" i="14"/>
  <c r="AL46" i="14"/>
  <c r="AI40" i="14"/>
  <c r="AO3" i="14"/>
  <c r="AG9" i="14"/>
  <c r="AK14" i="14"/>
  <c r="AO19" i="14"/>
  <c r="AG25" i="14"/>
  <c r="AK30" i="14"/>
  <c r="AO35" i="14"/>
  <c r="AG41" i="14"/>
  <c r="AK46" i="14"/>
  <c r="AO51" i="14"/>
  <c r="AP7" i="14"/>
  <c r="AK4" i="14"/>
  <c r="AG11" i="14"/>
  <c r="AO17" i="14"/>
  <c r="AO25" i="14"/>
  <c r="AK32" i="14"/>
  <c r="AG39" i="14"/>
  <c r="AG47" i="14"/>
  <c r="AL4" i="14"/>
  <c r="AP4" i="14"/>
  <c r="AL12" i="14"/>
  <c r="AG20" i="14"/>
  <c r="AQ26" i="14"/>
  <c r="AP33" i="14"/>
  <c r="AN40" i="14"/>
  <c r="AL47" i="14"/>
  <c r="AQ5" i="14"/>
  <c r="AJ13" i="14"/>
  <c r="AJ3" i="14"/>
  <c r="AK13" i="14"/>
  <c r="AH22" i="14"/>
  <c r="AG30" i="14"/>
  <c r="AQ37" i="14"/>
  <c r="AN45" i="14"/>
  <c r="AR5" i="14"/>
  <c r="AH24" i="14"/>
  <c r="AG38" i="14"/>
  <c r="AI7" i="14"/>
  <c r="AH25" i="14"/>
  <c r="AP40" i="14"/>
  <c r="AN9" i="14"/>
  <c r="AG26" i="14"/>
  <c r="AL43" i="14"/>
  <c r="AQ12" i="14"/>
  <c r="AN29" i="14"/>
  <c r="AK45" i="14"/>
  <c r="AH15" i="14"/>
  <c r="AQ6" i="14"/>
  <c r="AM16" i="14"/>
  <c r="AP25" i="14"/>
  <c r="AM33" i="14"/>
  <c r="AL41" i="14"/>
  <c r="AJ49" i="14"/>
  <c r="AN16" i="14"/>
  <c r="AL35" i="14"/>
  <c r="AI50" i="14"/>
  <c r="AO20" i="14"/>
  <c r="AL36" i="14"/>
  <c r="AN3" i="14"/>
  <c r="AL23" i="14"/>
  <c r="AI39" i="14"/>
  <c r="AK7" i="14"/>
  <c r="AJ25" i="14"/>
  <c r="AO42" i="14"/>
  <c r="AG12" i="14"/>
  <c r="AI21" i="14"/>
  <c r="AK5" i="14"/>
  <c r="AG48" i="14"/>
  <c r="AI41" i="14"/>
  <c r="AR34" i="14"/>
  <c r="AH35" i="14"/>
  <c r="AL32" i="14"/>
  <c r="AR28" i="14"/>
  <c r="AJ26" i="14"/>
  <c r="AG5" i="14"/>
  <c r="AO11" i="14"/>
  <c r="AK18" i="14"/>
  <c r="AK26" i="14"/>
  <c r="AG33" i="14"/>
  <c r="AO39" i="14"/>
  <c r="AO47" i="14"/>
  <c r="AH5" i="14"/>
  <c r="AN5" i="14"/>
  <c r="AR13" i="14"/>
  <c r="AP20" i="14"/>
  <c r="AN27" i="14"/>
  <c r="AM34" i="14"/>
  <c r="AK41" i="14"/>
  <c r="AI48" i="14"/>
  <c r="AO6" i="14"/>
  <c r="AP14" i="14"/>
  <c r="AJ4" i="14"/>
  <c r="AJ14" i="14"/>
  <c r="AR22" i="14"/>
  <c r="AQ30" i="14"/>
  <c r="AO38" i="14"/>
  <c r="AM46" i="14"/>
  <c r="AL9" i="14"/>
  <c r="AQ25" i="14"/>
  <c r="AP39" i="14"/>
  <c r="AM9" i="14"/>
  <c r="AP26" i="14"/>
  <c r="AM42" i="14"/>
  <c r="AO10" i="14"/>
  <c r="AM29" i="14"/>
  <c r="AJ45" i="14"/>
  <c r="AR14" i="14"/>
  <c r="AK31" i="14"/>
  <c r="AH47" i="14"/>
  <c r="AG16" i="14"/>
  <c r="AG8" i="14"/>
  <c r="AL18" i="14"/>
  <c r="AN26" i="14"/>
  <c r="AL34" i="14"/>
  <c r="AJ42" i="14"/>
  <c r="AH50" i="14"/>
  <c r="AN19" i="14"/>
  <c r="AI37" i="14"/>
  <c r="AM3" i="14"/>
  <c r="AM22" i="14"/>
  <c r="AH38" i="14"/>
  <c r="AH6" i="14"/>
  <c r="AI25" i="14"/>
  <c r="AQ40" i="14"/>
  <c r="AQ9" i="14"/>
  <c r="AP28" i="14"/>
  <c r="AM44" i="14"/>
  <c r="AH14" i="14"/>
  <c r="AL26" i="14"/>
  <c r="AI14" i="14"/>
  <c r="AM51" i="14"/>
  <c r="AO44" i="14"/>
  <c r="AR41" i="14"/>
  <c r="AN38" i="14"/>
  <c r="AQ35" i="14"/>
  <c r="AM32" i="14"/>
  <c r="AP29" i="14"/>
  <c r="AO5" i="14"/>
  <c r="AK12" i="14"/>
  <c r="AK20" i="14"/>
  <c r="AG27" i="14"/>
  <c r="AO33" i="14"/>
  <c r="AO41" i="14"/>
  <c r="AK48" i="14"/>
  <c r="AP5" i="14"/>
  <c r="AL7" i="14"/>
  <c r="AO14" i="14"/>
  <c r="AM21" i="14"/>
  <c r="AL28" i="14"/>
  <c r="AJ35" i="14"/>
  <c r="AH42" i="14"/>
  <c r="AR48" i="14"/>
  <c r="AM8" i="14"/>
  <c r="AM15" i="14"/>
  <c r="AL5" i="14"/>
  <c r="AJ15" i="14"/>
  <c r="AR23" i="14"/>
  <c r="AP31" i="14"/>
  <c r="AM39" i="14"/>
  <c r="AJ48" i="14"/>
  <c r="AL11" i="14"/>
  <c r="AM27" i="14"/>
  <c r="AL42" i="14"/>
  <c r="AM11" i="14"/>
  <c r="AN28" i="14"/>
  <c r="AI44" i="14"/>
  <c r="AQ14" i="14"/>
  <c r="AJ31" i="14"/>
  <c r="AR46" i="14"/>
  <c r="AQ16" i="14"/>
  <c r="AI33" i="14"/>
  <c r="AP48" i="14"/>
  <c r="AH18" i="14"/>
  <c r="AL10" i="14"/>
  <c r="AM19" i="14"/>
  <c r="AL27" i="14"/>
  <c r="AK35" i="14"/>
  <c r="AI43" i="14"/>
  <c r="AR50" i="14"/>
  <c r="AL21" i="14"/>
  <c r="AO40" i="14"/>
  <c r="AK6" i="14"/>
  <c r="AK16" i="14"/>
  <c r="AK28" i="14"/>
  <c r="AK38" i="14"/>
  <c r="AK50" i="14"/>
  <c r="AJ8" i="14"/>
  <c r="AP17" i="14"/>
  <c r="AR29" i="14"/>
  <c r="AQ39" i="14"/>
  <c r="AI3" i="14"/>
  <c r="AJ16" i="14"/>
  <c r="AJ10" i="14"/>
  <c r="AN25" i="14"/>
  <c r="AR36" i="14"/>
  <c r="AQ50" i="14"/>
  <c r="AK29" i="14"/>
  <c r="AH51" i="14"/>
  <c r="AQ33" i="14"/>
  <c r="AJ7" i="14"/>
  <c r="AM36" i="14"/>
  <c r="AR18" i="14"/>
  <c r="AQ41" i="14"/>
  <c r="AN23" i="14"/>
  <c r="AK15" i="14"/>
  <c r="AH30" i="14"/>
  <c r="AG44" i="14"/>
  <c r="AN12" i="14"/>
  <c r="AJ43" i="14"/>
  <c r="AD26" i="14" s="1"/>
  <c r="AN14" i="14"/>
  <c r="AR39" i="14"/>
  <c r="AP13" i="14"/>
  <c r="AN35" i="14"/>
  <c r="AQ13" i="14"/>
  <c r="AG34" i="14"/>
  <c r="AJ5" i="14"/>
  <c r="AQ29" i="14"/>
  <c r="AH34" i="14"/>
  <c r="AI34" i="14"/>
  <c r="AL45" i="14"/>
  <c r="AH49" i="14"/>
  <c r="AI19" i="14"/>
  <c r="AJ33" i="14"/>
  <c r="AG7" i="14"/>
  <c r="AG17" i="14"/>
  <c r="AG29" i="14"/>
  <c r="AK42" i="14"/>
  <c r="AH3" i="14"/>
  <c r="AJ9" i="14"/>
  <c r="AM18" i="14"/>
  <c r="AO30" i="14"/>
  <c r="AQ42" i="14"/>
  <c r="AG4" i="14"/>
  <c r="AH17" i="14"/>
  <c r="AI12" i="14"/>
  <c r="AK27" i="14"/>
  <c r="AJ41" i="14"/>
  <c r="AP51" i="14"/>
  <c r="AI30" i="14"/>
  <c r="AO4" i="14"/>
  <c r="AM35" i="14"/>
  <c r="AP16" i="14"/>
  <c r="AI38" i="14"/>
  <c r="AR20" i="14"/>
  <c r="AM43" i="14"/>
  <c r="AK3" i="14"/>
  <c r="AM20" i="14"/>
  <c r="AR30" i="14"/>
  <c r="AQ44" i="14"/>
  <c r="AM14" i="14"/>
  <c r="AR44" i="14"/>
  <c r="AO16" i="14"/>
  <c r="AN41" i="14"/>
  <c r="AR17" i="14"/>
  <c r="AK37" i="14"/>
  <c r="AR15" i="14"/>
  <c r="AP35" i="14"/>
  <c r="AR9" i="14"/>
  <c r="AK33" i="14"/>
  <c r="AN37" i="14"/>
  <c r="AP37" i="14"/>
  <c r="AQ48" i="14"/>
  <c r="AG10" i="14"/>
  <c r="AM25" i="14"/>
  <c r="AO36" i="14"/>
  <c r="AO7" i="14"/>
  <c r="AG21" i="14"/>
  <c r="AG31" i="14"/>
  <c r="AG43" i="14"/>
  <c r="AP3" i="14"/>
  <c r="AH10" i="14"/>
  <c r="AJ22" i="14"/>
  <c r="AI32" i="14"/>
  <c r="AL44" i="14"/>
  <c r="AQ4" i="14"/>
  <c r="AQ17" i="14"/>
  <c r="AL16" i="14"/>
  <c r="AI28" i="14"/>
  <c r="AI42" i="14"/>
  <c r="AN4" i="14"/>
  <c r="AR31" i="14"/>
  <c r="AN13" i="14"/>
  <c r="AJ37" i="14"/>
  <c r="AQ18" i="14"/>
  <c r="AG40" i="14"/>
  <c r="AO22" i="14"/>
  <c r="AN50" i="14"/>
  <c r="AM4" i="14"/>
  <c r="AK21" i="14"/>
  <c r="AO32" i="14"/>
  <c r="AN46" i="14"/>
  <c r="AR24" i="14"/>
  <c r="AP46" i="14"/>
  <c r="AI24" i="14"/>
  <c r="AK43" i="14"/>
  <c r="AD27" i="14" s="1"/>
  <c r="AQ19" i="14"/>
  <c r="AN42" i="14"/>
  <c r="AG18" i="14"/>
  <c r="AL37" i="14"/>
  <c r="AI17" i="14"/>
  <c r="AQ36" i="14"/>
  <c r="AH41" i="14"/>
  <c r="AN51" i="14"/>
  <c r="AQ8" i="14"/>
  <c r="AI18" i="14"/>
  <c r="AR35" i="14"/>
  <c r="AP43" i="14"/>
  <c r="AO9" i="14"/>
  <c r="AO21" i="14"/>
  <c r="AO31" i="14"/>
  <c r="AO43" i="14"/>
  <c r="AL6" i="14"/>
  <c r="AQ10" i="14"/>
  <c r="AH23" i="14"/>
  <c r="AR32" i="14"/>
  <c r="AI45" i="14"/>
  <c r="AK9" i="14"/>
  <c r="AN18" i="14"/>
  <c r="AK17" i="14"/>
  <c r="AH29" i="14"/>
  <c r="AH43" i="14"/>
  <c r="AM13" i="14"/>
  <c r="AP32" i="14"/>
  <c r="AP15" i="14"/>
  <c r="AR38" i="14"/>
  <c r="AQ20" i="14"/>
  <c r="AO48" i="14"/>
  <c r="AI26" i="14"/>
  <c r="AJ6" i="14"/>
  <c r="AM5" i="14"/>
  <c r="AI22" i="14"/>
  <c r="AI36" i="14"/>
  <c r="AM47" i="14"/>
  <c r="AO26" i="14"/>
  <c r="AM48" i="14"/>
  <c r="AR25" i="14"/>
  <c r="AH45" i="14"/>
  <c r="AP21" i="14"/>
  <c r="AH46" i="14"/>
  <c r="AR19" i="14"/>
  <c r="AJ39" i="14"/>
  <c r="AH19" i="14"/>
  <c r="AQ43" i="14"/>
  <c r="AN44" i="14"/>
  <c r="AQ7" i="14"/>
  <c r="AJ17" i="14"/>
  <c r="AQ28" i="14"/>
  <c r="AL39" i="14"/>
  <c r="AI47" i="14"/>
  <c r="AK10" i="14"/>
  <c r="AK22" i="14"/>
  <c r="AK34" i="14"/>
  <c r="AK44" i="14"/>
  <c r="AL8" i="14"/>
  <c r="AN11" i="14"/>
  <c r="AQ23" i="14"/>
  <c r="AG36" i="14"/>
  <c r="AR45" i="14"/>
  <c r="AI10" i="14"/>
  <c r="AK19" i="14"/>
  <c r="AJ18" i="14"/>
  <c r="AN32" i="14"/>
  <c r="AR43" i="14"/>
  <c r="AN15" i="14"/>
  <c r="AJ36" i="14"/>
  <c r="AP19" i="14"/>
  <c r="AP47" i="14"/>
  <c r="AN22" i="14"/>
  <c r="AL50" i="14"/>
  <c r="AR27" i="14"/>
  <c r="AP8" i="14"/>
  <c r="AK11" i="14"/>
  <c r="AI23" i="14"/>
  <c r="AH37" i="14"/>
  <c r="AL48" i="14"/>
  <c r="AM28" i="14"/>
  <c r="AG6" i="14"/>
  <c r="AP27" i="14"/>
  <c r="AN48" i="14"/>
  <c r="AR26" i="14"/>
  <c r="AQ47" i="14"/>
  <c r="AQ21" i="14"/>
  <c r="AI46" i="14"/>
  <c r="AH21" i="14"/>
  <c r="AJ47" i="14"/>
  <c r="AM6" i="14"/>
  <c r="AH16" i="14"/>
  <c r="AO24" i="14"/>
  <c r="AK39" i="14"/>
  <c r="AR42" i="14"/>
  <c r="AO50" i="14"/>
  <c r="AG13" i="14"/>
  <c r="AG23" i="14"/>
  <c r="AK36" i="14"/>
  <c r="AG45" i="14"/>
  <c r="AH9" i="14"/>
  <c r="AL15" i="14"/>
  <c r="AN24" i="14"/>
  <c r="AP36" i="14"/>
  <c r="AO46" i="14"/>
  <c r="AR10" i="14"/>
  <c r="AP6" i="14"/>
  <c r="AL20" i="14"/>
  <c r="AJ34" i="14"/>
  <c r="AP44" i="14"/>
  <c r="AM17" i="14"/>
  <c r="AH44" i="14"/>
  <c r="AN21" i="14"/>
  <c r="AL49" i="14"/>
  <c r="AJ24" i="14"/>
  <c r="AQ3" i="14"/>
  <c r="AQ34" i="14"/>
  <c r="AH11" i="14"/>
  <c r="AJ12" i="14"/>
  <c r="AG24" i="14"/>
  <c r="AR37" i="14"/>
  <c r="AQ51" i="14"/>
  <c r="AH31" i="14"/>
  <c r="AI8" i="14"/>
  <c r="AL29" i="14"/>
  <c r="AJ50" i="14"/>
  <c r="AO28" i="14"/>
  <c r="AM49" i="14"/>
  <c r="AM23" i="14"/>
  <c r="AP50" i="14"/>
  <c r="AQ22" i="14"/>
  <c r="AP23" i="14"/>
  <c r="AH28" i="14"/>
  <c r="AP42" i="14"/>
  <c r="AR49" i="14"/>
  <c r="AG15" i="14"/>
  <c r="AO23" i="14"/>
  <c r="AG37" i="14"/>
  <c r="AG49" i="14"/>
  <c r="AP9" i="14"/>
  <c r="AH26" i="14"/>
  <c r="AM50" i="14"/>
  <c r="AP11" i="14"/>
  <c r="AR7" i="14"/>
  <c r="AJ21" i="14"/>
  <c r="AI35" i="14"/>
  <c r="AI49" i="14"/>
  <c r="AO18" i="14"/>
  <c r="AQ45" i="14"/>
  <c r="AK23" i="14"/>
  <c r="AI6" i="14"/>
  <c r="AN36" i="14"/>
  <c r="AL13" i="14"/>
  <c r="AH8" i="14"/>
  <c r="AI31" i="14"/>
  <c r="AH32" i="14"/>
  <c r="AM30" i="14"/>
  <c r="AI4" i="14"/>
  <c r="AG28" i="14"/>
  <c r="AO15" i="14"/>
  <c r="AR3" i="14"/>
  <c r="AR16" i="14"/>
  <c r="AJ51" i="14"/>
  <c r="AP24" i="14"/>
  <c r="AN20" i="14"/>
  <c r="AR4" i="14"/>
  <c r="AH40" i="14"/>
  <c r="AJ29" i="14"/>
  <c r="AM40" i="14"/>
  <c r="AM41" i="14"/>
  <c r="AQ11" i="14"/>
  <c r="AJ32" i="14"/>
  <c r="AI27" i="14"/>
  <c r="AM45" i="14"/>
  <c r="AJ20" i="14"/>
  <c r="AP22" i="14"/>
  <c r="AI16" i="14"/>
  <c r="AH33" i="14"/>
  <c r="AJ28" i="14"/>
  <c r="AN33" i="14"/>
  <c r="AN8" i="14"/>
  <c r="AN49" i="14"/>
  <c r="AJ27" i="14"/>
  <c r="AJ46" i="14"/>
  <c r="AO27" i="14"/>
  <c r="AO49" i="14"/>
  <c r="AH39" i="14"/>
  <c r="AR8" i="14"/>
  <c r="AG50" i="14"/>
  <c r="AJ30" i="14"/>
  <c r="AP10" i="14"/>
  <c r="AL14" i="14"/>
  <c r="AO12" i="14"/>
  <c r="AR33" i="14"/>
  <c r="AL51" i="14"/>
  <c r="AP30" i="14"/>
  <c r="AQ49" i="14"/>
  <c r="AR47" i="14"/>
  <c r="AJ38" i="14"/>
  <c r="AI51" i="14"/>
  <c r="AR12" i="14"/>
  <c r="AN39" i="14"/>
  <c r="AN10" i="14"/>
  <c r="AK51" i="14"/>
  <c r="AG22" i="14"/>
  <c r="AG42" i="14"/>
  <c r="AH12" i="14"/>
  <c r="AO37" i="14"/>
  <c r="AI29" i="14"/>
  <c r="AM12" i="14"/>
  <c r="AH36" i="14"/>
  <c r="AN47" i="14"/>
  <c r="AP34" i="14"/>
  <c r="AR21" i="14"/>
  <c r="AM10" i="14"/>
  <c r="AO34" i="14"/>
  <c r="AI5" i="14"/>
  <c r="AH13" i="14"/>
  <c r="AM31" i="14"/>
  <c r="K60" i="14"/>
  <c r="K66" i="14"/>
  <c r="K82" i="14"/>
  <c r="K98" i="14"/>
  <c r="K67" i="14"/>
  <c r="K83" i="14"/>
  <c r="K99" i="14"/>
  <c r="K68" i="14"/>
  <c r="K84" i="14"/>
  <c r="K100" i="14"/>
  <c r="K61" i="14"/>
  <c r="K77" i="14"/>
  <c r="K93" i="14"/>
  <c r="K109" i="14"/>
  <c r="K70" i="14"/>
  <c r="K94" i="14"/>
  <c r="K110" i="14"/>
  <c r="K71" i="14"/>
  <c r="K87" i="14"/>
  <c r="K103" i="14"/>
  <c r="K64" i="14"/>
  <c r="K88" i="14"/>
  <c r="K112" i="14"/>
  <c r="K74" i="14"/>
  <c r="K90" i="14"/>
  <c r="K106" i="14"/>
  <c r="K75" i="14"/>
  <c r="K91" i="14"/>
  <c r="K107" i="14"/>
  <c r="K76" i="14"/>
  <c r="K92" i="14"/>
  <c r="K108" i="14"/>
  <c r="K69" i="14"/>
  <c r="K85" i="14"/>
  <c r="K101" i="14"/>
  <c r="K62" i="14"/>
  <c r="K78" i="14"/>
  <c r="K86" i="14"/>
  <c r="K102" i="14"/>
  <c r="K63" i="14"/>
  <c r="K79" i="14"/>
  <c r="K95" i="14"/>
  <c r="K111" i="14"/>
  <c r="K72" i="14"/>
  <c r="K80" i="14"/>
  <c r="K96" i="14"/>
  <c r="K104" i="14"/>
  <c r="K65" i="14"/>
  <c r="K73" i="14"/>
  <c r="K81" i="14"/>
  <c r="K89" i="14"/>
  <c r="K97" i="14"/>
  <c r="K105" i="14"/>
  <c r="K113" i="14"/>
  <c r="AD31" i="14"/>
  <c r="AD30" i="14"/>
  <c r="AD28" i="14"/>
  <c r="R83" i="14"/>
  <c r="M112" i="14"/>
  <c r="M97" i="14"/>
  <c r="M109" i="14"/>
  <c r="L87" i="14"/>
  <c r="R84" i="14"/>
  <c r="Q61" i="14"/>
  <c r="M71" i="14"/>
  <c r="M81" i="14"/>
  <c r="Q98" i="14"/>
  <c r="R94" i="14"/>
  <c r="M111" i="14"/>
  <c r="L112" i="14"/>
  <c r="Q66" i="14"/>
  <c r="M73" i="14"/>
  <c r="Q105" i="14"/>
  <c r="M107" i="14"/>
  <c r="Q78" i="14"/>
  <c r="Q91" i="14"/>
  <c r="R104" i="14"/>
  <c r="R109" i="14"/>
  <c r="Q64" i="14"/>
  <c r="R90" i="14"/>
  <c r="L71" i="14"/>
  <c r="L67" i="14"/>
  <c r="L70" i="14"/>
  <c r="L111" i="14"/>
  <c r="L91" i="14"/>
  <c r="L102" i="14"/>
  <c r="L99" i="14"/>
  <c r="Q99" i="14"/>
  <c r="Q63" i="14"/>
  <c r="M83" i="14"/>
  <c r="R105" i="14"/>
  <c r="M67" i="14"/>
  <c r="Q70" i="14"/>
  <c r="L100" i="14"/>
  <c r="L73" i="14"/>
  <c r="M68" i="14"/>
  <c r="Q112" i="14"/>
  <c r="R100" i="14"/>
  <c r="Q81" i="14"/>
  <c r="R72" i="14"/>
  <c r="R87" i="14"/>
  <c r="M91" i="14"/>
  <c r="Q94" i="14"/>
  <c r="M101" i="14"/>
  <c r="Q103" i="14"/>
  <c r="R107" i="14"/>
  <c r="L84" i="14"/>
  <c r="M70" i="14"/>
  <c r="L88" i="14"/>
  <c r="L98" i="14"/>
  <c r="L109" i="14"/>
  <c r="M77" i="14"/>
  <c r="Q69" i="14"/>
  <c r="Q97" i="14"/>
  <c r="Q102" i="14"/>
  <c r="L105" i="14"/>
  <c r="Q84" i="14"/>
  <c r="R91" i="14"/>
  <c r="R102" i="14"/>
  <c r="M79" i="14"/>
  <c r="M94" i="14"/>
  <c r="L63" i="14"/>
  <c r="R101" i="14"/>
  <c r="M103" i="14"/>
  <c r="R65" i="14"/>
  <c r="L68" i="14"/>
  <c r="R92" i="14"/>
  <c r="R95" i="14"/>
  <c r="R93" i="14"/>
  <c r="R98" i="14"/>
  <c r="R108" i="14"/>
  <c r="M108" i="14"/>
  <c r="R99" i="14"/>
  <c r="M106" i="14"/>
  <c r="M89" i="14"/>
  <c r="M66" i="14"/>
  <c r="Q75" i="14"/>
  <c r="M69" i="14"/>
  <c r="R64" i="14"/>
  <c r="Q86" i="14"/>
  <c r="L77" i="14"/>
  <c r="L86" i="14"/>
  <c r="L66" i="14"/>
  <c r="L72" i="14"/>
  <c r="R66" i="14"/>
  <c r="M64" i="14"/>
  <c r="L93" i="14"/>
  <c r="Q67" i="14"/>
  <c r="L106" i="14"/>
  <c r="R69" i="14"/>
  <c r="M80" i="14"/>
  <c r="R81" i="14"/>
  <c r="M110" i="14"/>
  <c r="Q68" i="14"/>
  <c r="L60" i="14"/>
  <c r="M93" i="14"/>
  <c r="M86" i="14"/>
  <c r="L104" i="14"/>
  <c r="Q89" i="14"/>
  <c r="M75" i="14"/>
  <c r="L64" i="14"/>
  <c r="L65" i="14"/>
  <c r="Q71" i="14"/>
  <c r="Q108" i="14"/>
  <c r="R76" i="14"/>
  <c r="M98" i="14"/>
  <c r="L61" i="14"/>
  <c r="Q72" i="14"/>
  <c r="R103" i="14"/>
  <c r="L76" i="14"/>
  <c r="L74" i="14"/>
  <c r="M72" i="14"/>
  <c r="Q110" i="14"/>
  <c r="R113" i="14"/>
  <c r="Q80" i="14"/>
  <c r="Q96" i="14"/>
  <c r="M96" i="14"/>
  <c r="R73" i="14"/>
  <c r="Q82" i="14"/>
  <c r="M105" i="14"/>
  <c r="M102" i="14"/>
  <c r="R75" i="14"/>
  <c r="Q77" i="14"/>
  <c r="L92" i="14"/>
  <c r="L94" i="14"/>
  <c r="L69" i="14"/>
  <c r="L108" i="14"/>
  <c r="M82" i="14"/>
  <c r="Q113" i="14"/>
  <c r="R89" i="14"/>
  <c r="R70" i="14"/>
  <c r="L82" i="14"/>
  <c r="R68" i="14"/>
  <c r="M61" i="14"/>
  <c r="Q65" i="14"/>
  <c r="L85" i="14"/>
  <c r="M85" i="14"/>
  <c r="Q104" i="14"/>
  <c r="M62" i="14"/>
  <c r="R74" i="14"/>
  <c r="R96" i="14"/>
  <c r="Q109" i="14"/>
  <c r="L90" i="14"/>
  <c r="R112" i="14"/>
  <c r="L80" i="14"/>
  <c r="R110" i="14"/>
  <c r="Q106" i="14"/>
  <c r="L89" i="14"/>
  <c r="R60" i="14"/>
  <c r="R88" i="14"/>
  <c r="L83" i="14"/>
  <c r="Q60" i="14"/>
  <c r="L97" i="14"/>
  <c r="Q107" i="14"/>
  <c r="Q111" i="14"/>
  <c r="Q79" i="14"/>
  <c r="L107" i="14"/>
  <c r="M84" i="14"/>
  <c r="L62" i="14"/>
  <c r="Q95" i="14"/>
  <c r="Q93" i="14"/>
  <c r="R78" i="14"/>
  <c r="R82" i="14"/>
  <c r="M95" i="14"/>
  <c r="M63" i="14"/>
  <c r="L103" i="14"/>
  <c r="Q100" i="14"/>
  <c r="M104" i="14"/>
  <c r="Q74" i="14"/>
  <c r="M74" i="14"/>
  <c r="R85" i="14"/>
  <c r="R61" i="14"/>
  <c r="M76" i="14"/>
  <c r="L79" i="14"/>
  <c r="L113" i="14"/>
  <c r="M99" i="14"/>
  <c r="Q85" i="14"/>
  <c r="Q88" i="14"/>
  <c r="R80" i="14"/>
  <c r="R63" i="14"/>
  <c r="M90" i="14"/>
  <c r="Q101" i="14"/>
  <c r="R67" i="14"/>
  <c r="Q92" i="14"/>
  <c r="L78" i="14"/>
  <c r="M78" i="14"/>
  <c r="Q90" i="14"/>
  <c r="L81" i="14"/>
  <c r="L110" i="14"/>
  <c r="R111" i="14"/>
  <c r="L101" i="14"/>
  <c r="R97" i="14"/>
  <c r="L95" i="14"/>
  <c r="L75" i="14"/>
  <c r="Q87" i="14"/>
  <c r="R77" i="14"/>
  <c r="R79" i="14"/>
  <c r="M100" i="14"/>
  <c r="M65" i="14"/>
  <c r="M92" i="14"/>
  <c r="M60" i="14"/>
  <c r="M113" i="14"/>
  <c r="R62" i="14"/>
  <c r="Q76" i="14"/>
  <c r="L96" i="14"/>
  <c r="Q73" i="14"/>
  <c r="Q83" i="14"/>
  <c r="Q62" i="14"/>
  <c r="M87" i="14"/>
  <c r="R106" i="14"/>
  <c r="M88" i="14"/>
  <c r="R86" i="14"/>
  <c r="R71" i="14"/>
  <c r="AD22" i="14"/>
  <c r="AD23" i="14"/>
  <c r="AE23" i="14" l="1"/>
  <c r="AE22" i="14"/>
  <c r="AD40" i="14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G3" i="18"/>
  <c r="V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V1" i="17"/>
  <c r="G7" i="17"/>
  <c r="G4" i="17"/>
  <c r="G3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V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3" i="15"/>
  <c r="G3" i="16"/>
  <c r="G9" i="15"/>
  <c r="G8" i="15"/>
  <c r="G7" i="15"/>
  <c r="G4" i="15"/>
  <c r="V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3" i="15"/>
  <c r="H1" i="15"/>
  <c r="T1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5" i="14"/>
  <c r="E4" i="14"/>
  <c r="E3" i="14"/>
  <c r="G10" i="16"/>
  <c r="D48" i="1" l="1"/>
  <c r="I33" i="1"/>
  <c r="D33" i="1"/>
  <c r="I16" i="1"/>
  <c r="D16" i="1"/>
  <c r="J56" i="14" l="1"/>
  <c r="K56" i="14"/>
  <c r="J57" i="14"/>
  <c r="K21" i="14"/>
  <c r="K22" i="14"/>
  <c r="K24" i="14"/>
  <c r="K25" i="14"/>
  <c r="K27" i="14"/>
  <c r="K28" i="14"/>
  <c r="K30" i="14"/>
  <c r="K31" i="14"/>
  <c r="K33" i="14"/>
  <c r="K34" i="14"/>
  <c r="K35" i="14"/>
  <c r="K37" i="14"/>
  <c r="K38" i="14"/>
  <c r="K39" i="14"/>
  <c r="K41" i="14"/>
  <c r="K42" i="14"/>
  <c r="K43" i="14"/>
  <c r="K54" i="14"/>
  <c r="K4" i="14"/>
  <c r="K5" i="14"/>
  <c r="M56" i="14"/>
  <c r="Q56" i="14"/>
  <c r="R56" i="14"/>
  <c r="L56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C7" i="17"/>
  <c r="M6" i="17"/>
  <c r="L6" i="17"/>
  <c r="C6" i="17"/>
  <c r="M5" i="17"/>
  <c r="L5" i="17"/>
  <c r="C5" i="17"/>
  <c r="L4" i="17"/>
  <c r="M3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29" i="16"/>
  <c r="M28" i="16"/>
  <c r="M27" i="16"/>
  <c r="M26" i="16"/>
  <c r="M23" i="16"/>
  <c r="M30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6" i="14"/>
  <c r="J4" i="14"/>
  <c r="J5" i="14"/>
  <c r="J3" i="14"/>
  <c r="F5" i="14"/>
  <c r="F4" i="14"/>
  <c r="F3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M14" i="18" l="1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6" i="15"/>
  <c r="I8" i="1"/>
  <c r="M6" i="15" l="1"/>
  <c r="M3" i="15"/>
  <c r="M5" i="15"/>
  <c r="D7" i="1"/>
  <c r="J57" i="17"/>
  <c r="AD17" i="14"/>
  <c r="AD21" i="14" s="1"/>
  <c r="M53" i="17" l="1"/>
  <c r="M19" i="17"/>
  <c r="M16" i="17"/>
  <c r="M13" i="17"/>
  <c r="M17" i="17"/>
  <c r="M14" i="17"/>
  <c r="M11" i="17"/>
  <c r="M10" i="17"/>
  <c r="M58" i="16"/>
  <c r="M65" i="16"/>
  <c r="M43" i="16"/>
  <c r="M53" i="16"/>
  <c r="M41" i="16"/>
  <c r="M63" i="16"/>
  <c r="M48" i="16"/>
  <c r="S3" i="15"/>
  <c r="G13" i="18"/>
  <c r="N14" i="18"/>
  <c r="N18" i="15"/>
  <c r="J12" i="18"/>
  <c r="O87" i="15"/>
  <c r="O44" i="16"/>
  <c r="O47" i="17"/>
  <c r="T3" i="18"/>
  <c r="J70" i="16"/>
  <c r="S3" i="16"/>
  <c r="N59" i="15"/>
  <c r="L24" i="14"/>
  <c r="J54" i="16"/>
  <c r="J26" i="16"/>
  <c r="T77" i="15"/>
  <c r="S29" i="16"/>
  <c r="J21" i="16"/>
  <c r="T49" i="16"/>
  <c r="J51" i="18"/>
  <c r="T5" i="16"/>
  <c r="T48" i="15"/>
  <c r="O63" i="15"/>
  <c r="J52" i="18"/>
  <c r="J22" i="16"/>
  <c r="T84" i="15"/>
  <c r="N48" i="15"/>
  <c r="S68" i="15"/>
  <c r="O59" i="15"/>
  <c r="N67" i="15"/>
  <c r="J86" i="15"/>
  <c r="J66" i="16"/>
  <c r="O86" i="15"/>
  <c r="J43" i="16"/>
  <c r="T77" i="18"/>
  <c r="J18" i="18"/>
  <c r="N59" i="18"/>
  <c r="S46" i="16"/>
  <c r="J56" i="15"/>
  <c r="N70" i="18"/>
  <c r="O75" i="18"/>
  <c r="M30" i="14"/>
  <c r="O49" i="16"/>
  <c r="N75" i="15"/>
  <c r="J64" i="15"/>
  <c r="N63" i="15"/>
  <c r="N60" i="15"/>
  <c r="S4" i="18"/>
  <c r="R38" i="14"/>
  <c r="T69" i="18"/>
  <c r="Q21" i="14"/>
  <c r="N4" i="16"/>
  <c r="S75" i="18"/>
  <c r="J8" i="16"/>
  <c r="O3" i="16"/>
  <c r="T6" i="17"/>
  <c r="J9" i="18"/>
  <c r="N52" i="17"/>
  <c r="S5" i="15"/>
  <c r="O10" i="15"/>
  <c r="S69" i="18"/>
  <c r="J40" i="17"/>
  <c r="S44" i="15"/>
  <c r="N6" i="16"/>
  <c r="O41" i="18"/>
  <c r="S31" i="18"/>
  <c r="O4" i="16"/>
  <c r="T60" i="15"/>
  <c r="O30" i="16"/>
  <c r="T14" i="15"/>
  <c r="T28" i="18"/>
  <c r="O13" i="18"/>
  <c r="N60" i="18"/>
  <c r="S74" i="15"/>
  <c r="J19" i="16"/>
  <c r="S52" i="17"/>
  <c r="G6" i="16"/>
  <c r="N49" i="17"/>
  <c r="Q25" i="14"/>
  <c r="N26" i="16"/>
  <c r="J77" i="18"/>
  <c r="T45" i="15"/>
  <c r="N3" i="17"/>
  <c r="S86" i="15"/>
  <c r="O59" i="16"/>
  <c r="S30" i="16"/>
  <c r="N28" i="18"/>
  <c r="O26" i="16"/>
  <c r="O57" i="16"/>
  <c r="N58" i="18"/>
  <c r="Q35" i="14"/>
  <c r="O31" i="18"/>
  <c r="J11" i="17"/>
  <c r="N30" i="16"/>
  <c r="L31" i="14"/>
  <c r="T13" i="18"/>
  <c r="O17" i="18"/>
  <c r="N5" i="16"/>
  <c r="T57" i="15"/>
  <c r="J27" i="17"/>
  <c r="T28" i="16"/>
  <c r="N21" i="15"/>
  <c r="O43" i="18"/>
  <c r="G16" i="18"/>
  <c r="S61" i="18"/>
  <c r="O65" i="18"/>
  <c r="N5" i="17"/>
  <c r="S70" i="18"/>
  <c r="O46" i="15"/>
  <c r="N44" i="16"/>
  <c r="T56" i="16"/>
  <c r="J80" i="18"/>
  <c r="J20" i="17"/>
  <c r="S65" i="15"/>
  <c r="T44" i="17"/>
  <c r="S85" i="15"/>
  <c r="S18" i="15"/>
  <c r="L27" i="14"/>
  <c r="O58" i="18"/>
  <c r="O51" i="16"/>
  <c r="T3" i="16"/>
  <c r="N6" i="15"/>
  <c r="O66" i="18"/>
  <c r="J71" i="18"/>
  <c r="O45" i="15"/>
  <c r="S41" i="18"/>
  <c r="N87" i="15"/>
  <c r="O25" i="18"/>
  <c r="T25" i="18"/>
  <c r="S64" i="15"/>
  <c r="T8" i="17"/>
  <c r="N52" i="16"/>
  <c r="T46" i="16"/>
  <c r="J37" i="17"/>
  <c r="Q34" i="14"/>
  <c r="N75" i="18"/>
  <c r="T6" i="16"/>
  <c r="O20" i="17"/>
  <c r="J46" i="16"/>
  <c r="O5" i="16"/>
  <c r="N25" i="18"/>
  <c r="J50" i="18"/>
  <c r="J49" i="16"/>
  <c r="S31" i="16"/>
  <c r="N14" i="15"/>
  <c r="T87" i="15"/>
  <c r="N74" i="15"/>
  <c r="T4" i="18"/>
  <c r="T44" i="15"/>
  <c r="O79" i="15"/>
  <c r="J30" i="17"/>
  <c r="S16" i="15"/>
  <c r="O88" i="15"/>
  <c r="J61" i="18"/>
  <c r="N31" i="18"/>
  <c r="T64" i="15"/>
  <c r="N47" i="16"/>
  <c r="J4" i="17"/>
  <c r="T16" i="15"/>
  <c r="O64" i="18"/>
  <c r="T18" i="15"/>
  <c r="S20" i="15"/>
  <c r="S48" i="17"/>
  <c r="R30" i="14"/>
  <c r="O14" i="18"/>
  <c r="N26" i="18"/>
  <c r="J39" i="16"/>
  <c r="T11" i="15"/>
  <c r="N10" i="15"/>
  <c r="R22" i="14"/>
  <c r="J38" i="16"/>
  <c r="T26" i="16"/>
  <c r="N13" i="18"/>
  <c r="J78" i="18"/>
  <c r="J35" i="17"/>
  <c r="J20" i="16"/>
  <c r="T20" i="17"/>
  <c r="N64" i="18"/>
  <c r="S14" i="15"/>
  <c r="O61" i="18"/>
  <c r="S21" i="17"/>
  <c r="S4" i="16"/>
  <c r="N11" i="15"/>
  <c r="J8" i="18"/>
  <c r="N8" i="17"/>
  <c r="T86" i="15"/>
  <c r="S69" i="15"/>
  <c r="J26" i="18"/>
  <c r="S3" i="17"/>
  <c r="T69" i="15"/>
  <c r="T49" i="17"/>
  <c r="T17" i="15"/>
  <c r="S15" i="15"/>
  <c r="S60" i="15"/>
  <c r="T21" i="17"/>
  <c r="S58" i="18"/>
  <c r="O48" i="17"/>
  <c r="T6" i="15"/>
  <c r="N4" i="18"/>
  <c r="T73" i="15"/>
  <c r="N16" i="15"/>
  <c r="O83" i="15"/>
  <c r="O4" i="15"/>
  <c r="O57" i="15"/>
  <c r="N69" i="18"/>
  <c r="R31" i="14"/>
  <c r="N5" i="15"/>
  <c r="R24" i="14"/>
  <c r="T10" i="15"/>
  <c r="J17" i="17"/>
  <c r="S59" i="15"/>
  <c r="N4" i="15"/>
  <c r="J59" i="15"/>
  <c r="G6" i="17"/>
  <c r="N68" i="15"/>
  <c r="T30" i="16"/>
  <c r="S54" i="16"/>
  <c r="G5" i="18"/>
  <c r="O47" i="15"/>
  <c r="J27" i="16"/>
  <c r="S14" i="18"/>
  <c r="T47" i="17"/>
  <c r="N77" i="15"/>
  <c r="S4" i="15"/>
  <c r="T70" i="15"/>
  <c r="N44" i="15"/>
  <c r="O6" i="15"/>
  <c r="S44" i="16"/>
  <c r="J72" i="15"/>
  <c r="N20" i="15"/>
  <c r="N85" i="15"/>
  <c r="O52" i="17"/>
  <c r="S56" i="16"/>
  <c r="H3" i="14"/>
  <c r="J66" i="18"/>
  <c r="T60" i="18"/>
  <c r="O46" i="16"/>
  <c r="N56" i="16"/>
  <c r="J76" i="18"/>
  <c r="T3" i="15"/>
  <c r="N47" i="15"/>
  <c r="S10" i="15"/>
  <c r="T88" i="15"/>
  <c r="N5" i="18"/>
  <c r="S49" i="16"/>
  <c r="N86" i="15"/>
  <c r="J33" i="17"/>
  <c r="J40" i="16"/>
  <c r="O14" i="15"/>
  <c r="Q28" i="14"/>
  <c r="S23" i="16"/>
  <c r="T57" i="16"/>
  <c r="O44" i="15"/>
  <c r="N46" i="15"/>
  <c r="O69" i="15"/>
  <c r="J42" i="16"/>
  <c r="T31" i="18"/>
  <c r="N57" i="15"/>
  <c r="M24" i="14"/>
  <c r="O3" i="17"/>
  <c r="N47" i="17"/>
  <c r="S49" i="17"/>
  <c r="S6" i="18"/>
  <c r="M38" i="14"/>
  <c r="O85" i="15"/>
  <c r="S29" i="18"/>
  <c r="S66" i="18"/>
  <c r="J59" i="16"/>
  <c r="O27" i="16"/>
  <c r="S5" i="17"/>
  <c r="N20" i="17"/>
  <c r="N28" i="16"/>
  <c r="T3" i="17"/>
  <c r="S5" i="18"/>
  <c r="O74" i="15"/>
  <c r="T14" i="18"/>
  <c r="N64" i="15"/>
  <c r="L35" i="14"/>
  <c r="T5" i="17"/>
  <c r="T29" i="16"/>
  <c r="J32" i="18"/>
  <c r="J15" i="16"/>
  <c r="O60" i="15"/>
  <c r="M21" i="14"/>
  <c r="J53" i="18"/>
  <c r="T4" i="16"/>
  <c r="N6" i="18"/>
  <c r="O5" i="17"/>
  <c r="S52" i="16"/>
  <c r="N17" i="15"/>
  <c r="J23" i="18"/>
  <c r="T72" i="15"/>
  <c r="N65" i="15"/>
  <c r="S27" i="16"/>
  <c r="S67" i="15"/>
  <c r="S12" i="15"/>
  <c r="T65" i="18"/>
  <c r="J18" i="16"/>
  <c r="T23" i="16"/>
  <c r="S48" i="15"/>
  <c r="J48" i="18"/>
  <c r="J49" i="18"/>
  <c r="T63" i="18"/>
  <c r="O62" i="15"/>
  <c r="O5" i="18"/>
  <c r="S51" i="16"/>
  <c r="O54" i="16"/>
  <c r="N46" i="16"/>
  <c r="O16" i="15"/>
  <c r="J58" i="15"/>
  <c r="O23" i="16"/>
  <c r="R35" i="14"/>
  <c r="O29" i="18"/>
  <c r="T21" i="15"/>
  <c r="L38" i="14"/>
  <c r="Q27" i="14"/>
  <c r="O18" i="15"/>
  <c r="J21" i="18"/>
  <c r="O28" i="18"/>
  <c r="N45" i="15"/>
  <c r="M22" i="14"/>
  <c r="O20" i="15"/>
  <c r="N49" i="16"/>
  <c r="O31" i="16"/>
  <c r="N3" i="18"/>
  <c r="O67" i="15"/>
  <c r="J65" i="16"/>
  <c r="J29" i="18"/>
  <c r="N3" i="15"/>
  <c r="T48" i="17"/>
  <c r="L22" i="14"/>
  <c r="S47" i="16"/>
  <c r="S73" i="15"/>
  <c r="N68" i="18"/>
  <c r="J57" i="18"/>
  <c r="O68" i="15"/>
  <c r="Q22" i="14"/>
  <c r="O5" i="15"/>
  <c r="S45" i="15"/>
  <c r="N43" i="18"/>
  <c r="T27" i="16"/>
  <c r="T85" i="15"/>
  <c r="N21" i="17"/>
  <c r="J55" i="15"/>
  <c r="T67" i="15"/>
  <c r="G14" i="18"/>
  <c r="S60" i="18"/>
  <c r="G6" i="18"/>
  <c r="Q31" i="14"/>
  <c r="M34" i="14"/>
  <c r="T63" i="15"/>
  <c r="S21" i="15"/>
  <c r="J64" i="16"/>
  <c r="S16" i="18"/>
  <c r="N57" i="16"/>
  <c r="S77" i="18"/>
  <c r="J17" i="16"/>
  <c r="T51" i="16"/>
  <c r="T66" i="18"/>
  <c r="O49" i="17"/>
  <c r="N6" i="17"/>
  <c r="J31" i="17"/>
  <c r="S72" i="15"/>
  <c r="O70" i="18"/>
  <c r="S47" i="15"/>
  <c r="R28" i="14"/>
  <c r="J29" i="17"/>
  <c r="N84" i="15"/>
  <c r="G11" i="18"/>
  <c r="J32" i="17"/>
  <c r="N77" i="18"/>
  <c r="S11" i="15"/>
  <c r="O44" i="17"/>
  <c r="J57" i="15"/>
  <c r="N70" i="15"/>
  <c r="O84" i="15"/>
  <c r="O28" i="16"/>
  <c r="G5" i="15"/>
  <c r="J44" i="16"/>
  <c r="L39" i="14"/>
  <c r="S17" i="15"/>
  <c r="T64" i="18"/>
  <c r="J77" i="15"/>
  <c r="G5" i="16"/>
  <c r="G15" i="18"/>
  <c r="J60" i="18"/>
  <c r="O60" i="18"/>
  <c r="S75" i="15"/>
  <c r="J50" i="17"/>
  <c r="J8" i="15"/>
  <c r="O64" i="15"/>
  <c r="S62" i="15"/>
  <c r="S26" i="16"/>
  <c r="T68" i="18"/>
  <c r="T15" i="15"/>
  <c r="S77" i="15"/>
  <c r="O63" i="18"/>
  <c r="J7" i="17"/>
  <c r="J34" i="17"/>
  <c r="N15" i="15"/>
  <c r="N12" i="15"/>
  <c r="O65" i="15"/>
  <c r="J14" i="17"/>
  <c r="N13" i="15"/>
  <c r="S6" i="15"/>
  <c r="O13" i="15"/>
  <c r="J62" i="15"/>
  <c r="J68" i="16"/>
  <c r="T71" i="18"/>
  <c r="N62" i="15"/>
  <c r="J37" i="16"/>
  <c r="S79" i="15"/>
  <c r="L34" i="14"/>
  <c r="J22" i="18"/>
  <c r="T75" i="18"/>
  <c r="T47" i="16"/>
  <c r="S63" i="18"/>
  <c r="S47" i="17"/>
  <c r="G11" i="16"/>
  <c r="T74" i="15"/>
  <c r="O6" i="16"/>
  <c r="S59" i="16"/>
  <c r="T62" i="15"/>
  <c r="S13" i="18"/>
  <c r="N54" i="16"/>
  <c r="S28" i="18"/>
  <c r="T46" i="15"/>
  <c r="N61" i="18"/>
  <c r="T16" i="18"/>
  <c r="L28" i="14"/>
  <c r="Q38" i="14"/>
  <c r="O70" i="15"/>
  <c r="J87" i="15"/>
  <c r="O48" i="15"/>
  <c r="T41" i="18"/>
  <c r="N16" i="18"/>
  <c r="J24" i="16"/>
  <c r="N23" i="16"/>
  <c r="S46" i="15"/>
  <c r="N3" i="16"/>
  <c r="T59" i="18"/>
  <c r="N41" i="18"/>
  <c r="T44" i="16"/>
  <c r="T79" i="15"/>
  <c r="O75" i="15"/>
  <c r="O29" i="16"/>
  <c r="T26" i="18"/>
  <c r="T52" i="17"/>
  <c r="O17" i="15"/>
  <c r="O16" i="18"/>
  <c r="T68" i="15"/>
  <c r="S57" i="16"/>
  <c r="T5" i="15"/>
  <c r="T20" i="15"/>
  <c r="N72" i="15"/>
  <c r="J10" i="16"/>
  <c r="N31" i="16"/>
  <c r="J56" i="18"/>
  <c r="O6" i="17"/>
  <c r="N63" i="18"/>
  <c r="O73" i="15"/>
  <c r="J7" i="16"/>
  <c r="L30" i="14"/>
  <c r="J45" i="17"/>
  <c r="G17" i="18"/>
  <c r="J7" i="18"/>
  <c r="R25" i="14"/>
  <c r="S63" i="15"/>
  <c r="N69" i="15"/>
  <c r="J54" i="18"/>
  <c r="N79" i="15"/>
  <c r="J12" i="16"/>
  <c r="J24" i="18"/>
  <c r="N59" i="16"/>
  <c r="T70" i="18"/>
  <c r="J59" i="18"/>
  <c r="O47" i="16"/>
  <c r="T43" i="18"/>
  <c r="O21" i="15"/>
  <c r="Q39" i="14"/>
  <c r="T58" i="18"/>
  <c r="O77" i="15"/>
  <c r="T29" i="18"/>
  <c r="O8" i="17"/>
  <c r="R39" i="14"/>
  <c r="T54" i="16"/>
  <c r="N83" i="15"/>
  <c r="O11" i="15"/>
  <c r="J67" i="15"/>
  <c r="S87" i="15"/>
  <c r="G6" i="15"/>
  <c r="T17" i="18"/>
  <c r="S65" i="18"/>
  <c r="T61" i="18"/>
  <c r="Q30" i="14"/>
  <c r="N73" i="15"/>
  <c r="N65" i="18"/>
  <c r="J61" i="15"/>
  <c r="T83" i="15"/>
  <c r="S88" i="15"/>
  <c r="J41" i="16"/>
  <c r="J84" i="15"/>
  <c r="J58" i="18"/>
  <c r="N88" i="15"/>
  <c r="S6" i="17"/>
  <c r="R27" i="14"/>
  <c r="O3" i="15"/>
  <c r="O69" i="18"/>
  <c r="J55" i="17"/>
  <c r="M35" i="14"/>
  <c r="M28" i="14"/>
  <c r="N19" i="15"/>
  <c r="T59" i="15"/>
  <c r="N51" i="16"/>
  <c r="T5" i="18"/>
  <c r="J25" i="18"/>
  <c r="J23" i="16"/>
  <c r="G10" i="18"/>
  <c r="S83" i="15"/>
  <c r="O19" i="15"/>
  <c r="S59" i="18"/>
  <c r="J36" i="16"/>
  <c r="T13" i="15"/>
  <c r="S5" i="16"/>
  <c r="T4" i="15"/>
  <c r="O72" i="15"/>
  <c r="O21" i="17"/>
  <c r="N48" i="17"/>
  <c r="O6" i="18"/>
  <c r="S71" i="18"/>
  <c r="T12" i="15"/>
  <c r="J60" i="15"/>
  <c r="S84" i="15"/>
  <c r="J82" i="15"/>
  <c r="S70" i="15"/>
  <c r="T75" i="15"/>
  <c r="M31" i="14"/>
  <c r="M25" i="14"/>
  <c r="S17" i="18"/>
  <c r="S28" i="16"/>
  <c r="O52" i="16"/>
  <c r="J9" i="16"/>
  <c r="O59" i="18"/>
  <c r="N17" i="18"/>
  <c r="N29" i="18"/>
  <c r="J28" i="17"/>
  <c r="J11" i="18"/>
  <c r="O15" i="15"/>
  <c r="J55" i="18"/>
  <c r="S57" i="15"/>
  <c r="T65" i="15"/>
  <c r="O71" i="18"/>
  <c r="S6" i="16"/>
  <c r="S8" i="17"/>
  <c r="N27" i="16"/>
  <c r="Q24" i="14"/>
  <c r="N71" i="18"/>
  <c r="T47" i="15"/>
  <c r="T19" i="15"/>
  <c r="N44" i="17"/>
  <c r="J7" i="15"/>
  <c r="T31" i="16"/>
  <c r="S26" i="18"/>
  <c r="S68" i="18"/>
  <c r="N66" i="18"/>
  <c r="O4" i="18"/>
  <c r="J16" i="16"/>
  <c r="O56" i="16"/>
  <c r="L25" i="14"/>
  <c r="L21" i="14"/>
  <c r="M39" i="14"/>
  <c r="S43" i="18"/>
  <c r="S19" i="15"/>
  <c r="M27" i="14"/>
  <c r="R34" i="14"/>
  <c r="O26" i="18"/>
  <c r="J82" i="18"/>
  <c r="N29" i="16"/>
  <c r="J9" i="15"/>
  <c r="G5" i="17"/>
  <c r="T59" i="16"/>
  <c r="T6" i="18"/>
  <c r="S25" i="18"/>
  <c r="S3" i="18"/>
  <c r="R21" i="14"/>
  <c r="O77" i="18"/>
  <c r="O3" i="18"/>
  <c r="S64" i="18"/>
  <c r="J58" i="17"/>
  <c r="T52" i="16"/>
  <c r="S44" i="17"/>
  <c r="S13" i="15"/>
  <c r="O68" i="18"/>
  <c r="S20" i="17"/>
  <c r="O12" i="15"/>
  <c r="M35" i="16" l="1"/>
  <c r="M76" i="15"/>
  <c r="M12" i="18"/>
  <c r="M61" i="16"/>
  <c r="M9" i="17"/>
  <c r="M54" i="15"/>
  <c r="M51" i="17"/>
  <c r="M64" i="16"/>
  <c r="M62" i="16"/>
  <c r="M46" i="18"/>
  <c r="M25" i="17"/>
  <c r="M66" i="16"/>
  <c r="M54" i="17"/>
  <c r="M45" i="18"/>
  <c r="M10" i="16"/>
  <c r="M33" i="17"/>
  <c r="M61" i="15"/>
  <c r="M49" i="18"/>
  <c r="M54" i="18"/>
  <c r="M60" i="16"/>
  <c r="M74" i="18"/>
  <c r="M20" i="16"/>
  <c r="M67" i="18"/>
  <c r="M81" i="15"/>
  <c r="M18" i="16"/>
  <c r="M30" i="17"/>
  <c r="M7" i="16"/>
  <c r="M37" i="16"/>
  <c r="M53" i="15"/>
  <c r="M23" i="17"/>
  <c r="M44" i="18"/>
  <c r="M21" i="18"/>
  <c r="M55" i="18"/>
  <c r="M19" i="16"/>
  <c r="M31" i="17"/>
  <c r="M20" i="18"/>
  <c r="M24" i="16"/>
  <c r="M8" i="15"/>
  <c r="M7" i="15"/>
  <c r="M50" i="16"/>
  <c r="M17" i="16"/>
  <c r="M62" i="18"/>
  <c r="M4" i="17"/>
  <c r="M25" i="16"/>
  <c r="M18" i="17"/>
  <c r="M47" i="18"/>
  <c r="M23" i="18"/>
  <c r="M8" i="18"/>
  <c r="M13" i="16"/>
  <c r="M8" i="16"/>
  <c r="M21" i="16"/>
  <c r="M11" i="18"/>
  <c r="M55" i="15"/>
  <c r="M9" i="18"/>
  <c r="M14" i="16"/>
  <c r="M41" i="17"/>
  <c r="M57" i="18"/>
  <c r="M19" i="18"/>
  <c r="M42" i="16"/>
  <c r="M18" i="18"/>
  <c r="K3" i="14"/>
  <c r="M76" i="18"/>
  <c r="M15" i="16"/>
  <c r="M36" i="16"/>
  <c r="M66" i="15"/>
  <c r="M26" i="17"/>
  <c r="M78" i="18"/>
  <c r="M34" i="16"/>
  <c r="M38" i="16"/>
  <c r="M51" i="15"/>
  <c r="M45" i="16"/>
  <c r="M78" i="15"/>
  <c r="M40" i="16"/>
  <c r="M33" i="16"/>
  <c r="M49" i="15"/>
  <c r="M55" i="16"/>
  <c r="M22" i="16"/>
  <c r="M9" i="16"/>
  <c r="M29" i="17"/>
  <c r="M12" i="17"/>
  <c r="M7" i="17"/>
  <c r="M39" i="16"/>
  <c r="M72" i="18"/>
  <c r="M27" i="18"/>
  <c r="M32" i="16"/>
  <c r="M56" i="18"/>
  <c r="M53" i="18"/>
  <c r="M27" i="17"/>
  <c r="M9" i="15"/>
  <c r="M52" i="15"/>
  <c r="M50" i="15"/>
  <c r="M46" i="17"/>
  <c r="M58" i="15"/>
  <c r="M48" i="18"/>
  <c r="M15" i="17"/>
  <c r="M71" i="15"/>
  <c r="M36" i="17"/>
  <c r="M50" i="18"/>
  <c r="M52" i="18"/>
  <c r="M28" i="17"/>
  <c r="M51" i="18"/>
  <c r="M80" i="15"/>
  <c r="M73" i="18"/>
  <c r="M56" i="15"/>
  <c r="M24" i="17"/>
  <c r="M12" i="16"/>
  <c r="M22" i="18"/>
  <c r="M24" i="18"/>
  <c r="M30" i="18"/>
  <c r="M7" i="18"/>
  <c r="M16" i="16"/>
  <c r="C29" i="14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C11" i="14" l="1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L43" i="14"/>
  <c r="S8" i="18"/>
  <c r="S30" i="17"/>
  <c r="T66" i="15"/>
  <c r="N7" i="16"/>
  <c r="O34" i="17"/>
  <c r="O51" i="17"/>
  <c r="T54" i="15"/>
  <c r="N11" i="17"/>
  <c r="N38" i="18"/>
  <c r="N54" i="15"/>
  <c r="N35" i="18"/>
  <c r="T31" i="17"/>
  <c r="N36" i="18"/>
  <c r="N62" i="16"/>
  <c r="O30" i="18"/>
  <c r="S19" i="18"/>
  <c r="T48" i="16"/>
  <c r="T30" i="18"/>
  <c r="O48" i="18"/>
  <c r="T10" i="16"/>
  <c r="N55" i="16"/>
  <c r="S12" i="18"/>
  <c r="T8" i="18"/>
  <c r="S35" i="17"/>
  <c r="N53" i="15"/>
  <c r="S55" i="15"/>
  <c r="T13" i="17"/>
  <c r="O20" i="16"/>
  <c r="S17" i="17"/>
  <c r="S32" i="16"/>
  <c r="O35" i="18"/>
  <c r="S12" i="17"/>
  <c r="S34" i="16"/>
  <c r="T42" i="18"/>
  <c r="O50" i="18"/>
  <c r="N34" i="18"/>
  <c r="N41" i="17"/>
  <c r="S55" i="17"/>
  <c r="N74" i="18"/>
  <c r="N9" i="17"/>
  <c r="N10" i="17"/>
  <c r="O4" i="17"/>
  <c r="N46" i="18"/>
  <c r="S20" i="18"/>
  <c r="O14" i="17"/>
  <c r="R37" i="14"/>
  <c r="T41" i="16"/>
  <c r="M37" i="14"/>
  <c r="L33" i="14"/>
  <c r="T39" i="16"/>
  <c r="N27" i="17"/>
  <c r="N19" i="18"/>
  <c r="T27" i="18"/>
  <c r="T39" i="17"/>
  <c r="S56" i="18"/>
  <c r="N25" i="17"/>
  <c r="N8" i="18"/>
  <c r="T51" i="17"/>
  <c r="N24" i="18"/>
  <c r="T32" i="16"/>
  <c r="S7" i="16"/>
  <c r="N28" i="17"/>
  <c r="T47" i="18"/>
  <c r="H34" i="14"/>
  <c r="O47" i="18"/>
  <c r="N54" i="17"/>
  <c r="O62" i="16"/>
  <c r="H48" i="14"/>
  <c r="S50" i="15"/>
  <c r="S64" i="16"/>
  <c r="S32" i="17"/>
  <c r="O45" i="17"/>
  <c r="T34" i="17"/>
  <c r="S67" i="18"/>
  <c r="O41" i="17"/>
  <c r="N16" i="17"/>
  <c r="L42" i="14"/>
  <c r="O54" i="17"/>
  <c r="O36" i="16"/>
  <c r="N78" i="15"/>
  <c r="S39" i="18"/>
  <c r="S49" i="18"/>
  <c r="O24" i="16"/>
  <c r="T53" i="15"/>
  <c r="O42" i="16"/>
  <c r="N14" i="17"/>
  <c r="O33" i="18"/>
  <c r="T51" i="18"/>
  <c r="O37" i="17"/>
  <c r="H38" i="14"/>
  <c r="T35" i="18"/>
  <c r="O56" i="18"/>
  <c r="O16" i="16"/>
  <c r="T55" i="17"/>
  <c r="N32" i="16"/>
  <c r="S26" i="17"/>
  <c r="S10" i="17"/>
  <c r="T41" i="17"/>
  <c r="N23" i="17"/>
  <c r="S30" i="18"/>
  <c r="N67" i="18"/>
  <c r="T33" i="18"/>
  <c r="O10" i="17"/>
  <c r="N35" i="16"/>
  <c r="N32" i="18"/>
  <c r="T55" i="16"/>
  <c r="S25" i="17"/>
  <c r="T53" i="17"/>
  <c r="O45" i="16"/>
  <c r="O50" i="15"/>
  <c r="S53" i="18"/>
  <c r="O46" i="17"/>
  <c r="S41" i="17"/>
  <c r="N40" i="16"/>
  <c r="T24" i="16"/>
  <c r="N11" i="18"/>
  <c r="T40" i="17"/>
  <c r="S54" i="17"/>
  <c r="T54" i="18"/>
  <c r="O63" i="16"/>
  <c r="T14" i="17"/>
  <c r="S53" i="17"/>
  <c r="T49" i="18"/>
  <c r="T17" i="17"/>
  <c r="O18" i="17"/>
  <c r="T26" i="17"/>
  <c r="N12" i="18"/>
  <c r="N45" i="17"/>
  <c r="O43" i="16"/>
  <c r="O28" i="17"/>
  <c r="S78" i="15"/>
  <c r="O31" i="17"/>
  <c r="O30" i="17"/>
  <c r="T7" i="18"/>
  <c r="S61" i="16"/>
  <c r="T76" i="15"/>
  <c r="S7" i="15"/>
  <c r="T35" i="16"/>
  <c r="S35" i="18"/>
  <c r="T57" i="18"/>
  <c r="N15" i="17"/>
  <c r="S19" i="16"/>
  <c r="T61" i="15"/>
  <c r="O22" i="16"/>
  <c r="O19" i="16"/>
  <c r="R41" i="14"/>
  <c r="S27" i="18"/>
  <c r="O16" i="17"/>
  <c r="O66" i="16"/>
  <c r="T45" i="17"/>
  <c r="N43" i="17"/>
  <c r="S34" i="18"/>
  <c r="O39" i="18"/>
  <c r="T34" i="16"/>
  <c r="N49" i="18"/>
  <c r="N52" i="15"/>
  <c r="N25" i="16"/>
  <c r="S38" i="16"/>
  <c r="O74" i="18"/>
  <c r="T17" i="16"/>
  <c r="S9" i="17"/>
  <c r="N65" i="16"/>
  <c r="S38" i="17"/>
  <c r="S33" i="16"/>
  <c r="O55" i="16"/>
  <c r="O19" i="17"/>
  <c r="O38" i="16"/>
  <c r="N19" i="17"/>
  <c r="N50" i="17"/>
  <c r="S62" i="16"/>
  <c r="S37" i="17"/>
  <c r="S42" i="18"/>
  <c r="N40" i="18"/>
  <c r="S45" i="17"/>
  <c r="O17" i="16"/>
  <c r="S15" i="17"/>
  <c r="N58" i="15"/>
  <c r="N81" i="15"/>
  <c r="S50" i="18"/>
  <c r="S47" i="18"/>
  <c r="T13" i="16"/>
  <c r="T44" i="18"/>
  <c r="S42" i="16"/>
  <c r="H46" i="14"/>
  <c r="T43" i="17"/>
  <c r="T51" i="15"/>
  <c r="H47" i="14"/>
  <c r="L41" i="14"/>
  <c r="J10" i="18"/>
  <c r="N20" i="16"/>
  <c r="S78" i="18"/>
  <c r="T15" i="17"/>
  <c r="S51" i="15"/>
  <c r="O55" i="18"/>
  <c r="Q33" i="14"/>
  <c r="S23" i="17"/>
  <c r="T36" i="16"/>
  <c r="N50" i="18"/>
  <c r="Q37" i="14"/>
  <c r="S52" i="15"/>
  <c r="S60" i="16"/>
  <c r="T25" i="16"/>
  <c r="N7" i="17"/>
  <c r="T38" i="18"/>
  <c r="O52" i="18"/>
  <c r="S74" i="18"/>
  <c r="H61" i="14"/>
  <c r="T48" i="18"/>
  <c r="O80" i="15"/>
  <c r="N44" i="18"/>
  <c r="T49" i="15"/>
  <c r="N60" i="16"/>
  <c r="S37" i="16"/>
  <c r="N16" i="16"/>
  <c r="S36" i="16"/>
  <c r="T18" i="17"/>
  <c r="O55" i="15"/>
  <c r="T25" i="17"/>
  <c r="O25" i="16"/>
  <c r="Q54" i="14"/>
  <c r="R43" i="14"/>
  <c r="O22" i="18"/>
  <c r="N50" i="16"/>
  <c r="S48" i="18"/>
  <c r="N37" i="17"/>
  <c r="T22" i="17"/>
  <c r="O14" i="16"/>
  <c r="S8" i="16"/>
  <c r="S36" i="17"/>
  <c r="N53" i="17"/>
  <c r="O7" i="15"/>
  <c r="T18" i="16"/>
  <c r="O24" i="17"/>
  <c r="T66" i="16"/>
  <c r="T45" i="18"/>
  <c r="N61" i="15"/>
  <c r="N12" i="17"/>
  <c r="S22" i="18"/>
  <c r="S38" i="18"/>
  <c r="O45" i="18"/>
  <c r="O33" i="16"/>
  <c r="O53" i="16"/>
  <c r="S58" i="16"/>
  <c r="T50" i="17"/>
  <c r="T61" i="16"/>
  <c r="S55" i="18"/>
  <c r="O50" i="16"/>
  <c r="O7" i="18"/>
  <c r="O11" i="18"/>
  <c r="S71" i="15"/>
  <c r="O42" i="18"/>
  <c r="N22" i="17"/>
  <c r="O18" i="16"/>
  <c r="S22" i="17"/>
  <c r="N4" i="17"/>
  <c r="T58" i="16"/>
  <c r="O39" i="17"/>
  <c r="N72" i="18"/>
  <c r="S10" i="16"/>
  <c r="H57" i="14"/>
  <c r="O49" i="15"/>
  <c r="O65" i="16"/>
  <c r="N34" i="17"/>
  <c r="N21" i="16"/>
  <c r="O55" i="17"/>
  <c r="N53" i="18"/>
  <c r="T33" i="16"/>
  <c r="O53" i="15"/>
  <c r="T12" i="17"/>
  <c r="N9" i="16"/>
  <c r="N7" i="15"/>
  <c r="O37" i="18"/>
  <c r="O61" i="16"/>
  <c r="O32" i="17"/>
  <c r="N18" i="17"/>
  <c r="O9" i="15"/>
  <c r="L37" i="14"/>
  <c r="S54" i="15"/>
  <c r="L54" i="14"/>
  <c r="T46" i="18"/>
  <c r="N8" i="16"/>
  <c r="N15" i="16"/>
  <c r="T7" i="15"/>
  <c r="N39" i="18"/>
  <c r="N20" i="18"/>
  <c r="O19" i="18"/>
  <c r="S76" i="18"/>
  <c r="N39" i="17"/>
  <c r="S43" i="17"/>
  <c r="O73" i="18"/>
  <c r="O12" i="16"/>
  <c r="H51" i="14"/>
  <c r="T55" i="18"/>
  <c r="T28" i="17"/>
  <c r="N42" i="18"/>
  <c r="N19" i="16"/>
  <c r="T76" i="18"/>
  <c r="S14" i="17"/>
  <c r="T40" i="18"/>
  <c r="O64" i="16"/>
  <c r="S57" i="18"/>
  <c r="H28" i="14"/>
  <c r="N36" i="16"/>
  <c r="O49" i="18"/>
  <c r="H54" i="14"/>
  <c r="O17" i="17"/>
  <c r="S21" i="16"/>
  <c r="N80" i="15"/>
  <c r="T19" i="16"/>
  <c r="S24" i="16"/>
  <c r="T63" i="16"/>
  <c r="O7" i="17"/>
  <c r="T14" i="16"/>
  <c r="T64" i="16"/>
  <c r="T53" i="18"/>
  <c r="O56" i="15"/>
  <c r="S16" i="16"/>
  <c r="S42" i="17"/>
  <c r="T20" i="16"/>
  <c r="T60" i="16"/>
  <c r="T45" i="16"/>
  <c r="O54" i="18"/>
  <c r="N45" i="16"/>
  <c r="N42" i="16"/>
  <c r="O43" i="17"/>
  <c r="T56" i="15"/>
  <c r="O57" i="18"/>
  <c r="R33" i="14"/>
  <c r="S11" i="18"/>
  <c r="O76" i="15"/>
  <c r="N17" i="17"/>
  <c r="N24" i="16"/>
  <c r="N24" i="17"/>
  <c r="N9" i="15"/>
  <c r="O78" i="18"/>
  <c r="T4" i="17"/>
  <c r="N76" i="15"/>
  <c r="S53" i="15"/>
  <c r="N35" i="17"/>
  <c r="T81" i="15"/>
  <c r="S8" i="15"/>
  <c r="O58" i="16"/>
  <c r="S72" i="18"/>
  <c r="O53" i="17"/>
  <c r="N26" i="17"/>
  <c r="N63" i="16"/>
  <c r="H59" i="14"/>
  <c r="T19" i="18"/>
  <c r="S35" i="16"/>
  <c r="O9" i="18"/>
  <c r="O32" i="16"/>
  <c r="T74" i="18"/>
  <c r="O27" i="17"/>
  <c r="S4" i="17"/>
  <c r="T11" i="17"/>
  <c r="O8" i="15"/>
  <c r="N49" i="15"/>
  <c r="T7" i="16"/>
  <c r="O39" i="16"/>
  <c r="T16" i="16"/>
  <c r="N43" i="16"/>
  <c r="T12" i="16"/>
  <c r="T53" i="16"/>
  <c r="S56" i="15"/>
  <c r="O35" i="16"/>
  <c r="N42" i="17"/>
  <c r="H31" i="14"/>
  <c r="S51" i="18"/>
  <c r="N57" i="18"/>
  <c r="O38" i="18"/>
  <c r="M54" i="14"/>
  <c r="O40" i="18"/>
  <c r="T78" i="15"/>
  <c r="J15" i="18"/>
  <c r="N37" i="16"/>
  <c r="O54" i="15"/>
  <c r="N56" i="18"/>
  <c r="T36" i="18"/>
  <c r="O76" i="18"/>
  <c r="S65" i="16"/>
  <c r="O13" i="17"/>
  <c r="S39" i="16"/>
  <c r="O12" i="18"/>
  <c r="O51" i="18"/>
  <c r="N36" i="17"/>
  <c r="N13" i="17"/>
  <c r="S33" i="18"/>
  <c r="S9" i="15"/>
  <c r="N45" i="18"/>
  <c r="O38" i="17"/>
  <c r="H42" i="14"/>
  <c r="O9" i="16"/>
  <c r="S66" i="15"/>
  <c r="S50" i="17"/>
  <c r="N39" i="16"/>
  <c r="T52" i="18"/>
  <c r="S80" i="15"/>
  <c r="T43" i="16"/>
  <c r="R54" i="14"/>
  <c r="H49" i="14"/>
  <c r="O21" i="16"/>
  <c r="N23" i="18"/>
  <c r="T42" i="17"/>
  <c r="S27" i="17"/>
  <c r="N56" i="15"/>
  <c r="T67" i="18"/>
  <c r="S45" i="18"/>
  <c r="T34" i="18"/>
  <c r="S54" i="18"/>
  <c r="S36" i="18"/>
  <c r="N32" i="17"/>
  <c r="I3" i="1"/>
  <c r="S41" i="16"/>
  <c r="O46" i="18"/>
  <c r="S9" i="16"/>
  <c r="T50" i="15"/>
  <c r="M33" i="14"/>
  <c r="N66" i="16"/>
  <c r="S61" i="15"/>
  <c r="T78" i="18"/>
  <c r="O23" i="18"/>
  <c r="O58" i="15"/>
  <c r="S14" i="16"/>
  <c r="O25" i="17"/>
  <c r="N12" i="16"/>
  <c r="N46" i="17"/>
  <c r="S62" i="18"/>
  <c r="T32" i="18"/>
  <c r="T20" i="18"/>
  <c r="T38" i="16"/>
  <c r="T30" i="17"/>
  <c r="N55" i="18"/>
  <c r="O81" i="15"/>
  <c r="T22" i="18"/>
  <c r="T29" i="17"/>
  <c r="S40" i="16"/>
  <c r="O15" i="16"/>
  <c r="O36" i="17"/>
  <c r="O44" i="18"/>
  <c r="O33" i="17"/>
  <c r="S52" i="18"/>
  <c r="O22" i="17"/>
  <c r="S16" i="17"/>
  <c r="T62" i="16"/>
  <c r="O7" i="16"/>
  <c r="N38" i="17"/>
  <c r="Q42" i="14"/>
  <c r="T80" i="15"/>
  <c r="O78" i="15"/>
  <c r="N40" i="17"/>
  <c r="S22" i="16"/>
  <c r="T65" i="16"/>
  <c r="N76" i="18"/>
  <c r="S39" i="17"/>
  <c r="T15" i="16"/>
  <c r="S73" i="18"/>
  <c r="T27" i="17"/>
  <c r="S66" i="16"/>
  <c r="S13" i="17"/>
  <c r="O62" i="18"/>
  <c r="N51" i="17"/>
  <c r="S46" i="17"/>
  <c r="O34" i="16"/>
  <c r="T50" i="18"/>
  <c r="S49" i="15"/>
  <c r="T46" i="17"/>
  <c r="H50" i="14"/>
  <c r="S21" i="18"/>
  <c r="S40" i="18"/>
  <c r="T12" i="18"/>
  <c r="T56" i="18"/>
  <c r="O40" i="17"/>
  <c r="N37" i="18"/>
  <c r="T33" i="17"/>
  <c r="N14" i="16"/>
  <c r="S81" i="15"/>
  <c r="O61" i="15"/>
  <c r="N30" i="18"/>
  <c r="O72" i="18"/>
  <c r="N34" i="16"/>
  <c r="N27" i="18"/>
  <c r="N71" i="15"/>
  <c r="S18" i="18"/>
  <c r="N78" i="18"/>
  <c r="S17" i="16"/>
  <c r="O9" i="17"/>
  <c r="O20" i="18"/>
  <c r="S19" i="17"/>
  <c r="T62" i="18"/>
  <c r="S9" i="18"/>
  <c r="S33" i="17"/>
  <c r="N18" i="18"/>
  <c r="N21" i="18"/>
  <c r="S58" i="15"/>
  <c r="S18" i="16"/>
  <c r="T22" i="16"/>
  <c r="T37" i="18"/>
  <c r="O23" i="17"/>
  <c r="S51" i="17"/>
  <c r="Q43" i="14"/>
  <c r="O53" i="18"/>
  <c r="S63" i="16"/>
  <c r="R42" i="14"/>
  <c r="O12" i="17"/>
  <c r="O13" i="16"/>
  <c r="N64" i="16"/>
  <c r="T18" i="18"/>
  <c r="O50" i="17"/>
  <c r="N51" i="18"/>
  <c r="N61" i="16"/>
  <c r="O48" i="16"/>
  <c r="T9" i="17"/>
  <c r="O67" i="18"/>
  <c r="T21" i="18"/>
  <c r="O10" i="16"/>
  <c r="T21" i="16"/>
  <c r="S45" i="16"/>
  <c r="S15" i="16"/>
  <c r="S24" i="18"/>
  <c r="T71" i="15"/>
  <c r="T42" i="16"/>
  <c r="T23" i="17"/>
  <c r="S11" i="17"/>
  <c r="T35" i="17"/>
  <c r="N73" i="18"/>
  <c r="H52" i="14"/>
  <c r="N55" i="17"/>
  <c r="O51" i="15"/>
  <c r="O60" i="16"/>
  <c r="N66" i="15"/>
  <c r="O32" i="18"/>
  <c r="O26" i="17"/>
  <c r="O71" i="15"/>
  <c r="S50" i="16"/>
  <c r="S24" i="17"/>
  <c r="H55" i="14"/>
  <c r="O27" i="18"/>
  <c r="T19" i="17"/>
  <c r="T8" i="16"/>
  <c r="O66" i="15"/>
  <c r="S48" i="16"/>
  <c r="N38" i="16"/>
  <c r="T73" i="18"/>
  <c r="N58" i="16"/>
  <c r="T37" i="17"/>
  <c r="O18" i="18"/>
  <c r="S37" i="18"/>
  <c r="N22" i="16"/>
  <c r="N10" i="16"/>
  <c r="N48" i="18"/>
  <c r="O8" i="16"/>
  <c r="H25" i="14"/>
  <c r="H53" i="14"/>
  <c r="O42" i="17"/>
  <c r="T16" i="17"/>
  <c r="N47" i="18"/>
  <c r="T36" i="17"/>
  <c r="N9" i="18"/>
  <c r="O35" i="17"/>
  <c r="S12" i="16"/>
  <c r="T23" i="18"/>
  <c r="T9" i="18"/>
  <c r="N31" i="17"/>
  <c r="S18" i="17"/>
  <c r="O37" i="16"/>
  <c r="N13" i="16"/>
  <c r="S34" i="17"/>
  <c r="S43" i="16"/>
  <c r="S44" i="18"/>
  <c r="T54" i="17"/>
  <c r="N30" i="17"/>
  <c r="J11" i="16"/>
  <c r="S76" i="15"/>
  <c r="S55" i="16"/>
  <c r="O24" i="18"/>
  <c r="S20" i="16"/>
  <c r="N18" i="16"/>
  <c r="T10" i="17"/>
  <c r="N51" i="15"/>
  <c r="S23" i="18"/>
  <c r="S25" i="16"/>
  <c r="T32" i="17"/>
  <c r="T24" i="18"/>
  <c r="O41" i="16"/>
  <c r="T55" i="15"/>
  <c r="O52" i="15"/>
  <c r="T7" i="17"/>
  <c r="S46" i="18"/>
  <c r="T9" i="15"/>
  <c r="T40" i="16"/>
  <c r="T37" i="16"/>
  <c r="O36" i="18"/>
  <c r="T24" i="17"/>
  <c r="M43" i="14"/>
  <c r="N62" i="18"/>
  <c r="O40" i="16"/>
  <c r="O8" i="18"/>
  <c r="N33" i="18"/>
  <c r="O34" i="18"/>
  <c r="T11" i="18"/>
  <c r="N33" i="17"/>
  <c r="N55" i="15"/>
  <c r="N7" i="18"/>
  <c r="S53" i="16"/>
  <c r="N8" i="15"/>
  <c r="T39" i="18"/>
  <c r="Q41" i="14"/>
  <c r="N53" i="16"/>
  <c r="T58" i="15"/>
  <c r="N29" i="17"/>
  <c r="N17" i="16"/>
  <c r="N54" i="18"/>
  <c r="N50" i="15"/>
  <c r="S31" i="17"/>
  <c r="S32" i="18"/>
  <c r="M42" i="14"/>
  <c r="T50" i="16"/>
  <c r="T72" i="18"/>
  <c r="O29" i="17"/>
  <c r="O21" i="18"/>
  <c r="N22" i="18"/>
  <c r="S7" i="18"/>
  <c r="T9" i="16"/>
  <c r="N41" i="16"/>
  <c r="S7" i="17"/>
  <c r="M41" i="14"/>
  <c r="O15" i="17"/>
  <c r="S40" i="17"/>
  <c r="N33" i="16"/>
  <c r="S13" i="16"/>
  <c r="S28" i="17"/>
  <c r="T52" i="15"/>
  <c r="N48" i="16"/>
  <c r="T8" i="15"/>
  <c r="O11" i="17"/>
  <c r="S29" i="17"/>
  <c r="N52" i="18"/>
  <c r="T38" i="17"/>
  <c r="P80" i="15"/>
  <c r="P19" i="16"/>
  <c r="P54" i="17"/>
  <c r="P22" i="16"/>
  <c r="P25" i="16"/>
  <c r="P53" i="17"/>
  <c r="I9" i="1"/>
  <c r="P18" i="17"/>
  <c r="P78" i="15"/>
  <c r="P20" i="16"/>
  <c r="AE26" i="14"/>
  <c r="AE27" i="14"/>
  <c r="AD34" i="14" l="1"/>
  <c r="AE34" i="14" s="1"/>
  <c r="AD33" i="14"/>
  <c r="M11" i="16"/>
  <c r="K51" i="14"/>
  <c r="K23" i="14"/>
  <c r="K53" i="14"/>
  <c r="K50" i="14"/>
  <c r="K48" i="14"/>
  <c r="AD6" i="14"/>
  <c r="K47" i="14"/>
  <c r="K40" i="14"/>
  <c r="M15" i="18"/>
  <c r="K29" i="14"/>
  <c r="K57" i="14"/>
  <c r="K52" i="14"/>
  <c r="K26" i="14"/>
  <c r="K49" i="14"/>
  <c r="K55" i="14"/>
  <c r="K59" i="14"/>
  <c r="M10" i="18"/>
  <c r="K45" i="14"/>
  <c r="K44" i="14"/>
  <c r="K36" i="14"/>
  <c r="K46" i="14"/>
  <c r="K32" i="14"/>
  <c r="I10" i="1"/>
  <c r="M82" i="15"/>
  <c r="S11" i="16"/>
  <c r="T11" i="16"/>
  <c r="N11" i="16"/>
  <c r="O11" i="16"/>
  <c r="W3" i="16" a="1"/>
  <c r="Q59" i="14"/>
  <c r="M59" i="14"/>
  <c r="L59" i="14"/>
  <c r="R59" i="14"/>
  <c r="O15" i="18"/>
  <c r="N15" i="18"/>
  <c r="S15" i="18"/>
  <c r="T15" i="18"/>
  <c r="W3" i="18" a="1"/>
  <c r="N10" i="18"/>
  <c r="S10" i="18"/>
  <c r="T10" i="18"/>
  <c r="O10" i="18"/>
  <c r="AD7" i="14"/>
  <c r="AE33" i="14" l="1"/>
  <c r="AE35" i="14" s="1"/>
  <c r="AD35" i="14"/>
  <c r="AD41" i="14"/>
  <c r="AE41" i="14" s="1"/>
  <c r="AD42" i="14"/>
  <c r="AE42" i="14" s="1"/>
  <c r="W40" i="18"/>
  <c r="W3" i="18"/>
  <c r="W16" i="18"/>
  <c r="W39" i="18"/>
  <c r="W9" i="18"/>
  <c r="W71" i="18"/>
  <c r="W6" i="18"/>
  <c r="W13" i="18"/>
  <c r="W67" i="18"/>
  <c r="W59" i="18"/>
  <c r="W12" i="18"/>
  <c r="W50" i="18"/>
  <c r="W49" i="18"/>
  <c r="W60" i="18"/>
  <c r="W5" i="18"/>
  <c r="W15" i="18"/>
  <c r="W30" i="18"/>
  <c r="W7" i="18"/>
  <c r="W78" i="18"/>
  <c r="W66" i="18"/>
  <c r="W11" i="18"/>
  <c r="W10" i="18"/>
  <c r="W75" i="18"/>
  <c r="W69" i="18"/>
  <c r="W43" i="18"/>
  <c r="W19" i="18"/>
  <c r="W63" i="18"/>
  <c r="W77" i="18"/>
  <c r="W46" i="18"/>
  <c r="W42" i="18"/>
  <c r="W70" i="18"/>
  <c r="W62" i="18"/>
  <c r="W48" i="18"/>
  <c r="W21" i="18"/>
  <c r="W51" i="18"/>
  <c r="W22" i="18"/>
  <c r="W73" i="18"/>
  <c r="W36" i="18"/>
  <c r="W28" i="18"/>
  <c r="W65" i="18"/>
  <c r="W72" i="18"/>
  <c r="W8" i="18"/>
  <c r="W58" i="18"/>
  <c r="W24" i="18"/>
  <c r="W56" i="18"/>
  <c r="W45" i="18"/>
  <c r="W14" i="18"/>
  <c r="W17" i="18"/>
  <c r="W47" i="18"/>
  <c r="W44" i="18"/>
  <c r="W34" i="18"/>
  <c r="W29" i="18"/>
  <c r="W18" i="18"/>
  <c r="W76" i="18"/>
  <c r="W33" i="18"/>
  <c r="W37" i="18"/>
  <c r="W27" i="18"/>
  <c r="W23" i="18"/>
  <c r="W26" i="18"/>
  <c r="W31" i="18"/>
  <c r="W74" i="18"/>
  <c r="W61" i="18"/>
  <c r="W35" i="18"/>
  <c r="W52" i="18"/>
  <c r="W4" i="18"/>
  <c r="W38" i="18"/>
  <c r="W57" i="18"/>
  <c r="W25" i="18"/>
  <c r="W68" i="18"/>
  <c r="W53" i="18"/>
  <c r="W32" i="18"/>
  <c r="W41" i="18"/>
  <c r="W54" i="18"/>
  <c r="W20" i="18"/>
  <c r="W55" i="18"/>
  <c r="W64" i="18"/>
  <c r="W56" i="16"/>
  <c r="W65" i="16"/>
  <c r="W9" i="16"/>
  <c r="W17" i="16"/>
  <c r="W25" i="16"/>
  <c r="W33" i="16"/>
  <c r="W39" i="16"/>
  <c r="W58" i="16"/>
  <c r="W12" i="16"/>
  <c r="W53" i="16"/>
  <c r="W3" i="16"/>
  <c r="W47" i="16"/>
  <c r="W4" i="16"/>
  <c r="W48" i="16"/>
  <c r="W62" i="16"/>
  <c r="W6" i="16"/>
  <c r="W14" i="16"/>
  <c r="W30" i="16"/>
  <c r="W54" i="16"/>
  <c r="W50" i="16"/>
  <c r="W16" i="16"/>
  <c r="W32" i="16"/>
  <c r="W55" i="16"/>
  <c r="W45" i="16"/>
  <c r="W66" i="16"/>
  <c r="W10" i="16"/>
  <c r="W18" i="16"/>
  <c r="W26" i="16"/>
  <c r="W34" i="16"/>
  <c r="W51" i="16"/>
  <c r="W57" i="16"/>
  <c r="W46" i="16"/>
  <c r="W15" i="16"/>
  <c r="W43" i="16"/>
  <c r="W24" i="16"/>
  <c r="W44" i="16"/>
  <c r="W21" i="16"/>
  <c r="W5" i="16"/>
  <c r="W28" i="16"/>
  <c r="W40" i="16"/>
  <c r="W11" i="16"/>
  <c r="W29" i="16"/>
  <c r="W35" i="16"/>
  <c r="W60" i="16"/>
  <c r="W52" i="16"/>
  <c r="W19" i="16"/>
  <c r="W59" i="16"/>
  <c r="W61" i="16"/>
  <c r="W36" i="16"/>
  <c r="W22" i="16"/>
  <c r="W7" i="16"/>
  <c r="W31" i="16"/>
  <c r="W13" i="16"/>
  <c r="W20" i="16"/>
  <c r="W42" i="16"/>
  <c r="W27" i="16"/>
  <c r="W63" i="16"/>
  <c r="W23" i="16"/>
  <c r="W49" i="16"/>
  <c r="W8" i="16"/>
  <c r="W41" i="16"/>
  <c r="W38" i="16"/>
  <c r="W37" i="16"/>
  <c r="W64" i="16"/>
  <c r="X12" i="16"/>
  <c r="X7" i="18"/>
  <c r="H12" i="14"/>
  <c r="M4" i="14"/>
  <c r="Y65" i="16"/>
  <c r="Z55" i="16"/>
  <c r="AA71" i="18"/>
  <c r="Q50" i="14"/>
  <c r="AB10" i="18"/>
  <c r="AB39" i="16"/>
  <c r="Z27" i="18"/>
  <c r="Z48" i="18"/>
  <c r="AA18" i="18"/>
  <c r="Y25" i="16"/>
  <c r="AA51" i="18"/>
  <c r="Y42" i="18"/>
  <c r="X10" i="18"/>
  <c r="X10" i="16"/>
  <c r="Z11" i="18"/>
  <c r="AA33" i="18"/>
  <c r="AA38" i="16"/>
  <c r="X3" i="16"/>
  <c r="M46" i="14"/>
  <c r="Z51" i="18"/>
  <c r="X65" i="16"/>
  <c r="Y51" i="18"/>
  <c r="Y14" i="16"/>
  <c r="AB77" i="18"/>
  <c r="Z36" i="16"/>
  <c r="X64" i="16"/>
  <c r="X64" i="18"/>
  <c r="AB55" i="16"/>
  <c r="AA49" i="16"/>
  <c r="Y61" i="16"/>
  <c r="AB46" i="18"/>
  <c r="Y18" i="18"/>
  <c r="Z3" i="18"/>
  <c r="AB15" i="16"/>
  <c r="M36" i="14"/>
  <c r="X42" i="16"/>
  <c r="Z32" i="18"/>
  <c r="X14" i="16"/>
  <c r="Y62" i="16"/>
  <c r="X51" i="16"/>
  <c r="Z8" i="16"/>
  <c r="R46" i="14"/>
  <c r="X59" i="18"/>
  <c r="Y24" i="18"/>
  <c r="AB76" i="18"/>
  <c r="X26" i="16"/>
  <c r="Z14" i="16"/>
  <c r="Y41" i="16"/>
  <c r="Z44" i="18"/>
  <c r="Y31" i="18"/>
  <c r="X58" i="18"/>
  <c r="Z68" i="18"/>
  <c r="AA62" i="16"/>
  <c r="AB56" i="18"/>
  <c r="Y50" i="18"/>
  <c r="AA36" i="18"/>
  <c r="AB9" i="18"/>
  <c r="AA50" i="18"/>
  <c r="AA59" i="16"/>
  <c r="Q45" i="14"/>
  <c r="AB12" i="18"/>
  <c r="M44" i="14"/>
  <c r="AB5" i="16"/>
  <c r="AA7" i="18"/>
  <c r="AB32" i="16"/>
  <c r="Z42" i="18"/>
  <c r="AA28" i="16"/>
  <c r="Y63" i="16"/>
  <c r="X6" i="18"/>
  <c r="Y54" i="16"/>
  <c r="Z53" i="16"/>
  <c r="AB22" i="18"/>
  <c r="X66" i="16"/>
  <c r="AA60" i="18"/>
  <c r="AA24" i="16"/>
  <c r="Y26" i="16"/>
  <c r="Z16" i="18"/>
  <c r="AB62" i="16"/>
  <c r="AA65" i="18"/>
  <c r="AB65" i="18"/>
  <c r="Y72" i="18"/>
  <c r="AB21" i="16"/>
  <c r="Y52" i="18"/>
  <c r="Z9" i="18"/>
  <c r="X78" i="18"/>
  <c r="AB69" i="18"/>
  <c r="Z34" i="18"/>
  <c r="Y10" i="18"/>
  <c r="AA30" i="16"/>
  <c r="AB66" i="18"/>
  <c r="L4" i="14"/>
  <c r="Z39" i="18"/>
  <c r="Y17" i="18"/>
  <c r="R48" i="14"/>
  <c r="Y22" i="16"/>
  <c r="Q32" i="14"/>
  <c r="Y66" i="18"/>
  <c r="Z12" i="16"/>
  <c r="Y26" i="18"/>
  <c r="L32" i="14"/>
  <c r="AB8" i="16"/>
  <c r="AA63" i="18"/>
  <c r="X52" i="16"/>
  <c r="AB33" i="16"/>
  <c r="H10" i="14"/>
  <c r="AA6" i="18"/>
  <c r="Y49" i="16"/>
  <c r="Z69" i="18"/>
  <c r="AA14" i="16"/>
  <c r="Y35" i="16"/>
  <c r="AA57" i="18"/>
  <c r="Y29" i="18"/>
  <c r="Y77" i="18"/>
  <c r="Y32" i="16"/>
  <c r="Z40" i="16"/>
  <c r="L40" i="14"/>
  <c r="Y24" i="16"/>
  <c r="X7" i="16"/>
  <c r="AA47" i="16"/>
  <c r="Y7" i="16"/>
  <c r="AB15" i="18"/>
  <c r="X67" i="18"/>
  <c r="AA32" i="18"/>
  <c r="AA55" i="18"/>
  <c r="AA31" i="16"/>
  <c r="Y37" i="18"/>
  <c r="X74" i="18"/>
  <c r="M55" i="14"/>
  <c r="AA46" i="18"/>
  <c r="X48" i="16"/>
  <c r="Y40" i="18"/>
  <c r="AA5" i="16"/>
  <c r="X45" i="18"/>
  <c r="Z6" i="16"/>
  <c r="AA11" i="16"/>
  <c r="AB57" i="18"/>
  <c r="Y12" i="16"/>
  <c r="Y19" i="16"/>
  <c r="L26" i="14"/>
  <c r="AB11" i="16"/>
  <c r="Z76" i="18"/>
  <c r="AB24" i="18"/>
  <c r="AB61" i="18"/>
  <c r="AB75" i="18"/>
  <c r="Z44" i="16"/>
  <c r="Y33" i="16"/>
  <c r="AA22" i="18"/>
  <c r="X36" i="18"/>
  <c r="Z39" i="16"/>
  <c r="Y67" i="18"/>
  <c r="AA78" i="18"/>
  <c r="Y58" i="18"/>
  <c r="Z13" i="16"/>
  <c r="M48" i="14"/>
  <c r="Q51" i="14"/>
  <c r="AA21" i="16"/>
  <c r="Y3" i="16"/>
  <c r="X41" i="16"/>
  <c r="AB59" i="18"/>
  <c r="Y63" i="18"/>
  <c r="AA66" i="18"/>
  <c r="Q52" i="14"/>
  <c r="AA68" i="18"/>
  <c r="H13" i="14"/>
  <c r="Y8" i="18"/>
  <c r="X6" i="16"/>
  <c r="AA77" i="18"/>
  <c r="X54" i="16"/>
  <c r="M40" i="14"/>
  <c r="AB64" i="16"/>
  <c r="X60" i="18"/>
  <c r="Y47" i="16"/>
  <c r="Z3" i="16"/>
  <c r="X47" i="16"/>
  <c r="Z5" i="18"/>
  <c r="Z37" i="16"/>
  <c r="AB13" i="18"/>
  <c r="Y13" i="16"/>
  <c r="AB37" i="18"/>
  <c r="AB33" i="18"/>
  <c r="Y17" i="16"/>
  <c r="Y23" i="18"/>
  <c r="AB19" i="18"/>
  <c r="Y22" i="18"/>
  <c r="Y27" i="16"/>
  <c r="M49" i="14"/>
  <c r="M3" i="14"/>
  <c r="Y51" i="16"/>
  <c r="Z10" i="16"/>
  <c r="Y20" i="18"/>
  <c r="Z54" i="18"/>
  <c r="AA37" i="16"/>
  <c r="Y56" i="18"/>
  <c r="X4" i="18"/>
  <c r="Z24" i="18"/>
  <c r="Y47" i="18"/>
  <c r="Z7" i="16"/>
  <c r="Z72" i="18"/>
  <c r="R26" i="14"/>
  <c r="X29" i="18"/>
  <c r="Q3" i="14"/>
  <c r="AA43" i="16"/>
  <c r="AB18" i="16"/>
  <c r="Y45" i="16"/>
  <c r="S82" i="15"/>
  <c r="X43" i="16"/>
  <c r="Z11" i="16"/>
  <c r="Q55" i="14"/>
  <c r="X50" i="18"/>
  <c r="AB30" i="18"/>
  <c r="AA16" i="16"/>
  <c r="Y8" i="16"/>
  <c r="X14" i="18"/>
  <c r="T82" i="15"/>
  <c r="AA4" i="18"/>
  <c r="X61" i="16"/>
  <c r="AB44" i="18"/>
  <c r="X23" i="16"/>
  <c r="AB41" i="18"/>
  <c r="Z63" i="18"/>
  <c r="Y9" i="18"/>
  <c r="AB25" i="18"/>
  <c r="Z14" i="18"/>
  <c r="X38" i="18"/>
  <c r="X36" i="16"/>
  <c r="AB42" i="16"/>
  <c r="AA23" i="18"/>
  <c r="Z61" i="18"/>
  <c r="AB6" i="18"/>
  <c r="AA75" i="18"/>
  <c r="AA27" i="18"/>
  <c r="AB47" i="16"/>
  <c r="Y48" i="18"/>
  <c r="Y5" i="16"/>
  <c r="AB31" i="18"/>
  <c r="X47" i="18"/>
  <c r="Z20" i="16"/>
  <c r="X50" i="16"/>
  <c r="R4" i="14"/>
  <c r="X4" i="16"/>
  <c r="M26" i="14"/>
  <c r="X27" i="16"/>
  <c r="Z74" i="18"/>
  <c r="X20" i="18"/>
  <c r="X19" i="16"/>
  <c r="AB50" i="16"/>
  <c r="Z36" i="18"/>
  <c r="AB60" i="18"/>
  <c r="AA11" i="18"/>
  <c r="AA69" i="18"/>
  <c r="X62" i="18"/>
  <c r="X59" i="16"/>
  <c r="AA65" i="16"/>
  <c r="AB55" i="18"/>
  <c r="Z31" i="16"/>
  <c r="X65" i="18"/>
  <c r="AA64" i="16"/>
  <c r="X56" i="16"/>
  <c r="R3" i="14"/>
  <c r="Q48" i="14"/>
  <c r="Y43" i="18"/>
  <c r="X62" i="16"/>
  <c r="Z32" i="16"/>
  <c r="Y7" i="18"/>
  <c r="AA17" i="18"/>
  <c r="AB35" i="16"/>
  <c r="AB49" i="18"/>
  <c r="Q36" i="14"/>
  <c r="AB52" i="16"/>
  <c r="Q49" i="14"/>
  <c r="Y9" i="16"/>
  <c r="AB52" i="18"/>
  <c r="AA21" i="18"/>
  <c r="Y73" i="18"/>
  <c r="Y76" i="18"/>
  <c r="Y4" i="18"/>
  <c r="Y42" i="16"/>
  <c r="Z37" i="18"/>
  <c r="Z24" i="16"/>
  <c r="X48" i="18"/>
  <c r="AB72" i="18"/>
  <c r="AA52" i="18"/>
  <c r="X30" i="16"/>
  <c r="X58" i="16"/>
  <c r="AB14" i="18"/>
  <c r="Z41" i="18"/>
  <c r="X57" i="18"/>
  <c r="AA10" i="16"/>
  <c r="Z53" i="18"/>
  <c r="Y38" i="16"/>
  <c r="Y15" i="18"/>
  <c r="AA54" i="18"/>
  <c r="AA66" i="16"/>
  <c r="AB27" i="18"/>
  <c r="Y27" i="18"/>
  <c r="AB56" i="16"/>
  <c r="D46" i="1"/>
  <c r="AA12" i="16"/>
  <c r="AA29" i="16"/>
  <c r="Y31" i="16"/>
  <c r="Z73" i="18"/>
  <c r="Q44" i="14"/>
  <c r="Y36" i="18"/>
  <c r="Y18" i="16"/>
  <c r="AA54" i="16"/>
  <c r="AB46" i="16"/>
  <c r="AB68" i="18"/>
  <c r="AA39" i="18"/>
  <c r="AA44" i="16"/>
  <c r="Y6" i="16"/>
  <c r="Z67" i="18"/>
  <c r="Z52" i="18"/>
  <c r="AB24" i="16"/>
  <c r="Z38" i="16"/>
  <c r="AA42" i="18"/>
  <c r="AA18" i="16"/>
  <c r="X29" i="16"/>
  <c r="Z56" i="16"/>
  <c r="Z64" i="16"/>
  <c r="AB14" i="16"/>
  <c r="AB40" i="18"/>
  <c r="AB60" i="16"/>
  <c r="Y21" i="18"/>
  <c r="Z22" i="16"/>
  <c r="L29" i="14"/>
  <c r="AB7" i="18"/>
  <c r="X42" i="18"/>
  <c r="AB16" i="18"/>
  <c r="L53" i="14"/>
  <c r="X56" i="18"/>
  <c r="Y60" i="18"/>
  <c r="X25" i="18"/>
  <c r="AB27" i="16"/>
  <c r="AB48" i="16"/>
  <c r="X18" i="16"/>
  <c r="X9" i="18"/>
  <c r="AA40" i="18"/>
  <c r="X23" i="18"/>
  <c r="AA8" i="18"/>
  <c r="Q53" i="14"/>
  <c r="AA35" i="16"/>
  <c r="AA26" i="16"/>
  <c r="AA52" i="16"/>
  <c r="R51" i="14"/>
  <c r="X32" i="18"/>
  <c r="L50" i="14"/>
  <c r="AB16" i="16"/>
  <c r="Y68" i="18"/>
  <c r="AB43" i="18"/>
  <c r="X55" i="18"/>
  <c r="Z16" i="16"/>
  <c r="AB26" i="16"/>
  <c r="Z59" i="16"/>
  <c r="Y19" i="18"/>
  <c r="X77" i="18"/>
  <c r="M51" i="14"/>
  <c r="Z57" i="18"/>
  <c r="Y21" i="16"/>
  <c r="X28" i="16"/>
  <c r="AB43" i="16"/>
  <c r="Z55" i="18"/>
  <c r="Y3" i="18"/>
  <c r="Y14" i="18"/>
  <c r="L55" i="14"/>
  <c r="AA26" i="18"/>
  <c r="L46" i="14"/>
  <c r="X37" i="18"/>
  <c r="Z48" i="16"/>
  <c r="Y55" i="16"/>
  <c r="Z65" i="18"/>
  <c r="X73" i="18"/>
  <c r="AA51" i="16"/>
  <c r="X20" i="16"/>
  <c r="Y34" i="18"/>
  <c r="X46" i="16"/>
  <c r="AB58" i="16"/>
  <c r="AA74" i="18"/>
  <c r="Y5" i="18"/>
  <c r="AA47" i="18"/>
  <c r="X34" i="18"/>
  <c r="Y53" i="16"/>
  <c r="M5" i="14"/>
  <c r="Y36" i="16"/>
  <c r="Z43" i="18"/>
  <c r="Y75" i="18"/>
  <c r="N82" i="15"/>
  <c r="Y35" i="18"/>
  <c r="AA13" i="16"/>
  <c r="AB38" i="18"/>
  <c r="AA34" i="16"/>
  <c r="AB17" i="18"/>
  <c r="X38" i="16"/>
  <c r="AB21" i="18"/>
  <c r="AA46" i="16"/>
  <c r="AB58" i="18"/>
  <c r="X12" i="18"/>
  <c r="AB12" i="16"/>
  <c r="AA50" i="16"/>
  <c r="Z23" i="18"/>
  <c r="Z34" i="16"/>
  <c r="R57" i="14"/>
  <c r="AA17" i="16"/>
  <c r="X17" i="18"/>
  <c r="AB9" i="16"/>
  <c r="AA38" i="18"/>
  <c r="Z21" i="18"/>
  <c r="Y37" i="16"/>
  <c r="X31" i="16"/>
  <c r="AB11" i="18"/>
  <c r="Y41" i="18"/>
  <c r="Z33" i="18"/>
  <c r="AB44" i="16"/>
  <c r="H21" i="14"/>
  <c r="Z49" i="16"/>
  <c r="AA58" i="16"/>
  <c r="AB65" i="16"/>
  <c r="Z19" i="18"/>
  <c r="H19" i="14"/>
  <c r="X44" i="16"/>
  <c r="Z23" i="16"/>
  <c r="Z26" i="16"/>
  <c r="AB57" i="16"/>
  <c r="Y32" i="18"/>
  <c r="AA29" i="18"/>
  <c r="AA9" i="16"/>
  <c r="X76" i="18"/>
  <c r="R49" i="14"/>
  <c r="Q23" i="14"/>
  <c r="Q47" i="14"/>
  <c r="X41" i="18"/>
  <c r="M47" i="14"/>
  <c r="Z45" i="18"/>
  <c r="AB36" i="18"/>
  <c r="AB73" i="18"/>
  <c r="Y16" i="18"/>
  <c r="AA43" i="18"/>
  <c r="AB74" i="18"/>
  <c r="Z13" i="18"/>
  <c r="Z4" i="16"/>
  <c r="AA49" i="18"/>
  <c r="Z28" i="18"/>
  <c r="AB38" i="16"/>
  <c r="X54" i="18"/>
  <c r="Y44" i="16"/>
  <c r="AA61" i="16"/>
  <c r="Y62" i="18"/>
  <c r="Y29" i="16"/>
  <c r="AB19" i="16"/>
  <c r="X51" i="18"/>
  <c r="Z42" i="16"/>
  <c r="X70" i="18"/>
  <c r="Z50" i="18"/>
  <c r="Z6" i="18"/>
  <c r="AA72" i="18"/>
  <c r="M32" i="14"/>
  <c r="X18" i="18"/>
  <c r="C54" i="1"/>
  <c r="AA57" i="16"/>
  <c r="AA33" i="16"/>
  <c r="AA42" i="16"/>
  <c r="Z17" i="16"/>
  <c r="AA10" i="18"/>
  <c r="Z30" i="18"/>
  <c r="Z66" i="16"/>
  <c r="Y12" i="18"/>
  <c r="X15" i="16"/>
  <c r="Z29" i="18"/>
  <c r="X22" i="18"/>
  <c r="R40" i="14"/>
  <c r="AB36" i="16"/>
  <c r="Q46" i="14"/>
  <c r="L49" i="14"/>
  <c r="Z18" i="18"/>
  <c r="Z25" i="18"/>
  <c r="AA48" i="18"/>
  <c r="Z38" i="18"/>
  <c r="AB5" i="18"/>
  <c r="AB30" i="16"/>
  <c r="AB71" i="18"/>
  <c r="AB26" i="18"/>
  <c r="X8" i="16"/>
  <c r="Y69" i="18"/>
  <c r="X40" i="16"/>
  <c r="Y10" i="16"/>
  <c r="Z26" i="18"/>
  <c r="Z30" i="16"/>
  <c r="AA34" i="18"/>
  <c r="Y71" i="18"/>
  <c r="Y11" i="18"/>
  <c r="M23" i="14"/>
  <c r="AB61" i="16"/>
  <c r="AA32" i="16"/>
  <c r="X25" i="16"/>
  <c r="AB78" i="18"/>
  <c r="R52" i="14"/>
  <c r="Y23" i="16"/>
  <c r="R36" i="14"/>
  <c r="Z17" i="18"/>
  <c r="Z35" i="16"/>
  <c r="Z51" i="16"/>
  <c r="AA45" i="18"/>
  <c r="AB35" i="18"/>
  <c r="AB51" i="16"/>
  <c r="Q4" i="14"/>
  <c r="AB22" i="16"/>
  <c r="L5" i="14"/>
  <c r="L45" i="14"/>
  <c r="AA7" i="16"/>
  <c r="AB13" i="16"/>
  <c r="Y43" i="16"/>
  <c r="H17" i="14"/>
  <c r="Y56" i="16"/>
  <c r="AA20" i="18"/>
  <c r="X53" i="16"/>
  <c r="AA76" i="18"/>
  <c r="AA64" i="18"/>
  <c r="X72" i="18"/>
  <c r="X15" i="18"/>
  <c r="Y20" i="16"/>
  <c r="X26" i="18"/>
  <c r="X17" i="16"/>
  <c r="R53" i="14"/>
  <c r="AA61" i="18"/>
  <c r="Q29" i="14"/>
  <c r="AB4" i="16"/>
  <c r="AB51" i="18"/>
  <c r="AA39" i="16"/>
  <c r="AA15" i="18"/>
  <c r="Y6" i="18"/>
  <c r="H14" i="14"/>
  <c r="Y64" i="16"/>
  <c r="L51" i="14"/>
  <c r="X24" i="16"/>
  <c r="AB63" i="16"/>
  <c r="AA41" i="16"/>
  <c r="Z58" i="16"/>
  <c r="X71" i="18"/>
  <c r="Z21" i="16"/>
  <c r="X11" i="16"/>
  <c r="AA12" i="18"/>
  <c r="Z22" i="18"/>
  <c r="Z62" i="18"/>
  <c r="Z62" i="16"/>
  <c r="AB31" i="16"/>
  <c r="Y66" i="16"/>
  <c r="Z31" i="18"/>
  <c r="Y65" i="18"/>
  <c r="AA6" i="16"/>
  <c r="Z65" i="16"/>
  <c r="X69" i="18"/>
  <c r="H15" i="14"/>
  <c r="AB53" i="16"/>
  <c r="AA70" i="18"/>
  <c r="X33" i="16"/>
  <c r="X60" i="16"/>
  <c r="AB34" i="18"/>
  <c r="Y15" i="16"/>
  <c r="Z50" i="16"/>
  <c r="Z40" i="18"/>
  <c r="Z29" i="16"/>
  <c r="X9" i="16"/>
  <c r="Y57" i="18"/>
  <c r="Z15" i="18"/>
  <c r="AB48" i="18"/>
  <c r="AB54" i="16"/>
  <c r="AB37" i="16"/>
  <c r="X28" i="18"/>
  <c r="Y13" i="18"/>
  <c r="AA60" i="16"/>
  <c r="C26" i="15"/>
  <c r="AB17" i="16"/>
  <c r="AA3" i="18"/>
  <c r="Y60" i="16"/>
  <c r="X49" i="18"/>
  <c r="AA31" i="18"/>
  <c r="AA30" i="18"/>
  <c r="X52" i="18"/>
  <c r="R55" i="14"/>
  <c r="Z49" i="18"/>
  <c r="Z15" i="16"/>
  <c r="X16" i="16"/>
  <c r="Q5" i="14"/>
  <c r="AB18" i="18"/>
  <c r="Z47" i="18"/>
  <c r="X5" i="16"/>
  <c r="X49" i="16"/>
  <c r="Y55" i="18"/>
  <c r="AB39" i="18"/>
  <c r="Z45" i="16"/>
  <c r="X75" i="18"/>
  <c r="X24" i="18"/>
  <c r="Z7" i="18"/>
  <c r="AA53" i="16"/>
  <c r="X63" i="18"/>
  <c r="X13" i="16"/>
  <c r="Z27" i="16"/>
  <c r="Y61" i="18"/>
  <c r="AB34" i="16"/>
  <c r="M52" i="14"/>
  <c r="Y59" i="16"/>
  <c r="Z58" i="18"/>
  <c r="Y39" i="18"/>
  <c r="X39" i="18"/>
  <c r="R47" i="14"/>
  <c r="AA53" i="18"/>
  <c r="Q57" i="14"/>
  <c r="Z20" i="18"/>
  <c r="AA37" i="18"/>
  <c r="Y57" i="16"/>
  <c r="M45" i="14"/>
  <c r="X32" i="16"/>
  <c r="Y78" i="18"/>
  <c r="AA56" i="18"/>
  <c r="Y28" i="16"/>
  <c r="AA25" i="16"/>
  <c r="X5" i="18"/>
  <c r="L47" i="14"/>
  <c r="Y74" i="18"/>
  <c r="AB23" i="18"/>
  <c r="AB3" i="16"/>
  <c r="L3" i="14"/>
  <c r="Y40" i="16"/>
  <c r="AA4" i="16"/>
  <c r="AB70" i="18"/>
  <c r="R50" i="14"/>
  <c r="Z70" i="18"/>
  <c r="Z66" i="18"/>
  <c r="M57" i="14"/>
  <c r="AB25" i="16"/>
  <c r="Z12" i="18"/>
  <c r="X13" i="18"/>
  <c r="AA40" i="16"/>
  <c r="X27" i="18"/>
  <c r="H20" i="14"/>
  <c r="AA28" i="18"/>
  <c r="X61" i="18"/>
  <c r="AB59" i="16"/>
  <c r="AA35" i="18"/>
  <c r="X19" i="18"/>
  <c r="AA62" i="18"/>
  <c r="Y30" i="16"/>
  <c r="AA36" i="16"/>
  <c r="X21" i="18"/>
  <c r="AA9" i="18"/>
  <c r="AA22" i="16"/>
  <c r="AB67" i="18"/>
  <c r="Y28" i="18"/>
  <c r="Y4" i="16"/>
  <c r="AA5" i="18"/>
  <c r="Q40" i="14"/>
  <c r="X33" i="18"/>
  <c r="AA13" i="18"/>
  <c r="AB32" i="18"/>
  <c r="L48" i="14"/>
  <c r="H8" i="14"/>
  <c r="Y46" i="16"/>
  <c r="X22" i="16"/>
  <c r="Y16" i="16"/>
  <c r="AA19" i="18"/>
  <c r="Y11" i="16"/>
  <c r="AA45" i="16"/>
  <c r="Z46" i="18"/>
  <c r="AA8" i="16"/>
  <c r="L57" i="14"/>
  <c r="Z52" i="16"/>
  <c r="Z10" i="18"/>
  <c r="AB3" i="18"/>
  <c r="X37" i="16"/>
  <c r="Z25" i="16"/>
  <c r="L23" i="14"/>
  <c r="W3" i="17" a="1"/>
  <c r="Z71" i="18"/>
  <c r="M50" i="14"/>
  <c r="AA48" i="16"/>
  <c r="X68" i="18"/>
  <c r="X3" i="18"/>
  <c r="AA56" i="16"/>
  <c r="AA44" i="18"/>
  <c r="H16" i="14"/>
  <c r="X39" i="16"/>
  <c r="AB29" i="18"/>
  <c r="AB28" i="16"/>
  <c r="Z33" i="16"/>
  <c r="AB53" i="18"/>
  <c r="AB42" i="18"/>
  <c r="AB20" i="16"/>
  <c r="AA67" i="18"/>
  <c r="X53" i="18"/>
  <c r="Z61" i="16"/>
  <c r="R45" i="14"/>
  <c r="X66" i="18"/>
  <c r="Z46" i="16"/>
  <c r="X55" i="16"/>
  <c r="X11" i="18"/>
  <c r="Z64" i="18"/>
  <c r="L36" i="14"/>
  <c r="Q26" i="14"/>
  <c r="X30" i="18"/>
  <c r="AA55" i="16"/>
  <c r="AB29" i="16"/>
  <c r="AB50" i="18"/>
  <c r="Y38" i="18"/>
  <c r="AB41" i="16"/>
  <c r="Z59" i="18"/>
  <c r="AB62" i="18"/>
  <c r="AA15" i="16"/>
  <c r="X35" i="18"/>
  <c r="Z41" i="16"/>
  <c r="AA63" i="16"/>
  <c r="I4" i="1"/>
  <c r="AA41" i="18"/>
  <c r="Z47" i="16"/>
  <c r="AA58" i="18"/>
  <c r="X21" i="16"/>
  <c r="AA24" i="18"/>
  <c r="AB10" i="16"/>
  <c r="X40" i="18"/>
  <c r="Y48" i="16"/>
  <c r="AB8" i="18"/>
  <c r="AA16" i="18"/>
  <c r="R29" i="14"/>
  <c r="AB63" i="18"/>
  <c r="H11" i="14"/>
  <c r="AB20" i="18"/>
  <c r="Y30" i="18"/>
  <c r="Z54" i="16"/>
  <c r="X57" i="16"/>
  <c r="Z4" i="18"/>
  <c r="AA19" i="16"/>
  <c r="X44" i="18"/>
  <c r="AB47" i="18"/>
  <c r="AA27" i="16"/>
  <c r="Y59" i="18"/>
  <c r="M29" i="14"/>
  <c r="AC2" i="18" a="1"/>
  <c r="X43" i="18"/>
  <c r="X16" i="18"/>
  <c r="L44" i="14"/>
  <c r="AB7" i="16"/>
  <c r="Z77" i="18"/>
  <c r="Z18" i="16"/>
  <c r="AB45" i="16"/>
  <c r="Z56" i="18"/>
  <c r="AB40" i="16"/>
  <c r="R32" i="14"/>
  <c r="Y33" i="18"/>
  <c r="O82" i="15"/>
  <c r="Z60" i="18"/>
  <c r="AA25" i="18"/>
  <c r="AA73" i="18"/>
  <c r="R5" i="14"/>
  <c r="X35" i="16"/>
  <c r="Z57" i="16"/>
  <c r="Z60" i="16"/>
  <c r="X63" i="16"/>
  <c r="M53" i="14"/>
  <c r="Y54" i="18"/>
  <c r="AA3" i="16"/>
  <c r="AB45" i="18"/>
  <c r="Y70" i="18"/>
  <c r="R44" i="14"/>
  <c r="X45" i="16"/>
  <c r="Z78" i="18"/>
  <c r="L52" i="14"/>
  <c r="Y50" i="16"/>
  <c r="AB64" i="18"/>
  <c r="AB4" i="18"/>
  <c r="AB66" i="16"/>
  <c r="X34" i="16"/>
  <c r="Y64" i="18"/>
  <c r="R23" i="14"/>
  <c r="Z35" i="18"/>
  <c r="D31" i="1"/>
  <c r="Y53" i="18"/>
  <c r="Z63" i="16"/>
  <c r="H22" i="14"/>
  <c r="D47" i="1"/>
  <c r="AB6" i="16"/>
  <c r="Y49" i="18"/>
  <c r="AA14" i="18"/>
  <c r="Z28" i="16"/>
  <c r="Y34" i="16"/>
  <c r="X46" i="18"/>
  <c r="AB54" i="18"/>
  <c r="X8" i="18"/>
  <c r="Z43" i="16"/>
  <c r="H9" i="14"/>
  <c r="Y46" i="18"/>
  <c r="Z5" i="16"/>
  <c r="Z19" i="16"/>
  <c r="Z75" i="18"/>
  <c r="Z9" i="16"/>
  <c r="AA23" i="16"/>
  <c r="AA59" i="18"/>
  <c r="Y52" i="16"/>
  <c r="AB49" i="16"/>
  <c r="AA20" i="16"/>
  <c r="AB23" i="16"/>
  <c r="H18" i="14"/>
  <c r="Y39" i="16"/>
  <c r="X31" i="18"/>
  <c r="Z8" i="18"/>
  <c r="Y45" i="18"/>
  <c r="AB28" i="18"/>
  <c r="Y25" i="18"/>
  <c r="Y58" i="16"/>
  <c r="Y44" i="18"/>
  <c r="AC2" i="16" a="1"/>
  <c r="D32" i="1"/>
  <c r="AC40" i="16" l="1"/>
  <c r="AC44" i="16"/>
  <c r="AC64" i="16"/>
  <c r="AC62" i="16"/>
  <c r="AC25" i="16"/>
  <c r="AC37" i="16"/>
  <c r="AC19" i="16"/>
  <c r="AC47" i="16"/>
  <c r="AC46" i="16"/>
  <c r="AC12" i="16"/>
  <c r="AC8" i="16"/>
  <c r="AC22" i="16"/>
  <c r="AC26" i="16"/>
  <c r="AC48" i="16"/>
  <c r="AC38" i="16"/>
  <c r="AC63" i="16"/>
  <c r="AC9" i="16"/>
  <c r="AC39" i="16"/>
  <c r="AC16" i="16"/>
  <c r="AC27" i="16"/>
  <c r="AC53" i="16"/>
  <c r="AC43" i="16"/>
  <c r="AC65" i="16"/>
  <c r="AC6" i="16"/>
  <c r="AC7" i="16"/>
  <c r="AC13" i="16"/>
  <c r="AC41" i="16"/>
  <c r="AC36" i="16"/>
  <c r="AC4" i="16"/>
  <c r="AC59" i="16"/>
  <c r="AC51" i="16"/>
  <c r="AC14" i="16"/>
  <c r="AC61" i="16"/>
  <c r="AC66" i="16"/>
  <c r="AC31" i="16"/>
  <c r="AC15" i="16"/>
  <c r="AC34" i="16"/>
  <c r="AC33" i="16"/>
  <c r="AC45" i="16"/>
  <c r="AC29" i="16"/>
  <c r="AC54" i="16"/>
  <c r="AC60" i="16"/>
  <c r="AC23" i="16"/>
  <c r="AC24" i="16"/>
  <c r="AC35" i="16"/>
  <c r="AC58" i="16"/>
  <c r="AC56" i="16"/>
  <c r="AC3" i="16"/>
  <c r="AC42" i="16"/>
  <c r="AC20" i="16"/>
  <c r="AC55" i="16"/>
  <c r="AC49" i="16"/>
  <c r="AC17" i="16"/>
  <c r="AC30" i="16"/>
  <c r="AC18" i="16"/>
  <c r="AC28" i="16"/>
  <c r="AC52" i="16"/>
  <c r="AC11" i="16"/>
  <c r="AC50" i="16"/>
  <c r="AC32" i="16"/>
  <c r="AC57" i="16"/>
  <c r="AC21" i="16"/>
  <c r="AC10" i="16"/>
  <c r="AC2" i="16"/>
  <c r="AC5" i="16"/>
  <c r="AC33" i="18"/>
  <c r="AC45" i="18"/>
  <c r="AC20" i="18"/>
  <c r="AC27" i="18"/>
  <c r="AC16" i="18"/>
  <c r="AC46" i="18"/>
  <c r="AC15" i="18"/>
  <c r="AC34" i="18"/>
  <c r="AC36" i="18"/>
  <c r="AC19" i="18"/>
  <c r="AC4" i="18"/>
  <c r="AC53" i="18"/>
  <c r="AC78" i="18"/>
  <c r="AC54" i="18"/>
  <c r="AC30" i="18"/>
  <c r="AC52" i="18"/>
  <c r="AC58" i="18"/>
  <c r="AC41" i="18"/>
  <c r="AC3" i="18"/>
  <c r="AC35" i="18"/>
  <c r="AC37" i="18"/>
  <c r="AC69" i="18"/>
  <c r="AC71" i="18"/>
  <c r="AC11" i="18"/>
  <c r="AC7" i="18"/>
  <c r="AC21" i="18"/>
  <c r="AC63" i="18"/>
  <c r="AC47" i="18"/>
  <c r="AC6" i="18"/>
  <c r="AC28" i="18"/>
  <c r="AC44" i="18"/>
  <c r="AC56" i="18"/>
  <c r="AC40" i="18"/>
  <c r="AC55" i="18"/>
  <c r="AC23" i="18"/>
  <c r="AC60" i="18"/>
  <c r="AC9" i="18"/>
  <c r="AC59" i="18"/>
  <c r="AC75" i="18"/>
  <c r="AC39" i="18"/>
  <c r="AC12" i="18"/>
  <c r="AC76" i="18"/>
  <c r="AC8" i="18"/>
  <c r="AC57" i="18"/>
  <c r="AC74" i="18"/>
  <c r="AC38" i="18"/>
  <c r="AC67" i="18"/>
  <c r="AC70" i="18"/>
  <c r="AC65" i="18"/>
  <c r="AC31" i="18"/>
  <c r="AC77" i="18"/>
  <c r="AC50" i="18"/>
  <c r="AC32" i="18"/>
  <c r="AC25" i="18"/>
  <c r="AC66" i="18"/>
  <c r="AC73" i="18"/>
  <c r="AC14" i="18"/>
  <c r="AC72" i="18"/>
  <c r="AC51" i="18"/>
  <c r="AC2" i="18"/>
  <c r="AC17" i="18"/>
  <c r="AC10" i="18"/>
  <c r="AC18" i="18"/>
  <c r="AC22" i="18"/>
  <c r="AC64" i="18"/>
  <c r="AC26" i="18"/>
  <c r="AC24" i="18"/>
  <c r="AC13" i="18"/>
  <c r="AC61" i="18"/>
  <c r="AC48" i="18"/>
  <c r="AC43" i="18"/>
  <c r="AC29" i="18"/>
  <c r="AC62" i="18"/>
  <c r="AC5" i="18"/>
  <c r="AC49" i="18"/>
  <c r="AC68" i="18"/>
  <c r="AC42" i="18"/>
  <c r="K9" i="14"/>
  <c r="V37" i="16"/>
  <c r="V73" i="18"/>
  <c r="V65" i="16"/>
  <c r="V32" i="16"/>
  <c r="K14" i="14"/>
  <c r="V70" i="18"/>
  <c r="K17" i="14"/>
  <c r="V66" i="16"/>
  <c r="V20" i="16"/>
  <c r="V61" i="16"/>
  <c r="V63" i="16"/>
  <c r="V23" i="18"/>
  <c r="V40" i="18"/>
  <c r="K20" i="14"/>
  <c r="V29" i="18"/>
  <c r="V21" i="18"/>
  <c r="V44" i="18"/>
  <c r="V7" i="16"/>
  <c r="V51" i="18"/>
  <c r="V27" i="16"/>
  <c r="V50" i="18"/>
  <c r="V58" i="18"/>
  <c r="V3" i="16"/>
  <c r="V10" i="18"/>
  <c r="V56" i="16"/>
  <c r="V54" i="18"/>
  <c r="V68" i="18"/>
  <c r="V48" i="16"/>
  <c r="V3" i="18"/>
  <c r="V31" i="18"/>
  <c r="V8" i="18"/>
  <c r="V15" i="16"/>
  <c r="V61" i="18"/>
  <c r="V9" i="16"/>
  <c r="V7" i="18"/>
  <c r="V57" i="18"/>
  <c r="V23" i="16"/>
  <c r="V62" i="18"/>
  <c r="K6" i="14"/>
  <c r="V40" i="16"/>
  <c r="V18" i="18"/>
  <c r="V17" i="16"/>
  <c r="V28" i="18"/>
  <c r="V35" i="16"/>
  <c r="V5" i="16"/>
  <c r="V17" i="18"/>
  <c r="V60" i="18"/>
  <c r="V9" i="18"/>
  <c r="V77" i="18"/>
  <c r="V78" i="18"/>
  <c r="V13" i="18"/>
  <c r="V54" i="16"/>
  <c r="V45" i="16"/>
  <c r="V47" i="16"/>
  <c r="V65" i="18"/>
  <c r="V44" i="16"/>
  <c r="V29" i="16"/>
  <c r="V31" i="16"/>
  <c r="V16" i="18"/>
  <c r="K15" i="14"/>
  <c r="V12" i="16"/>
  <c r="K11" i="14"/>
  <c r="V53" i="16"/>
  <c r="V74" i="18"/>
  <c r="V42" i="16"/>
  <c r="V76" i="18"/>
  <c r="V14" i="16"/>
  <c r="V30" i="16"/>
  <c r="V58" i="16"/>
  <c r="V63" i="18"/>
  <c r="V34" i="16"/>
  <c r="K13" i="14"/>
  <c r="V49" i="18"/>
  <c r="V51" i="16"/>
  <c r="K7" i="14"/>
  <c r="V20" i="18"/>
  <c r="V38" i="18"/>
  <c r="V28" i="16"/>
  <c r="V22" i="16"/>
  <c r="V6" i="16"/>
  <c r="V24" i="18"/>
  <c r="V66" i="18"/>
  <c r="V52" i="16"/>
  <c r="V64" i="18"/>
  <c r="V69" i="18"/>
  <c r="V10" i="16"/>
  <c r="V18" i="16"/>
  <c r="V59" i="18"/>
  <c r="W18" i="17"/>
  <c r="W44" i="17"/>
  <c r="W15" i="17"/>
  <c r="W49" i="17"/>
  <c r="W21" i="17"/>
  <c r="W17" i="17"/>
  <c r="W26" i="17"/>
  <c r="W35" i="17"/>
  <c r="W6" i="17"/>
  <c r="W32" i="17"/>
  <c r="W12" i="17"/>
  <c r="W47" i="17"/>
  <c r="W51" i="17"/>
  <c r="W33" i="17"/>
  <c r="W52" i="17"/>
  <c r="W23" i="17"/>
  <c r="W3" i="17"/>
  <c r="W38" i="17"/>
  <c r="W46" i="17"/>
  <c r="W9" i="17"/>
  <c r="W34" i="17"/>
  <c r="W55" i="17"/>
  <c r="W14" i="17"/>
  <c r="W40" i="17"/>
  <c r="W29" i="17"/>
  <c r="W37" i="17"/>
  <c r="W43" i="17"/>
  <c r="W8" i="17"/>
  <c r="W22" i="17"/>
  <c r="W16" i="17"/>
  <c r="W31" i="17"/>
  <c r="W20" i="17"/>
  <c r="W28" i="17"/>
  <c r="W54" i="17"/>
  <c r="W39" i="17"/>
  <c r="W5" i="17"/>
  <c r="W30" i="17"/>
  <c r="W25" i="17"/>
  <c r="W27" i="17"/>
  <c r="W53" i="17"/>
  <c r="W24" i="17"/>
  <c r="W50" i="17"/>
  <c r="W48" i="17"/>
  <c r="W4" i="17"/>
  <c r="W11" i="17"/>
  <c r="W13" i="17"/>
  <c r="W41" i="17"/>
  <c r="W10" i="17"/>
  <c r="W7" i="17"/>
  <c r="W19" i="17"/>
  <c r="W36" i="17"/>
  <c r="W45" i="17"/>
  <c r="W42" i="17"/>
  <c r="V53" i="18"/>
  <c r="V34" i="18"/>
  <c r="V72" i="18"/>
  <c r="V60" i="16"/>
  <c r="K18" i="14"/>
  <c r="V41" i="16"/>
  <c r="V19" i="18"/>
  <c r="V43" i="18"/>
  <c r="K19" i="14"/>
  <c r="V26" i="18"/>
  <c r="V21" i="16"/>
  <c r="V35" i="18"/>
  <c r="V39" i="18"/>
  <c r="V57" i="16"/>
  <c r="V37" i="18"/>
  <c r="V14" i="18"/>
  <c r="V75" i="18"/>
  <c r="V64" i="16"/>
  <c r="V71" i="18"/>
  <c r="V8" i="16"/>
  <c r="V50" i="16"/>
  <c r="V39" i="16"/>
  <c r="V33" i="18"/>
  <c r="V4" i="18"/>
  <c r="V59" i="16"/>
  <c r="V6" i="18"/>
  <c r="V43" i="16"/>
  <c r="V30" i="18"/>
  <c r="V38" i="16"/>
  <c r="V16" i="16"/>
  <c r="V4" i="16"/>
  <c r="V56" i="18"/>
  <c r="V33" i="16"/>
  <c r="V36" i="16"/>
  <c r="H26" i="15"/>
  <c r="I26" i="15"/>
  <c r="V15" i="18"/>
  <c r="V55" i="16"/>
  <c r="V26" i="16"/>
  <c r="V55" i="18"/>
  <c r="V19" i="16"/>
  <c r="V13" i="16"/>
  <c r="V52" i="18"/>
  <c r="V36" i="18"/>
  <c r="V24" i="16"/>
  <c r="V22" i="18"/>
  <c r="V11" i="16"/>
  <c r="V25" i="16"/>
  <c r="V27" i="18"/>
  <c r="V48" i="18"/>
  <c r="V5" i="18"/>
  <c r="K8" i="14"/>
  <c r="V41" i="18"/>
  <c r="V49" i="16"/>
  <c r="K12" i="14"/>
  <c r="V32" i="18"/>
  <c r="V62" i="16"/>
  <c r="V47" i="18"/>
  <c r="V45" i="18"/>
  <c r="V42" i="18"/>
  <c r="V46" i="16"/>
  <c r="V25" i="18"/>
  <c r="V67" i="18"/>
  <c r="K10" i="14"/>
  <c r="V12" i="18"/>
  <c r="V46" i="18"/>
  <c r="K16" i="14"/>
  <c r="V11" i="18"/>
  <c r="C39" i="1"/>
  <c r="R9" i="14"/>
  <c r="Z44" i="17"/>
  <c r="X33" i="17"/>
  <c r="M14" i="14"/>
  <c r="Z12" i="17"/>
  <c r="Z51" i="17"/>
  <c r="AA46" i="17"/>
  <c r="M6" i="14"/>
  <c r="M7" i="14"/>
  <c r="Z31" i="17"/>
  <c r="Y22" i="17"/>
  <c r="Y34" i="17"/>
  <c r="Z40" i="17"/>
  <c r="Y23" i="17"/>
  <c r="R15" i="14"/>
  <c r="AB9" i="17"/>
  <c r="X20" i="17"/>
  <c r="AB42" i="17"/>
  <c r="Y54" i="17"/>
  <c r="Z33" i="17"/>
  <c r="Y43" i="17"/>
  <c r="L7" i="14"/>
  <c r="Z30" i="17"/>
  <c r="AA12" i="17"/>
  <c r="C27" i="15"/>
  <c r="AA47" i="17"/>
  <c r="Z19" i="17"/>
  <c r="R6" i="14"/>
  <c r="X32" i="17"/>
  <c r="AA42" i="17"/>
  <c r="AB4" i="17"/>
  <c r="X27" i="17"/>
  <c r="AB35" i="17"/>
  <c r="Z21" i="17"/>
  <c r="AB47" i="17"/>
  <c r="AB26" i="17"/>
  <c r="Q9" i="14"/>
  <c r="AB38" i="17"/>
  <c r="Y3" i="17"/>
  <c r="L14" i="14"/>
  <c r="Z47" i="17"/>
  <c r="Y53" i="17"/>
  <c r="L15" i="14"/>
  <c r="AA27" i="17"/>
  <c r="AB7" i="17"/>
  <c r="AB28" i="17"/>
  <c r="X18" i="17"/>
  <c r="AA9" i="17"/>
  <c r="Q6" i="14"/>
  <c r="AA33" i="17"/>
  <c r="Z50" i="17"/>
  <c r="L17" i="14"/>
  <c r="D54" i="1"/>
  <c r="Y12" i="17"/>
  <c r="L16" i="14"/>
  <c r="M17" i="14"/>
  <c r="Z23" i="17"/>
  <c r="Z9" i="17"/>
  <c r="Y5" i="17"/>
  <c r="AB39" i="17"/>
  <c r="L9" i="14"/>
  <c r="AA39" i="17"/>
  <c r="M12" i="14"/>
  <c r="Z49" i="17"/>
  <c r="X42" i="17"/>
  <c r="AB49" i="17"/>
  <c r="Q11" i="14"/>
  <c r="X17" i="17"/>
  <c r="AA5" i="17"/>
  <c r="Y50" i="17"/>
  <c r="AB36" i="17"/>
  <c r="X53" i="17"/>
  <c r="AA23" i="17"/>
  <c r="Y47" i="17"/>
  <c r="AB27" i="17"/>
  <c r="Y28" i="17"/>
  <c r="X43" i="17"/>
  <c r="AB37" i="17"/>
  <c r="AA20" i="17"/>
  <c r="AB12" i="17"/>
  <c r="Z15" i="17"/>
  <c r="X3" i="17"/>
  <c r="Y38" i="17"/>
  <c r="L11" i="14"/>
  <c r="Z6" i="17"/>
  <c r="X15" i="17"/>
  <c r="AA16" i="17"/>
  <c r="AB40" i="17"/>
  <c r="AB25" i="17"/>
  <c r="Y6" i="17"/>
  <c r="Y39" i="17"/>
  <c r="AA14" i="17"/>
  <c r="M9" i="14"/>
  <c r="Z18" i="17"/>
  <c r="AB17" i="17"/>
  <c r="Q16" i="14"/>
  <c r="L6" i="14"/>
  <c r="Y24" i="17"/>
  <c r="Q7" i="14"/>
  <c r="Z48" i="17"/>
  <c r="AA53" i="17"/>
  <c r="X51" i="17"/>
  <c r="M20" i="14"/>
  <c r="X16" i="17"/>
  <c r="Y27" i="17"/>
  <c r="X26" i="17"/>
  <c r="Z43" i="17"/>
  <c r="Z55" i="17"/>
  <c r="Q8" i="14"/>
  <c r="X45" i="17"/>
  <c r="AB11" i="17"/>
  <c r="M19" i="14"/>
  <c r="AA48" i="17"/>
  <c r="Z10" i="17"/>
  <c r="AA43" i="17"/>
  <c r="Y14" i="17"/>
  <c r="AA25" i="17"/>
  <c r="X46" i="17"/>
  <c r="Y25" i="17"/>
  <c r="X55" i="17"/>
  <c r="Y15" i="17"/>
  <c r="L13" i="14"/>
  <c r="Z32" i="17"/>
  <c r="Y26" i="17"/>
  <c r="AA51" i="17"/>
  <c r="AA8" i="17"/>
  <c r="R10" i="14"/>
  <c r="X36" i="17"/>
  <c r="AA31" i="17"/>
  <c r="Z54" i="17"/>
  <c r="AB22" i="17"/>
  <c r="Z20" i="17"/>
  <c r="Y55" i="17"/>
  <c r="AB55" i="17"/>
  <c r="AB45" i="17"/>
  <c r="M13" i="14"/>
  <c r="AB6" i="17"/>
  <c r="X40" i="17"/>
  <c r="Z45" i="17"/>
  <c r="Y30" i="17"/>
  <c r="Y16" i="17"/>
  <c r="M16" i="14"/>
  <c r="AA7" i="17"/>
  <c r="M15" i="14"/>
  <c r="Y31" i="17"/>
  <c r="AB51" i="17"/>
  <c r="AB34" i="17"/>
  <c r="Z38" i="17"/>
  <c r="Z26" i="17"/>
  <c r="Y8" i="17"/>
  <c r="AA18" i="17"/>
  <c r="Q12" i="14"/>
  <c r="AA44" i="17"/>
  <c r="Y48" i="17"/>
  <c r="X6" i="17"/>
  <c r="Z14" i="17"/>
  <c r="AA35" i="17"/>
  <c r="AB24" i="17"/>
  <c r="AB41" i="17"/>
  <c r="Z4" i="17"/>
  <c r="Y17" i="17"/>
  <c r="Y35" i="17"/>
  <c r="AB30" i="17"/>
  <c r="Y46" i="17"/>
  <c r="Y51" i="17"/>
  <c r="X13" i="17"/>
  <c r="X30" i="17"/>
  <c r="AA24" i="17"/>
  <c r="AB23" i="17"/>
  <c r="Z28" i="17"/>
  <c r="X35" i="17"/>
  <c r="AA29" i="17"/>
  <c r="AA19" i="17"/>
  <c r="L10" i="14"/>
  <c r="AA17" i="17"/>
  <c r="AA40" i="17"/>
  <c r="Z16" i="17"/>
  <c r="AA3" i="17"/>
  <c r="Y19" i="17"/>
  <c r="Z37" i="17"/>
  <c r="X44" i="17"/>
  <c r="AB29" i="17"/>
  <c r="Z36" i="17"/>
  <c r="X54" i="17"/>
  <c r="R13" i="14"/>
  <c r="AA41" i="17"/>
  <c r="L20" i="14"/>
  <c r="Z11" i="17"/>
  <c r="Z13" i="17"/>
  <c r="X19" i="17"/>
  <c r="AA49" i="17"/>
  <c r="AA34" i="17"/>
  <c r="Q14" i="14"/>
  <c r="X23" i="17"/>
  <c r="AA6" i="17"/>
  <c r="X21" i="17"/>
  <c r="AA52" i="17"/>
  <c r="X7" i="17"/>
  <c r="Y42" i="17"/>
  <c r="Y7" i="17"/>
  <c r="X24" i="17"/>
  <c r="AB10" i="17"/>
  <c r="R20" i="14"/>
  <c r="D39" i="1"/>
  <c r="Y37" i="17"/>
  <c r="AA37" i="17"/>
  <c r="Q17" i="14"/>
  <c r="AA28" i="17"/>
  <c r="Y11" i="17"/>
  <c r="X29" i="17"/>
  <c r="Z3" i="17"/>
  <c r="X50" i="17"/>
  <c r="Z35" i="17"/>
  <c r="L18" i="14"/>
  <c r="L8" i="14"/>
  <c r="AA11" i="17"/>
  <c r="Z22" i="17"/>
  <c r="X38" i="17"/>
  <c r="Z53" i="17"/>
  <c r="AA13" i="17"/>
  <c r="Y44" i="17"/>
  <c r="C55" i="1"/>
  <c r="AB33" i="17"/>
  <c r="Z39" i="17"/>
  <c r="Y4" i="17"/>
  <c r="AA26" i="17"/>
  <c r="X10" i="17"/>
  <c r="Y10" i="17"/>
  <c r="AB19" i="17"/>
  <c r="X11" i="17"/>
  <c r="Y21" i="17"/>
  <c r="Q10" i="14"/>
  <c r="AA38" i="17"/>
  <c r="Y33" i="17"/>
  <c r="AB5" i="17"/>
  <c r="AB13" i="17"/>
  <c r="Y18" i="17"/>
  <c r="X37" i="17"/>
  <c r="AA30" i="17"/>
  <c r="AA36" i="17"/>
  <c r="R12" i="14"/>
  <c r="Z5" i="17"/>
  <c r="Y29" i="17"/>
  <c r="AB16" i="17"/>
  <c r="X41" i="17"/>
  <c r="R18" i="14"/>
  <c r="Y40" i="17"/>
  <c r="X9" i="17"/>
  <c r="Y36" i="17"/>
  <c r="AA21" i="17"/>
  <c r="R16" i="14"/>
  <c r="Q13" i="14"/>
  <c r="R19" i="14"/>
  <c r="AB48" i="17"/>
  <c r="AA55" i="17"/>
  <c r="X22" i="17"/>
  <c r="R7" i="14"/>
  <c r="Z25" i="17"/>
  <c r="AB15" i="17"/>
  <c r="Y52" i="17"/>
  <c r="AB32" i="17"/>
  <c r="X5" i="17"/>
  <c r="R14" i="14"/>
  <c r="Y13" i="17"/>
  <c r="AA45" i="17"/>
  <c r="L12" i="14"/>
  <c r="AB43" i="17"/>
  <c r="X4" i="17"/>
  <c r="AB18" i="17"/>
  <c r="Z46" i="17"/>
  <c r="Q15" i="14"/>
  <c r="AB52" i="17"/>
  <c r="R11" i="14"/>
  <c r="M10" i="14"/>
  <c r="Y49" i="17"/>
  <c r="X31" i="17"/>
  <c r="C28" i="15"/>
  <c r="J26" i="15"/>
  <c r="Y20" i="17"/>
  <c r="AB50" i="17"/>
  <c r="R8" i="14"/>
  <c r="X49" i="17"/>
  <c r="Z8" i="17"/>
  <c r="AB46" i="17"/>
  <c r="AA4" i="17"/>
  <c r="AA15" i="17"/>
  <c r="AA22" i="17"/>
  <c r="X28" i="17"/>
  <c r="AB54" i="17"/>
  <c r="Z41" i="17"/>
  <c r="AA10" i="17"/>
  <c r="U3" i="14" a="1"/>
  <c r="X48" i="17"/>
  <c r="X34" i="17"/>
  <c r="X52" i="17"/>
  <c r="AB53" i="17"/>
  <c r="Z24" i="17"/>
  <c r="M18" i="14"/>
  <c r="Y45" i="17"/>
  <c r="X47" i="17"/>
  <c r="AA32" i="17"/>
  <c r="AB14" i="17"/>
  <c r="L19" i="14"/>
  <c r="AB20" i="17"/>
  <c r="R17" i="14"/>
  <c r="Z29" i="17"/>
  <c r="M8" i="14"/>
  <c r="Y32" i="17"/>
  <c r="Z17" i="17"/>
  <c r="M11" i="14"/>
  <c r="AB21" i="17"/>
  <c r="C40" i="1"/>
  <c r="X12" i="17"/>
  <c r="Y9" i="17"/>
  <c r="X39" i="17"/>
  <c r="X14" i="17"/>
  <c r="Z34" i="17"/>
  <c r="Z27" i="17"/>
  <c r="Z52" i="17"/>
  <c r="X25" i="17"/>
  <c r="AB31" i="17"/>
  <c r="AB3" i="17"/>
  <c r="Q20" i="14"/>
  <c r="Z7" i="17"/>
  <c r="AB44" i="17"/>
  <c r="AA50" i="17"/>
  <c r="AA54" i="17"/>
  <c r="Z42" i="17"/>
  <c r="Q18" i="14"/>
  <c r="AB8" i="17"/>
  <c r="Y41" i="17"/>
  <c r="X8" i="17"/>
  <c r="Q19" i="14"/>
  <c r="H27" i="15" l="1"/>
  <c r="I27" i="15"/>
  <c r="V43" i="17"/>
  <c r="V45" i="17"/>
  <c r="V4" i="17"/>
  <c r="V5" i="17"/>
  <c r="V8" i="17"/>
  <c r="V9" i="17"/>
  <c r="V47" i="17"/>
  <c r="V49" i="17"/>
  <c r="V36" i="17"/>
  <c r="V46" i="17"/>
  <c r="V15" i="17"/>
  <c r="V50" i="17"/>
  <c r="V38" i="17"/>
  <c r="V39" i="17"/>
  <c r="V19" i="17"/>
  <c r="V7" i="17"/>
  <c r="V24" i="17"/>
  <c r="V28" i="17"/>
  <c r="V29" i="17"/>
  <c r="V3" i="17"/>
  <c r="V6" i="17"/>
  <c r="V18" i="17"/>
  <c r="V37" i="17"/>
  <c r="M22" i="15"/>
  <c r="V53" i="17"/>
  <c r="V20" i="17"/>
  <c r="V40" i="17"/>
  <c r="V23" i="17"/>
  <c r="V35" i="17"/>
  <c r="V48" i="17"/>
  <c r="V12" i="17"/>
  <c r="I28" i="15"/>
  <c r="H28" i="15"/>
  <c r="V32" i="17"/>
  <c r="V27" i="17"/>
  <c r="V31" i="17"/>
  <c r="V14" i="17"/>
  <c r="V52" i="17"/>
  <c r="V44" i="17"/>
  <c r="U26" i="14"/>
  <c r="U7" i="14"/>
  <c r="U75" i="14"/>
  <c r="U32" i="14"/>
  <c r="U100" i="14"/>
  <c r="U90" i="14"/>
  <c r="U14" i="14"/>
  <c r="U58" i="14"/>
  <c r="U39" i="14"/>
  <c r="U60" i="14"/>
  <c r="U81" i="14"/>
  <c r="U46" i="14"/>
  <c r="U107" i="14"/>
  <c r="U110" i="14"/>
  <c r="U37" i="14"/>
  <c r="U3" i="14"/>
  <c r="U71" i="14"/>
  <c r="U28" i="14"/>
  <c r="U96" i="14"/>
  <c r="U53" i="14"/>
  <c r="U106" i="14"/>
  <c r="U78" i="14"/>
  <c r="U35" i="14"/>
  <c r="U103" i="14"/>
  <c r="U93" i="14"/>
  <c r="U43" i="14"/>
  <c r="U8" i="14"/>
  <c r="U29" i="14"/>
  <c r="U72" i="14"/>
  <c r="U105" i="14"/>
  <c r="U67" i="14"/>
  <c r="U24" i="14"/>
  <c r="U92" i="14"/>
  <c r="U33" i="14"/>
  <c r="U6" i="14"/>
  <c r="U50" i="14"/>
  <c r="U31" i="14"/>
  <c r="U99" i="14"/>
  <c r="U56" i="14"/>
  <c r="U55" i="14"/>
  <c r="U76" i="14"/>
  <c r="U49" i="14"/>
  <c r="U102" i="14"/>
  <c r="U18" i="14"/>
  <c r="U87" i="14"/>
  <c r="U69" i="14"/>
  <c r="U94" i="14"/>
  <c r="U20" i="14"/>
  <c r="U88" i="14"/>
  <c r="U45" i="14"/>
  <c r="U65" i="14"/>
  <c r="U70" i="14"/>
  <c r="U27" i="14"/>
  <c r="U95" i="14"/>
  <c r="U52" i="14"/>
  <c r="U9" i="14"/>
  <c r="U17" i="14"/>
  <c r="U38" i="14"/>
  <c r="U59" i="14"/>
  <c r="U64" i="14"/>
  <c r="U12" i="14"/>
  <c r="U44" i="14"/>
  <c r="U112" i="14"/>
  <c r="U68" i="14"/>
  <c r="U10" i="14"/>
  <c r="U84" i="14"/>
  <c r="U89" i="14"/>
  <c r="U109" i="14"/>
  <c r="U42" i="14"/>
  <c r="U23" i="14"/>
  <c r="U91" i="14"/>
  <c r="U48" i="14"/>
  <c r="U5" i="14"/>
  <c r="U97" i="14"/>
  <c r="U82" i="14"/>
  <c r="U111" i="14"/>
  <c r="U21" i="14"/>
  <c r="U57" i="14"/>
  <c r="U85" i="14"/>
  <c r="U19" i="14"/>
  <c r="U113" i="14"/>
  <c r="U25" i="14"/>
  <c r="U47" i="14"/>
  <c r="U54" i="14"/>
  <c r="U11" i="14"/>
  <c r="U79" i="14"/>
  <c r="U36" i="14"/>
  <c r="U104" i="14"/>
  <c r="U61" i="14"/>
  <c r="U73" i="14"/>
  <c r="U86" i="14"/>
  <c r="U74" i="14"/>
  <c r="U63" i="14"/>
  <c r="U13" i="14"/>
  <c r="U98" i="14"/>
  <c r="U77" i="14"/>
  <c r="U62" i="14"/>
  <c r="U101" i="14"/>
  <c r="U66" i="14"/>
  <c r="U80" i="14"/>
  <c r="U34" i="14"/>
  <c r="U30" i="14"/>
  <c r="U108" i="14"/>
  <c r="U15" i="14"/>
  <c r="U51" i="14"/>
  <c r="U83" i="14"/>
  <c r="U16" i="14"/>
  <c r="U40" i="14"/>
  <c r="U4" i="14"/>
  <c r="U41" i="14"/>
  <c r="U22" i="14"/>
  <c r="V54" i="17"/>
  <c r="V10" i="17"/>
  <c r="V41" i="17"/>
  <c r="V26" i="17"/>
  <c r="V13" i="17"/>
  <c r="V25" i="17"/>
  <c r="V16" i="17"/>
  <c r="V55" i="17"/>
  <c r="V33" i="17"/>
  <c r="V17" i="17"/>
  <c r="V42" i="17"/>
  <c r="V11" i="17"/>
  <c r="V30" i="17"/>
  <c r="V22" i="17"/>
  <c r="V34" i="17"/>
  <c r="V51" i="17"/>
  <c r="V21" i="17"/>
  <c r="Z29" i="14"/>
  <c r="Y18" i="14"/>
  <c r="Y97" i="14"/>
  <c r="V30" i="14"/>
  <c r="Y5" i="14"/>
  <c r="W6" i="14"/>
  <c r="W84" i="14"/>
  <c r="Y102" i="14"/>
  <c r="W21" i="14"/>
  <c r="Y89" i="14"/>
  <c r="X84" i="14"/>
  <c r="W103" i="14"/>
  <c r="Z48" i="14"/>
  <c r="Y75" i="14"/>
  <c r="V105" i="14"/>
  <c r="Z113" i="14"/>
  <c r="V6" i="14"/>
  <c r="Z50" i="14"/>
  <c r="W54" i="14"/>
  <c r="Z93" i="14"/>
  <c r="Y93" i="14"/>
  <c r="W24" i="14"/>
  <c r="Z63" i="14"/>
  <c r="V59" i="14"/>
  <c r="Y34" i="14"/>
  <c r="V92" i="14"/>
  <c r="V104" i="14"/>
  <c r="W95" i="14"/>
  <c r="X68" i="14"/>
  <c r="X44" i="14"/>
  <c r="Z96" i="14"/>
  <c r="Y36" i="14"/>
  <c r="Y8" i="14"/>
  <c r="V97" i="14"/>
  <c r="Z98" i="14"/>
  <c r="W98" i="14"/>
  <c r="X13" i="14"/>
  <c r="Z41" i="14"/>
  <c r="V7" i="14"/>
  <c r="X31" i="14"/>
  <c r="W57" i="14"/>
  <c r="V13" i="14"/>
  <c r="X50" i="14"/>
  <c r="Y35" i="14"/>
  <c r="V85" i="14"/>
  <c r="W34" i="14"/>
  <c r="W53" i="14"/>
  <c r="X112" i="14"/>
  <c r="X110" i="14"/>
  <c r="Y4" i="14"/>
  <c r="W27" i="14"/>
  <c r="Z14" i="14"/>
  <c r="Z92" i="14"/>
  <c r="Z5" i="14"/>
  <c r="Y57" i="14"/>
  <c r="X19" i="14"/>
  <c r="W48" i="14"/>
  <c r="Y17" i="14"/>
  <c r="X8" i="14"/>
  <c r="W35" i="14"/>
  <c r="Y32" i="14"/>
  <c r="Y108" i="14"/>
  <c r="Y76" i="14"/>
  <c r="Y50" i="14"/>
  <c r="X52" i="14"/>
  <c r="Y69" i="14"/>
  <c r="Y39" i="14"/>
  <c r="X75" i="14"/>
  <c r="V43" i="14"/>
  <c r="V10" i="14"/>
  <c r="X89" i="14"/>
  <c r="V62" i="14"/>
  <c r="Y111" i="14"/>
  <c r="Y101" i="14"/>
  <c r="V25" i="14"/>
  <c r="X69" i="14"/>
  <c r="W18" i="14"/>
  <c r="W7" i="14"/>
  <c r="V93" i="14"/>
  <c r="V81" i="14"/>
  <c r="W11" i="14"/>
  <c r="V110" i="14"/>
  <c r="Y92" i="14"/>
  <c r="X78" i="14"/>
  <c r="X71" i="14"/>
  <c r="W100" i="14"/>
  <c r="V88" i="14"/>
  <c r="Z87" i="14"/>
  <c r="W20" i="14"/>
  <c r="W50" i="14"/>
  <c r="Z20" i="14"/>
  <c r="V68" i="14"/>
  <c r="Y104" i="14"/>
  <c r="Z68" i="14"/>
  <c r="V34" i="14"/>
  <c r="X51" i="14"/>
  <c r="Z43" i="14"/>
  <c r="Z39" i="14"/>
  <c r="W16" i="14"/>
  <c r="W63" i="14"/>
  <c r="Z102" i="14"/>
  <c r="V80" i="14"/>
  <c r="Y62" i="14"/>
  <c r="Z4" i="14"/>
  <c r="Z7" i="14"/>
  <c r="Z13" i="14"/>
  <c r="W59" i="14"/>
  <c r="W79" i="14"/>
  <c r="Y77" i="14"/>
  <c r="X107" i="14"/>
  <c r="X38" i="14"/>
  <c r="Y60" i="14"/>
  <c r="Y88" i="14"/>
  <c r="V21" i="14"/>
  <c r="Y27" i="14"/>
  <c r="Y85" i="14"/>
  <c r="C29" i="15"/>
  <c r="Y52" i="14"/>
  <c r="W66" i="14"/>
  <c r="X28" i="14"/>
  <c r="W32" i="14"/>
  <c r="X98" i="14"/>
  <c r="Z49" i="14"/>
  <c r="Y56" i="14"/>
  <c r="Y112" i="14"/>
  <c r="X94" i="14"/>
  <c r="Y67" i="14"/>
  <c r="W41" i="14"/>
  <c r="W37" i="14"/>
  <c r="X37" i="14"/>
  <c r="W97" i="14"/>
  <c r="Y7" i="14"/>
  <c r="X21" i="14"/>
  <c r="V98" i="14"/>
  <c r="W51" i="14"/>
  <c r="V15" i="14"/>
  <c r="W69" i="14"/>
  <c r="W14" i="14"/>
  <c r="V20" i="14"/>
  <c r="Z10" i="14"/>
  <c r="W82" i="14"/>
  <c r="X23" i="14"/>
  <c r="Y28" i="14"/>
  <c r="X95" i="14"/>
  <c r="X56" i="14"/>
  <c r="Z62" i="14"/>
  <c r="V84" i="14"/>
  <c r="X61" i="14"/>
  <c r="X43" i="14"/>
  <c r="X5" i="14"/>
  <c r="V89" i="14"/>
  <c r="Z95" i="14"/>
  <c r="V82" i="14"/>
  <c r="Y6" i="14"/>
  <c r="Y16" i="14"/>
  <c r="W89" i="14"/>
  <c r="N22" i="15"/>
  <c r="Y42" i="14"/>
  <c r="Z45" i="14"/>
  <c r="Z19" i="14"/>
  <c r="W101" i="14"/>
  <c r="Y20" i="14"/>
  <c r="X100" i="14"/>
  <c r="X32" i="14"/>
  <c r="Y43" i="14"/>
  <c r="V24" i="14"/>
  <c r="Z67" i="14"/>
  <c r="W68" i="14"/>
  <c r="V83" i="14"/>
  <c r="Z52" i="14"/>
  <c r="J27" i="15"/>
  <c r="W113" i="14"/>
  <c r="W102" i="14"/>
  <c r="V49" i="14"/>
  <c r="W17" i="14"/>
  <c r="W38" i="14"/>
  <c r="X99" i="14"/>
  <c r="Z22" i="14"/>
  <c r="V4" i="14"/>
  <c r="V107" i="14"/>
  <c r="X10" i="14"/>
  <c r="Z66" i="14"/>
  <c r="V86" i="14"/>
  <c r="Y82" i="14"/>
  <c r="Y9" i="14"/>
  <c r="Z44" i="14"/>
  <c r="W75" i="14"/>
  <c r="Y70" i="14"/>
  <c r="V37" i="14"/>
  <c r="V101" i="14"/>
  <c r="V57" i="14"/>
  <c r="Y109" i="14"/>
  <c r="V35" i="14"/>
  <c r="V76" i="14"/>
  <c r="V96" i="14"/>
  <c r="Y12" i="14"/>
  <c r="Y29" i="14"/>
  <c r="Z83" i="14"/>
  <c r="Y80" i="14"/>
  <c r="W3" i="14"/>
  <c r="V19" i="14"/>
  <c r="X97" i="14"/>
  <c r="Z58" i="14"/>
  <c r="Y86" i="14"/>
  <c r="X67" i="14"/>
  <c r="V42" i="14"/>
  <c r="X4" i="14"/>
  <c r="V109" i="14"/>
  <c r="V26" i="14"/>
  <c r="Y90" i="14"/>
  <c r="V60" i="14"/>
  <c r="Y83" i="14"/>
  <c r="Y19" i="14"/>
  <c r="X15" i="14"/>
  <c r="X58" i="14"/>
  <c r="W108" i="14"/>
  <c r="X102" i="14"/>
  <c r="X62" i="14"/>
  <c r="V3" i="14"/>
  <c r="Y26" i="14"/>
  <c r="W83" i="14"/>
  <c r="W111" i="14"/>
  <c r="V99" i="14"/>
  <c r="V63" i="14"/>
  <c r="V41" i="14"/>
  <c r="V67" i="14"/>
  <c r="Y51" i="14"/>
  <c r="Y13" i="14"/>
  <c r="V79" i="14"/>
  <c r="W87" i="14"/>
  <c r="V8" i="14"/>
  <c r="Y54" i="14"/>
  <c r="C30" i="15"/>
  <c r="X96" i="14"/>
  <c r="V48" i="14"/>
  <c r="Z9" i="14"/>
  <c r="Z23" i="14"/>
  <c r="X104" i="14"/>
  <c r="X103" i="14"/>
  <c r="Z6" i="14"/>
  <c r="W96" i="14"/>
  <c r="Y68" i="14"/>
  <c r="Z75" i="14"/>
  <c r="Z31" i="14"/>
  <c r="X57" i="14"/>
  <c r="V111" i="14"/>
  <c r="Y110" i="14"/>
  <c r="Z21" i="14"/>
  <c r="W81" i="14"/>
  <c r="X73" i="14"/>
  <c r="Z37" i="14"/>
  <c r="W15" i="14"/>
  <c r="W94" i="14"/>
  <c r="Z34" i="14"/>
  <c r="Y53" i="14"/>
  <c r="Y96" i="14"/>
  <c r="Y33" i="14"/>
  <c r="X6" i="14"/>
  <c r="Y3" i="14"/>
  <c r="Z99" i="14"/>
  <c r="Z54" i="14"/>
  <c r="W4" i="14"/>
  <c r="Y79" i="14"/>
  <c r="Y63" i="14"/>
  <c r="Y105" i="14"/>
  <c r="X34" i="14"/>
  <c r="W112" i="14"/>
  <c r="V22" i="14"/>
  <c r="X60" i="14"/>
  <c r="Y65" i="14"/>
  <c r="V28" i="14"/>
  <c r="X65" i="14"/>
  <c r="X80" i="14"/>
  <c r="V90" i="14"/>
  <c r="Y66" i="14"/>
  <c r="V12" i="14"/>
  <c r="Y84" i="14"/>
  <c r="W46" i="14"/>
  <c r="X105" i="14"/>
  <c r="Y47" i="14"/>
  <c r="Z78" i="14"/>
  <c r="Y38" i="14"/>
  <c r="X85" i="14"/>
  <c r="W64" i="14"/>
  <c r="V17" i="14"/>
  <c r="Y41" i="14"/>
  <c r="Z76" i="14"/>
  <c r="Z94" i="14"/>
  <c r="V103" i="14"/>
  <c r="X11" i="14"/>
  <c r="W40" i="14"/>
  <c r="X86" i="14"/>
  <c r="W73" i="14"/>
  <c r="W60" i="14"/>
  <c r="X77" i="14"/>
  <c r="V36" i="14"/>
  <c r="Z53" i="14"/>
  <c r="X26" i="14"/>
  <c r="Z79" i="14"/>
  <c r="Z18" i="14"/>
  <c r="X45" i="14"/>
  <c r="Z104" i="14"/>
  <c r="Y59" i="14"/>
  <c r="X17" i="14"/>
  <c r="Z100" i="14"/>
  <c r="X35" i="14"/>
  <c r="W39" i="14"/>
  <c r="Z42" i="14"/>
  <c r="Z17" i="14"/>
  <c r="W33" i="14"/>
  <c r="W105" i="14"/>
  <c r="X66" i="14"/>
  <c r="W30" i="14"/>
  <c r="W22" i="14"/>
  <c r="Z109" i="14"/>
  <c r="Z101" i="14"/>
  <c r="Z108" i="14"/>
  <c r="W78" i="14"/>
  <c r="Y37" i="14"/>
  <c r="W58" i="14"/>
  <c r="Y21" i="14"/>
  <c r="V44" i="14"/>
  <c r="Y106" i="14"/>
  <c r="V94" i="14"/>
  <c r="X14" i="14"/>
  <c r="X74" i="14"/>
  <c r="Y107" i="14"/>
  <c r="Z88" i="14"/>
  <c r="W107" i="14"/>
  <c r="Z28" i="14"/>
  <c r="W42" i="14"/>
  <c r="Z72" i="14"/>
  <c r="Z11" i="14"/>
  <c r="W62" i="14"/>
  <c r="V40" i="14"/>
  <c r="V53" i="14"/>
  <c r="W26" i="14"/>
  <c r="X40" i="14"/>
  <c r="Y48" i="14"/>
  <c r="X42" i="14"/>
  <c r="Z38" i="14"/>
  <c r="X24" i="14"/>
  <c r="X87" i="14"/>
  <c r="Z71" i="14"/>
  <c r="Y61" i="14"/>
  <c r="Z80" i="14"/>
  <c r="V54" i="14"/>
  <c r="W93" i="14"/>
  <c r="V65" i="14"/>
  <c r="W104" i="14"/>
  <c r="V61" i="14"/>
  <c r="W13" i="14"/>
  <c r="V14" i="14"/>
  <c r="V102" i="14"/>
  <c r="Y30" i="14"/>
  <c r="W45" i="14"/>
  <c r="V58" i="14"/>
  <c r="V74" i="14"/>
  <c r="Z33" i="14"/>
  <c r="Y10" i="14"/>
  <c r="W67" i="14"/>
  <c r="Z103" i="14"/>
  <c r="Z36" i="14"/>
  <c r="V45" i="14"/>
  <c r="Z82" i="14"/>
  <c r="W80" i="14"/>
  <c r="Z74" i="14"/>
  <c r="V51" i="14"/>
  <c r="V23" i="14"/>
  <c r="Z24" i="14"/>
  <c r="X47" i="14"/>
  <c r="D40" i="1"/>
  <c r="Z3" i="14"/>
  <c r="V69" i="14"/>
  <c r="W99" i="14"/>
  <c r="S22" i="15"/>
  <c r="W109" i="14"/>
  <c r="W110" i="14"/>
  <c r="Z15" i="14"/>
  <c r="Y64" i="14"/>
  <c r="Z105" i="14"/>
  <c r="W70" i="14"/>
  <c r="X88" i="14"/>
  <c r="Y81" i="14"/>
  <c r="W71" i="14"/>
  <c r="Y24" i="14"/>
  <c r="V31" i="14"/>
  <c r="Y72" i="14"/>
  <c r="X93" i="14"/>
  <c r="X49" i="14"/>
  <c r="X16" i="14"/>
  <c r="W10" i="14"/>
  <c r="Z97" i="14"/>
  <c r="Z70" i="14"/>
  <c r="W106" i="14"/>
  <c r="X12" i="14"/>
  <c r="Z90" i="14"/>
  <c r="Z40" i="14"/>
  <c r="Z60" i="14"/>
  <c r="X25" i="14"/>
  <c r="X79" i="14"/>
  <c r="W36" i="14"/>
  <c r="V56" i="14"/>
  <c r="X33" i="14"/>
  <c r="Z12" i="14"/>
  <c r="X91" i="14"/>
  <c r="X59" i="14"/>
  <c r="X7" i="14"/>
  <c r="W90" i="14"/>
  <c r="V100" i="14"/>
  <c r="X18" i="14"/>
  <c r="X101" i="14"/>
  <c r="X29" i="14"/>
  <c r="W49" i="14"/>
  <c r="Z69" i="14"/>
  <c r="Z8" i="14"/>
  <c r="V91" i="14"/>
  <c r="Y113" i="14"/>
  <c r="V73" i="14"/>
  <c r="Z112" i="14"/>
  <c r="Y98" i="14"/>
  <c r="V71" i="14"/>
  <c r="Y25" i="14"/>
  <c r="W47" i="14"/>
  <c r="V50" i="14"/>
  <c r="Y44" i="14"/>
  <c r="V32" i="14"/>
  <c r="X111" i="14"/>
  <c r="W88" i="14"/>
  <c r="V112" i="14"/>
  <c r="V9" i="14"/>
  <c r="Z65" i="14"/>
  <c r="Y11" i="14"/>
  <c r="V78" i="14"/>
  <c r="V75" i="14"/>
  <c r="V66" i="14"/>
  <c r="W52" i="14"/>
  <c r="Y45" i="14"/>
  <c r="Z16" i="14"/>
  <c r="W43" i="14"/>
  <c r="W28" i="14"/>
  <c r="V29" i="14"/>
  <c r="Z46" i="14"/>
  <c r="Z64" i="14"/>
  <c r="X53" i="14"/>
  <c r="W91" i="14"/>
  <c r="Z55" i="14"/>
  <c r="T22" i="15"/>
  <c r="V113" i="14"/>
  <c r="Z111" i="14"/>
  <c r="V64" i="14"/>
  <c r="X48" i="14"/>
  <c r="Z61" i="14"/>
  <c r="Z30" i="14"/>
  <c r="Y74" i="14"/>
  <c r="Z47" i="14"/>
  <c r="Y78" i="14"/>
  <c r="W72" i="14"/>
  <c r="O22" i="15"/>
  <c r="Z27" i="14"/>
  <c r="V72" i="14"/>
  <c r="Z106" i="14"/>
  <c r="X82" i="14"/>
  <c r="Y73" i="14"/>
  <c r="V38" i="14"/>
  <c r="V39" i="14"/>
  <c r="Y46" i="14"/>
  <c r="Z25" i="14"/>
  <c r="W85" i="14"/>
  <c r="X81" i="14"/>
  <c r="Z51" i="14"/>
  <c r="J28" i="15"/>
  <c r="X22" i="14"/>
  <c r="V11" i="14"/>
  <c r="V52" i="14"/>
  <c r="Z85" i="14"/>
  <c r="Y15" i="14"/>
  <c r="W8" i="14"/>
  <c r="Z89" i="14"/>
  <c r="W19" i="14"/>
  <c r="X55" i="14"/>
  <c r="W65" i="14"/>
  <c r="Z107" i="14"/>
  <c r="Y91" i="14"/>
  <c r="Y87" i="14"/>
  <c r="Y58" i="14"/>
  <c r="V46" i="14"/>
  <c r="V27" i="14"/>
  <c r="V33" i="14"/>
  <c r="V95" i="14"/>
  <c r="V5" i="14"/>
  <c r="W86" i="14"/>
  <c r="V87" i="14"/>
  <c r="X27" i="14"/>
  <c r="W44" i="14"/>
  <c r="W5" i="14"/>
  <c r="Y100" i="14"/>
  <c r="Y49" i="14"/>
  <c r="Z110" i="14"/>
  <c r="X39" i="14"/>
  <c r="Y22" i="14"/>
  <c r="Y55" i="14"/>
  <c r="Z73" i="14"/>
  <c r="X109" i="14"/>
  <c r="W74" i="14"/>
  <c r="Z84" i="14"/>
  <c r="X30" i="14"/>
  <c r="W61" i="14"/>
  <c r="W9" i="14"/>
  <c r="X76" i="14"/>
  <c r="Z77" i="14"/>
  <c r="W92" i="14"/>
  <c r="X106" i="14"/>
  <c r="Z35" i="14"/>
  <c r="X108" i="14"/>
  <c r="W12" i="14"/>
  <c r="X41" i="14"/>
  <c r="W77" i="14"/>
  <c r="V77" i="14"/>
  <c r="Y40" i="14"/>
  <c r="Z56" i="14"/>
  <c r="W76" i="14"/>
  <c r="Y95" i="14"/>
  <c r="W55" i="14"/>
  <c r="Z81" i="14"/>
  <c r="X90" i="14"/>
  <c r="W25" i="14"/>
  <c r="X9" i="14"/>
  <c r="V55" i="14"/>
  <c r="X70" i="14"/>
  <c r="D55" i="1"/>
  <c r="Y99" i="14"/>
  <c r="Z91" i="14"/>
  <c r="Y23" i="14"/>
  <c r="X63" i="14"/>
  <c r="V70" i="14"/>
  <c r="X20" i="14"/>
  <c r="W29" i="14"/>
  <c r="V106" i="14"/>
  <c r="Z32" i="14"/>
  <c r="Z57" i="14"/>
  <c r="Y31" i="14"/>
  <c r="X92" i="14"/>
  <c r="X64" i="14"/>
  <c r="Y14" i="14"/>
  <c r="X72" i="14"/>
  <c r="Z86" i="14"/>
  <c r="X83" i="14"/>
  <c r="Y103" i="14"/>
  <c r="X3" i="14"/>
  <c r="V108" i="14"/>
  <c r="Y71" i="14"/>
  <c r="W23" i="14"/>
  <c r="W56" i="14"/>
  <c r="X113" i="14"/>
  <c r="Z59" i="14"/>
  <c r="X36" i="14"/>
  <c r="X46" i="14"/>
  <c r="W31" i="14"/>
  <c r="V18" i="14"/>
  <c r="Y94" i="14"/>
  <c r="V16" i="14"/>
  <c r="V47" i="14"/>
  <c r="X54" i="14"/>
  <c r="Z26" i="14"/>
  <c r="M23" i="15" l="1"/>
  <c r="H29" i="15"/>
  <c r="I29" i="15"/>
  <c r="I30" i="15"/>
  <c r="H30" i="15"/>
  <c r="T41" i="14"/>
  <c r="T30" i="14"/>
  <c r="T13" i="14"/>
  <c r="T79" i="14"/>
  <c r="T57" i="14"/>
  <c r="T23" i="14"/>
  <c r="T44" i="14"/>
  <c r="T95" i="14"/>
  <c r="T69" i="14"/>
  <c r="T99" i="14"/>
  <c r="T105" i="14"/>
  <c r="T78" i="14"/>
  <c r="T110" i="14"/>
  <c r="T90" i="14"/>
  <c r="T4" i="14"/>
  <c r="T34" i="14"/>
  <c r="T63" i="14"/>
  <c r="T11" i="14"/>
  <c r="T21" i="14"/>
  <c r="T42" i="14"/>
  <c r="T12" i="14"/>
  <c r="T27" i="14"/>
  <c r="T87" i="14"/>
  <c r="T31" i="14"/>
  <c r="T72" i="14"/>
  <c r="T106" i="14"/>
  <c r="T107" i="14"/>
  <c r="T100" i="14"/>
  <c r="T70" i="14"/>
  <c r="T89" i="14"/>
  <c r="T111" i="14"/>
  <c r="T16" i="14"/>
  <c r="T82" i="14"/>
  <c r="T102" i="14"/>
  <c r="T83" i="14"/>
  <c r="T101" i="14"/>
  <c r="T73" i="14"/>
  <c r="T25" i="14"/>
  <c r="T97" i="14"/>
  <c r="T84" i="14"/>
  <c r="T38" i="14"/>
  <c r="T45" i="14"/>
  <c r="T49" i="14"/>
  <c r="T33" i="14"/>
  <c r="T43" i="14"/>
  <c r="T28" i="14"/>
  <c r="T60" i="14"/>
  <c r="T7" i="14"/>
  <c r="T51" i="14"/>
  <c r="T62" i="14"/>
  <c r="T61" i="14"/>
  <c r="T113" i="14"/>
  <c r="T5" i="14"/>
  <c r="T10" i="14"/>
  <c r="T17" i="14"/>
  <c r="T88" i="14"/>
  <c r="T76" i="14"/>
  <c r="T92" i="14"/>
  <c r="T93" i="14"/>
  <c r="T71" i="14"/>
  <c r="T39" i="14"/>
  <c r="T26" i="14"/>
  <c r="T80" i="14"/>
  <c r="T86" i="14"/>
  <c r="T65" i="14"/>
  <c r="T8" i="14"/>
  <c r="T75" i="14"/>
  <c r="T40" i="14"/>
  <c r="T74" i="14"/>
  <c r="T54" i="14"/>
  <c r="T109" i="14"/>
  <c r="T64" i="14"/>
  <c r="T18" i="14"/>
  <c r="T50" i="14"/>
  <c r="T29" i="14"/>
  <c r="T53" i="14"/>
  <c r="T46" i="14"/>
  <c r="T32" i="14"/>
  <c r="T66" i="14"/>
  <c r="T47" i="14"/>
  <c r="T59" i="14"/>
  <c r="T6" i="14"/>
  <c r="T96" i="14"/>
  <c r="T81" i="14"/>
  <c r="M24" i="15"/>
  <c r="T15" i="14"/>
  <c r="T77" i="14"/>
  <c r="T104" i="14"/>
  <c r="T19" i="14"/>
  <c r="T48" i="14"/>
  <c r="T68" i="14"/>
  <c r="T9" i="14"/>
  <c r="T20" i="14"/>
  <c r="T55" i="14"/>
  <c r="T24" i="14"/>
  <c r="T103" i="14"/>
  <c r="T3" i="14"/>
  <c r="T58" i="14"/>
  <c r="T22" i="14"/>
  <c r="T108" i="14"/>
  <c r="T98" i="14"/>
  <c r="T36" i="14"/>
  <c r="T85" i="14"/>
  <c r="T91" i="14"/>
  <c r="T112" i="14"/>
  <c r="T52" i="14"/>
  <c r="T94" i="14"/>
  <c r="T56" i="14"/>
  <c r="T67" i="14"/>
  <c r="T35" i="14"/>
  <c r="T37" i="14"/>
  <c r="T14" i="14"/>
  <c r="S23" i="15"/>
  <c r="O24" i="15"/>
  <c r="C31" i="15"/>
  <c r="J29" i="15"/>
  <c r="J30" i="15"/>
  <c r="N23" i="15"/>
  <c r="N24" i="15"/>
  <c r="O23" i="15"/>
  <c r="S24" i="15"/>
  <c r="T24" i="15"/>
  <c r="T23" i="15"/>
  <c r="M25" i="15" l="1"/>
  <c r="M26" i="15"/>
  <c r="I31" i="15"/>
  <c r="H31" i="15"/>
  <c r="J31" i="15"/>
  <c r="O26" i="15"/>
  <c r="T26" i="15"/>
  <c r="S26" i="15"/>
  <c r="O25" i="15"/>
  <c r="C32" i="15"/>
  <c r="N26" i="15"/>
  <c r="T25" i="15"/>
  <c r="S25" i="15"/>
  <c r="N25" i="15"/>
  <c r="I32" i="15" l="1"/>
  <c r="H32" i="15"/>
  <c r="M27" i="15"/>
  <c r="S27" i="15"/>
  <c r="T27" i="15"/>
  <c r="C33" i="15"/>
  <c r="J32" i="15"/>
  <c r="N27" i="15"/>
  <c r="O27" i="15"/>
  <c r="M28" i="15" l="1"/>
  <c r="H33" i="15"/>
  <c r="I33" i="15"/>
  <c r="C34" i="15"/>
  <c r="N28" i="15"/>
  <c r="J33" i="15"/>
  <c r="C35" i="15"/>
  <c r="O28" i="15"/>
  <c r="S28" i="15"/>
  <c r="T28" i="15"/>
  <c r="H34" i="15" l="1"/>
  <c r="I34" i="15"/>
  <c r="M29" i="15"/>
  <c r="H35" i="15"/>
  <c r="I35" i="15"/>
  <c r="C36" i="15"/>
  <c r="J35" i="15"/>
  <c r="J34" i="15"/>
  <c r="S29" i="15"/>
  <c r="I31" i="1"/>
  <c r="C37" i="15"/>
  <c r="N29" i="15"/>
  <c r="H40" i="1"/>
  <c r="I42" i="1"/>
  <c r="T29" i="15"/>
  <c r="D14" i="1"/>
  <c r="AA2" i="14" a="1"/>
  <c r="O29" i="15"/>
  <c r="C24" i="1"/>
  <c r="AC2" i="17" a="1"/>
  <c r="I32" i="1"/>
  <c r="H39" i="1"/>
  <c r="C25" i="1"/>
  <c r="D27" i="1"/>
  <c r="D15" i="1"/>
  <c r="M30" i="15" l="1"/>
  <c r="H36" i="15"/>
  <c r="I36" i="15"/>
  <c r="M31" i="15"/>
  <c r="I37" i="15"/>
  <c r="H37" i="15"/>
  <c r="AA103" i="14"/>
  <c r="AA48" i="14"/>
  <c r="AA74" i="14"/>
  <c r="AA105" i="14"/>
  <c r="AA70" i="14"/>
  <c r="AA24" i="14"/>
  <c r="AA106" i="14"/>
  <c r="AA49" i="14"/>
  <c r="AA78" i="14"/>
  <c r="AA23" i="14"/>
  <c r="AA40" i="14"/>
  <c r="AA6" i="14"/>
  <c r="AA59" i="14"/>
  <c r="AA62" i="14"/>
  <c r="AA102" i="14"/>
  <c r="AA20" i="14"/>
  <c r="AA85" i="14"/>
  <c r="AA19" i="14"/>
  <c r="AA88" i="14"/>
  <c r="AA94" i="14"/>
  <c r="AA7" i="14"/>
  <c r="AA52" i="14"/>
  <c r="AA66" i="14"/>
  <c r="AA35" i="14"/>
  <c r="AA81" i="14"/>
  <c r="AA104" i="14"/>
  <c r="AA46" i="14"/>
  <c r="AA11" i="14"/>
  <c r="AA111" i="14"/>
  <c r="AA54" i="14"/>
  <c r="AA71" i="14"/>
  <c r="AA96" i="14"/>
  <c r="AA95" i="14"/>
  <c r="AA109" i="14"/>
  <c r="AA18" i="14"/>
  <c r="AA92" i="14"/>
  <c r="AA4" i="14"/>
  <c r="AA15" i="14"/>
  <c r="AA101" i="14"/>
  <c r="AA68" i="14"/>
  <c r="AA65" i="14"/>
  <c r="AA67" i="14"/>
  <c r="AA42" i="14"/>
  <c r="AA73" i="14"/>
  <c r="AA21" i="14"/>
  <c r="AA51" i="14"/>
  <c r="AA75" i="14"/>
  <c r="AA17" i="14"/>
  <c r="AA79" i="14"/>
  <c r="AA16" i="14"/>
  <c r="AA98" i="14"/>
  <c r="AA82" i="14"/>
  <c r="AA9" i="14"/>
  <c r="AA45" i="14"/>
  <c r="AA76" i="14"/>
  <c r="AA27" i="14"/>
  <c r="AA61" i="14"/>
  <c r="AA53" i="14"/>
  <c r="AA10" i="14"/>
  <c r="AA91" i="14"/>
  <c r="AA86" i="14"/>
  <c r="AA57" i="14"/>
  <c r="AA31" i="14"/>
  <c r="AA28" i="14"/>
  <c r="AA58" i="14"/>
  <c r="AA99" i="14"/>
  <c r="AA72" i="14"/>
  <c r="AA112" i="14"/>
  <c r="AA30" i="14"/>
  <c r="AA90" i="14"/>
  <c r="AA97" i="14"/>
  <c r="AA80" i="14"/>
  <c r="AA55" i="14"/>
  <c r="AA77" i="14"/>
  <c r="AA56" i="14"/>
  <c r="AA60" i="14"/>
  <c r="AA12" i="14"/>
  <c r="AA8" i="14"/>
  <c r="AA69" i="14"/>
  <c r="AA93" i="14"/>
  <c r="AA37" i="14"/>
  <c r="AA3" i="14"/>
  <c r="AA87" i="14"/>
  <c r="AA110" i="14"/>
  <c r="AA83" i="14"/>
  <c r="AA44" i="14"/>
  <c r="AA43" i="14"/>
  <c r="AA64" i="14"/>
  <c r="AA29" i="14"/>
  <c r="AA32" i="14"/>
  <c r="AA39" i="14"/>
  <c r="AA13" i="14"/>
  <c r="AA84" i="14"/>
  <c r="AA63" i="14"/>
  <c r="AA33" i="14"/>
  <c r="AA108" i="14"/>
  <c r="AA47" i="14"/>
  <c r="AA100" i="14"/>
  <c r="AA36" i="14"/>
  <c r="AA14" i="14"/>
  <c r="AA34" i="14"/>
  <c r="AA2" i="14"/>
  <c r="AA38" i="14"/>
  <c r="AA5" i="14"/>
  <c r="AA25" i="14"/>
  <c r="AA41" i="14"/>
  <c r="AA113" i="14"/>
  <c r="AA89" i="14"/>
  <c r="AA107" i="14"/>
  <c r="AA22" i="14"/>
  <c r="AA26" i="14"/>
  <c r="AA50" i="14"/>
  <c r="AC34" i="17"/>
  <c r="AC20" i="17"/>
  <c r="AC16" i="17"/>
  <c r="AC43" i="17"/>
  <c r="AC46" i="17"/>
  <c r="AC13" i="17"/>
  <c r="AC21" i="17"/>
  <c r="AC26" i="17"/>
  <c r="AC23" i="17"/>
  <c r="AC27" i="17"/>
  <c r="AC35" i="17"/>
  <c r="AC54" i="17"/>
  <c r="AC22" i="17"/>
  <c r="AC3" i="17"/>
  <c r="AC28" i="17"/>
  <c r="AC15" i="17"/>
  <c r="AC12" i="17"/>
  <c r="AC37" i="17"/>
  <c r="AC11" i="17"/>
  <c r="AC50" i="17"/>
  <c r="AC19" i="17"/>
  <c r="AC36" i="17"/>
  <c r="AC17" i="17"/>
  <c r="AC38" i="17"/>
  <c r="AC45" i="17"/>
  <c r="AC14" i="17"/>
  <c r="AC10" i="17"/>
  <c r="AC18" i="17"/>
  <c r="AC6" i="17"/>
  <c r="AC31" i="17"/>
  <c r="AC49" i="17"/>
  <c r="AC2" i="17"/>
  <c r="AC7" i="17"/>
  <c r="AC51" i="17"/>
  <c r="AC53" i="17"/>
  <c r="AC29" i="17"/>
  <c r="AC41" i="17"/>
  <c r="AC5" i="17"/>
  <c r="AC48" i="17"/>
  <c r="AC9" i="17"/>
  <c r="AC39" i="17"/>
  <c r="AC55" i="17"/>
  <c r="AC32" i="17"/>
  <c r="AC33" i="17"/>
  <c r="AC52" i="17"/>
  <c r="AC47" i="17"/>
  <c r="AC40" i="17"/>
  <c r="AC42" i="17"/>
  <c r="AC8" i="17"/>
  <c r="AC24" i="17"/>
  <c r="AC25" i="17"/>
  <c r="AC44" i="17"/>
  <c r="AC4" i="17"/>
  <c r="AC30" i="17"/>
  <c r="O30" i="15"/>
  <c r="S30" i="15"/>
  <c r="N30" i="15"/>
  <c r="T30" i="15"/>
  <c r="J37" i="15"/>
  <c r="J36" i="15"/>
  <c r="D25" i="1"/>
  <c r="T31" i="15"/>
  <c r="C38" i="15"/>
  <c r="S31" i="15"/>
  <c r="I39" i="1"/>
  <c r="O31" i="15"/>
  <c r="D24" i="1"/>
  <c r="I40" i="1"/>
  <c r="N31" i="15"/>
  <c r="M32" i="15" l="1"/>
  <c r="I38" i="15"/>
  <c r="H38" i="15"/>
  <c r="M33" i="15"/>
  <c r="O32" i="15"/>
  <c r="S32" i="15"/>
  <c r="T32" i="15"/>
  <c r="N32" i="15"/>
  <c r="C39" i="15"/>
  <c r="S33" i="15"/>
  <c r="J38" i="15"/>
  <c r="N33" i="15"/>
  <c r="O33" i="15"/>
  <c r="T33" i="15"/>
  <c r="M34" i="15" l="1"/>
  <c r="H39" i="15"/>
  <c r="I39" i="15"/>
  <c r="C40" i="15"/>
  <c r="J39" i="15"/>
  <c r="T34" i="15"/>
  <c r="S34" i="15"/>
  <c r="O34" i="15"/>
  <c r="N34" i="15"/>
  <c r="M35" i="15" l="1"/>
  <c r="H40" i="15"/>
  <c r="I40" i="15"/>
  <c r="N35" i="15"/>
  <c r="O35" i="15"/>
  <c r="C41" i="15"/>
  <c r="J40" i="15"/>
  <c r="T35" i="15"/>
  <c r="S35" i="15"/>
  <c r="M36" i="15" l="1"/>
  <c r="I41" i="15"/>
  <c r="H41" i="15"/>
  <c r="C42" i="15"/>
  <c r="S36" i="15"/>
  <c r="T36" i="15"/>
  <c r="O36" i="15"/>
  <c r="N36" i="15"/>
  <c r="J41" i="15"/>
  <c r="H42" i="15" l="1"/>
  <c r="I42" i="15"/>
  <c r="M37" i="15"/>
  <c r="N37" i="15"/>
  <c r="J42" i="15"/>
  <c r="C43" i="15"/>
  <c r="S37" i="15"/>
  <c r="T37" i="15"/>
  <c r="O37" i="15"/>
  <c r="M38" i="15" l="1"/>
  <c r="H43" i="15"/>
  <c r="I43" i="15"/>
  <c r="C44" i="15"/>
  <c r="C45" i="15"/>
  <c r="S38" i="15"/>
  <c r="T38" i="15"/>
  <c r="N38" i="15"/>
  <c r="O38" i="15"/>
  <c r="J43" i="15"/>
  <c r="H44" i="15" l="1"/>
  <c r="I44" i="15"/>
  <c r="M39" i="15"/>
  <c r="I45" i="15"/>
  <c r="H45" i="15"/>
  <c r="J44" i="15"/>
  <c r="N39" i="15"/>
  <c r="C46" i="15"/>
  <c r="S39" i="15"/>
  <c r="J45" i="15"/>
  <c r="O39" i="15"/>
  <c r="T39" i="15"/>
  <c r="M40" i="15" l="1"/>
  <c r="M41" i="15"/>
  <c r="I46" i="15"/>
  <c r="H46" i="15"/>
  <c r="N40" i="15"/>
  <c r="S40" i="15"/>
  <c r="O40" i="15"/>
  <c r="T40" i="15"/>
  <c r="O41" i="15"/>
  <c r="C47" i="15"/>
  <c r="J46" i="15"/>
  <c r="N41" i="15"/>
  <c r="T41" i="15"/>
  <c r="S41" i="15"/>
  <c r="M42" i="15" l="1"/>
  <c r="I47" i="15"/>
  <c r="H47" i="15"/>
  <c r="T42" i="15"/>
  <c r="N42" i="15"/>
  <c r="S42" i="15"/>
  <c r="O42" i="15"/>
  <c r="J47" i="15"/>
  <c r="M43" i="15" l="1"/>
  <c r="W3" i="15" a="1"/>
  <c r="T43" i="15"/>
  <c r="N43" i="15"/>
  <c r="O43" i="15"/>
  <c r="S43" i="15"/>
  <c r="W79" i="15" l="1"/>
  <c r="W51" i="15"/>
  <c r="W3" i="15"/>
  <c r="W7" i="15"/>
  <c r="W25" i="15"/>
  <c r="W77" i="15"/>
  <c r="W20" i="15"/>
  <c r="W18" i="15"/>
  <c r="W85" i="15"/>
  <c r="W28" i="15"/>
  <c r="W69" i="15"/>
  <c r="W17" i="15"/>
  <c r="W13" i="15"/>
  <c r="W26" i="15"/>
  <c r="W43" i="15"/>
  <c r="W40" i="15"/>
  <c r="W83" i="15"/>
  <c r="W76" i="15"/>
  <c r="W54" i="15"/>
  <c r="W57" i="15"/>
  <c r="W66" i="15"/>
  <c r="W14" i="15"/>
  <c r="W31" i="15"/>
  <c r="W73" i="15"/>
  <c r="W62" i="15"/>
  <c r="W72" i="15"/>
  <c r="W87" i="15"/>
  <c r="W48" i="15"/>
  <c r="W82" i="15"/>
  <c r="W4" i="15"/>
  <c r="W47" i="15"/>
  <c r="W46" i="15"/>
  <c r="W86" i="15"/>
  <c r="W63" i="15"/>
  <c r="W33" i="15"/>
  <c r="W42" i="15"/>
  <c r="W38" i="15"/>
  <c r="W71" i="15"/>
  <c r="W44" i="15"/>
  <c r="W23" i="15"/>
  <c r="W59" i="15"/>
  <c r="W24" i="15"/>
  <c r="W67" i="15"/>
  <c r="W64" i="15"/>
  <c r="W8" i="15"/>
  <c r="W41" i="15"/>
  <c r="W15" i="15"/>
  <c r="W55" i="15"/>
  <c r="W21" i="15"/>
  <c r="W32" i="15"/>
  <c r="W70" i="15"/>
  <c r="W53" i="15"/>
  <c r="W78" i="15"/>
  <c r="W74" i="15"/>
  <c r="W50" i="15"/>
  <c r="W61" i="15"/>
  <c r="W10" i="15"/>
  <c r="W60" i="15"/>
  <c r="W5" i="15"/>
  <c r="W80" i="15"/>
  <c r="W19" i="15"/>
  <c r="W88" i="15"/>
  <c r="W75" i="15"/>
  <c r="W34" i="15"/>
  <c r="W16" i="15"/>
  <c r="W9" i="15"/>
  <c r="W52" i="15"/>
  <c r="W6" i="15"/>
  <c r="W37" i="15"/>
  <c r="W39" i="15"/>
  <c r="W22" i="15"/>
  <c r="W29" i="15"/>
  <c r="W49" i="15"/>
  <c r="W81" i="15"/>
  <c r="W84" i="15"/>
  <c r="W65" i="15"/>
  <c r="W68" i="15"/>
  <c r="W35" i="15"/>
  <c r="W12" i="15"/>
  <c r="W27" i="15"/>
  <c r="W45" i="15"/>
  <c r="W36" i="15"/>
  <c r="W56" i="15"/>
  <c r="W30" i="15"/>
  <c r="W58" i="15"/>
  <c r="W11" i="15"/>
  <c r="X62" i="15"/>
  <c r="X22" i="15"/>
  <c r="AA36" i="15"/>
  <c r="AB33" i="15"/>
  <c r="AA66" i="15"/>
  <c r="Y26" i="15"/>
  <c r="Y47" i="15"/>
  <c r="Z16" i="15"/>
  <c r="Z76" i="15"/>
  <c r="AB12" i="15"/>
  <c r="X13" i="15"/>
  <c r="AB74" i="15"/>
  <c r="AB45" i="15"/>
  <c r="X42" i="15"/>
  <c r="AA78" i="15"/>
  <c r="AA40" i="15"/>
  <c r="X32" i="15"/>
  <c r="Y37" i="15"/>
  <c r="Y49" i="15"/>
  <c r="X70" i="15"/>
  <c r="AA44" i="15"/>
  <c r="Y17" i="15"/>
  <c r="Z37" i="15"/>
  <c r="Z73" i="15"/>
  <c r="Y38" i="15"/>
  <c r="X21" i="15"/>
  <c r="Z5" i="15"/>
  <c r="AA59" i="15"/>
  <c r="X4" i="15"/>
  <c r="Y48" i="15"/>
  <c r="Y54" i="15"/>
  <c r="Z14" i="15"/>
  <c r="X49" i="15"/>
  <c r="Y70" i="15"/>
  <c r="X61" i="15"/>
  <c r="AB18" i="15"/>
  <c r="Y39" i="15"/>
  <c r="AA9" i="15"/>
  <c r="X82" i="15"/>
  <c r="AA22" i="15"/>
  <c r="Z19" i="15"/>
  <c r="Z49" i="15"/>
  <c r="AB29" i="15"/>
  <c r="Z45" i="15"/>
  <c r="Y68" i="15"/>
  <c r="AA73" i="15"/>
  <c r="AB82" i="15"/>
  <c r="X80" i="15"/>
  <c r="AA35" i="15"/>
  <c r="X51" i="15"/>
  <c r="Y25" i="15"/>
  <c r="X16" i="15"/>
  <c r="Z6" i="15"/>
  <c r="Z80" i="15"/>
  <c r="Z55" i="15"/>
  <c r="Z56" i="15"/>
  <c r="Y67" i="15"/>
  <c r="AB4" i="15"/>
  <c r="Z15" i="15"/>
  <c r="X45" i="15"/>
  <c r="Z63" i="15"/>
  <c r="Y34" i="15"/>
  <c r="Z35" i="15"/>
  <c r="AA64" i="15"/>
  <c r="AA18" i="15"/>
  <c r="AB85" i="15"/>
  <c r="AB81" i="15"/>
  <c r="X27" i="15"/>
  <c r="AA6" i="15"/>
  <c r="AA85" i="15"/>
  <c r="AA27" i="15"/>
  <c r="Y28" i="15"/>
  <c r="Y7" i="15"/>
  <c r="AA57" i="15"/>
  <c r="AA39" i="15"/>
  <c r="AA70" i="15"/>
  <c r="Y74" i="15"/>
  <c r="AB6" i="15"/>
  <c r="X33" i="15"/>
  <c r="Y31" i="15"/>
  <c r="X58" i="15"/>
  <c r="AB46" i="15"/>
  <c r="Z22" i="15"/>
  <c r="AA63" i="15"/>
  <c r="AB77" i="15"/>
  <c r="AB58" i="15"/>
  <c r="AA31" i="15"/>
  <c r="Z24" i="15"/>
  <c r="AB80" i="15"/>
  <c r="AB64" i="15"/>
  <c r="Z10" i="15"/>
  <c r="AB9" i="15"/>
  <c r="Z58" i="15"/>
  <c r="Y41" i="15"/>
  <c r="AB14" i="15"/>
  <c r="Z81" i="15"/>
  <c r="AB19" i="15"/>
  <c r="X30" i="15"/>
  <c r="AA74" i="15"/>
  <c r="X64" i="15"/>
  <c r="Y55" i="15"/>
  <c r="Y10" i="15"/>
  <c r="AB63" i="15"/>
  <c r="Y87" i="15"/>
  <c r="AB71" i="15"/>
  <c r="Y84" i="15"/>
  <c r="AB23" i="15"/>
  <c r="AB78" i="15"/>
  <c r="Z62" i="15"/>
  <c r="AA53" i="15"/>
  <c r="Z34" i="15"/>
  <c r="Z88" i="15"/>
  <c r="AA42" i="15"/>
  <c r="Y46" i="15"/>
  <c r="Y12" i="15"/>
  <c r="AA68" i="15"/>
  <c r="Y65" i="15"/>
  <c r="X50" i="15"/>
  <c r="Y5" i="15"/>
  <c r="Y81" i="15"/>
  <c r="X35" i="15"/>
  <c r="AA29" i="15"/>
  <c r="AA13" i="15"/>
  <c r="X60" i="15"/>
  <c r="Z8" i="15"/>
  <c r="X11" i="15"/>
  <c r="Z42" i="15"/>
  <c r="Y33" i="15"/>
  <c r="Y43" i="15"/>
  <c r="AA12" i="15"/>
  <c r="Y4" i="15"/>
  <c r="X34" i="15"/>
  <c r="AB35" i="15"/>
  <c r="AB5" i="15"/>
  <c r="X24" i="15"/>
  <c r="X65" i="15"/>
  <c r="AB17" i="15"/>
  <c r="Z75" i="15"/>
  <c r="AA71" i="15"/>
  <c r="AA38" i="15"/>
  <c r="AA14" i="15"/>
  <c r="Z52" i="15"/>
  <c r="AA34" i="15"/>
  <c r="X87" i="15"/>
  <c r="AB54" i="15"/>
  <c r="Y64" i="15"/>
  <c r="X46" i="15"/>
  <c r="AA55" i="15"/>
  <c r="AA26" i="15"/>
  <c r="AB55" i="15"/>
  <c r="AA30" i="15"/>
  <c r="X25" i="15"/>
  <c r="Z40" i="15"/>
  <c r="AB30" i="15"/>
  <c r="X39" i="15"/>
  <c r="AB73" i="15"/>
  <c r="X57" i="15"/>
  <c r="AB87" i="15"/>
  <c r="AB52" i="15"/>
  <c r="Z70" i="15"/>
  <c r="X47" i="15"/>
  <c r="Y83" i="15"/>
  <c r="AA54" i="15"/>
  <c r="X43" i="15"/>
  <c r="Z23" i="15"/>
  <c r="Z36" i="15"/>
  <c r="AA47" i="15"/>
  <c r="AA21" i="15"/>
  <c r="AA7" i="15"/>
  <c r="X54" i="15"/>
  <c r="Y16" i="15"/>
  <c r="AB44" i="15"/>
  <c r="X66" i="15"/>
  <c r="AA52" i="15"/>
  <c r="Y23" i="15"/>
  <c r="Z48" i="15"/>
  <c r="AA67" i="15"/>
  <c r="Z59" i="15"/>
  <c r="X38" i="15"/>
  <c r="Y82" i="15"/>
  <c r="Z68" i="15"/>
  <c r="AA80" i="15"/>
  <c r="X12" i="15"/>
  <c r="X37" i="15"/>
  <c r="Z9" i="15"/>
  <c r="Y22" i="15"/>
  <c r="Z64" i="15"/>
  <c r="Z83" i="15"/>
  <c r="Y56" i="15"/>
  <c r="AB72" i="15"/>
  <c r="AA8" i="15"/>
  <c r="Z72" i="15"/>
  <c r="AA51" i="15"/>
  <c r="AB8" i="15"/>
  <c r="Y66" i="15"/>
  <c r="AB84" i="15"/>
  <c r="Z26" i="15"/>
  <c r="Y72" i="15"/>
  <c r="AB60" i="15"/>
  <c r="AB40" i="15"/>
  <c r="Y51" i="15"/>
  <c r="X52" i="15"/>
  <c r="Z60" i="15"/>
  <c r="AA33" i="15"/>
  <c r="Z18" i="15"/>
  <c r="X78" i="15"/>
  <c r="Y88" i="15"/>
  <c r="X76" i="15"/>
  <c r="X15" i="15"/>
  <c r="AB31" i="15"/>
  <c r="AA25" i="15"/>
  <c r="AA41" i="15"/>
  <c r="Y9" i="15"/>
  <c r="AA11" i="15"/>
  <c r="X53" i="15"/>
  <c r="X26" i="15"/>
  <c r="AB43" i="15"/>
  <c r="X72" i="15"/>
  <c r="AB39" i="15"/>
  <c r="Z67" i="15"/>
  <c r="X75" i="15"/>
  <c r="AA48" i="15"/>
  <c r="AA65" i="15"/>
  <c r="Z43" i="15"/>
  <c r="AB32" i="15"/>
  <c r="X81" i="15"/>
  <c r="Z50" i="15"/>
  <c r="AB67" i="15"/>
  <c r="AA43" i="15"/>
  <c r="X31" i="15"/>
  <c r="Y6" i="15"/>
  <c r="X36" i="15"/>
  <c r="Y24" i="15"/>
  <c r="Y58" i="15"/>
  <c r="AB22" i="15"/>
  <c r="AA46" i="15"/>
  <c r="AB57" i="15"/>
  <c r="X5" i="15"/>
  <c r="Z27" i="15"/>
  <c r="Z87" i="15"/>
  <c r="Z86" i="15"/>
  <c r="AA61" i="15"/>
  <c r="AA37" i="15"/>
  <c r="Y44" i="15"/>
  <c r="Z20" i="15"/>
  <c r="Y19" i="15"/>
  <c r="AB11" i="15"/>
  <c r="AB3" i="15"/>
  <c r="AB62" i="15"/>
  <c r="Y57" i="15"/>
  <c r="AB25" i="15"/>
  <c r="Y85" i="15"/>
  <c r="Z32" i="15"/>
  <c r="Y52" i="15"/>
  <c r="Y35" i="15"/>
  <c r="X83" i="15"/>
  <c r="Y32" i="15"/>
  <c r="Z29" i="15"/>
  <c r="AA75" i="15"/>
  <c r="AB50" i="15"/>
  <c r="Z44" i="15"/>
  <c r="X9" i="15"/>
  <c r="Y77" i="15"/>
  <c r="AA10" i="15"/>
  <c r="Y76" i="15"/>
  <c r="AA69" i="15"/>
  <c r="Y29" i="15"/>
  <c r="Z77" i="15"/>
  <c r="AB59" i="15"/>
  <c r="X41" i="15"/>
  <c r="AB66" i="15"/>
  <c r="AB48" i="15"/>
  <c r="Y14" i="15"/>
  <c r="AB61" i="15"/>
  <c r="Y21" i="15"/>
  <c r="Z51" i="15"/>
  <c r="AB42" i="15"/>
  <c r="AA5" i="15"/>
  <c r="Z78" i="15"/>
  <c r="Y71" i="15"/>
  <c r="AB75" i="15"/>
  <c r="Z7" i="15"/>
  <c r="AA24" i="15"/>
  <c r="Z54" i="15"/>
  <c r="Y78" i="15"/>
  <c r="AB20" i="15"/>
  <c r="Z65" i="15"/>
  <c r="Z69" i="15"/>
  <c r="Y50" i="15"/>
  <c r="AB86" i="15"/>
  <c r="AB53" i="15"/>
  <c r="AA4" i="15"/>
  <c r="X55" i="15"/>
  <c r="Z66" i="15"/>
  <c r="AB21" i="15"/>
  <c r="AA3" i="15"/>
  <c r="Z71" i="15"/>
  <c r="AA32" i="15"/>
  <c r="AB27" i="15"/>
  <c r="Y73" i="15"/>
  <c r="Y13" i="15"/>
  <c r="Y69" i="15"/>
  <c r="Z31" i="15"/>
  <c r="X28" i="15"/>
  <c r="X84" i="15"/>
  <c r="Y11" i="15"/>
  <c r="X73" i="15"/>
  <c r="AB13" i="15"/>
  <c r="X40" i="15"/>
  <c r="X18" i="15"/>
  <c r="X14" i="15"/>
  <c r="AA17" i="15"/>
  <c r="Y63" i="15"/>
  <c r="AA58" i="15"/>
  <c r="AB38" i="15"/>
  <c r="AA16" i="15"/>
  <c r="AA76" i="15"/>
  <c r="AA19" i="15"/>
  <c r="Z61" i="15"/>
  <c r="Z33" i="15"/>
  <c r="AB47" i="15"/>
  <c r="AA77" i="15"/>
  <c r="AA88" i="15"/>
  <c r="X7" i="15"/>
  <c r="AA56" i="15"/>
  <c r="AB68" i="15"/>
  <c r="X63" i="15"/>
  <c r="AA28" i="15"/>
  <c r="Y45" i="15"/>
  <c r="AB69" i="15"/>
  <c r="X88" i="15"/>
  <c r="AB26" i="15"/>
  <c r="X56" i="15"/>
  <c r="Y79" i="15"/>
  <c r="AB24" i="15"/>
  <c r="AA45" i="15"/>
  <c r="Z57" i="15"/>
  <c r="Z79" i="15"/>
  <c r="AB36" i="15"/>
  <c r="AB76" i="15"/>
  <c r="Z41" i="15"/>
  <c r="AA87" i="15"/>
  <c r="X20" i="15"/>
  <c r="AA50" i="15"/>
  <c r="AB70" i="15"/>
  <c r="Y18" i="15"/>
  <c r="Y27" i="15"/>
  <c r="AA79" i="15"/>
  <c r="AB15" i="15"/>
  <c r="AB65" i="15"/>
  <c r="X10" i="15"/>
  <c r="Z3" i="15"/>
  <c r="X74" i="15"/>
  <c r="Y3" i="15"/>
  <c r="X86" i="15"/>
  <c r="Z74" i="15"/>
  <c r="AB7" i="15"/>
  <c r="X23" i="15"/>
  <c r="AB83" i="15"/>
  <c r="X17" i="15"/>
  <c r="Y61" i="15"/>
  <c r="Z39" i="15"/>
  <c r="AA15" i="15"/>
  <c r="AB28" i="15"/>
  <c r="AB56" i="15"/>
  <c r="Z38" i="15"/>
  <c r="Z17" i="15"/>
  <c r="Y36" i="15"/>
  <c r="X48" i="15"/>
  <c r="X67" i="15"/>
  <c r="Y40" i="15"/>
  <c r="Z21" i="15"/>
  <c r="AB88" i="15"/>
  <c r="X79" i="15"/>
  <c r="Y60" i="15"/>
  <c r="X29" i="15"/>
  <c r="AA20" i="15"/>
  <c r="Y42" i="15"/>
  <c r="AA83" i="15"/>
  <c r="AA23" i="15"/>
  <c r="X71" i="15"/>
  <c r="AA62" i="15"/>
  <c r="Z12" i="15"/>
  <c r="Y59" i="15"/>
  <c r="Z30" i="15"/>
  <c r="X77" i="15"/>
  <c r="X85" i="15"/>
  <c r="Z25" i="15"/>
  <c r="AA86" i="15"/>
  <c r="AB49" i="15"/>
  <c r="X3" i="15"/>
  <c r="Y80" i="15"/>
  <c r="Z13" i="15"/>
  <c r="AB10" i="15"/>
  <c r="AB41" i="15"/>
  <c r="Z82" i="15"/>
  <c r="AA82" i="15"/>
  <c r="Y8" i="15"/>
  <c r="Z85" i="15"/>
  <c r="X44" i="15"/>
  <c r="Z46" i="15"/>
  <c r="Z53" i="15"/>
  <c r="AA72" i="15"/>
  <c r="X59" i="15"/>
  <c r="X8" i="15"/>
  <c r="AA49" i="15"/>
  <c r="Y62" i="15"/>
  <c r="X19" i="15"/>
  <c r="AA84" i="15"/>
  <c r="Z28" i="15"/>
  <c r="Y75" i="15"/>
  <c r="Y15" i="15"/>
  <c r="Y20" i="15"/>
  <c r="X68" i="15"/>
  <c r="AB79" i="15"/>
  <c r="AB51" i="15"/>
  <c r="Z11" i="15"/>
  <c r="AB34" i="15"/>
  <c r="AB16" i="15"/>
  <c r="X6" i="15"/>
  <c r="Z47" i="15"/>
  <c r="Z84" i="15"/>
  <c r="Y53" i="15"/>
  <c r="AA60" i="15"/>
  <c r="AB37" i="15"/>
  <c r="Y86" i="15"/>
  <c r="Y30" i="15"/>
  <c r="AA81" i="15"/>
  <c r="X69" i="15"/>
  <c r="Z4" i="15"/>
  <c r="V61" i="15" l="1"/>
  <c r="V40" i="15"/>
  <c r="V75" i="15"/>
  <c r="V15" i="15"/>
  <c r="V44" i="15"/>
  <c r="V47" i="15"/>
  <c r="V31" i="15"/>
  <c r="V43" i="15"/>
  <c r="V20" i="15"/>
  <c r="V11" i="15"/>
  <c r="V35" i="15"/>
  <c r="V39" i="15"/>
  <c r="V88" i="15"/>
  <c r="V74" i="15"/>
  <c r="V41" i="15"/>
  <c r="V71" i="15"/>
  <c r="V4" i="15"/>
  <c r="V14" i="15"/>
  <c r="V26" i="15"/>
  <c r="V77" i="15"/>
  <c r="V27" i="15"/>
  <c r="V46" i="15"/>
  <c r="V50" i="15"/>
  <c r="V58" i="15"/>
  <c r="V68" i="15"/>
  <c r="V37" i="15"/>
  <c r="V19" i="15"/>
  <c r="V78" i="15"/>
  <c r="V8" i="15"/>
  <c r="V38" i="15"/>
  <c r="V82" i="15"/>
  <c r="V66" i="15"/>
  <c r="V13" i="15"/>
  <c r="V25" i="15"/>
  <c r="V29" i="15"/>
  <c r="V23" i="15"/>
  <c r="V6" i="15"/>
  <c r="V57" i="15"/>
  <c r="V84" i="15"/>
  <c r="V52" i="15"/>
  <c r="V5" i="15"/>
  <c r="V70" i="15"/>
  <c r="V67" i="15"/>
  <c r="V33" i="15"/>
  <c r="V87" i="15"/>
  <c r="V54" i="15"/>
  <c r="V69" i="15"/>
  <c r="V3" i="15"/>
  <c r="V34" i="15"/>
  <c r="V18" i="15"/>
  <c r="V12" i="15"/>
  <c r="V30" i="15"/>
  <c r="V53" i="15"/>
  <c r="V42" i="15"/>
  <c r="V17" i="15"/>
  <c r="V56" i="15"/>
  <c r="V36" i="15"/>
  <c r="V81" i="15"/>
  <c r="V9" i="15"/>
  <c r="V60" i="15"/>
  <c r="V32" i="15"/>
  <c r="V24" i="15"/>
  <c r="V63" i="15"/>
  <c r="V72" i="15"/>
  <c r="V76" i="15"/>
  <c r="V28" i="15"/>
  <c r="V51" i="15"/>
  <c r="V55" i="15"/>
  <c r="V73" i="15"/>
  <c r="V22" i="15"/>
  <c r="V65" i="15"/>
  <c r="V80" i="15"/>
  <c r="V64" i="15"/>
  <c r="V48" i="15"/>
  <c r="V7" i="15"/>
  <c r="V45" i="15"/>
  <c r="V49" i="15"/>
  <c r="V16" i="15"/>
  <c r="V10" i="15"/>
  <c r="V21" i="15"/>
  <c r="V59" i="15"/>
  <c r="V86" i="15"/>
  <c r="V62" i="15"/>
  <c r="V83" i="15"/>
  <c r="V85" i="15"/>
  <c r="V79" i="15"/>
  <c r="I14" i="1"/>
  <c r="H25" i="1"/>
  <c r="H24" i="1"/>
  <c r="I24" i="1"/>
  <c r="AC2" i="15" a="1"/>
  <c r="I15" i="1"/>
  <c r="I25" i="1"/>
  <c r="I27" i="1"/>
  <c r="AC40" i="15" l="1"/>
  <c r="AC60" i="15"/>
  <c r="AC61" i="15"/>
  <c r="AC32" i="15"/>
  <c r="AC10" i="15"/>
  <c r="AC59" i="15"/>
  <c r="AC49" i="15"/>
  <c r="AC4" i="15"/>
  <c r="AC12" i="15"/>
  <c r="AC73" i="15"/>
  <c r="AC47" i="15"/>
  <c r="AC29" i="15"/>
  <c r="AC22" i="15"/>
  <c r="AC78" i="15"/>
  <c r="AC43" i="15"/>
  <c r="AC33" i="15"/>
  <c r="AC86" i="15"/>
  <c r="AC17" i="15"/>
  <c r="AC6" i="15"/>
  <c r="AC19" i="15"/>
  <c r="AC81" i="15"/>
  <c r="AC83" i="15"/>
  <c r="AC35" i="15"/>
  <c r="AC54" i="15"/>
  <c r="AC5" i="15"/>
  <c r="AC85" i="15"/>
  <c r="AC30" i="15"/>
  <c r="AC3" i="15"/>
  <c r="AC13" i="15"/>
  <c r="AC77" i="15"/>
  <c r="AC39" i="15"/>
  <c r="AC18" i="15"/>
  <c r="AC63" i="15"/>
  <c r="AC55" i="15"/>
  <c r="AC20" i="15"/>
  <c r="AC7" i="15"/>
  <c r="AC64" i="15"/>
  <c r="AC52" i="15"/>
  <c r="AC58" i="15"/>
  <c r="AC51" i="15"/>
  <c r="AC9" i="15"/>
  <c r="AC66" i="15"/>
  <c r="AC37" i="15"/>
  <c r="AC88" i="15"/>
  <c r="AC46" i="15"/>
  <c r="AC2" i="15"/>
  <c r="AC11" i="15"/>
  <c r="AC62" i="15"/>
  <c r="AC16" i="15"/>
  <c r="AC14" i="15"/>
  <c r="AC24" i="15"/>
  <c r="AC25" i="15"/>
  <c r="AC74" i="15"/>
  <c r="AC87" i="15"/>
  <c r="AC42" i="15"/>
  <c r="AC70" i="15"/>
  <c r="AC72" i="15"/>
  <c r="AC8" i="15"/>
  <c r="AC34" i="15"/>
  <c r="AC44" i="15"/>
  <c r="AC57" i="15"/>
  <c r="AC27" i="15"/>
  <c r="AC84" i="15"/>
  <c r="AC28" i="15"/>
  <c r="AC31" i="15"/>
  <c r="AC75" i="15"/>
  <c r="AC68" i="15"/>
  <c r="AC82" i="15"/>
  <c r="AC65" i="15"/>
  <c r="AC45" i="15"/>
  <c r="AC15" i="15"/>
  <c r="AC26" i="15"/>
  <c r="AC50" i="15"/>
  <c r="AC56" i="15"/>
  <c r="AC80" i="15"/>
  <c r="AC76" i="15"/>
  <c r="AC48" i="15"/>
  <c r="AC21" i="15"/>
  <c r="AC38" i="15"/>
  <c r="AC79" i="15"/>
  <c r="AC53" i="15"/>
  <c r="AC71" i="15"/>
  <c r="AC23" i="15"/>
  <c r="AC69" i="15"/>
  <c r="AC36" i="15"/>
  <c r="AC41" i="15"/>
  <c r="AC67" i="15"/>
  <c r="C41" i="1" l="1"/>
  <c r="H41" i="1"/>
  <c r="H26" i="1"/>
  <c r="C26" i="1"/>
  <c r="C56" i="1"/>
  <c r="D41" i="1"/>
  <c r="D26" i="1"/>
  <c r="I41" i="1"/>
  <c r="I26" i="1"/>
  <c r="D56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<sst xmlns="http://schemas.openxmlformats.org/spreadsheetml/2006/main" count="1867" uniqueCount="200">
  <si>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</si>
  <si>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</si>
  <si>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</si>
  <si>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</si>
  <si>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</si>
  <si>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</si>
  <si>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</si>
  <si>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</si>
  <si>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</si>
  <si>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</si>
  <si>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</si>
  <si>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</si>
  <si>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</si>
  <si>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</si>
  <si>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</si>
  <si>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</si>
  <si>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</si>
  <si>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</si>
  <si>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</si>
  <si>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</si>
  <si>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</si>
  <si>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</si>
  <si>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</si>
  <si>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</si>
  <si>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</si>
  <si>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</si>
  <si>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</si>
  <si>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</si>
  <si>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</si>
  <si>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</si>
  <si>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</si>
  <si>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</si>
  <si>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</si>
  <si>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</si>
  <si>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</si>
  <si>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</si>
  <si>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</si>
  <si>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</si>
  <si>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</si>
  <si>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</si>
  <si>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</si>
  <si>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</si>
  <si>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</si>
  <si>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</si>
  <si>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</si>
  <si>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</si>
  <si>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</si>
  <si>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</si>
  <si>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</si>
  <si>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</si>
  <si>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</si>
  <si>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</si>
  <si>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</si>
  <si>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</si>
  <si>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</si>
  <si>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</si>
  <si>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</si>
  <si>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</si>
  <si>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</si>
  <si>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</si>
  <si>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</si>
  <si>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</si>
  <si>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</si>
  <si>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</si>
  <si>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</si>
  <si>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</si>
  <si>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</si>
  <si>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</si>
  <si>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</si>
  <si>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</si>
  <si>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</si>
  <si>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</si>
  <si>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</si>
  <si>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</si>
  <si>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</si>
  <si>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</si>
  <si>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</si>
  <si>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</si>
  <si>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</si>
  <si>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</si>
  <si>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</si>
  <si>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</si>
  <si>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</si>
  <si>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</si>
  <si>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</si>
  <si>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</si>
  <si>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</si>
  <si>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</si>
  <si>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</si>
  <si>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</si>
  <si>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</si>
  <si>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</si>
  <si>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</si>
  <si>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</si>
  <si>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</si>
  <si>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</si>
  <si>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</si>
  <si>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</si>
  <si>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</si>
  <si>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</si>
  <si>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</si>
  <si>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</si>
  <si>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</si>
  <si>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</si>
  <si>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</si>
  <si>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</si>
  <si>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</si>
  <si>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</si>
  <si>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</si>
  <si>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</si>
  <si>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</si>
  <si>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</si>
  <si>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</si>
  <si>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</si>
  <si>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</si>
  <si>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</si>
  <si>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</si>
  <si>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</si>
  <si>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</si>
  <si>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</si>
  <si>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</si>
  <si>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</si>
  <si>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</si>
  <si>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</si>
  <si>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</si>
  <si>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</si>
  <si>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</si>
  <si>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</si>
  <si>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</si>
  <si>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</si>
  <si>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</si>
  <si>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</si>
  <si>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</si>
  <si>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</si>
  <si>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</si>
  <si>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</si>
  <si>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</si>
  <si>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</si>
  <si>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</si>
  <si>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</si>
  <si>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</si>
  <si>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</si>
  <si>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</si>
  <si>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</si>
  <si>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</si>
  <si>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</si>
  <si>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</si>
  <si>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</si>
  <si>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</si>
  <si>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</si>
  <si>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</si>
  <si>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</si>
  <si>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</si>
  <si>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</si>
  <si>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qlSwapRateHelper2(,H90,,B90&amp;"M",JoinCalendar,USD3M!D90,USD3M!E90,USD3M!F90,USD3M!G90,USD3M!I90,USD3M!C90,Discounting,PillarDate,,Permanent,Trigger,ObjectOverwrite)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</si>
  <si>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</si>
  <si>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</si>
  <si>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</si>
  <si>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</si>
  <si>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</si>
  <si>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</si>
  <si>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</si>
  <si>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</si>
  <si>
    <t>USDFedFunds</t>
  </si>
  <si>
    <t>BasOIS</t>
  </si>
  <si>
    <t>FF</t>
  </si>
  <si>
    <t>Quarterly</t>
  </si>
  <si>
    <t>Payer/Receiver</t>
  </si>
  <si>
    <t>Nominal</t>
  </si>
  <si>
    <t>FixedRate</t>
  </si>
  <si>
    <t>FixDayCount</t>
  </si>
  <si>
    <t>OvernightIndex</t>
  </si>
  <si>
    <t>ArithemticAverage</t>
  </si>
  <si>
    <t>MeanReversion</t>
  </si>
  <si>
    <t>Volatility</t>
  </si>
  <si>
    <t>EffectiveDate</t>
  </si>
  <si>
    <t>Payer</t>
  </si>
  <si>
    <t>PaymentFrequency</t>
  </si>
  <si>
    <t>PricingEngine</t>
  </si>
  <si>
    <t>FairRate</t>
  </si>
  <si>
    <t>FairSpread</t>
  </si>
  <si>
    <t>PaymentPeriod</t>
  </si>
  <si>
    <t>bps</t>
  </si>
  <si>
    <t>Ts</t>
  </si>
  <si>
    <t>Te</t>
  </si>
  <si>
    <t>Convexity1</t>
  </si>
  <si>
    <t>Convexity2</t>
  </si>
  <si>
    <t>Convexity1_3M</t>
  </si>
  <si>
    <t>Convexity2_3M</t>
  </si>
  <si>
    <t>10y</t>
  </si>
  <si>
    <t>TotalConvexity</t>
  </si>
  <si>
    <t>DiscTe</t>
  </si>
  <si>
    <t>DiscTs</t>
  </si>
  <si>
    <t>tau Act/365</t>
  </si>
  <si>
    <t>tau Act/360</t>
  </si>
  <si>
    <t>RateG</t>
  </si>
  <si>
    <t>RateA formula1</t>
  </si>
  <si>
    <t>RateA formula2</t>
  </si>
  <si>
    <t>Convexity1_10Y</t>
  </si>
  <si>
    <t>Convexity2_10Y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</si>
</sst>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43" formatCode="_-* #,##0.00_-;\-* #,##0.00_-;_-* &quot;-&quot;??_-;_-@_-"/>
    <numFmt numFmtId="164" formatCode="_-* #,##0.00_-;\-* #,##0.00_-;_-* &quot;-&quot;??_-;_-@_-"/>
    <numFmt numFmtId="165" formatCode="&quot;£&quot;#,##0;[Red]\-&quot;£&quot;#,##0"/>
    <numFmt numFmtId="166" formatCode="mm/dd/yy;@"/>
    <numFmt numFmtId="167" formatCode="0.0000%"/>
    <numFmt numFmtId="168" formatCode="0.00000%"/>
    <numFmt numFmtId="169" formatCode="ddd\,\ dd\-mmm\-yyyy"/>
    <numFmt numFmtId="170" formatCode="ddd\,\ dd\-mmm\-yyyy\,\ hh:mm:ss"/>
    <numFmt numFmtId="171" formatCode="ddd\,\ d\-mmm\-yy"/>
    <numFmt numFmtId="172" formatCode="ddd\,\ d\-mmm\-yyyy"/>
    <numFmt numFmtId="173" formatCode="0.000000000"/>
    <numFmt numFmtId="174" formatCode="ddd\,\ d\-mmm\-yyyy\,\ hh:mm:ss"/>
    <numFmt numFmtId="175" formatCode="0.000000"/>
    <numFmt numFmtId="176" formatCode="_([$€-2]* #,##0.00_);_([$€-2]* \(#,##0.00\);_([$€-2]* &quot;-&quot;??_)"/>
    <numFmt numFmtId="177" formatCode="General_)"/>
    <numFmt numFmtId="178" formatCode="#,##0.0;#,##0.0"/>
    <numFmt numFmtId="179" formatCode="0.0000"/>
    <numFmt numFmtId="180" formatCode="dd\-mmm\-yy"/>
    <numFmt numFmtId="185" formatCode="_-* #,##0.0000_-;\-* #,##0.0000_-;_-* &quot;-&quot;??_-;_-@_-"/>
    <numFmt numFmtId="186" formatCode="_-* #,##0.000_-;\-* #,##0.000_-;_-* &quot;-&quot;??_-;_-@_-"/>
    <numFmt numFmtId="187" formatCode="0.00000000000000000%"/>
    <numFmt numFmtId="188" formatCode="0.00000000000000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7" fontId="7" fillId="0" borderId="0"/>
    <xf numFmtId="178" fontId="8" fillId="5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261">
    <xf numFmtId="0" fontId="0" fillId="0" borderId="0" xfId="0"/>
    <xf numFmtId="166" fontId="3" fillId="2" borderId="1" xfId="1" applyNumberFormat="1" applyFont="1" applyFill="1" applyBorder="1" applyAlignment="1"/>
    <xf numFmtId="168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9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right"/>
    </xf>
    <xf numFmtId="166" fontId="3" fillId="2" borderId="1" xfId="1" applyNumberFormat="1" applyFont="1" applyFill="1" applyBorder="1" applyAlignment="1">
      <alignment horizontal="right" vertical="center"/>
    </xf>
    <xf numFmtId="166" fontId="3" fillId="2" borderId="1" xfId="1" applyNumberFormat="1" applyFont="1" applyFill="1" applyBorder="1" applyAlignment="1">
      <alignment horizontal="center" vertical="center"/>
    </xf>
    <xf numFmtId="166" fontId="5" fillId="0" borderId="6" xfId="0" applyNumberFormat="1" applyFont="1" applyBorder="1"/>
    <xf numFmtId="166" fontId="5" fillId="0" borderId="1" xfId="0" applyNumberFormat="1" applyFont="1" applyBorder="1"/>
    <xf numFmtId="169" fontId="5" fillId="0" borderId="1" xfId="0" applyNumberFormat="1" applyFont="1" applyBorder="1"/>
    <xf numFmtId="0" fontId="3" fillId="7" borderId="8" xfId="1" applyFont="1" applyFill="1" applyBorder="1"/>
    <xf numFmtId="169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9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4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4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4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1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70" fontId="3" fillId="2" borderId="0" xfId="3" applyNumberFormat="1" applyFont="1" applyFill="1" applyBorder="1" applyAlignment="1">
      <alignment horizontal="center"/>
    </xf>
    <xf numFmtId="172" fontId="3" fillId="2" borderId="8" xfId="1" applyNumberFormat="1" applyFont="1" applyFill="1" applyBorder="1" applyAlignment="1">
      <alignment horizontal="right"/>
    </xf>
    <xf numFmtId="173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right"/>
    </xf>
    <xf numFmtId="173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70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6" fontId="3" fillId="2" borderId="8" xfId="1" applyNumberFormat="1" applyFont="1" applyFill="1" applyBorder="1" applyAlignment="1"/>
    <xf numFmtId="166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6" fontId="3" fillId="2" borderId="8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6" fontId="3" fillId="2" borderId="6" xfId="1" applyNumberFormat="1" applyFont="1" applyFill="1" applyBorder="1" applyAlignment="1"/>
    <xf numFmtId="166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right"/>
    </xf>
    <xf numFmtId="166" fontId="3" fillId="2" borderId="6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6" fontId="5" fillId="0" borderId="8" xfId="0" applyNumberFormat="1" applyFont="1" applyBorder="1"/>
    <xf numFmtId="175" fontId="3" fillId="7" borderId="12" xfId="0" applyNumberFormat="1" applyFont="1" applyFill="1" applyBorder="1" applyAlignment="1">
      <alignment horizontal="centerContinuous" vertical="center"/>
    </xf>
    <xf numFmtId="167" fontId="5" fillId="0" borderId="6" xfId="0" applyNumberFormat="1" applyFont="1" applyBorder="1"/>
    <xf numFmtId="166" fontId="5" fillId="3" borderId="6" xfId="0" applyNumberFormat="1" applyFont="1" applyFill="1" applyBorder="1"/>
    <xf numFmtId="166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5" fontId="3" fillId="7" borderId="2" xfId="0" applyNumberFormat="1" applyFont="1" applyFill="1" applyBorder="1" applyAlignment="1">
      <alignment horizontal="center" vertical="center" wrapText="1"/>
    </xf>
    <xf numFmtId="173" fontId="5" fillId="0" borderId="8" xfId="0" applyNumberFormat="1" applyFont="1" applyBorder="1"/>
    <xf numFmtId="173" fontId="5" fillId="0" borderId="6" xfId="0" applyNumberFormat="1" applyFont="1" applyBorder="1"/>
    <xf numFmtId="173" fontId="5" fillId="0" borderId="1" xfId="0" applyNumberFormat="1" applyFont="1" applyBorder="1"/>
    <xf numFmtId="167" fontId="5" fillId="0" borderId="1" xfId="0" applyNumberFormat="1" applyFont="1" applyBorder="1"/>
    <xf numFmtId="173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9" fontId="3" fillId="2" borderId="3" xfId="1" applyNumberFormat="1" applyFont="1" applyFill="1" applyBorder="1" applyAlignment="1">
      <alignment horizontal="center"/>
    </xf>
    <xf numFmtId="169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4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9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7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7" fontId="5" fillId="0" borderId="6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6" fontId="3" fillId="2" borderId="2" xfId="1" applyNumberFormat="1" applyFont="1" applyFill="1" applyBorder="1" applyAlignment="1"/>
    <xf numFmtId="166" fontId="3" fillId="2" borderId="2" xfId="1" applyNumberFormat="1" applyFont="1" applyFill="1" applyBorder="1" applyAlignment="1">
      <alignment horizontal="right" vertical="center"/>
    </xf>
    <xf numFmtId="166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8" fontId="3" fillId="3" borderId="2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horizontal="left"/>
    </xf>
    <xf numFmtId="168" fontId="3" fillId="3" borderId="1" xfId="1" applyNumberFormat="1" applyFont="1" applyFill="1" applyBorder="1" applyAlignment="1">
      <alignment horizontal="left"/>
    </xf>
    <xf numFmtId="166" fontId="3" fillId="10" borderId="2" xfId="1" applyNumberFormat="1" applyFont="1" applyFill="1" applyBorder="1" applyAlignment="1">
      <alignment horizontal="center" vertical="center"/>
    </xf>
    <xf numFmtId="166" fontId="3" fillId="10" borderId="6" xfId="1" applyNumberFormat="1" applyFont="1" applyFill="1" applyBorder="1" applyAlignment="1">
      <alignment horizontal="center" vertical="center"/>
    </xf>
    <xf numFmtId="166" fontId="3" fillId="10" borderId="1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/>
    </xf>
    <xf numFmtId="166" fontId="3" fillId="10" borderId="8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7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6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7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7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7" fontId="5" fillId="3" borderId="1" xfId="0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vertical="center"/>
    </xf>
    <xf numFmtId="168" fontId="3" fillId="3" borderId="1" xfId="1" applyNumberFormat="1" applyFont="1" applyFill="1" applyBorder="1" applyAlignment="1">
      <alignment vertical="center"/>
    </xf>
    <xf numFmtId="174" fontId="3" fillId="9" borderId="3" xfId="1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6" fontId="3" fillId="2" borderId="16" xfId="1" applyNumberFormat="1" applyFont="1" applyFill="1" applyBorder="1" applyAlignment="1"/>
    <xf numFmtId="166" fontId="3" fillId="2" borderId="16" xfId="1" applyNumberFormat="1" applyFont="1" applyFill="1" applyBorder="1" applyAlignment="1">
      <alignment horizontal="right" vertical="center"/>
    </xf>
    <xf numFmtId="166" fontId="3" fillId="2" borderId="16" xfId="1" applyNumberFormat="1" applyFont="1" applyFill="1" applyBorder="1" applyAlignment="1">
      <alignment horizontal="center" vertical="center"/>
    </xf>
    <xf numFmtId="166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8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6" fontId="3" fillId="2" borderId="17" xfId="1" applyNumberFormat="1" applyFont="1" applyFill="1" applyBorder="1" applyAlignment="1"/>
    <xf numFmtId="166" fontId="3" fillId="2" borderId="17" xfId="1" applyNumberFormat="1" applyFont="1" applyFill="1" applyBorder="1" applyAlignment="1">
      <alignment horizontal="right" vertical="center"/>
    </xf>
    <xf numFmtId="166" fontId="3" fillId="2" borderId="17" xfId="1" applyNumberFormat="1" applyFont="1" applyFill="1" applyBorder="1" applyAlignment="1">
      <alignment horizontal="center" vertical="center"/>
    </xf>
    <xf numFmtId="166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8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169" fontId="5" fillId="8" borderId="0" xfId="0" applyNumberFormat="1" applyFont="1" applyFill="1"/>
    <xf numFmtId="164" fontId="5" fillId="8" borderId="0" xfId="0" applyNumberFormat="1" applyFont="1" applyFill="1"/>
    <xf numFmtId="3" fontId="5" fillId="8" borderId="0" xfId="0" applyNumberFormat="1" applyFont="1" applyFill="1"/>
    <xf numFmtId="0" fontId="5" fillId="8" borderId="0" xfId="0" applyNumberFormat="1" applyFont="1" applyFill="1"/>
    <xf numFmtId="179" fontId="5" fillId="8" borderId="0" xfId="0" applyNumberFormat="1" applyFont="1" applyFill="1"/>
    <xf numFmtId="167" fontId="5" fillId="8" borderId="0" xfId="0" applyNumberFormat="1" applyFont="1" applyFill="1"/>
    <xf numFmtId="9" fontId="5" fillId="8" borderId="0" xfId="0" applyNumberFormat="1" applyFont="1" applyFill="1"/>
    <xf numFmtId="0" fontId="5" fillId="8" borderId="0" xfId="0" applyFont="1" applyFill="1" applyAlignment="1">
      <alignment horizontal="center" vertical="center" wrapText="1"/>
    </xf>
    <xf numFmtId="169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3" fontId="5" fillId="8" borderId="0" xfId="0" applyNumberFormat="1" applyFont="1" applyFill="1" applyAlignment="1">
      <alignment horizontal="center" vertical="center" wrapText="1"/>
    </xf>
    <xf numFmtId="0" fontId="5" fillId="8" borderId="0" xfId="0" applyNumberFormat="1" applyFont="1" applyFill="1" applyAlignment="1">
      <alignment horizontal="center" vertical="center" wrapText="1"/>
    </xf>
    <xf numFmtId="179" fontId="5" fillId="8" borderId="0" xfId="0" applyNumberFormat="1" applyFont="1" applyFill="1" applyAlignment="1">
      <alignment horizontal="center" vertical="center" wrapText="1"/>
    </xf>
    <xf numFmtId="167" fontId="5" fillId="8" borderId="0" xfId="0" applyNumberFormat="1" applyFont="1" applyFill="1" applyAlignment="1">
      <alignment horizontal="center" vertical="center" wrapText="1"/>
    </xf>
    <xf numFmtId="9" fontId="5" fillId="8" borderId="0" xfId="0" applyNumberFormat="1" applyFont="1" applyFill="1" applyAlignment="1">
      <alignment horizontal="center" vertical="center" wrapText="1"/>
    </xf>
    <xf numFmtId="10" fontId="5" fillId="8" borderId="0" xfId="13" applyNumberFormat="1" applyFont="1" applyFill="1"/>
    <xf numFmtId="0" fontId="5" fillId="8" borderId="0" xfId="0" applyFont="1" applyFill="1" applyAlignment="1">
      <alignment horizontal="left"/>
    </xf>
    <xf numFmtId="0" fontId="5" fillId="8" borderId="0" xfId="0" applyFont="1" applyFill="1" applyAlignment="1">
      <alignment horizontal="left" vertical="center" wrapText="1"/>
    </xf>
    <xf numFmtId="169" fontId="5" fillId="8" borderId="0" xfId="0" applyNumberFormat="1" applyFont="1" applyFill="1" applyAlignment="1">
      <alignment horizontal="left" vertical="center" wrapText="1"/>
    </xf>
    <xf numFmtId="164" fontId="5" fillId="8" borderId="0" xfId="0" applyNumberFormat="1" applyFont="1" applyFill="1" applyAlignment="1">
      <alignment horizontal="right" vertical="center" wrapText="1"/>
    </xf>
    <xf numFmtId="180" fontId="5" fillId="8" borderId="0" xfId="0" applyNumberFormat="1" applyFont="1" applyFill="1" applyAlignment="1">
      <alignment horizontal="right"/>
    </xf>
    <xf numFmtId="164" fontId="5" fillId="8" borderId="0" xfId="0" applyNumberFormat="1" applyFont="1" applyFill="1" applyAlignment="1">
      <alignment horizontal="right" vertical="center" wrapText="1"/>
    </xf>
    <xf numFmtId="10" fontId="5" fillId="8" borderId="0" xfId="0" applyNumberFormat="1" applyFont="1" applyFill="1" applyAlignment="1">
      <alignment horizontal="right" vertical="center" wrapText="1"/>
    </xf>
    <xf numFmtId="167" fontId="5" fillId="8" borderId="0" xfId="0" applyNumberFormat="1" applyFont="1" applyFill="1" applyAlignment="1">
      <alignment horizontal="right" vertical="center" wrapText="1"/>
    </xf>
    <xf numFmtId="2" fontId="5" fillId="8" borderId="0" xfId="0" applyNumberFormat="1" applyFont="1" applyFill="1" applyAlignment="1">
      <alignment horizontal="right" vertical="center" wrapText="1"/>
    </xf>
    <xf numFmtId="169" fontId="5" fillId="8" borderId="0" xfId="0" applyNumberFormat="1" applyFont="1" applyFill="1" applyAlignment="1">
      <alignment horizontal="right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2" fontId="5" fillId="8" borderId="0" xfId="0" applyNumberFormat="1" applyFont="1" applyFill="1"/>
    <xf numFmtId="9" fontId="5" fillId="8" borderId="0" xfId="0" applyNumberFormat="1" applyFont="1" applyFill="1" applyAlignment="1">
      <alignment horizontal="left" vertical="center" wrapText="1"/>
    </xf>
    <xf numFmtId="11" fontId="5" fillId="8" borderId="0" xfId="0" applyNumberFormat="1" applyFont="1" applyFill="1" applyAlignment="1">
      <alignment horizontal="center" vertical="center" wrapText="1"/>
    </xf>
    <xf numFmtId="167" fontId="5" fillId="8" borderId="0" xfId="0" applyNumberFormat="1" applyFont="1" applyFill="1" applyAlignment="1">
      <alignment horizontal="left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0" fontId="3" fillId="4" borderId="0" xfId="1" applyFont="1" applyFill="1" applyBorder="1" applyAlignment="1">
      <alignment horizontal="center"/>
    </xf>
    <xf numFmtId="0" fontId="9" fillId="3" borderId="0" xfId="1" applyFont="1" applyFill="1" applyBorder="1" applyAlignment="1">
      <alignment horizontal="right"/>
    </xf>
    <xf numFmtId="0" fontId="3" fillId="4" borderId="8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10" fontId="5" fillId="8" borderId="0" xfId="0" applyNumberFormat="1" applyFont="1" applyFill="1" applyAlignment="1">
      <alignment horizontal="center" vertical="center" wrapText="1"/>
    </xf>
    <xf numFmtId="10" fontId="5" fillId="8" borderId="8" xfId="0" applyNumberFormat="1" applyFont="1" applyFill="1" applyBorder="1"/>
    <xf numFmtId="10" fontId="5" fillId="8" borderId="6" xfId="0" applyNumberFormat="1" applyFont="1" applyFill="1" applyBorder="1"/>
    <xf numFmtId="10" fontId="5" fillId="8" borderId="1" xfId="0" applyNumberFormat="1" applyFont="1" applyFill="1" applyBorder="1"/>
    <xf numFmtId="164" fontId="5" fillId="8" borderId="2" xfId="0" applyNumberFormat="1" applyFont="1" applyFill="1" applyBorder="1" applyAlignment="1">
      <alignment horizontal="center" vertical="center" wrapText="1"/>
    </xf>
    <xf numFmtId="0" fontId="5" fillId="8" borderId="14" xfId="0" applyNumberFormat="1" applyFont="1" applyFill="1" applyBorder="1" applyAlignment="1">
      <alignment horizontal="center" vertical="center" wrapText="1"/>
    </xf>
    <xf numFmtId="0" fontId="5" fillId="8" borderId="13" xfId="0" applyNumberFormat="1" applyFont="1" applyFill="1" applyBorder="1" applyAlignment="1">
      <alignment horizontal="center" vertical="center" wrapText="1"/>
    </xf>
    <xf numFmtId="0" fontId="5" fillId="8" borderId="15" xfId="0" applyNumberFormat="1" applyFont="1" applyFill="1" applyBorder="1" applyAlignment="1">
      <alignment horizontal="center" vertical="center" wrapText="1"/>
    </xf>
    <xf numFmtId="43" fontId="5" fillId="8" borderId="0" xfId="0" applyNumberFormat="1" applyFont="1" applyFill="1" applyAlignment="1">
      <alignment horizontal="center" vertical="center" wrapText="1"/>
    </xf>
    <xf numFmtId="43" fontId="5" fillId="8" borderId="0" xfId="0" applyNumberFormat="1" applyFont="1" applyFill="1"/>
    <xf numFmtId="169" fontId="5" fillId="8" borderId="12" xfId="0" applyNumberFormat="1" applyFont="1" applyFill="1" applyBorder="1" applyAlignment="1">
      <alignment horizontal="left" vertical="center" wrapText="1"/>
    </xf>
    <xf numFmtId="167" fontId="5" fillId="8" borderId="12" xfId="0" applyNumberFormat="1" applyFont="1" applyFill="1" applyBorder="1" applyAlignment="1">
      <alignment horizontal="right" vertical="center" wrapText="1"/>
    </xf>
    <xf numFmtId="164" fontId="5" fillId="8" borderId="0" xfId="0" applyNumberFormat="1" applyFont="1" applyFill="1" applyAlignment="1">
      <alignment horizontal="left" vertical="center" wrapText="1"/>
    </xf>
    <xf numFmtId="179" fontId="5" fillId="8" borderId="0" xfId="0" applyNumberFormat="1" applyFont="1" applyFill="1" applyAlignment="1">
      <alignment horizontal="right" vertical="center" wrapText="1"/>
    </xf>
    <xf numFmtId="179" fontId="5" fillId="8" borderId="7" xfId="0" applyNumberFormat="1" applyFont="1" applyFill="1" applyBorder="1" applyAlignment="1">
      <alignment horizontal="left"/>
    </xf>
    <xf numFmtId="186" fontId="5" fillId="8" borderId="7" xfId="0" applyNumberFormat="1" applyFont="1" applyFill="1" applyBorder="1" applyAlignment="1">
      <alignment horizontal="left" vertical="center" wrapText="1"/>
    </xf>
    <xf numFmtId="186" fontId="5" fillId="8" borderId="11" xfId="0" applyNumberFormat="1" applyFont="1" applyFill="1" applyBorder="1" applyAlignment="1">
      <alignment horizontal="left" vertical="center" wrapText="1"/>
    </xf>
    <xf numFmtId="179" fontId="5" fillId="8" borderId="0" xfId="0" applyNumberFormat="1" applyFont="1" applyFill="1" applyBorder="1" applyAlignment="1">
      <alignment horizontal="left"/>
    </xf>
    <xf numFmtId="186" fontId="5" fillId="8" borderId="0" xfId="0" applyNumberFormat="1" applyFont="1" applyFill="1" applyBorder="1" applyAlignment="1">
      <alignment horizontal="left" vertical="center" wrapText="1"/>
    </xf>
    <xf numFmtId="187" fontId="5" fillId="8" borderId="0" xfId="0" applyNumberFormat="1" applyFont="1" applyFill="1" applyAlignment="1">
      <alignment horizontal="center" vertical="center" wrapText="1"/>
    </xf>
    <xf numFmtId="164" fontId="5" fillId="8" borderId="7" xfId="0" applyNumberFormat="1" applyFont="1" applyFill="1" applyBorder="1" applyAlignment="1">
      <alignment horizontal="left" vertical="center" wrapText="1"/>
    </xf>
    <xf numFmtId="188" fontId="5" fillId="8" borderId="0" xfId="0" applyNumberFormat="1" applyFont="1" applyFill="1" applyAlignment="1">
      <alignment horizontal="center" vertical="center" wrapText="1"/>
    </xf>
    <xf numFmtId="11" fontId="5" fillId="8" borderId="7" xfId="0" applyNumberFormat="1" applyFont="1" applyFill="1" applyBorder="1" applyAlignment="1">
      <alignment horizontal="left" vertical="center" wrapText="1"/>
    </xf>
    <xf numFmtId="188" fontId="5" fillId="8" borderId="7" xfId="0" applyNumberFormat="1" applyFont="1" applyFill="1" applyBorder="1" applyAlignment="1">
      <alignment horizontal="left" vertical="center" wrapText="1"/>
    </xf>
    <xf numFmtId="185" fontId="5" fillId="8" borderId="11" xfId="0" applyNumberFormat="1" applyFont="1" applyFill="1" applyBorder="1" applyAlignment="1">
      <alignment horizontal="center" vertical="center" wrapText="1"/>
    </xf>
    <xf numFmtId="185" fontId="5" fillId="8" borderId="12" xfId="0" applyNumberFormat="1" applyFont="1" applyFill="1" applyBorder="1" applyAlignment="1">
      <alignment horizontal="center" vertical="center" wrapText="1"/>
    </xf>
    <xf numFmtId="185" fontId="5" fillId="8" borderId="9" xfId="0" applyNumberFormat="1" applyFont="1" applyFill="1" applyBorder="1" applyAlignment="1">
      <alignment horizontal="center" vertical="center" wrapText="1"/>
    </xf>
    <xf numFmtId="185" fontId="5" fillId="8" borderId="7" xfId="0" applyNumberFormat="1" applyFont="1" applyFill="1" applyBorder="1" applyAlignment="1">
      <alignment horizontal="center" vertical="center" wrapText="1"/>
    </xf>
    <xf numFmtId="185" fontId="5" fillId="8" borderId="0" xfId="0" applyNumberFormat="1" applyFont="1" applyFill="1" applyBorder="1" applyAlignment="1">
      <alignment horizontal="center" vertical="center" wrapText="1"/>
    </xf>
    <xf numFmtId="185" fontId="5" fillId="8" borderId="10" xfId="0" applyNumberFormat="1" applyFont="1" applyFill="1" applyBorder="1" applyAlignment="1">
      <alignment horizontal="center" vertical="center" wrapText="1"/>
    </xf>
    <xf numFmtId="185" fontId="5" fillId="8" borderId="5" xfId="0" applyNumberFormat="1" applyFont="1" applyFill="1" applyBorder="1" applyAlignment="1">
      <alignment horizontal="center" vertical="center" wrapText="1"/>
    </xf>
    <xf numFmtId="185" fontId="5" fillId="8" borderId="4" xfId="0" applyNumberFormat="1" applyFont="1" applyFill="1" applyBorder="1" applyAlignment="1">
      <alignment horizontal="center" vertical="center" wrapText="1"/>
    </xf>
    <xf numFmtId="185" fontId="5" fillId="8" borderId="3" xfId="0" applyNumberFormat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F3L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USDON#0004</v>
          </cell>
        </row>
        <row r="8">
          <cell r="D8" t="str">
            <v>USD1M#0004</v>
          </cell>
        </row>
        <row r="10">
          <cell r="D10" t="str">
            <v>USD3M#0004</v>
          </cell>
        </row>
        <row r="11">
          <cell r="D11" t="str">
            <v>USD6M#0004</v>
          </cell>
        </row>
        <row r="12">
          <cell r="D12" t="str">
            <v>USD1Y#0004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8"/>
  <sheetViews>
    <sheetView showGridLines="0" tabSelected="1" workbookViewId="0">
      <selection activeCell="D5" sqref="D5"/>
    </sheetView>
  </sheetViews>
  <sheetFormatPr defaultRowHeight="11.25" outlineLevelRow="1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1"/>
      <c r="C2" s="92"/>
      <c r="D2" s="92"/>
      <c r="E2" s="93"/>
      <c r="G2" s="91"/>
      <c r="H2" s="92"/>
      <c r="I2" s="92"/>
      <c r="J2" s="93"/>
    </row>
    <row r="3" spans="1:10" ht="11.25" customHeight="1" x14ac:dyDescent="0.2">
      <c r="B3" s="96"/>
      <c r="C3" s="14" t="s">
        <v>22</v>
      </c>
      <c r="D3" s="88" t="s">
        <v>36</v>
      </c>
      <c r="E3" s="94"/>
      <c r="G3" s="96"/>
      <c r="H3" s="14" t="s">
        <v>31</v>
      </c>
      <c r="I3" s="15">
        <f>_xll.qlSettingsEvaluationDate(Trigger)</f>
        <v>42432</v>
      </c>
      <c r="J3" s="94"/>
    </row>
    <row r="4" spans="1:10" ht="11.25" customHeight="1" x14ac:dyDescent="0.2">
      <c r="B4" s="96"/>
      <c r="C4" s="16" t="s">
        <v>19</v>
      </c>
      <c r="D4" s="18" t="b">
        <v>1</v>
      </c>
      <c r="E4" s="94"/>
      <c r="G4" s="96"/>
      <c r="H4" s="16" t="s">
        <v>32</v>
      </c>
      <c r="I4" s="17">
        <f>_xll.qlCalendarAdvance(Calendar,Evaluationdate,"2D","F",,Trigger)</f>
        <v>42436</v>
      </c>
      <c r="J4" s="94"/>
    </row>
    <row r="5" spans="1:10" ht="11.25" customHeight="1" x14ac:dyDescent="0.2">
      <c r="A5" s="53"/>
      <c r="B5" s="97"/>
      <c r="C5" s="22" t="s">
        <v>18</v>
      </c>
      <c r="D5" s="23"/>
      <c r="E5" s="94"/>
      <c r="G5" s="96"/>
      <c r="H5" s="16" t="s">
        <v>37</v>
      </c>
      <c r="I5" s="17" t="s">
        <v>38</v>
      </c>
      <c r="J5" s="94"/>
    </row>
    <row r="6" spans="1:10" ht="11.25" customHeight="1" x14ac:dyDescent="0.2">
      <c r="A6" s="53"/>
      <c r="B6" s="97"/>
      <c r="C6" s="16" t="s">
        <v>20</v>
      </c>
      <c r="D6" s="18" t="b">
        <v>1</v>
      </c>
      <c r="E6" s="94"/>
      <c r="G6" s="96"/>
      <c r="H6" s="16" t="s">
        <v>39</v>
      </c>
      <c r="I6" s="17" t="s">
        <v>45</v>
      </c>
      <c r="J6" s="94"/>
    </row>
    <row r="7" spans="1:10" ht="11.25" customHeight="1" x14ac:dyDescent="0.2">
      <c r="A7" s="53"/>
      <c r="B7" s="97"/>
      <c r="C7" s="16" t="s">
        <v>21</v>
      </c>
      <c r="D7" s="19" t="str">
        <f>Currency&amp;"ON"</f>
        <v>USDON</v>
      </c>
      <c r="E7" s="94"/>
      <c r="G7" s="96"/>
      <c r="H7" s="16" t="s">
        <v>40</v>
      </c>
      <c r="I7" s="17" t="s">
        <v>41</v>
      </c>
      <c r="J7" s="94"/>
    </row>
    <row r="8" spans="1:10" ht="11.25" customHeight="1" x14ac:dyDescent="0.2">
      <c r="A8" s="53"/>
      <c r="B8" s="97"/>
      <c r="C8" s="16" t="s">
        <v>43</v>
      </c>
      <c r="D8" s="19" t="s">
        <v>44</v>
      </c>
      <c r="E8" s="94"/>
      <c r="G8" s="96"/>
      <c r="H8" s="16" t="s">
        <v>42</v>
      </c>
      <c r="I8" s="90" t="str">
        <f>I5&amp;"("&amp;I6&amp;","&amp;I7&amp;")"</f>
        <v>JoinHolidays(UnitedKingdom::Exchange,UnitedStates::Settlement)</v>
      </c>
      <c r="J8" s="94" t="s">
        <v>47</v>
      </c>
    </row>
    <row r="9" spans="1:10" ht="11.25" customHeight="1" x14ac:dyDescent="0.2">
      <c r="B9" s="98"/>
      <c r="C9" s="20" t="s">
        <v>101</v>
      </c>
      <c r="D9" s="21" t="s">
        <v>102</v>
      </c>
      <c r="E9" s="94"/>
      <c r="G9" s="96"/>
      <c r="H9" s="20" t="s">
        <v>46</v>
      </c>
      <c r="I9" s="89" t="b">
        <f>IF(_xll.qlCalendarIsHoliday(LocalCalendar,_xll.qlCalendarAdvance(LiborCalendar,Evaluationdate,"2D",,,Trigger),Trigger),TRUE,FALSE)</f>
        <v>0</v>
      </c>
      <c r="J9" s="94"/>
    </row>
    <row r="10" spans="1:10" ht="11.25" customHeight="1" x14ac:dyDescent="0.2">
      <c r="B10" s="98"/>
      <c r="C10" s="20" t="s">
        <v>109</v>
      </c>
      <c r="D10" s="173" t="s">
        <v>110</v>
      </c>
      <c r="E10" s="94"/>
      <c r="G10" s="96"/>
      <c r="H10" s="22" t="s">
        <v>14</v>
      </c>
      <c r="I10" s="104" t="str">
        <f>IF(HolidayCheck,JoinCalendar,LiborCalendar)</f>
        <v>UnitedKingdom::Exchange</v>
      </c>
      <c r="J10" s="94"/>
    </row>
    <row r="11" spans="1:10" ht="11.25" customHeight="1" x14ac:dyDescent="0.2">
      <c r="B11" s="99"/>
      <c r="C11" s="100"/>
      <c r="D11" s="101"/>
      <c r="E11" s="95"/>
      <c r="G11" s="102"/>
      <c r="H11" s="100"/>
      <c r="I11" s="103"/>
      <c r="J11" s="95"/>
    </row>
    <row r="12" spans="1:10" ht="11.25" customHeight="1" x14ac:dyDescent="0.2"/>
    <row r="13" spans="1:10" x14ac:dyDescent="0.2">
      <c r="B13" s="40"/>
      <c r="C13" s="41"/>
      <c r="D13" s="41"/>
      <c r="E13" s="42"/>
      <c r="G13" s="40"/>
      <c r="H13" s="41"/>
      <c r="I13" s="41"/>
      <c r="J13" s="42"/>
    </row>
    <row r="14" spans="1:10" x14ac:dyDescent="0.2">
      <c r="B14" s="25"/>
      <c r="C14" s="24" t="s">
        <v>10</v>
      </c>
      <c r="D14" s="44" t="str">
        <f>_xll.qlPiecewiseYieldCurve($D$16,$D$17,Calendar,_xll.ohPack(USDON!U3:U56),,,,D18,D19,D20,Permanent,,ObjectOverwrite)</f>
        <v>_USDON#0126</v>
      </c>
      <c r="E14" s="45"/>
      <c r="G14" s="25"/>
      <c r="H14" s="24" t="s">
        <v>10</v>
      </c>
      <c r="I14" s="44" t="str">
        <f>_xll.qlPiecewiseYieldCurve(I16,I17,Calendar,_xll.ohPack(USD3M!W3:W88),,,,I18,I19,I20,Permanent,,ObjectOverwrite)</f>
        <v>_USD3M#0043</v>
      </c>
      <c r="J14" s="45"/>
    </row>
    <row r="15" spans="1:10" x14ac:dyDescent="0.2">
      <c r="B15" s="25"/>
      <c r="C15" s="26" t="s">
        <v>11</v>
      </c>
      <c r="D15" s="46" t="str">
        <f>_xll.ohRangeRetrieveError(YieldCurve_ON)</f>
        <v/>
      </c>
      <c r="E15" s="45"/>
      <c r="G15" s="25"/>
      <c r="H15" s="26" t="s">
        <v>11</v>
      </c>
      <c r="I15" s="46" t="str">
        <f>_xll.ohRangeRetrieveError(YieldCurve_3M)</f>
        <v/>
      </c>
      <c r="J15" s="45"/>
    </row>
    <row r="16" spans="1:10" x14ac:dyDescent="0.2">
      <c r="B16" s="25"/>
      <c r="C16" s="24" t="s">
        <v>12</v>
      </c>
      <c r="D16" s="27" t="str">
        <f>"_"&amp;Currency&amp;"ON"</f>
        <v>_USDON</v>
      </c>
      <c r="E16" s="45"/>
      <c r="G16" s="25"/>
      <c r="H16" s="24" t="s">
        <v>12</v>
      </c>
      <c r="I16" s="27" t="str">
        <f>"_"&amp;Currency&amp;"3M"</f>
        <v>_USD3M</v>
      </c>
      <c r="J16" s="45"/>
    </row>
    <row r="17" spans="1:10" x14ac:dyDescent="0.2">
      <c r="B17" s="25"/>
      <c r="C17" s="28" t="s">
        <v>13</v>
      </c>
      <c r="D17" s="29">
        <v>0</v>
      </c>
      <c r="E17" s="45"/>
      <c r="G17" s="25"/>
      <c r="H17" s="28" t="s">
        <v>13</v>
      </c>
      <c r="I17" s="29">
        <v>2</v>
      </c>
      <c r="J17" s="45"/>
    </row>
    <row r="18" spans="1:10" x14ac:dyDescent="0.2">
      <c r="B18" s="25"/>
      <c r="C18" s="28" t="s">
        <v>15</v>
      </c>
      <c r="D18" s="30"/>
      <c r="E18" s="45"/>
      <c r="G18" s="25"/>
      <c r="H18" s="28" t="s">
        <v>15</v>
      </c>
      <c r="I18" s="30"/>
      <c r="J18" s="45"/>
    </row>
    <row r="19" spans="1:10" x14ac:dyDescent="0.2">
      <c r="B19" s="25"/>
      <c r="C19" s="28" t="s">
        <v>16</v>
      </c>
      <c r="D19" s="31" t="s">
        <v>33</v>
      </c>
      <c r="E19" s="45"/>
      <c r="G19" s="25"/>
      <c r="H19" s="28" t="s">
        <v>16</v>
      </c>
      <c r="I19" s="31" t="s">
        <v>33</v>
      </c>
      <c r="J19" s="45"/>
    </row>
    <row r="20" spans="1:10" x14ac:dyDescent="0.2">
      <c r="B20" s="25"/>
      <c r="C20" s="26" t="s">
        <v>17</v>
      </c>
      <c r="D20" s="32" t="s">
        <v>48</v>
      </c>
      <c r="E20" s="45"/>
      <c r="G20" s="25"/>
      <c r="H20" s="26" t="s">
        <v>17</v>
      </c>
      <c r="I20" s="32" t="s">
        <v>48</v>
      </c>
      <c r="J20" s="45"/>
    </row>
    <row r="21" spans="1:10" hidden="1" outlineLevel="1" x14ac:dyDescent="0.2">
      <c r="B21" s="25"/>
      <c r="C21" s="225"/>
      <c r="D21" s="224"/>
      <c r="E21" s="45"/>
      <c r="G21" s="25"/>
      <c r="H21" s="24" t="s">
        <v>174</v>
      </c>
      <c r="I21" s="226" t="str">
        <f>Currency&amp;"HW_"&amp;H21&amp;QuoteSuffix</f>
        <v>USDHW_Volatility_Quote</v>
      </c>
      <c r="J21" s="45"/>
    </row>
    <row r="22" spans="1:10" hidden="1" outlineLevel="1" x14ac:dyDescent="0.2">
      <c r="B22" s="25"/>
      <c r="C22" s="225"/>
      <c r="D22" s="224"/>
      <c r="E22" s="45"/>
      <c r="G22" s="25"/>
      <c r="H22" s="26" t="s">
        <v>173</v>
      </c>
      <c r="I22" s="227" t="str">
        <f>Currency&amp;"HW_"&amp;H22&amp;QuoteSuffix</f>
        <v>USDHW_MeanReversion_Quote</v>
      </c>
      <c r="J22" s="45"/>
    </row>
    <row r="23" spans="1:10" collapsed="1" x14ac:dyDescent="0.2">
      <c r="B23" s="25"/>
      <c r="C23" s="33"/>
      <c r="D23" s="33"/>
      <c r="E23" s="45"/>
      <c r="G23" s="25"/>
      <c r="H23" s="33"/>
      <c r="I23" s="33"/>
      <c r="J23" s="45"/>
    </row>
    <row r="24" spans="1:10" x14ac:dyDescent="0.2">
      <c r="B24" s="25"/>
      <c r="C24" s="34">
        <f>_xll.qlTermStructureReferenceDate(YieldCurve_ON)</f>
        <v>42432</v>
      </c>
      <c r="D24" s="35">
        <f>_xll.qlYieldTSDiscount(YieldCurve_ON,C24,,Trigger)</f>
        <v>1</v>
      </c>
      <c r="E24" s="45"/>
      <c r="G24" s="25"/>
      <c r="H24" s="34">
        <f>_xll.qlTermStructureReferenceDate(YieldCurve_3M)</f>
        <v>42436</v>
      </c>
      <c r="I24" s="35">
        <f>_xll.qlYieldTSDiscount(YieldCurve_3M,H24,,Trigger)</f>
        <v>1</v>
      </c>
      <c r="J24" s="45"/>
    </row>
    <row r="25" spans="1:10" x14ac:dyDescent="0.2">
      <c r="B25" s="25"/>
      <c r="C25" s="36">
        <f>_xll.qlTermStructureMaxDate(YieldCurve_ON,Trigger)</f>
        <v>60699</v>
      </c>
      <c r="D25" s="37">
        <f>_xll.qlYieldTSDiscount(YieldCurve_ON,C25,,Trigger)</f>
        <v>0.40047467131028441</v>
      </c>
      <c r="E25" s="45"/>
      <c r="G25" s="25"/>
      <c r="H25" s="36">
        <f>_xll.qlTermStructureMaxDate(YieldCurve_3M,Trigger)</f>
        <v>60699</v>
      </c>
      <c r="I25" s="37">
        <f>_xll.qlYieldTSDiscount(YieldCurve_3M,H25,,Trigger)</f>
        <v>0.33432952296736484</v>
      </c>
      <c r="J25" s="45"/>
    </row>
    <row r="26" spans="1:10" x14ac:dyDescent="0.2">
      <c r="B26" s="25"/>
      <c r="C26" s="36" t="str">
        <f>[1]Libor!$D$6</f>
        <v>USDON#0004</v>
      </c>
      <c r="D26" s="37" t="b">
        <f>_xll.qlRelinkableHandleLinkTo(C26,D14,Trigger)</f>
        <v>1</v>
      </c>
      <c r="E26" s="45"/>
      <c r="G26" s="25"/>
      <c r="H26" s="36" t="str">
        <f>[1]Libor!$D$10</f>
        <v>USD3M#0004</v>
      </c>
      <c r="I26" s="37" t="b">
        <f>_xll.qlRelinkableHandleLinkTo(H26,I14,Trigger)</f>
        <v>1</v>
      </c>
      <c r="J26" s="45"/>
    </row>
    <row r="27" spans="1:10" x14ac:dyDescent="0.2">
      <c r="B27" s="25"/>
      <c r="C27" s="38" t="s">
        <v>162</v>
      </c>
      <c r="D27" s="39" t="b">
        <f>_xll.qlExtrapolatorEnableExtrapolation(YieldCurve_ON,,Trigger)</f>
        <v>1</v>
      </c>
      <c r="E27" s="45"/>
      <c r="G27" s="25"/>
      <c r="H27" s="38" t="s">
        <v>162</v>
      </c>
      <c r="I27" s="39" t="b">
        <f>_xll.qlExtrapolatorEnableExtrapolation(YieldCurve_3M,,Trigger)</f>
        <v>1</v>
      </c>
      <c r="J27" s="45"/>
    </row>
    <row r="28" spans="1:10" x14ac:dyDescent="0.2">
      <c r="B28" s="47"/>
      <c r="C28" s="48"/>
      <c r="D28" s="48"/>
      <c r="E28" s="49"/>
      <c r="G28" s="47"/>
      <c r="H28" s="48"/>
      <c r="I28" s="48"/>
      <c r="J28" s="49"/>
    </row>
    <row r="29" spans="1:10" x14ac:dyDescent="0.2">
      <c r="A29" s="53"/>
      <c r="B29" s="53"/>
      <c r="C29" s="53"/>
      <c r="D29" s="53"/>
      <c r="E29" s="53"/>
      <c r="G29" s="53"/>
      <c r="H29" s="53"/>
      <c r="I29" s="53"/>
      <c r="J29" s="53"/>
    </row>
    <row r="30" spans="1:10" x14ac:dyDescent="0.2">
      <c r="B30" s="40"/>
      <c r="C30" s="50"/>
      <c r="D30" s="50"/>
      <c r="E30" s="42"/>
      <c r="F30" s="52"/>
      <c r="G30" s="40"/>
      <c r="H30" s="41"/>
      <c r="I30" s="41"/>
      <c r="J30" s="42"/>
    </row>
    <row r="31" spans="1:10" x14ac:dyDescent="0.2">
      <c r="B31" s="43"/>
      <c r="C31" s="24" t="s">
        <v>10</v>
      </c>
      <c r="D31" s="44" t="str">
        <f>_xll.qlPiecewiseYieldCurve(D33,D34,Calendar,_xll.ohPack(USD6M!W3:W66),,,,D35,D36,D37,Permanent,,ObjectOverwrite)</f>
        <v>_USD6M#0043</v>
      </c>
      <c r="E31" s="45"/>
      <c r="F31" s="52"/>
      <c r="G31" s="25"/>
      <c r="H31" s="24" t="s">
        <v>10</v>
      </c>
      <c r="I31" s="44" t="str">
        <f>_xll.qlPiecewiseYieldCurve(I33,I34,Calendar,_xll.ohPack(USD1M!W3:W55),,,,I35,I36,I37,Permanent,,ObjectOverwrite)</f>
        <v>_USD1M#0043</v>
      </c>
      <c r="J31" s="45"/>
    </row>
    <row r="32" spans="1:10" x14ac:dyDescent="0.2">
      <c r="B32" s="43"/>
      <c r="C32" s="26" t="s">
        <v>11</v>
      </c>
      <c r="D32" s="46" t="str">
        <f>_xll.ohRangeRetrieveError(YieldCurve_6M)</f>
        <v/>
      </c>
      <c r="E32" s="45"/>
      <c r="F32" s="52"/>
      <c r="G32" s="25"/>
      <c r="H32" s="26" t="s">
        <v>11</v>
      </c>
      <c r="I32" s="46" t="str">
        <f>_xll.ohRangeRetrieveError(YieldCurve_1M)</f>
        <v/>
      </c>
      <c r="J32" s="45"/>
    </row>
    <row r="33" spans="2:10" x14ac:dyDescent="0.2">
      <c r="B33" s="25"/>
      <c r="C33" s="24" t="s">
        <v>12</v>
      </c>
      <c r="D33" s="27" t="str">
        <f>"_"&amp;Currency&amp;"6M"</f>
        <v>_USD6M</v>
      </c>
      <c r="E33" s="45"/>
      <c r="F33" s="52"/>
      <c r="G33" s="25"/>
      <c r="H33" s="24" t="s">
        <v>12</v>
      </c>
      <c r="I33" s="27" t="str">
        <f>"_"&amp;Currency&amp;"1M"</f>
        <v>_USD1M</v>
      </c>
      <c r="J33" s="45"/>
    </row>
    <row r="34" spans="2:10" x14ac:dyDescent="0.2">
      <c r="B34" s="25"/>
      <c r="C34" s="28" t="s">
        <v>13</v>
      </c>
      <c r="D34" s="29">
        <v>2</v>
      </c>
      <c r="E34" s="45"/>
      <c r="F34" s="52"/>
      <c r="G34" s="25"/>
      <c r="H34" s="28" t="s">
        <v>13</v>
      </c>
      <c r="I34" s="29">
        <v>2</v>
      </c>
      <c r="J34" s="45"/>
    </row>
    <row r="35" spans="2:10" x14ac:dyDescent="0.2">
      <c r="B35" s="25"/>
      <c r="C35" s="28" t="s">
        <v>15</v>
      </c>
      <c r="D35" s="30"/>
      <c r="E35" s="45"/>
      <c r="F35" s="52"/>
      <c r="G35" s="25"/>
      <c r="H35" s="28" t="s">
        <v>15</v>
      </c>
      <c r="I35" s="30"/>
      <c r="J35" s="45"/>
    </row>
    <row r="36" spans="2:10" x14ac:dyDescent="0.2">
      <c r="B36" s="25"/>
      <c r="C36" s="28" t="s">
        <v>16</v>
      </c>
      <c r="D36" s="31" t="s">
        <v>33</v>
      </c>
      <c r="E36" s="45"/>
      <c r="F36" s="52"/>
      <c r="G36" s="25"/>
      <c r="H36" s="28" t="s">
        <v>16</v>
      </c>
      <c r="I36" s="31" t="s">
        <v>33</v>
      </c>
      <c r="J36" s="45"/>
    </row>
    <row r="37" spans="2:10" x14ac:dyDescent="0.2">
      <c r="B37" s="25"/>
      <c r="C37" s="26" t="s">
        <v>17</v>
      </c>
      <c r="D37" s="32" t="s">
        <v>48</v>
      </c>
      <c r="E37" s="45"/>
      <c r="F37" s="52"/>
      <c r="G37" s="25"/>
      <c r="H37" s="26" t="s">
        <v>17</v>
      </c>
      <c r="I37" s="32" t="s">
        <v>48</v>
      </c>
      <c r="J37" s="45"/>
    </row>
    <row r="38" spans="2:10" x14ac:dyDescent="0.2">
      <c r="B38" s="25"/>
      <c r="C38" s="33"/>
      <c r="D38" s="33"/>
      <c r="E38" s="45"/>
      <c r="F38" s="52"/>
      <c r="G38" s="25"/>
      <c r="H38" s="33"/>
      <c r="I38" s="33"/>
      <c r="J38" s="45"/>
    </row>
    <row r="39" spans="2:10" x14ac:dyDescent="0.2">
      <c r="B39" s="25"/>
      <c r="C39" s="34">
        <f>_xll.qlTermStructureReferenceDate(YieldCurve_6M)</f>
        <v>42436</v>
      </c>
      <c r="D39" s="35">
        <f>_xll.qlYieldTSDiscount(YieldCurve_6M,C39,,Trigger)</f>
        <v>1</v>
      </c>
      <c r="E39" s="45"/>
      <c r="F39" s="52"/>
      <c r="G39" s="25"/>
      <c r="H39" s="34">
        <f>_xll.qlTermStructureReferenceDate(YieldCurve_1M)</f>
        <v>42436</v>
      </c>
      <c r="I39" s="35">
        <f>_xll.qlYieldTSDiscount(YieldCurve_1M,H39,,Trigger)</f>
        <v>1</v>
      </c>
      <c r="J39" s="45"/>
    </row>
    <row r="40" spans="2:10" x14ac:dyDescent="0.2">
      <c r="B40" s="25"/>
      <c r="C40" s="36">
        <f>_xll.qlTermStructureMaxDate(YieldCurve_6M,Trigger)</f>
        <v>64353</v>
      </c>
      <c r="D40" s="37">
        <f>_xll.qlYieldTSDiscount(YieldCurve_6M,C40,,Trigger)</f>
        <v>0.24958547285100702</v>
      </c>
      <c r="E40" s="45"/>
      <c r="F40" s="52"/>
      <c r="G40" s="25"/>
      <c r="H40" s="36">
        <f>_xll.qlTermStructureMaxDate(YieldCurve_1M,Trigger)</f>
        <v>60699</v>
      </c>
      <c r="I40" s="37">
        <f>_xll.qlYieldTSDiscount(YieldCurve_1M,H40,,Trigger)</f>
        <v>0.35533860009776191</v>
      </c>
      <c r="J40" s="45"/>
    </row>
    <row r="41" spans="2:10" x14ac:dyDescent="0.2">
      <c r="B41" s="25"/>
      <c r="C41" s="36" t="str">
        <f>[1]Libor!$D$11</f>
        <v>USD6M#0004</v>
      </c>
      <c r="D41" s="37" t="b">
        <f>_xll.qlRelinkableHandleLinkTo(C41,D31,Trigger)</f>
        <v>1</v>
      </c>
      <c r="E41" s="45"/>
      <c r="F41" s="52"/>
      <c r="G41" s="25"/>
      <c r="H41" s="36" t="str">
        <f>[1]Libor!$D$8</f>
        <v>USD1M#0004</v>
      </c>
      <c r="I41" s="37" t="b">
        <f>_xll.qlRelinkableHandleLinkTo(H41,I31,Trigger)</f>
        <v>1</v>
      </c>
      <c r="J41" s="45"/>
    </row>
    <row r="42" spans="2:10" x14ac:dyDescent="0.2">
      <c r="B42" s="25"/>
      <c r="C42" s="38" t="s">
        <v>162</v>
      </c>
      <c r="D42" s="39" t="b">
        <v>0</v>
      </c>
      <c r="E42" s="45"/>
      <c r="F42" s="52"/>
      <c r="G42" s="25"/>
      <c r="H42" s="38" t="s">
        <v>162</v>
      </c>
      <c r="I42" s="39" t="b">
        <f>_xll.qlExtrapolatorEnableExtrapolation(YieldCurve_1M,,Trigger)</f>
        <v>1</v>
      </c>
      <c r="J42" s="45"/>
    </row>
    <row r="43" spans="2:10" x14ac:dyDescent="0.2">
      <c r="B43" s="47"/>
      <c r="C43" s="48"/>
      <c r="D43" s="48"/>
      <c r="E43" s="49"/>
      <c r="F43" s="52"/>
      <c r="G43" s="47"/>
      <c r="H43" s="48"/>
      <c r="I43" s="48"/>
      <c r="J43" s="49"/>
    </row>
    <row r="44" spans="2:10" x14ac:dyDescent="0.2">
      <c r="F44" s="52"/>
    </row>
    <row r="45" spans="2:10" x14ac:dyDescent="0.2">
      <c r="B45" s="40"/>
      <c r="C45" s="41"/>
      <c r="D45" s="41"/>
      <c r="E45" s="42"/>
      <c r="F45" s="52"/>
    </row>
    <row r="46" spans="2:10" x14ac:dyDescent="0.2">
      <c r="B46" s="25"/>
      <c r="C46" s="24" t="s">
        <v>10</v>
      </c>
      <c r="D46" s="44" t="str">
        <f>_xll.qlPiecewiseYieldCurve(D48,D49,Calendar,_xll.ohPack(USD1Y!W3:W78),,,,D50,D51,D52,Permanent,,ObjectOverwrite)</f>
        <v>_USD1Y#0043</v>
      </c>
      <c r="E46" s="45"/>
      <c r="F46" s="52"/>
    </row>
    <row r="47" spans="2:10" x14ac:dyDescent="0.2">
      <c r="B47" s="25"/>
      <c r="C47" s="26" t="s">
        <v>11</v>
      </c>
      <c r="D47" s="46" t="str">
        <f>_xll.ohRangeRetrieveError(YieldCurve_1Y)</f>
        <v/>
      </c>
      <c r="E47" s="45"/>
    </row>
    <row r="48" spans="2:10" x14ac:dyDescent="0.2">
      <c r="B48" s="25"/>
      <c r="C48" s="24" t="s">
        <v>12</v>
      </c>
      <c r="D48" s="27" t="str">
        <f>"_"&amp;Currency&amp;"1Y"</f>
        <v>_USD1Y</v>
      </c>
      <c r="E48" s="45"/>
    </row>
    <row r="49" spans="2:5" x14ac:dyDescent="0.2">
      <c r="B49" s="25"/>
      <c r="C49" s="28" t="s">
        <v>13</v>
      </c>
      <c r="D49" s="29">
        <v>2</v>
      </c>
      <c r="E49" s="45"/>
    </row>
    <row r="50" spans="2:5" x14ac:dyDescent="0.2">
      <c r="B50" s="25"/>
      <c r="C50" s="28" t="s">
        <v>15</v>
      </c>
      <c r="D50" s="30"/>
      <c r="E50" s="45"/>
    </row>
    <row r="51" spans="2:5" x14ac:dyDescent="0.2">
      <c r="B51" s="25"/>
      <c r="C51" s="28" t="s">
        <v>16</v>
      </c>
      <c r="D51" s="31" t="s">
        <v>33</v>
      </c>
      <c r="E51" s="45"/>
    </row>
    <row r="52" spans="2:5" x14ac:dyDescent="0.2">
      <c r="B52" s="25"/>
      <c r="C52" s="26" t="s">
        <v>17</v>
      </c>
      <c r="D52" s="32" t="s">
        <v>48</v>
      </c>
      <c r="E52" s="45"/>
    </row>
    <row r="53" spans="2:5" x14ac:dyDescent="0.2">
      <c r="B53" s="25"/>
      <c r="C53" s="33"/>
      <c r="D53" s="33"/>
      <c r="E53" s="45"/>
    </row>
    <row r="54" spans="2:5" x14ac:dyDescent="0.2">
      <c r="B54" s="25"/>
      <c r="C54" s="34">
        <f>_xll.qlTermStructureReferenceDate(YieldCurve_1Y)</f>
        <v>42436</v>
      </c>
      <c r="D54" s="35">
        <f>_xll.qlYieldTSDiscount(YieldCurve_1Y,C54,,Trigger)</f>
        <v>1</v>
      </c>
      <c r="E54" s="45"/>
    </row>
    <row r="55" spans="2:5" x14ac:dyDescent="0.2">
      <c r="B55" s="25"/>
      <c r="C55" s="36">
        <f>_xll.qlTermStructureMaxDate(YieldCurve_1Y,Trigger)</f>
        <v>64353</v>
      </c>
      <c r="D55" s="37">
        <f>_xll.qlYieldTSDiscount(YieldCurve_1Y,C55,,Trigger)</f>
        <v>0.22316279540707581</v>
      </c>
      <c r="E55" s="45"/>
    </row>
    <row r="56" spans="2:5" x14ac:dyDescent="0.2">
      <c r="B56" s="25"/>
      <c r="C56" s="36" t="str">
        <f>[1]Libor!$D$12</f>
        <v>USD1Y#0004</v>
      </c>
      <c r="D56" s="37" t="b">
        <f>_xll.qlRelinkableHandleLinkTo(C56,D46,Trigger)</f>
        <v>1</v>
      </c>
      <c r="E56" s="45"/>
    </row>
    <row r="57" spans="2:5" x14ac:dyDescent="0.2">
      <c r="B57" s="25"/>
      <c r="C57" s="38" t="s">
        <v>162</v>
      </c>
      <c r="D57" s="39" t="b">
        <v>0</v>
      </c>
      <c r="E57" s="45"/>
    </row>
    <row r="58" spans="2:5" x14ac:dyDescent="0.2">
      <c r="B58" s="47"/>
      <c r="C58" s="48"/>
      <c r="D58" s="48"/>
      <c r="E58" s="49"/>
    </row>
  </sheetData>
  <dataValidations count="6">
    <dataValidation type="list" allowBlank="1" showInputMessage="1" showErrorMessage="1" sqref="D36 D19 I19 I36 D51">
      <formula1>"Discount,ZeroYield,ForwardRate"</formula1>
    </dataValidation>
    <dataValidation type="list" allowBlank="1" showInputMessage="1" showErrorMessage="1" sqref="D37 D52 D20 I37 I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Q117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7" style="51" hidden="1" customWidth="1" outlineLevel="1"/>
    <col min="2" max="2" width="6" style="56" hidden="1" customWidth="1" outlineLevel="1"/>
    <col min="3" max="4" width="10" style="55" hidden="1" customWidth="1" outlineLevel="1"/>
    <col min="5" max="5" width="12" style="57" hidden="1" customWidth="1" outlineLevel="1"/>
    <col min="6" max="6" width="16.140625" style="51" hidden="1" customWidth="1" outlineLevel="1"/>
    <col min="7" max="7" width="17.28515625" style="51" hidden="1" customWidth="1" outlineLevel="1"/>
    <col min="8" max="8" width="15.140625" style="51" hidden="1" customWidth="1" outlineLevel="1"/>
    <col min="9" max="9" width="2.7109375" style="51" customWidth="1" collapsed="1"/>
    <col min="10" max="10" width="7" style="51" hidden="1" customWidth="1" outlineLevel="1"/>
    <col min="11" max="11" width="15.140625" style="115" hidden="1" customWidth="1" outlineLevel="1"/>
    <col min="12" max="12" width="16.140625" style="115" hidden="1" customWidth="1" outlineLevel="1"/>
    <col min="13" max="13" width="8.5703125" style="115" hidden="1" customWidth="1" outlineLevel="1"/>
    <col min="14" max="14" width="7.85546875" style="115" hidden="1" customWidth="1" outlineLevel="1"/>
    <col min="15" max="15" width="9" style="115" hidden="1" customWidth="1" outlineLevel="1"/>
    <col min="16" max="16" width="5.85546875" style="115" hidden="1" customWidth="1" outlineLevel="1"/>
    <col min="17" max="18" width="10.7109375" style="115" hidden="1" customWidth="1" outlineLevel="1"/>
    <col min="19" max="19" width="2.7109375" style="53" hidden="1" customWidth="1" outlineLevel="1"/>
    <col min="20" max="20" width="6" style="51" customWidth="1" collapsed="1"/>
    <col min="21" max="21" width="10.140625" style="51" hidden="1" customWidth="1" outlineLevel="1"/>
    <col min="22" max="22" width="24.7109375" style="51" customWidth="1" collapsed="1"/>
    <col min="23" max="24" width="9.7109375" style="51" customWidth="1"/>
    <col min="25" max="26" width="17.28515625" style="51" bestFit="1" customWidth="1"/>
    <col min="27" max="27" width="12" style="51" bestFit="1" customWidth="1"/>
    <col min="28" max="28" width="9.140625" style="51" customWidth="1"/>
    <col min="29" max="29" width="18.28515625" style="51" hidden="1" customWidth="1" outlineLevel="1"/>
    <col min="30" max="30" width="22.7109375" style="51" hidden="1" customWidth="1" outlineLevel="1"/>
    <col min="31" max="31" width="19.28515625" style="51" hidden="1" customWidth="1" outlineLevel="1"/>
    <col min="32" max="32" width="16.140625" style="51" hidden="1" customWidth="1" outlineLevel="1"/>
    <col min="33" max="33" width="17.28515625" style="51" hidden="1" customWidth="1" outlineLevel="1"/>
    <col min="34" max="34" width="9" style="51" hidden="1" customWidth="1" outlineLevel="1"/>
    <col min="35" max="35" width="11" style="51" hidden="1" customWidth="1" outlineLevel="1"/>
    <col min="36" max="36" width="19.28515625" style="51" hidden="1" customWidth="1" outlineLevel="1"/>
    <col min="37" max="37" width="17.28515625" style="51" hidden="1" customWidth="1" outlineLevel="1"/>
    <col min="38" max="38" width="13.140625" style="51" hidden="1" customWidth="1" outlineLevel="1"/>
    <col min="39" max="39" width="22.42578125" style="51" hidden="1" customWidth="1" outlineLevel="1"/>
    <col min="40" max="40" width="16.140625" style="51" hidden="1" customWidth="1" outlineLevel="1"/>
    <col min="41" max="41" width="17.28515625" style="51" hidden="1" customWidth="1" outlineLevel="1"/>
    <col min="42" max="42" width="12" style="51" hidden="1" customWidth="1" outlineLevel="1"/>
    <col min="43" max="44" width="15.140625" style="51" hidden="1" customWidth="1" outlineLevel="1"/>
    <col min="45" max="46" width="9" style="51" hidden="1" customWidth="1" outlineLevel="1"/>
    <col min="47" max="47" width="11" style="51" bestFit="1" customWidth="1" collapsed="1"/>
    <col min="48" max="48" width="20.28515625" style="51" bestFit="1" customWidth="1"/>
    <col min="49" max="49" width="9" style="51" bestFit="1" customWidth="1"/>
    <col min="50" max="50" width="13.140625" style="51" bestFit="1" customWidth="1"/>
    <col min="51" max="51" width="8" style="51" bestFit="1" customWidth="1"/>
    <col min="52" max="16384" width="9.140625" style="51"/>
  </cols>
  <sheetData>
    <row r="1" spans="1:69" ht="18" customHeight="1" x14ac:dyDescent="0.2">
      <c r="E1" s="55" t="s">
        <v>105</v>
      </c>
      <c r="J1" s="73" t="s">
        <v>25</v>
      </c>
      <c r="K1" s="118"/>
      <c r="L1" s="118"/>
      <c r="M1" s="118"/>
      <c r="N1" s="118"/>
      <c r="O1" s="118"/>
      <c r="P1" s="118"/>
      <c r="Q1" s="118"/>
      <c r="R1" s="108"/>
      <c r="S1" s="105"/>
      <c r="T1" s="81" t="str">
        <f>Currency&amp;Tenor</f>
        <v>USDFedFunds</v>
      </c>
      <c r="U1" s="72"/>
      <c r="V1" s="72"/>
      <c r="W1" s="75"/>
      <c r="X1" s="75"/>
      <c r="Y1" s="72"/>
      <c r="Z1" s="72"/>
      <c r="AA1" s="79" t="s">
        <v>33</v>
      </c>
    </row>
    <row r="2" spans="1:69" ht="21.75" customHeight="1" x14ac:dyDescent="0.2">
      <c r="A2" s="71" t="s">
        <v>9</v>
      </c>
      <c r="B2" s="71" t="s">
        <v>30</v>
      </c>
      <c r="C2" s="71" t="s">
        <v>108</v>
      </c>
      <c r="D2" s="71"/>
      <c r="E2" s="71" t="s">
        <v>4</v>
      </c>
      <c r="F2" s="71" t="s">
        <v>1</v>
      </c>
      <c r="G2" s="71"/>
      <c r="H2" s="71" t="s">
        <v>25</v>
      </c>
      <c r="J2" s="80" t="s">
        <v>9</v>
      </c>
      <c r="K2" s="80" t="s">
        <v>25</v>
      </c>
      <c r="L2" s="80" t="s">
        <v>112</v>
      </c>
      <c r="M2" s="80" t="s">
        <v>115</v>
      </c>
      <c r="N2" s="80" t="s">
        <v>113</v>
      </c>
      <c r="O2" s="80" t="s">
        <v>114</v>
      </c>
      <c r="P2" s="80" t="s">
        <v>116</v>
      </c>
      <c r="Q2" s="80" t="s">
        <v>23</v>
      </c>
      <c r="R2" s="80" t="s">
        <v>109</v>
      </c>
      <c r="S2" s="105"/>
      <c r="T2" s="80" t="s">
        <v>9</v>
      </c>
      <c r="U2" s="80" t="s">
        <v>25</v>
      </c>
      <c r="V2" s="80" t="s">
        <v>112</v>
      </c>
      <c r="W2" s="82" t="s">
        <v>24</v>
      </c>
      <c r="X2" s="82" t="s">
        <v>117</v>
      </c>
      <c r="Y2" s="80" t="s">
        <v>23</v>
      </c>
      <c r="Z2" s="80" t="s">
        <v>109</v>
      </c>
      <c r="AA2" s="83">
        <f t="array" ref="AA2:AA113">_xll.qlPiecewiseYieldCurveData(YieldCurve_ON,Trigger)</f>
        <v>1</v>
      </c>
      <c r="AG2" s="199"/>
      <c r="AH2" s="199"/>
      <c r="AI2" s="201"/>
      <c r="AJ2" s="202"/>
      <c r="AK2" s="201"/>
      <c r="AL2" s="199"/>
      <c r="AM2" s="201"/>
      <c r="AN2" s="203"/>
      <c r="AO2" s="204"/>
      <c r="AP2" s="204"/>
      <c r="AQ2" s="205"/>
      <c r="AR2" s="204"/>
      <c r="AS2" s="204"/>
      <c r="AT2" s="204"/>
      <c r="AU2" s="204"/>
      <c r="AV2" s="204"/>
      <c r="AW2" s="202"/>
      <c r="AX2" s="202"/>
      <c r="AY2" s="194"/>
    </row>
    <row r="3" spans="1:69" ht="11.25" customHeight="1" x14ac:dyDescent="0.2">
      <c r="A3" s="58" t="s">
        <v>27</v>
      </c>
      <c r="B3" s="59" t="s">
        <v>49</v>
      </c>
      <c r="C3" s="61" t="s">
        <v>6</v>
      </c>
      <c r="D3" s="136"/>
      <c r="E3" s="60" t="str">
        <f>Currency&amp;Tenor</f>
        <v>USDFedFunds</v>
      </c>
      <c r="F3" s="62" t="str">
        <f>Currency&amp;$B3&amp;"D"&amp;QuoteSuffix</f>
        <v>USDOND_Quote</v>
      </c>
      <c r="G3" s="136"/>
      <c r="H3" s="63" t="str">
        <f>_xll.qlDepositRateHelper(,F3,E3,Permanent,Trigger,ObjectOverwrite)</f>
        <v>obj_002ab#0079</v>
      </c>
      <c r="I3" s="54"/>
      <c r="J3" s="11" t="str">
        <f>A3</f>
        <v>Dp</v>
      </c>
      <c r="K3" s="106" t="str">
        <f>IF(ISBLANK(H3),"--",H3)</f>
        <v>obj_002ab#0079</v>
      </c>
      <c r="L3" s="109" t="str">
        <f>IFERROR(_xll.qlRateHelperQuoteName(K3,Trigger),"--")</f>
        <v>USDOND_Quote</v>
      </c>
      <c r="M3" s="110">
        <f>IFERROR(_xll.qlRateHelperQuoteValue($K3,Trigger),"--")</f>
        <v>5.3E-3</v>
      </c>
      <c r="N3" s="109" t="b">
        <v>1</v>
      </c>
      <c r="O3" s="106">
        <v>70</v>
      </c>
      <c r="P3" s="106">
        <v>1</v>
      </c>
      <c r="Q3" s="111">
        <f>IFERROR(_xll.qlRateHelperEarliestDate(K3,Trigger),"--")</f>
        <v>42432</v>
      </c>
      <c r="R3" s="111">
        <f>IFERROR(_xll.qlRateHelperPillarDate(K3,Trigger),"--")</f>
        <v>42433</v>
      </c>
      <c r="T3" s="4" t="str">
        <f t="shared" ref="T3:T47" si="0">IFERROR(INDEX($J$3:$J$113,MATCH(V3,$L$3:$L$113,0),1),"")</f>
        <v>Dp</v>
      </c>
      <c r="U3" s="4" t="str">
        <f t="array" ref="U3:U113">_xll.qlRateHelperSelection(_xll.ohFilter(RateHelpers,IncludeFlag),_xll.ohFilter(Priority,IncludeFlag),,,,,_xll.ohFilter(MinDistance,IncludeFlag),Trigger)</f>
        <v>obj_002ab</v>
      </c>
      <c r="V3" s="4" t="str">
        <f>IFERROR(_xll.qlRateHelperQuoteName(U3,Trigger),"")</f>
        <v>USDOND_Quote</v>
      </c>
      <c r="W3" s="76">
        <f>IFERROR(_xll.qlRateHelperRate(U3,Trigger),"")</f>
        <v>5.3E-3</v>
      </c>
      <c r="X3" s="116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42432</v>
      </c>
      <c r="Z3" s="5">
        <f>IFERROR(_xll.qlRateHelperPillarDate(U3,Trigger),"")</f>
        <v>42433</v>
      </c>
      <c r="AA3" s="84">
        <v>0.99998527799451842</v>
      </c>
      <c r="AC3" s="207" t="s">
        <v>167</v>
      </c>
      <c r="AD3" s="57" t="s">
        <v>176</v>
      </c>
      <c r="AG3" s="199" t="str">
        <f t="array" ref="AG3:AR51">_xll.qlSwapLegAnalysis(AC21,1,,Trigger)</f>
        <v>Payment Date</v>
      </c>
      <c r="AH3" s="199" t="str">
        <v>Amount</v>
      </c>
      <c r="AI3" s="201" t="str">
        <v>Nominal</v>
      </c>
      <c r="AJ3" s="202" t="str">
        <v>Accrual Start Date</v>
      </c>
      <c r="AK3" s="201" t="str">
        <v>Accrual End Date</v>
      </c>
      <c r="AL3" s="199" t="str">
        <v>Accrual Days</v>
      </c>
      <c r="AM3" s="201" t="str">
        <v>Index</v>
      </c>
      <c r="AN3" s="203" t="str">
        <v>Fixing Days</v>
      </c>
      <c r="AO3" s="204" t="str">
        <v>Fixing Dates</v>
      </c>
      <c r="AP3" s="204" t="str">
        <v>Day Counter</v>
      </c>
      <c r="AQ3" s="205" t="str">
        <v>Accrual Period</v>
      </c>
      <c r="AR3" s="204" t="str">
        <v>Effective Rate</v>
      </c>
      <c r="AS3" s="204"/>
      <c r="AT3" s="204"/>
      <c r="AU3" s="204"/>
      <c r="AV3" s="204"/>
      <c r="AW3" s="202"/>
      <c r="AX3" s="202"/>
      <c r="AY3" s="202"/>
      <c r="AZ3" s="198"/>
    </row>
    <row r="4" spans="1:69" ht="11.25" customHeight="1" x14ac:dyDescent="0.2">
      <c r="A4" s="58" t="s">
        <v>27</v>
      </c>
      <c r="B4" s="59" t="s">
        <v>103</v>
      </c>
      <c r="C4" s="61" t="s">
        <v>106</v>
      </c>
      <c r="D4" s="137"/>
      <c r="E4" s="60" t="str">
        <f>Currency&amp;Tenor</f>
        <v>USDFedFunds</v>
      </c>
      <c r="F4" s="62" t="str">
        <f>Currency&amp;$B4&amp;"D"&amp;QuoteSuffix</f>
        <v>USDTND_Quote</v>
      </c>
      <c r="G4" s="137"/>
      <c r="H4" s="63"/>
      <c r="I4" s="53"/>
      <c r="J4" s="11" t="str">
        <f>A4</f>
        <v>Dp</v>
      </c>
      <c r="K4" s="106" t="str">
        <f t="shared" ref="K4:K5" si="1">IF(ISBLANK(H4),"--",H4)</f>
        <v>--</v>
      </c>
      <c r="L4" s="109" t="str">
        <f>IFERROR(_xll.qlRateHelperQuoteName(K4,Trigger),"--")</f>
        <v>--</v>
      </c>
      <c r="M4" s="110" t="str">
        <f>IFERROR(_xll.qlRateHelperQuoteValue($K4,Trigger),"--")</f>
        <v>--</v>
      </c>
      <c r="N4" s="109" t="b">
        <v>0</v>
      </c>
      <c r="O4" s="106">
        <v>70</v>
      </c>
      <c r="P4" s="106">
        <v>1</v>
      </c>
      <c r="Q4" s="111" t="str">
        <f>IFERROR(_xll.qlRateHelperEarliestDate(K4,Trigger),"--")</f>
        <v>--</v>
      </c>
      <c r="R4" s="111" t="str">
        <f>IFERROR(_xll.qlRateHelperPillarDate(K4,Trigger),"--")</f>
        <v>--</v>
      </c>
      <c r="T4" s="4" t="str">
        <f t="shared" si="0"/>
        <v>OIS</v>
      </c>
      <c r="U4" s="4" t="str">
        <v>obj_0031c</v>
      </c>
      <c r="V4" s="4" t="str">
        <f>IFERROR(_xll.qlRateHelperQuoteName(U4,Trigger),"")</f>
        <v>USDOISSW_Quote</v>
      </c>
      <c r="W4" s="76">
        <f>IFERROR(_xll.qlRateHelperRate(U4,Trigger),"")</f>
        <v>3.7000000000000002E-3</v>
      </c>
      <c r="X4" s="116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42436</v>
      </c>
      <c r="Z4" s="5">
        <f>IFERROR(_xll.qlRateHelperPillarDate(U4,Trigger),"")</f>
        <v>42443</v>
      </c>
      <c r="AA4" s="84">
        <v>0.99987476573852996</v>
      </c>
      <c r="AC4" s="207" t="s">
        <v>30</v>
      </c>
      <c r="AD4" s="57" t="s">
        <v>189</v>
      </c>
      <c r="AE4" s="198"/>
      <c r="AF4" s="198"/>
      <c r="AG4" s="199">
        <v>42528</v>
      </c>
      <c r="AH4" s="236">
        <v>1.8829037830315643E-3</v>
      </c>
      <c r="AI4" s="236">
        <v>1</v>
      </c>
      <c r="AJ4" s="199">
        <v>42436</v>
      </c>
      <c r="AK4" s="199">
        <v>42528</v>
      </c>
      <c r="AL4" s="201">
        <v>92</v>
      </c>
      <c r="AM4" s="202" t="str">
        <v>FedFundsON Actual/360</v>
      </c>
      <c r="AN4" s="201">
        <v>0</v>
      </c>
      <c r="AO4" s="199">
        <v>42527</v>
      </c>
      <c r="AP4" s="201" t="str">
        <v>Actual/360</v>
      </c>
      <c r="AQ4" s="203">
        <v>0.25555555555555554</v>
      </c>
      <c r="AR4" s="204">
        <v>7.3678843683843828E-3</v>
      </c>
      <c r="AS4" s="204"/>
      <c r="AT4" s="205"/>
      <c r="AU4" s="204"/>
      <c r="AV4" s="204"/>
      <c r="AW4" s="204"/>
      <c r="AX4" s="204"/>
      <c r="AY4" s="204"/>
      <c r="AZ4" s="202"/>
      <c r="BA4" s="194"/>
      <c r="BB4" s="194"/>
      <c r="BC4" s="194"/>
      <c r="BD4" s="194"/>
      <c r="BE4" s="194"/>
      <c r="BF4" s="194"/>
      <c r="BG4" s="194"/>
      <c r="BH4" s="194"/>
      <c r="BI4" s="194"/>
      <c r="BJ4" s="194"/>
      <c r="BK4" s="194"/>
    </row>
    <row r="5" spans="1:69" ht="11.25" customHeight="1" x14ac:dyDescent="0.2">
      <c r="A5" s="1" t="s">
        <v>27</v>
      </c>
      <c r="B5" s="9" t="s">
        <v>104</v>
      </c>
      <c r="C5" s="10" t="s">
        <v>107</v>
      </c>
      <c r="D5" s="138"/>
      <c r="E5" s="7" t="str">
        <f>Currency&amp;Tenor</f>
        <v>USDFedFunds</v>
      </c>
      <c r="F5" s="2" t="str">
        <f>Currency&amp;$B5&amp;"D"&amp;QuoteSuffix</f>
        <v>USDSND_Quote</v>
      </c>
      <c r="G5" s="138"/>
      <c r="H5" s="3"/>
      <c r="I5" s="53"/>
      <c r="J5" s="12" t="str">
        <f>A5</f>
        <v>Dp</v>
      </c>
      <c r="K5" s="107" t="str">
        <f t="shared" si="1"/>
        <v>--</v>
      </c>
      <c r="L5" s="112" t="str">
        <f>IFERROR(_xll.qlRateHelperQuoteName(K5,Trigger),"--")</f>
        <v>--</v>
      </c>
      <c r="M5" s="113" t="str">
        <f>IFERROR(_xll.qlRateHelperQuoteValue($K5,Trigger),"--")</f>
        <v>--</v>
      </c>
      <c r="N5" s="112" t="b">
        <v>0</v>
      </c>
      <c r="O5" s="107">
        <v>70</v>
      </c>
      <c r="P5" s="107">
        <v>1</v>
      </c>
      <c r="Q5" s="114" t="str">
        <f>IFERROR(_xll.qlRateHelperEarliestDate(K5,Trigger),"--")</f>
        <v>--</v>
      </c>
      <c r="R5" s="114" t="str">
        <f>IFERROR(_xll.qlRateHelperPillarDate(K5,Trigger),"--")</f>
        <v>--</v>
      </c>
      <c r="T5" s="4" t="str">
        <f t="shared" si="0"/>
        <v>OIS</v>
      </c>
      <c r="U5" s="4" t="str">
        <v>obj_00321</v>
      </c>
      <c r="V5" s="4" t="str">
        <f>IFERROR(_xll.qlRateHelperQuoteName(U5,Trigger),"")</f>
        <v>USDOIS2W_Quote</v>
      </c>
      <c r="W5" s="76">
        <f>IFERROR(_xll.qlRateHelperRate(U5,Trigger),"")</f>
        <v>3.79E-3</v>
      </c>
      <c r="X5" s="116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42436</v>
      </c>
      <c r="Z5" s="5">
        <f>IFERROR(_xll.qlRateHelperPillarDate(U5,Trigger),"")</f>
        <v>42450</v>
      </c>
      <c r="AA5" s="84">
        <v>0.99979934185908226</v>
      </c>
      <c r="AB5" s="87"/>
      <c r="AC5" s="207" t="s">
        <v>181</v>
      </c>
      <c r="AD5" s="57" t="s">
        <v>0</v>
      </c>
      <c r="AE5" s="200"/>
      <c r="AF5" s="217"/>
      <c r="AG5" s="199">
        <v>42620</v>
      </c>
      <c r="AH5" s="236">
        <v>2.0858231080339608E-3</v>
      </c>
      <c r="AI5" s="236">
        <v>1</v>
      </c>
      <c r="AJ5" s="199">
        <v>42528</v>
      </c>
      <c r="AK5" s="199">
        <v>42620</v>
      </c>
      <c r="AL5" s="201">
        <v>92</v>
      </c>
      <c r="AM5" s="202" t="str">
        <v>FedFundsON Actual/360</v>
      </c>
      <c r="AN5" s="201">
        <v>0</v>
      </c>
      <c r="AO5" s="199">
        <v>42619</v>
      </c>
      <c r="AP5" s="201" t="str">
        <v>Actual/360</v>
      </c>
      <c r="AQ5" s="203">
        <v>0.25555555555555554</v>
      </c>
      <c r="AR5" s="204">
        <v>8.1619165096981083E-3</v>
      </c>
      <c r="AS5" s="204"/>
      <c r="AT5" s="205"/>
      <c r="AU5" s="204"/>
      <c r="AV5" s="204"/>
      <c r="AW5" s="204"/>
      <c r="AX5" s="204"/>
      <c r="AY5" s="204"/>
      <c r="AZ5" s="202"/>
      <c r="BA5" s="194"/>
      <c r="BB5" s="194"/>
      <c r="BC5" s="194"/>
      <c r="BD5" s="194"/>
      <c r="BE5" s="194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P5" s="194"/>
      <c r="BQ5" s="194"/>
    </row>
    <row r="6" spans="1:69" ht="11.25" customHeight="1" x14ac:dyDescent="0.2">
      <c r="I6" s="53"/>
      <c r="J6" s="11" t="str">
        <f t="shared" ref="J6:J37" si="2">A8</f>
        <v>OIS</v>
      </c>
      <c r="K6" s="106" t="str">
        <f>IF(ISBLANK(H8),"--",H8)</f>
        <v>obj_0031c#0074</v>
      </c>
      <c r="L6" s="109" t="str">
        <f>IFERROR(_xll.qlRateHelperQuoteName(K6,Trigger),"--")</f>
        <v>USDOISSW_Quote</v>
      </c>
      <c r="M6" s="110">
        <f>IFERROR(_xll.qlRateHelperQuoteValue($K6,Trigger),"--")</f>
        <v>3.7000000000000002E-3</v>
      </c>
      <c r="N6" s="109" t="b">
        <v>1</v>
      </c>
      <c r="O6" s="106">
        <v>50</v>
      </c>
      <c r="P6" s="106">
        <v>1</v>
      </c>
      <c r="Q6" s="111">
        <f>IFERROR(_xll.qlRateHelperEarliestDate(K6,Trigger),"--")</f>
        <v>42436</v>
      </c>
      <c r="R6" s="111">
        <f>IFERROR(_xll.qlRateHelperPillarDate(K6,Trigger),"--")</f>
        <v>42443</v>
      </c>
      <c r="T6" s="4" t="str">
        <f t="shared" si="0"/>
        <v>OIS</v>
      </c>
      <c r="U6" s="4" t="str">
        <v>obj_00313</v>
      </c>
      <c r="V6" s="4" t="str">
        <f>IFERROR(_xll.qlRateHelperQuoteName(U6,Trigger),"")</f>
        <v>USDOIS3W_Quote</v>
      </c>
      <c r="W6" s="76">
        <f>IFERROR(_xll.qlRateHelperRate(U6,Trigger),"")</f>
        <v>3.8400000000000001E-3</v>
      </c>
      <c r="X6" s="116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42436</v>
      </c>
      <c r="Z6" s="5">
        <f>IFERROR(_xll.qlRateHelperPillarDate(U6,Trigger),"")</f>
        <v>42457</v>
      </c>
      <c r="AA6" s="84">
        <v>0.99972276327393028</v>
      </c>
      <c r="AC6" s="207" t="s">
        <v>175</v>
      </c>
      <c r="AD6" s="211">
        <f>Evaluationdate</f>
        <v>42432</v>
      </c>
      <c r="AE6" s="200"/>
      <c r="AF6" s="217"/>
      <c r="AG6" s="199">
        <v>42711</v>
      </c>
      <c r="AH6" s="236">
        <v>2.2196769285136742E-3</v>
      </c>
      <c r="AI6" s="236">
        <v>1</v>
      </c>
      <c r="AJ6" s="199">
        <v>42620</v>
      </c>
      <c r="AK6" s="199">
        <v>42711</v>
      </c>
      <c r="AL6" s="201">
        <v>91</v>
      </c>
      <c r="AM6" s="202" t="str">
        <v>FedFundsON Actual/360</v>
      </c>
      <c r="AN6" s="201">
        <v>0</v>
      </c>
      <c r="AO6" s="199">
        <v>42710</v>
      </c>
      <c r="AP6" s="201" t="str">
        <v>Actual/360</v>
      </c>
      <c r="AQ6" s="203">
        <v>0.25277777777777777</v>
      </c>
      <c r="AR6" s="204">
        <v>8.7811394974167331E-3</v>
      </c>
      <c r="AS6" s="204"/>
      <c r="AT6" s="205"/>
      <c r="AU6" s="204"/>
      <c r="AV6" s="204"/>
      <c r="AW6" s="204"/>
      <c r="AX6" s="204"/>
      <c r="AY6" s="204"/>
      <c r="AZ6" s="202"/>
      <c r="BA6" s="194"/>
      <c r="BB6" s="194"/>
      <c r="BC6" s="194"/>
      <c r="BD6" s="194"/>
      <c r="BE6" s="194"/>
      <c r="BF6" s="194"/>
      <c r="BG6" s="194"/>
      <c r="BH6" s="194"/>
      <c r="BI6" s="194"/>
      <c r="BJ6" s="194"/>
      <c r="BK6" s="194"/>
      <c r="BL6" s="194"/>
      <c r="BM6" s="194"/>
      <c r="BN6" s="194"/>
      <c r="BO6" s="194"/>
      <c r="BP6" s="194"/>
      <c r="BQ6" s="194"/>
    </row>
    <row r="7" spans="1:69" ht="11.25" customHeight="1" x14ac:dyDescent="0.2">
      <c r="A7" s="71" t="s">
        <v>9</v>
      </c>
      <c r="B7" s="71" t="s">
        <v>30</v>
      </c>
      <c r="C7" s="71" t="s">
        <v>111</v>
      </c>
      <c r="D7" s="71"/>
      <c r="E7" s="71" t="s">
        <v>4</v>
      </c>
      <c r="F7" s="71" t="s">
        <v>1</v>
      </c>
      <c r="G7" s="71"/>
      <c r="H7" s="71" t="s">
        <v>25</v>
      </c>
      <c r="I7" s="53"/>
      <c r="J7" s="11" t="str">
        <f t="shared" si="2"/>
        <v>OIS</v>
      </c>
      <c r="K7" s="106" t="str">
        <f t="shared" ref="K7:K55" si="3">IF(ISBLANK(H9),"--",H9)</f>
        <v>obj_00321#0074</v>
      </c>
      <c r="L7" s="109" t="str">
        <f>IFERROR(_xll.qlRateHelperQuoteName(K7,Trigger),"--")</f>
        <v>USDOIS2W_Quote</v>
      </c>
      <c r="M7" s="110">
        <f>IFERROR(_xll.qlRateHelperQuoteValue($K7,Trigger),"--")</f>
        <v>3.79E-3</v>
      </c>
      <c r="N7" s="109" t="b">
        <v>1</v>
      </c>
      <c r="O7" s="106">
        <v>50</v>
      </c>
      <c r="P7" s="106">
        <v>1</v>
      </c>
      <c r="Q7" s="111">
        <f>IFERROR(_xll.qlRateHelperEarliestDate(K7,Trigger),"--")</f>
        <v>42436</v>
      </c>
      <c r="R7" s="111">
        <f>IFERROR(_xll.qlRateHelperPillarDate(K7,Trigger),"--")</f>
        <v>42450</v>
      </c>
      <c r="T7" s="4" t="str">
        <f t="shared" si="0"/>
        <v>OIS</v>
      </c>
      <c r="U7" s="4" t="str">
        <v>obj_0031e</v>
      </c>
      <c r="V7" s="4" t="str">
        <f>IFERROR(_xll.qlRateHelperQuoteName(U7,Trigger),"")</f>
        <v>USDOIS1M_Quote</v>
      </c>
      <c r="W7" s="76">
        <f>IFERROR(_xll.qlRateHelperRate(U7,Trigger),"")</f>
        <v>3.8400000000000001E-3</v>
      </c>
      <c r="X7" s="116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42436</v>
      </c>
      <c r="Z7" s="5">
        <f>IFERROR(_xll.qlRateHelperPillarDate(U7,Trigger),"")</f>
        <v>42467</v>
      </c>
      <c r="AA7" s="84">
        <v>0.99961616142890708</v>
      </c>
      <c r="AC7" s="207" t="s">
        <v>110</v>
      </c>
      <c r="AD7" s="211">
        <f>_xll.qlCalendarAdvance(Calendar,AD6,AD4,,,Trigger)</f>
        <v>46084</v>
      </c>
      <c r="AE7" s="200"/>
      <c r="AF7" s="217"/>
      <c r="AG7" s="199">
        <v>42801</v>
      </c>
      <c r="AH7" s="236">
        <v>2.4180399839608705E-3</v>
      </c>
      <c r="AI7" s="236">
        <v>1</v>
      </c>
      <c r="AJ7" s="199">
        <v>42711</v>
      </c>
      <c r="AK7" s="199">
        <v>42801</v>
      </c>
      <c r="AL7" s="201">
        <v>90</v>
      </c>
      <c r="AM7" s="202" t="str">
        <v>FedFundsON Actual/360</v>
      </c>
      <c r="AN7" s="201">
        <v>0</v>
      </c>
      <c r="AO7" s="199">
        <v>42800</v>
      </c>
      <c r="AP7" s="201" t="str">
        <v>Actual/360</v>
      </c>
      <c r="AQ7" s="203">
        <v>0.25</v>
      </c>
      <c r="AR7" s="204">
        <v>9.6721599358434822E-3</v>
      </c>
      <c r="AS7" s="204"/>
      <c r="AT7" s="205"/>
      <c r="AU7" s="204"/>
      <c r="AV7" s="204"/>
      <c r="AW7" s="204"/>
      <c r="AX7" s="204"/>
      <c r="AY7" s="204"/>
      <c r="AZ7" s="202"/>
      <c r="BA7" s="194"/>
      <c r="BB7" s="194"/>
      <c r="BC7" s="194"/>
      <c r="BD7" s="194"/>
      <c r="BE7" s="194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194"/>
      <c r="BQ7" s="194"/>
    </row>
    <row r="8" spans="1:69" ht="11.25" customHeight="1" x14ac:dyDescent="0.2">
      <c r="A8" s="58" t="s">
        <v>100</v>
      </c>
      <c r="B8" s="59" t="s">
        <v>50</v>
      </c>
      <c r="C8" s="60">
        <f>IF(B8="O/N",0,IF(B8="T/N",1,2))</f>
        <v>2</v>
      </c>
      <c r="D8" s="137"/>
      <c r="E8" s="67" t="str">
        <f t="shared" ref="E8:E39" si="4">Currency&amp;Tenor</f>
        <v>USDFedFunds</v>
      </c>
      <c r="F8" s="62" t="str">
        <f t="shared" ref="F8:F39" si="5">Currency&amp;$A8&amp;IF($B8="1W","SW",$B8)&amp;QuoteSuffix</f>
        <v>USDOISSW_Quote</v>
      </c>
      <c r="G8" s="137"/>
      <c r="H8" s="63" t="str">
        <f>_xll.qlOISRateHelper(,C8,B8,F8,$E8,,Permanent,Trigger,ObjectOverwrite)</f>
        <v>obj_0031c#0074</v>
      </c>
      <c r="I8" s="53"/>
      <c r="J8" s="11" t="str">
        <f t="shared" si="2"/>
        <v>OIS</v>
      </c>
      <c r="K8" s="106" t="str">
        <f t="shared" si="3"/>
        <v>obj_00313#0074</v>
      </c>
      <c r="L8" s="109" t="str">
        <f>IFERROR(_xll.qlRateHelperQuoteName(K8,Trigger),"--")</f>
        <v>USDOIS3W_Quote</v>
      </c>
      <c r="M8" s="110">
        <f>IFERROR(_xll.qlRateHelperQuoteValue($K8,Trigger),"--")</f>
        <v>3.8400000000000001E-3</v>
      </c>
      <c r="N8" s="109" t="b">
        <v>1</v>
      </c>
      <c r="O8" s="106">
        <v>50</v>
      </c>
      <c r="P8" s="106">
        <v>1</v>
      </c>
      <c r="Q8" s="111">
        <f>IFERROR(_xll.qlRateHelperEarliestDate(K8,Trigger),"--")</f>
        <v>42436</v>
      </c>
      <c r="R8" s="111">
        <f>IFERROR(_xll.qlRateHelperPillarDate(K8,Trigger),"--")</f>
        <v>42457</v>
      </c>
      <c r="T8" s="4" t="str">
        <f t="shared" si="0"/>
        <v>OIS</v>
      </c>
      <c r="U8" s="4" t="str">
        <v>obj_00311</v>
      </c>
      <c r="V8" s="4" t="str">
        <f>IFERROR(_xll.qlRateHelperQuoteName(U8,Trigger),"")</f>
        <v>USDOIS2M_Quote</v>
      </c>
      <c r="W8" s="76">
        <f>IFERROR(_xll.qlRateHelperRate(U8,Trigger),"")</f>
        <v>3.9500000000000004E-3</v>
      </c>
      <c r="X8" s="116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42436</v>
      </c>
      <c r="Z8" s="5">
        <f>IFERROR(_xll.qlRateHelperPillarDate(U8,Trigger),"")</f>
        <v>42499</v>
      </c>
      <c r="AA8" s="84">
        <v>0.99925596548696771</v>
      </c>
      <c r="AC8" s="208" t="s">
        <v>168</v>
      </c>
      <c r="AD8" s="212">
        <v>100000</v>
      </c>
      <c r="AE8" s="200"/>
      <c r="AF8" s="217"/>
      <c r="AG8" s="199">
        <v>42893</v>
      </c>
      <c r="AH8" s="236">
        <v>2.643105512524932E-3</v>
      </c>
      <c r="AI8" s="236">
        <v>1</v>
      </c>
      <c r="AJ8" s="199">
        <v>42801</v>
      </c>
      <c r="AK8" s="199">
        <v>42893</v>
      </c>
      <c r="AL8" s="201">
        <v>92</v>
      </c>
      <c r="AM8" s="202" t="str">
        <v>FedFundsON Actual/360</v>
      </c>
      <c r="AN8" s="201">
        <v>0</v>
      </c>
      <c r="AO8" s="199">
        <v>42892</v>
      </c>
      <c r="AP8" s="201" t="str">
        <v>Actual/360</v>
      </c>
      <c r="AQ8" s="203">
        <v>0.25555555555555554</v>
      </c>
      <c r="AR8" s="204">
        <v>1.0342586788141039E-2</v>
      </c>
      <c r="AS8" s="204"/>
      <c r="AT8" s="205"/>
      <c r="AU8" s="204"/>
      <c r="AV8" s="204"/>
      <c r="AW8" s="204"/>
      <c r="AX8" s="204"/>
      <c r="AY8" s="204"/>
      <c r="AZ8" s="202"/>
      <c r="BA8" s="194"/>
      <c r="BB8" s="194"/>
      <c r="BC8" s="194"/>
      <c r="BD8" s="194"/>
      <c r="BE8" s="194"/>
      <c r="BF8" s="194"/>
      <c r="BG8" s="194"/>
      <c r="BH8" s="194"/>
      <c r="BI8" s="194"/>
      <c r="BJ8" s="194"/>
      <c r="BK8" s="194"/>
      <c r="BL8" s="194"/>
      <c r="BM8" s="194"/>
      <c r="BN8" s="194"/>
      <c r="BO8" s="194"/>
      <c r="BP8" s="194"/>
      <c r="BQ8" s="194"/>
    </row>
    <row r="9" spans="1:69" ht="11.25" customHeight="1" x14ac:dyDescent="0.2">
      <c r="A9" s="64" t="s">
        <v>100</v>
      </c>
      <c r="B9" s="65" t="s">
        <v>51</v>
      </c>
      <c r="C9" s="66">
        <f t="shared" ref="C9:C22" si="6">IF(B9="O/N",0,IF(B9="T/N",1,2))</f>
        <v>2</v>
      </c>
      <c r="D9" s="137"/>
      <c r="E9" s="67" t="str">
        <f t="shared" si="4"/>
        <v>USDFedFunds</v>
      </c>
      <c r="F9" s="69" t="str">
        <f t="shared" si="5"/>
        <v>USDOIS2W_Quote</v>
      </c>
      <c r="G9" s="137"/>
      <c r="H9" s="70" t="str">
        <f>_xll.qlOISRateHelper(,C9,B9,F9,$E9,,Permanent,Trigger,ObjectOverwrite)</f>
        <v>obj_00321#0074</v>
      </c>
      <c r="I9" s="53"/>
      <c r="J9" s="11" t="str">
        <f t="shared" si="2"/>
        <v>OIS</v>
      </c>
      <c r="K9" s="106" t="str">
        <f t="shared" si="3"/>
        <v>obj_0031e#0074</v>
      </c>
      <c r="L9" s="109" t="str">
        <f>IFERROR(_xll.qlRateHelperQuoteName(K9,Trigger),"--")</f>
        <v>USDOIS1M_Quote</v>
      </c>
      <c r="M9" s="110">
        <f>IFERROR(_xll.qlRateHelperQuoteValue($K9,Trigger),"--")</f>
        <v>3.8400000000000001E-3</v>
      </c>
      <c r="N9" s="109" t="b">
        <v>1</v>
      </c>
      <c r="O9" s="106">
        <v>50</v>
      </c>
      <c r="P9" s="106">
        <v>1</v>
      </c>
      <c r="Q9" s="111">
        <f>IFERROR(_xll.qlRateHelperEarliestDate(K9,Trigger),"--")</f>
        <v>42436</v>
      </c>
      <c r="R9" s="111">
        <f>IFERROR(_xll.qlRateHelperPillarDate(K9,Trigger),"--")</f>
        <v>42467</v>
      </c>
      <c r="T9" s="4" t="str">
        <f t="shared" si="0"/>
        <v>OIS</v>
      </c>
      <c r="U9" s="4" t="str">
        <v>obj_00314</v>
      </c>
      <c r="V9" s="4" t="str">
        <f>IFERROR(_xll.qlRateHelperQuoteName(U9,Trigger),"")</f>
        <v>USDOIS3M_Quote</v>
      </c>
      <c r="W9" s="76">
        <f>IFERROR(_xll.qlRateHelperRate(U9,Trigger),"")</f>
        <v>4.0700000000000007E-3</v>
      </c>
      <c r="X9" s="116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42436</v>
      </c>
      <c r="Z9" s="5">
        <f>IFERROR(_xll.qlRateHelperPillarDate(U9,Trigger),"")</f>
        <v>42528</v>
      </c>
      <c r="AA9" s="84">
        <v>0.99890772614814871</v>
      </c>
      <c r="AC9" s="209" t="s">
        <v>169</v>
      </c>
      <c r="AD9" s="214">
        <f>_xll.qlQuoteValue(Currency&amp;"AM3L"&amp;AD4&amp;QuoteSuffix,Trigger)</f>
        <v>1.6890000000000002E-2</v>
      </c>
      <c r="AE9" s="200"/>
      <c r="AF9" s="217"/>
      <c r="AG9" s="199">
        <v>42985</v>
      </c>
      <c r="AH9" s="236">
        <v>2.6883081579182344E-3</v>
      </c>
      <c r="AI9" s="236">
        <v>1</v>
      </c>
      <c r="AJ9" s="199">
        <v>42893</v>
      </c>
      <c r="AK9" s="199">
        <v>42985</v>
      </c>
      <c r="AL9" s="201">
        <v>92</v>
      </c>
      <c r="AM9" s="202" t="str">
        <v>FedFundsON Actual/360</v>
      </c>
      <c r="AN9" s="201">
        <v>0</v>
      </c>
      <c r="AO9" s="199">
        <v>42984</v>
      </c>
      <c r="AP9" s="201" t="str">
        <v>Actual/360</v>
      </c>
      <c r="AQ9" s="203">
        <v>0.25555555555555554</v>
      </c>
      <c r="AR9" s="204">
        <v>1.0519466704897441E-2</v>
      </c>
      <c r="AS9" s="204"/>
      <c r="AT9" s="205"/>
      <c r="AU9" s="204"/>
      <c r="AV9" s="204"/>
      <c r="AW9" s="204"/>
      <c r="AX9" s="204"/>
      <c r="AY9" s="204"/>
      <c r="AZ9" s="202"/>
      <c r="BA9" s="194"/>
      <c r="BB9" s="194"/>
      <c r="BC9" s="194"/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  <c r="BQ9" s="194"/>
    </row>
    <row r="10" spans="1:69" ht="11.25" customHeight="1" x14ac:dyDescent="0.2">
      <c r="A10" s="64" t="s">
        <v>100</v>
      </c>
      <c r="B10" s="65" t="s">
        <v>52</v>
      </c>
      <c r="C10" s="66">
        <f t="shared" si="6"/>
        <v>2</v>
      </c>
      <c r="D10" s="137"/>
      <c r="E10" s="67" t="str">
        <f t="shared" si="4"/>
        <v>USDFedFunds</v>
      </c>
      <c r="F10" s="69" t="str">
        <f t="shared" si="5"/>
        <v>USDOIS3W_Quote</v>
      </c>
      <c r="G10" s="137"/>
      <c r="H10" s="70" t="str">
        <f>_xll.qlOISRateHelper(,C10,B10,F10,$E10,,Permanent,Trigger,ObjectOverwrite)</f>
        <v>obj_00313#0074</v>
      </c>
      <c r="I10" s="53"/>
      <c r="J10" s="11" t="str">
        <f t="shared" si="2"/>
        <v>OIS</v>
      </c>
      <c r="K10" s="106" t="str">
        <f t="shared" si="3"/>
        <v>obj_00311#0074</v>
      </c>
      <c r="L10" s="109" t="str">
        <f>IFERROR(_xll.qlRateHelperQuoteName(K10,Trigger),"--")</f>
        <v>USDOIS2M_Quote</v>
      </c>
      <c r="M10" s="110">
        <f>IFERROR(_xll.qlRateHelperQuoteValue($K10,Trigger),"--")</f>
        <v>3.9500000000000004E-3</v>
      </c>
      <c r="N10" s="109" t="b">
        <v>1</v>
      </c>
      <c r="O10" s="106">
        <v>50</v>
      </c>
      <c r="P10" s="106">
        <v>1</v>
      </c>
      <c r="Q10" s="111">
        <f>IFERROR(_xll.qlRateHelperEarliestDate(K10,Trigger),"--")</f>
        <v>42436</v>
      </c>
      <c r="R10" s="111">
        <f>IFERROR(_xll.qlRateHelperPillarDate(K10,Trigger),"--")</f>
        <v>42499</v>
      </c>
      <c r="T10" s="4" t="str">
        <f t="shared" si="0"/>
        <v>OIS</v>
      </c>
      <c r="U10" s="4" t="str">
        <v>obj_00319</v>
      </c>
      <c r="V10" s="4" t="str">
        <f>IFERROR(_xll.qlRateHelperQuoteName(U10,Trigger),"")</f>
        <v>USDOIS4M_Quote</v>
      </c>
      <c r="W10" s="76">
        <f>IFERROR(_xll.qlRateHelperRate(U10,Trigger),"")</f>
        <v>4.2100000000000002E-3</v>
      </c>
      <c r="X10" s="116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42436</v>
      </c>
      <c r="Z10" s="5">
        <f>IFERROR(_xll.qlRateHelperPillarDate(U10,Trigger),"")</f>
        <v>42558</v>
      </c>
      <c r="AA10" s="84">
        <v>0.99852208752145055</v>
      </c>
      <c r="AC10" s="209" t="s">
        <v>170</v>
      </c>
      <c r="AD10" s="214" t="s">
        <v>28</v>
      </c>
      <c r="AE10" s="200"/>
      <c r="AF10" s="217"/>
      <c r="AG10" s="199">
        <v>43076</v>
      </c>
      <c r="AH10" s="236">
        <v>2.7492214700815718E-3</v>
      </c>
      <c r="AI10" s="236">
        <v>1</v>
      </c>
      <c r="AJ10" s="199">
        <v>42985</v>
      </c>
      <c r="AK10" s="199">
        <v>43076</v>
      </c>
      <c r="AL10" s="201">
        <v>91</v>
      </c>
      <c r="AM10" s="202" t="str">
        <v>FedFundsON Actual/360</v>
      </c>
      <c r="AN10" s="201">
        <v>0</v>
      </c>
      <c r="AO10" s="199">
        <v>43075</v>
      </c>
      <c r="AP10" s="201" t="str">
        <v>Actual/360</v>
      </c>
      <c r="AQ10" s="203">
        <v>0.25277777777777777</v>
      </c>
      <c r="AR10" s="204">
        <v>1.0876040980542482E-2</v>
      </c>
      <c r="AS10" s="204"/>
      <c r="AT10" s="205"/>
      <c r="AU10" s="204"/>
      <c r="AV10" s="204"/>
      <c r="AW10" s="204"/>
      <c r="AX10" s="204"/>
      <c r="AY10" s="204"/>
      <c r="AZ10" s="202"/>
      <c r="BA10" s="194"/>
      <c r="BB10" s="194"/>
      <c r="BC10" s="194"/>
      <c r="BD10" s="194"/>
      <c r="BE10" s="194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194"/>
      <c r="BQ10" s="194"/>
    </row>
    <row r="11" spans="1:69" ht="11.25" customHeight="1" x14ac:dyDescent="0.2">
      <c r="A11" s="64" t="s">
        <v>100</v>
      </c>
      <c r="B11" s="65" t="s">
        <v>2</v>
      </c>
      <c r="C11" s="66">
        <f t="shared" si="6"/>
        <v>2</v>
      </c>
      <c r="D11" s="137"/>
      <c r="E11" s="67" t="str">
        <f t="shared" si="4"/>
        <v>USDFedFunds</v>
      </c>
      <c r="F11" s="69" t="str">
        <f t="shared" si="5"/>
        <v>USDOIS1M_Quote</v>
      </c>
      <c r="G11" s="137"/>
      <c r="H11" s="70" t="str">
        <f>_xll.qlOISRateHelper(,C11,B11,F11,$E11,,Permanent,Trigger,ObjectOverwrite)</f>
        <v>obj_0031e#0074</v>
      </c>
      <c r="I11" s="53"/>
      <c r="J11" s="11" t="str">
        <f t="shared" si="2"/>
        <v>OIS</v>
      </c>
      <c r="K11" s="106" t="str">
        <f t="shared" si="3"/>
        <v>obj_00314#0074</v>
      </c>
      <c r="L11" s="109" t="str">
        <f>IFERROR(_xll.qlRateHelperQuoteName(K11,Trigger),"--")</f>
        <v>USDOIS3M_Quote</v>
      </c>
      <c r="M11" s="110">
        <f>IFERROR(_xll.qlRateHelperQuoteValue($K11,Trigger),"--")</f>
        <v>4.0700000000000007E-3</v>
      </c>
      <c r="N11" s="109" t="b">
        <v>1</v>
      </c>
      <c r="O11" s="106">
        <v>50</v>
      </c>
      <c r="P11" s="106">
        <v>1</v>
      </c>
      <c r="Q11" s="111">
        <f>IFERROR(_xll.qlRateHelperEarliestDate(K11,Trigger),"--")</f>
        <v>42436</v>
      </c>
      <c r="R11" s="111">
        <f>IFERROR(_xll.qlRateHelperPillarDate(K11,Trigger),"--")</f>
        <v>42528</v>
      </c>
      <c r="T11" s="4" t="str">
        <f t="shared" si="0"/>
        <v>OIS</v>
      </c>
      <c r="U11" s="4" t="str">
        <v>obj_0031a</v>
      </c>
      <c r="V11" s="4" t="str">
        <f>IFERROR(_xll.qlRateHelperQuoteName(U11,Trigger),"")</f>
        <v>USDOIS5M_Quote</v>
      </c>
      <c r="W11" s="76">
        <f>IFERROR(_xll.qlRateHelperRate(U11,Trigger),"")</f>
        <v>4.3599999999999993E-3</v>
      </c>
      <c r="X11" s="116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42436</v>
      </c>
      <c r="Z11" s="5">
        <f>IFERROR(_xll.qlRateHelperPillarDate(U11,Trigger),"")</f>
        <v>42590</v>
      </c>
      <c r="AA11" s="84">
        <v>0.99808516144865789</v>
      </c>
      <c r="AC11" s="209" t="s">
        <v>177</v>
      </c>
      <c r="AD11" s="214" t="s">
        <v>166</v>
      </c>
      <c r="AE11" s="200"/>
      <c r="AF11" s="217"/>
      <c r="AG11" s="199">
        <v>43166</v>
      </c>
      <c r="AH11" s="236">
        <v>2.8515249997253063E-3</v>
      </c>
      <c r="AI11" s="236">
        <v>1</v>
      </c>
      <c r="AJ11" s="199">
        <v>43076</v>
      </c>
      <c r="AK11" s="199">
        <v>43166</v>
      </c>
      <c r="AL11" s="201">
        <v>90</v>
      </c>
      <c r="AM11" s="202" t="str">
        <v>FedFundsON Actual/360</v>
      </c>
      <c r="AN11" s="201">
        <v>0</v>
      </c>
      <c r="AO11" s="199">
        <v>43165</v>
      </c>
      <c r="AP11" s="201" t="str">
        <v>Actual/360</v>
      </c>
      <c r="AQ11" s="203">
        <v>0.25</v>
      </c>
      <c r="AR11" s="204">
        <v>1.1406099998901225E-2</v>
      </c>
      <c r="AS11" s="204"/>
      <c r="AT11" s="205"/>
      <c r="AU11" s="204"/>
      <c r="AV11" s="204"/>
      <c r="AW11" s="204"/>
      <c r="AX11" s="204"/>
      <c r="AY11" s="204"/>
      <c r="AZ11" s="202"/>
      <c r="BA11" s="194"/>
      <c r="BB11" s="194"/>
      <c r="BC11" s="194"/>
      <c r="BD11" s="194"/>
      <c r="BE11" s="194"/>
      <c r="BF11" s="194"/>
      <c r="BG11" s="194"/>
      <c r="BH11" s="194"/>
      <c r="BI11" s="194"/>
      <c r="BJ11" s="194"/>
      <c r="BK11" s="194"/>
      <c r="BL11" s="194"/>
      <c r="BM11" s="194"/>
      <c r="BN11" s="194"/>
      <c r="BO11" s="194"/>
      <c r="BP11" s="194"/>
      <c r="BQ11" s="194"/>
    </row>
    <row r="12" spans="1:69" ht="11.25" customHeight="1" x14ac:dyDescent="0.2">
      <c r="A12" s="64" t="s">
        <v>100</v>
      </c>
      <c r="B12" s="65" t="s">
        <v>53</v>
      </c>
      <c r="C12" s="66">
        <f t="shared" si="6"/>
        <v>2</v>
      </c>
      <c r="D12" s="137"/>
      <c r="E12" s="67" t="str">
        <f t="shared" si="4"/>
        <v>USDFedFunds</v>
      </c>
      <c r="F12" s="69" t="str">
        <f t="shared" si="5"/>
        <v>USDOIS2M_Quote</v>
      </c>
      <c r="G12" s="137"/>
      <c r="H12" s="70" t="str">
        <f>_xll.qlOISRateHelper(,C12,B12,F12,$E12,,Permanent,Trigger,ObjectOverwrite)</f>
        <v>obj_00311#0074</v>
      </c>
      <c r="I12" s="53"/>
      <c r="J12" s="11" t="str">
        <f t="shared" si="2"/>
        <v>OIS</v>
      </c>
      <c r="K12" s="106" t="str">
        <f t="shared" si="3"/>
        <v>obj_00319#0074</v>
      </c>
      <c r="L12" s="109" t="str">
        <f>IFERROR(_xll.qlRateHelperQuoteName(K12,Trigger),"--")</f>
        <v>USDOIS4M_Quote</v>
      </c>
      <c r="M12" s="110">
        <f>IFERROR(_xll.qlRateHelperQuoteValue($K12,Trigger),"--")</f>
        <v>4.2100000000000002E-3</v>
      </c>
      <c r="N12" s="109" t="b">
        <v>1</v>
      </c>
      <c r="O12" s="106">
        <v>50</v>
      </c>
      <c r="P12" s="106">
        <v>1</v>
      </c>
      <c r="Q12" s="111">
        <f>IFERROR(_xll.qlRateHelperEarliestDate(K12,Trigger),"--")</f>
        <v>42436</v>
      </c>
      <c r="R12" s="111">
        <f>IFERROR(_xll.qlRateHelperPillarDate(K12,Trigger),"--")</f>
        <v>42558</v>
      </c>
      <c r="T12" s="4" t="str">
        <f t="shared" si="0"/>
        <v>OIS</v>
      </c>
      <c r="U12" s="4" t="str">
        <v>obj_0031d</v>
      </c>
      <c r="V12" s="4" t="str">
        <f>IFERROR(_xll.qlRateHelperQuoteName(U12,Trigger),"")</f>
        <v>USDOIS6M_Quote</v>
      </c>
      <c r="W12" s="76">
        <f>IFERROR(_xll.qlRateHelperRate(U12,Trigger),"")</f>
        <v>4.4700000000000009E-3</v>
      </c>
      <c r="X12" s="116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42436</v>
      </c>
      <c r="Z12" s="5">
        <f>IFERROR(_xll.qlRateHelperPillarDate(U12,Trigger),"")</f>
        <v>42620</v>
      </c>
      <c r="AA12" s="84">
        <v>0.99766736380259613</v>
      </c>
      <c r="AC12" s="209" t="s">
        <v>171</v>
      </c>
      <c r="AD12" s="210" t="s">
        <v>163</v>
      </c>
      <c r="AE12" s="200"/>
      <c r="AF12" s="217"/>
      <c r="AG12" s="199">
        <v>43258</v>
      </c>
      <c r="AH12" s="236">
        <v>3.0868852765641732E-3</v>
      </c>
      <c r="AI12" s="236">
        <v>1</v>
      </c>
      <c r="AJ12" s="199">
        <v>43166</v>
      </c>
      <c r="AK12" s="199">
        <v>43258</v>
      </c>
      <c r="AL12" s="201">
        <v>92</v>
      </c>
      <c r="AM12" s="202" t="str">
        <v>FedFundsON Actual/360</v>
      </c>
      <c r="AN12" s="201">
        <v>0</v>
      </c>
      <c r="AO12" s="199">
        <v>43257</v>
      </c>
      <c r="AP12" s="201" t="str">
        <v>Actual/360</v>
      </c>
      <c r="AQ12" s="203">
        <v>0.25555555555555554</v>
      </c>
      <c r="AR12" s="204">
        <v>1.207911629959894E-2</v>
      </c>
      <c r="AS12" s="204"/>
      <c r="AT12" s="205"/>
      <c r="AU12" s="204"/>
      <c r="AV12" s="204"/>
      <c r="AW12" s="204"/>
      <c r="AX12" s="204"/>
      <c r="AY12" s="204"/>
      <c r="AZ12" s="202"/>
      <c r="BA12" s="194"/>
      <c r="BB12" s="194"/>
      <c r="BC12" s="194"/>
      <c r="BD12" s="194"/>
      <c r="BE12" s="194"/>
      <c r="BF12" s="194"/>
      <c r="BG12" s="194"/>
      <c r="BH12" s="194"/>
      <c r="BI12" s="194"/>
      <c r="BJ12" s="194"/>
      <c r="BK12" s="194"/>
      <c r="BL12" s="194"/>
      <c r="BM12" s="194"/>
      <c r="BN12" s="194"/>
      <c r="BO12" s="194"/>
      <c r="BP12" s="194"/>
      <c r="BQ12" s="194"/>
    </row>
    <row r="13" spans="1:69" ht="11.25" customHeight="1" x14ac:dyDescent="0.2">
      <c r="A13" s="64" t="s">
        <v>100</v>
      </c>
      <c r="B13" s="65" t="s">
        <v>0</v>
      </c>
      <c r="C13" s="66">
        <f t="shared" si="6"/>
        <v>2</v>
      </c>
      <c r="D13" s="137"/>
      <c r="E13" s="67" t="str">
        <f t="shared" si="4"/>
        <v>USDFedFunds</v>
      </c>
      <c r="F13" s="69" t="str">
        <f t="shared" si="5"/>
        <v>USDOIS3M_Quote</v>
      </c>
      <c r="G13" s="137"/>
      <c r="H13" s="70" t="str">
        <f>_xll.qlOISRateHelper(,C13,B13,F13,$E13,,Permanent,Trigger,ObjectOverwrite)</f>
        <v>obj_00314#0074</v>
      </c>
      <c r="I13" s="53"/>
      <c r="J13" s="11" t="str">
        <f t="shared" si="2"/>
        <v>OIS</v>
      </c>
      <c r="K13" s="106" t="str">
        <f t="shared" si="3"/>
        <v>obj_0031a#0074</v>
      </c>
      <c r="L13" s="109" t="str">
        <f>IFERROR(_xll.qlRateHelperQuoteName(K13,Trigger),"--")</f>
        <v>USDOIS5M_Quote</v>
      </c>
      <c r="M13" s="110">
        <f>IFERROR(_xll.qlRateHelperQuoteValue($K13,Trigger),"--")</f>
        <v>4.3599999999999993E-3</v>
      </c>
      <c r="N13" s="109" t="b">
        <v>1</v>
      </c>
      <c r="O13" s="106">
        <v>50</v>
      </c>
      <c r="P13" s="106">
        <v>1</v>
      </c>
      <c r="Q13" s="111">
        <f>IFERROR(_xll.qlRateHelperEarliestDate(K13,Trigger),"--")</f>
        <v>42436</v>
      </c>
      <c r="R13" s="111">
        <f>IFERROR(_xll.qlRateHelperPillarDate(K13,Trigger),"--")</f>
        <v>42590</v>
      </c>
      <c r="T13" s="4" t="str">
        <f t="shared" si="0"/>
        <v>OIS</v>
      </c>
      <c r="U13" s="4" t="str">
        <v>obj_00318</v>
      </c>
      <c r="V13" s="4" t="str">
        <f>IFERROR(_xll.qlRateHelperQuoteName(U13,Trigger),"")</f>
        <v>USDOIS7M_Quote</v>
      </c>
      <c r="W13" s="76">
        <f>IFERROR(_xll.qlRateHelperRate(U13,Trigger),"")</f>
        <v>4.5699999999999994E-3</v>
      </c>
      <c r="X13" s="116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42436</v>
      </c>
      <c r="Z13" s="5">
        <f>IFERROR(_xll.qlRateHelperPillarDate(U13,Trigger),"")</f>
        <v>42650</v>
      </c>
      <c r="AA13" s="84">
        <v>0.99723759444361404</v>
      </c>
      <c r="AC13" s="209" t="s">
        <v>148</v>
      </c>
      <c r="AD13" s="214">
        <f>_xll.qlQuoteValue(Currency&amp;"FF3L"&amp;AD4&amp;QuoteSuffix,Trigger)</f>
        <v>3.3E-3</v>
      </c>
      <c r="AE13" s="200"/>
      <c r="AF13" s="217"/>
      <c r="AG13" s="199">
        <v>43350</v>
      </c>
      <c r="AH13" s="236">
        <v>3.2581464979239195E-3</v>
      </c>
      <c r="AI13" s="236">
        <v>1</v>
      </c>
      <c r="AJ13" s="199">
        <v>43258</v>
      </c>
      <c r="AK13" s="199">
        <v>43350</v>
      </c>
      <c r="AL13" s="201">
        <v>92</v>
      </c>
      <c r="AM13" s="202" t="str">
        <v>FedFundsON Actual/360</v>
      </c>
      <c r="AN13" s="201">
        <v>0</v>
      </c>
      <c r="AO13" s="199">
        <v>43349</v>
      </c>
      <c r="AP13" s="201" t="str">
        <v>Actual/360</v>
      </c>
      <c r="AQ13" s="203">
        <v>0.25555555555555554</v>
      </c>
      <c r="AR13" s="204">
        <v>1.2749268904919685E-2</v>
      </c>
      <c r="AS13" s="204"/>
      <c r="AT13" s="205"/>
      <c r="AU13" s="204"/>
      <c r="AV13" s="204"/>
      <c r="AW13" s="204"/>
      <c r="AX13" s="204"/>
      <c r="AY13" s="204"/>
      <c r="AZ13" s="202"/>
      <c r="BA13" s="194"/>
      <c r="BB13" s="194"/>
      <c r="BC13" s="194"/>
      <c r="BD13" s="194"/>
      <c r="BE13" s="194"/>
      <c r="BF13" s="194"/>
      <c r="BG13" s="194"/>
      <c r="BH13" s="194"/>
      <c r="BI13" s="194"/>
      <c r="BJ13" s="194"/>
      <c r="BK13" s="194"/>
      <c r="BL13" s="194"/>
      <c r="BM13" s="194"/>
      <c r="BN13" s="194"/>
      <c r="BO13" s="194"/>
      <c r="BP13" s="194"/>
      <c r="BQ13" s="194"/>
    </row>
    <row r="14" spans="1:69" ht="11.25" customHeight="1" x14ac:dyDescent="0.2">
      <c r="A14" s="64" t="s">
        <v>100</v>
      </c>
      <c r="B14" s="65" t="s">
        <v>54</v>
      </c>
      <c r="C14" s="66">
        <f t="shared" si="6"/>
        <v>2</v>
      </c>
      <c r="D14" s="137"/>
      <c r="E14" s="67" t="str">
        <f t="shared" si="4"/>
        <v>USDFedFunds</v>
      </c>
      <c r="F14" s="69" t="str">
        <f t="shared" si="5"/>
        <v>USDOIS4M_Quote</v>
      </c>
      <c r="G14" s="137"/>
      <c r="H14" s="70" t="str">
        <f>_xll.qlOISRateHelper(,C14,B14,F14,$E14,,Permanent,Trigger,ObjectOverwrite)</f>
        <v>obj_00319#0074</v>
      </c>
      <c r="I14" s="53"/>
      <c r="J14" s="11" t="str">
        <f t="shared" si="2"/>
        <v>OIS</v>
      </c>
      <c r="K14" s="106" t="str">
        <f t="shared" si="3"/>
        <v>obj_0031d#0074</v>
      </c>
      <c r="L14" s="109" t="str">
        <f>IFERROR(_xll.qlRateHelperQuoteName(K14,Trigger),"--")</f>
        <v>USDOIS6M_Quote</v>
      </c>
      <c r="M14" s="110">
        <f>IFERROR(_xll.qlRateHelperQuoteValue($K14,Trigger),"--")</f>
        <v>4.4700000000000009E-3</v>
      </c>
      <c r="N14" s="109" t="b">
        <v>1</v>
      </c>
      <c r="O14" s="106">
        <v>50</v>
      </c>
      <c r="P14" s="106">
        <v>1</v>
      </c>
      <c r="Q14" s="111">
        <f>IFERROR(_xll.qlRateHelperEarliestDate(K14,Trigger),"--")</f>
        <v>42436</v>
      </c>
      <c r="R14" s="111">
        <f>IFERROR(_xll.qlRateHelperPillarDate(K14,Trigger),"--")</f>
        <v>42620</v>
      </c>
      <c r="T14" s="4" t="str">
        <f t="shared" si="0"/>
        <v>OIS</v>
      </c>
      <c r="U14" s="4" t="str">
        <v>obj_00322</v>
      </c>
      <c r="V14" s="4" t="str">
        <f>IFERROR(_xll.qlRateHelperQuoteName(U14,Trigger),"")</f>
        <v>USDOIS8M_Quote</v>
      </c>
      <c r="W14" s="76">
        <f>IFERROR(_xll.qlRateHelperRate(U14,Trigger),"")</f>
        <v>4.6999999999999993E-3</v>
      </c>
      <c r="X14" s="116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42436</v>
      </c>
      <c r="Z14" s="5">
        <f>IFERROR(_xll.qlRateHelperPillarDate(U14,Trigger),"")</f>
        <v>42681</v>
      </c>
      <c r="AA14" s="84">
        <v>0.99675845849267564</v>
      </c>
      <c r="AC14" s="209" t="s">
        <v>172</v>
      </c>
      <c r="AD14" s="210" t="b">
        <v>1</v>
      </c>
      <c r="AE14" s="200"/>
      <c r="AF14" s="217"/>
      <c r="AG14" s="199">
        <v>43441</v>
      </c>
      <c r="AH14" s="236">
        <v>3.3792642887817601E-3</v>
      </c>
      <c r="AI14" s="236">
        <v>1</v>
      </c>
      <c r="AJ14" s="199">
        <v>43350</v>
      </c>
      <c r="AK14" s="199">
        <v>43441</v>
      </c>
      <c r="AL14" s="201">
        <v>91</v>
      </c>
      <c r="AM14" s="202" t="str">
        <v>FedFundsON Actual/360</v>
      </c>
      <c r="AN14" s="201">
        <v>0</v>
      </c>
      <c r="AO14" s="199">
        <v>43440</v>
      </c>
      <c r="AP14" s="201" t="str">
        <v>Actual/360</v>
      </c>
      <c r="AQ14" s="203">
        <v>0.25277777777777777</v>
      </c>
      <c r="AR14" s="204">
        <v>1.336851806551026E-2</v>
      </c>
      <c r="AS14" s="204"/>
      <c r="AT14" s="205"/>
      <c r="AU14" s="204"/>
      <c r="AV14" s="204"/>
      <c r="AW14" s="204"/>
      <c r="AX14" s="204"/>
      <c r="AY14" s="204"/>
      <c r="AZ14" s="202"/>
      <c r="BA14" s="194"/>
      <c r="BB14" s="194"/>
      <c r="BC14" s="194"/>
      <c r="BD14" s="194"/>
      <c r="BE14" s="194"/>
      <c r="BF14" s="194"/>
      <c r="BG14" s="194"/>
      <c r="BH14" s="194"/>
      <c r="BI14" s="194"/>
      <c r="BJ14" s="194"/>
      <c r="BK14" s="194"/>
      <c r="BL14" s="194"/>
      <c r="BM14" s="194"/>
      <c r="BN14" s="194"/>
      <c r="BO14" s="194"/>
      <c r="BP14" s="194"/>
      <c r="BQ14" s="194"/>
    </row>
    <row r="15" spans="1:69" ht="11.25" customHeight="1" x14ac:dyDescent="0.2">
      <c r="A15" s="64" t="s">
        <v>100</v>
      </c>
      <c r="B15" s="65" t="s">
        <v>55</v>
      </c>
      <c r="C15" s="66">
        <f t="shared" si="6"/>
        <v>2</v>
      </c>
      <c r="D15" s="137"/>
      <c r="E15" s="67" t="str">
        <f t="shared" si="4"/>
        <v>USDFedFunds</v>
      </c>
      <c r="F15" s="69" t="str">
        <f t="shared" si="5"/>
        <v>USDOIS5M_Quote</v>
      </c>
      <c r="G15" s="137"/>
      <c r="H15" s="70" t="str">
        <f>_xll.qlOISRateHelper(,C15,B15,F15,$E15,,Permanent,Trigger,ObjectOverwrite)</f>
        <v>obj_0031a#0074</v>
      </c>
      <c r="I15" s="53"/>
      <c r="J15" s="11" t="str">
        <f t="shared" si="2"/>
        <v>OIS</v>
      </c>
      <c r="K15" s="106" t="str">
        <f t="shared" si="3"/>
        <v>obj_00318#0074</v>
      </c>
      <c r="L15" s="109" t="str">
        <f>IFERROR(_xll.qlRateHelperQuoteName(K15,Trigger),"--")</f>
        <v>USDOIS7M_Quote</v>
      </c>
      <c r="M15" s="110">
        <f>IFERROR(_xll.qlRateHelperQuoteValue($K15,Trigger),"--")</f>
        <v>4.5699999999999994E-3</v>
      </c>
      <c r="N15" s="109" t="b">
        <v>1</v>
      </c>
      <c r="O15" s="106">
        <v>50</v>
      </c>
      <c r="P15" s="106">
        <v>1</v>
      </c>
      <c r="Q15" s="111">
        <f>IFERROR(_xll.qlRateHelperEarliestDate(K15,Trigger),"--")</f>
        <v>42436</v>
      </c>
      <c r="R15" s="111">
        <f>IFERROR(_xll.qlRateHelperPillarDate(K15,Trigger),"--")</f>
        <v>42650</v>
      </c>
      <c r="T15" s="4" t="str">
        <f t="shared" si="0"/>
        <v>OIS</v>
      </c>
      <c r="U15" s="4" t="str">
        <v>obj_00317</v>
      </c>
      <c r="V15" s="4" t="str">
        <f>IFERROR(_xll.qlRateHelperQuoteName(U15,Trigger),"")</f>
        <v>USDOIS9M_Quote</v>
      </c>
      <c r="W15" s="76">
        <f>IFERROR(_xll.qlRateHelperRate(U15,Trigger),"")</f>
        <v>4.81E-3</v>
      </c>
      <c r="X15" s="116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42436</v>
      </c>
      <c r="Z15" s="5">
        <f>IFERROR(_xll.qlRateHelperPillarDate(U15,Trigger),"")</f>
        <v>42711</v>
      </c>
      <c r="AA15" s="84">
        <v>0.99628604183466163</v>
      </c>
      <c r="AC15" s="209" t="s">
        <v>173</v>
      </c>
      <c r="AD15" s="215">
        <v>0.01</v>
      </c>
      <c r="AE15" s="200">
        <f>1/AD15</f>
        <v>100</v>
      </c>
      <c r="AF15" s="217"/>
      <c r="AG15" s="199">
        <v>43531</v>
      </c>
      <c r="AH15" s="236">
        <v>3.4836486346847889E-3</v>
      </c>
      <c r="AI15" s="236">
        <v>1</v>
      </c>
      <c r="AJ15" s="199">
        <v>43441</v>
      </c>
      <c r="AK15" s="199">
        <v>43531</v>
      </c>
      <c r="AL15" s="201">
        <v>90</v>
      </c>
      <c r="AM15" s="202" t="str">
        <v>FedFundsON Actual/360</v>
      </c>
      <c r="AN15" s="201">
        <v>0</v>
      </c>
      <c r="AO15" s="199">
        <v>43530</v>
      </c>
      <c r="AP15" s="201" t="str">
        <v>Actual/360</v>
      </c>
      <c r="AQ15" s="203">
        <v>0.25</v>
      </c>
      <c r="AR15" s="204">
        <v>1.3934594538739156E-2</v>
      </c>
      <c r="AS15" s="204"/>
      <c r="AT15" s="205"/>
      <c r="AU15" s="204"/>
      <c r="AV15" s="204"/>
      <c r="AW15" s="204"/>
      <c r="AX15" s="204"/>
      <c r="AY15" s="204"/>
      <c r="AZ15" s="202"/>
      <c r="BA15" s="194"/>
      <c r="BB15" s="194"/>
      <c r="BC15" s="194"/>
      <c r="BD15" s="194"/>
      <c r="BE15" s="194"/>
      <c r="BF15" s="194"/>
      <c r="BG15" s="194"/>
      <c r="BH15" s="194"/>
      <c r="BI15" s="194"/>
      <c r="BJ15" s="194"/>
      <c r="BK15" s="194"/>
      <c r="BL15" s="194"/>
      <c r="BM15" s="194"/>
      <c r="BN15" s="194"/>
      <c r="BO15" s="194"/>
      <c r="BP15" s="194"/>
      <c r="BQ15" s="194"/>
    </row>
    <row r="16" spans="1:69" ht="11.25" customHeight="1" x14ac:dyDescent="0.2">
      <c r="A16" s="64" t="s">
        <v>100</v>
      </c>
      <c r="B16" s="65" t="s">
        <v>3</v>
      </c>
      <c r="C16" s="66">
        <f t="shared" si="6"/>
        <v>2</v>
      </c>
      <c r="D16" s="137"/>
      <c r="E16" s="67" t="str">
        <f t="shared" si="4"/>
        <v>USDFedFunds</v>
      </c>
      <c r="F16" s="69" t="str">
        <f t="shared" si="5"/>
        <v>USDOIS6M_Quote</v>
      </c>
      <c r="G16" s="137"/>
      <c r="H16" s="70" t="str">
        <f>_xll.qlOISRateHelper(,C16,B16,F16,$E16,,Permanent,Trigger,ObjectOverwrite)</f>
        <v>obj_0031d#0074</v>
      </c>
      <c r="I16" s="53"/>
      <c r="J16" s="11" t="str">
        <f t="shared" si="2"/>
        <v>OIS</v>
      </c>
      <c r="K16" s="106" t="str">
        <f t="shared" si="3"/>
        <v>obj_00322#0074</v>
      </c>
      <c r="L16" s="109" t="str">
        <f>IFERROR(_xll.qlRateHelperQuoteName(K16,Trigger),"--")</f>
        <v>USDOIS8M_Quote</v>
      </c>
      <c r="M16" s="110">
        <f>IFERROR(_xll.qlRateHelperQuoteValue($K16,Trigger),"--")</f>
        <v>4.6999999999999993E-3</v>
      </c>
      <c r="N16" s="109" t="b">
        <v>1</v>
      </c>
      <c r="O16" s="106">
        <v>50</v>
      </c>
      <c r="P16" s="106">
        <v>1</v>
      </c>
      <c r="Q16" s="111">
        <f>IFERROR(_xll.qlRateHelperEarliestDate(K16,Trigger),"--")</f>
        <v>42436</v>
      </c>
      <c r="R16" s="111">
        <f>IFERROR(_xll.qlRateHelperPillarDate(K16,Trigger),"--")</f>
        <v>42681</v>
      </c>
      <c r="T16" s="4" t="str">
        <f t="shared" si="0"/>
        <v>OIS</v>
      </c>
      <c r="U16" s="4" t="str">
        <v>obj_0031b</v>
      </c>
      <c r="V16" s="4" t="str">
        <f>IFERROR(_xll.qlRateHelperQuoteName(U16,Trigger),"")</f>
        <v>USDOIS10M_Quote</v>
      </c>
      <c r="W16" s="76">
        <f>IFERROR(_xll.qlRateHelperRate(U16,Trigger),"")</f>
        <v>4.9399999999999999E-3</v>
      </c>
      <c r="X16" s="116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42436</v>
      </c>
      <c r="Z16" s="5">
        <f>IFERROR(_xll.qlRateHelperPillarDate(U16,Trigger),"")</f>
        <v>42744</v>
      </c>
      <c r="AA16" s="84">
        <v>0.99573826869925353</v>
      </c>
      <c r="AC16" s="209" t="s">
        <v>174</v>
      </c>
      <c r="AD16" s="213">
        <v>2.0000000000000001E-4</v>
      </c>
      <c r="AE16" s="200"/>
      <c r="AF16" s="217"/>
      <c r="AG16" s="199">
        <v>43623</v>
      </c>
      <c r="AH16" s="236">
        <v>3.6965706694072399E-3</v>
      </c>
      <c r="AI16" s="236">
        <v>1</v>
      </c>
      <c r="AJ16" s="199">
        <v>43531</v>
      </c>
      <c r="AK16" s="199">
        <v>43623</v>
      </c>
      <c r="AL16" s="201">
        <v>92</v>
      </c>
      <c r="AM16" s="202" t="str">
        <v>FedFundsON Actual/360</v>
      </c>
      <c r="AN16" s="201">
        <v>0</v>
      </c>
      <c r="AO16" s="199">
        <v>43622</v>
      </c>
      <c r="AP16" s="201" t="str">
        <v>Actual/360</v>
      </c>
      <c r="AQ16" s="203">
        <v>0.25555555555555554</v>
      </c>
      <c r="AR16" s="204">
        <v>1.4464841749854417E-2</v>
      </c>
      <c r="AS16" s="204"/>
      <c r="AT16" s="205"/>
      <c r="AU16" s="204"/>
      <c r="AV16" s="204"/>
      <c r="AW16" s="204"/>
      <c r="AX16" s="204"/>
      <c r="AY16" s="204"/>
      <c r="AZ16" s="202"/>
      <c r="BA16" s="194"/>
      <c r="BB16" s="194"/>
      <c r="BC16" s="194"/>
      <c r="BD16" s="194"/>
      <c r="BE16" s="194"/>
      <c r="BF16" s="194"/>
      <c r="BG16" s="194"/>
      <c r="BH16" s="194"/>
      <c r="BI16" s="194"/>
      <c r="BJ16" s="194"/>
      <c r="BK16" s="194"/>
      <c r="BL16" s="194"/>
      <c r="BM16" s="194"/>
      <c r="BN16" s="194"/>
      <c r="BO16" s="194"/>
      <c r="BP16" s="194"/>
      <c r="BQ16" s="194"/>
    </row>
    <row r="17" spans="1:69" ht="11.25" customHeight="1" x14ac:dyDescent="0.2">
      <c r="A17" s="64" t="s">
        <v>100</v>
      </c>
      <c r="B17" s="65" t="s">
        <v>56</v>
      </c>
      <c r="C17" s="66">
        <f t="shared" si="6"/>
        <v>2</v>
      </c>
      <c r="D17" s="137"/>
      <c r="E17" s="67" t="str">
        <f t="shared" si="4"/>
        <v>USDFedFunds</v>
      </c>
      <c r="F17" s="69" t="str">
        <f t="shared" si="5"/>
        <v>USDOIS7M_Quote</v>
      </c>
      <c r="G17" s="137"/>
      <c r="H17" s="70" t="str">
        <f>_xll.qlOISRateHelper(,C17,B17,F17,$E17,,Permanent,Trigger,ObjectOverwrite)</f>
        <v>obj_00318#0074</v>
      </c>
      <c r="I17" s="53"/>
      <c r="J17" s="11" t="str">
        <f t="shared" si="2"/>
        <v>OIS</v>
      </c>
      <c r="K17" s="106" t="str">
        <f t="shared" si="3"/>
        <v>obj_00317#0074</v>
      </c>
      <c r="L17" s="109" t="str">
        <f>IFERROR(_xll.qlRateHelperQuoteName(K17,Trigger),"--")</f>
        <v>USDOIS9M_Quote</v>
      </c>
      <c r="M17" s="110">
        <f>IFERROR(_xll.qlRateHelperQuoteValue($K17,Trigger),"--")</f>
        <v>4.81E-3</v>
      </c>
      <c r="N17" s="109" t="b">
        <v>1</v>
      </c>
      <c r="O17" s="106">
        <v>50</v>
      </c>
      <c r="P17" s="106">
        <v>1</v>
      </c>
      <c r="Q17" s="111">
        <f>IFERROR(_xll.qlRateHelperEarliestDate(K17,Trigger),"--")</f>
        <v>42436</v>
      </c>
      <c r="R17" s="111">
        <f>IFERROR(_xll.qlRateHelperPillarDate(K17,Trigger),"--")</f>
        <v>42711</v>
      </c>
      <c r="T17" s="4" t="str">
        <f t="shared" si="0"/>
        <v>OIS</v>
      </c>
      <c r="U17" s="4" t="str">
        <v>obj_00316</v>
      </c>
      <c r="V17" s="4" t="str">
        <f>IFERROR(_xll.qlRateHelperQuoteName(U17,Trigger),"")</f>
        <v>USDOIS11M_Quote</v>
      </c>
      <c r="W17" s="76">
        <f>IFERROR(_xll.qlRateHelperRate(U17,Trigger),"")</f>
        <v>5.0600000000000003E-3</v>
      </c>
      <c r="X17" s="116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42436</v>
      </c>
      <c r="Z17" s="5">
        <f>IFERROR(_xll.qlRateHelperPillarDate(U17,Trigger),"")</f>
        <v>42773</v>
      </c>
      <c r="AA17" s="84">
        <v>0.99523256098519297</v>
      </c>
      <c r="AC17" s="51" t="s">
        <v>178</v>
      </c>
      <c r="AD17" s="216" t="str">
        <f>_xll.qlDiscountingSwapEngine(,Discounting,,,,Permanent,Trigger,ObjectOverwrite)</f>
        <v>obj_00271#0062</v>
      </c>
      <c r="AE17" s="200"/>
      <c r="AF17" s="217"/>
      <c r="AG17" s="199">
        <v>43717</v>
      </c>
      <c r="AH17" s="236">
        <v>3.9160736370570173E-3</v>
      </c>
      <c r="AI17" s="236">
        <v>1</v>
      </c>
      <c r="AJ17" s="199">
        <v>43623</v>
      </c>
      <c r="AK17" s="199">
        <v>43717</v>
      </c>
      <c r="AL17" s="201">
        <v>94</v>
      </c>
      <c r="AM17" s="202" t="str">
        <v>FedFundsON Actual/360</v>
      </c>
      <c r="AN17" s="201">
        <v>0</v>
      </c>
      <c r="AO17" s="199">
        <v>43714</v>
      </c>
      <c r="AP17" s="201" t="str">
        <v>Actual/360</v>
      </c>
      <c r="AQ17" s="203">
        <v>0.26111111111111113</v>
      </c>
      <c r="AR17" s="204">
        <v>1.4997728822771554E-2</v>
      </c>
      <c r="AS17" s="204"/>
      <c r="AT17" s="205"/>
      <c r="AU17" s="204"/>
      <c r="AV17" s="204"/>
      <c r="AW17" s="204"/>
      <c r="AX17" s="204"/>
      <c r="AY17" s="204"/>
      <c r="AZ17" s="202"/>
      <c r="BA17" s="194"/>
      <c r="BB17" s="194"/>
      <c r="BC17" s="194"/>
      <c r="BD17" s="194"/>
      <c r="BE17" s="194"/>
      <c r="BF17" s="194"/>
      <c r="BG17" s="194"/>
      <c r="BH17" s="194"/>
      <c r="BI17" s="194"/>
      <c r="BJ17" s="194"/>
      <c r="BK17" s="194"/>
      <c r="BL17" s="194"/>
      <c r="BM17" s="194"/>
      <c r="BN17" s="194"/>
      <c r="BO17" s="194"/>
      <c r="BP17" s="194"/>
      <c r="BQ17" s="194"/>
    </row>
    <row r="18" spans="1:69" ht="11.25" customHeight="1" x14ac:dyDescent="0.2">
      <c r="A18" s="64" t="s">
        <v>100</v>
      </c>
      <c r="B18" s="65" t="s">
        <v>57</v>
      </c>
      <c r="C18" s="66">
        <f t="shared" si="6"/>
        <v>2</v>
      </c>
      <c r="D18" s="137"/>
      <c r="E18" s="67" t="str">
        <f t="shared" si="4"/>
        <v>USDFedFunds</v>
      </c>
      <c r="F18" s="69" t="str">
        <f t="shared" si="5"/>
        <v>USDOIS8M_Quote</v>
      </c>
      <c r="G18" s="137"/>
      <c r="H18" s="70" t="str">
        <f>_xll.qlOISRateHelper(,C18,B18,F18,$E18,,Permanent,Trigger,ObjectOverwrite)</f>
        <v>obj_00322#0074</v>
      </c>
      <c r="I18" s="53"/>
      <c r="J18" s="11" t="str">
        <f t="shared" si="2"/>
        <v>OIS</v>
      </c>
      <c r="K18" s="106" t="str">
        <f t="shared" si="3"/>
        <v>obj_0031b#0074</v>
      </c>
      <c r="L18" s="109" t="str">
        <f>IFERROR(_xll.qlRateHelperQuoteName(K18,Trigger),"--")</f>
        <v>USDOIS10M_Quote</v>
      </c>
      <c r="M18" s="110">
        <f>IFERROR(_xll.qlRateHelperQuoteValue($K18,Trigger),"--")</f>
        <v>4.9399999999999999E-3</v>
      </c>
      <c r="N18" s="109" t="b">
        <v>1</v>
      </c>
      <c r="O18" s="106">
        <v>50</v>
      </c>
      <c r="P18" s="106">
        <v>1</v>
      </c>
      <c r="Q18" s="111">
        <f>IFERROR(_xll.qlRateHelperEarliestDate(K18,Trigger),"--")</f>
        <v>42436</v>
      </c>
      <c r="R18" s="111">
        <f>IFERROR(_xll.qlRateHelperPillarDate(K18,Trigger),"--")</f>
        <v>42744</v>
      </c>
      <c r="T18" s="4" t="str">
        <f t="shared" si="0"/>
        <v>BasOIS</v>
      </c>
      <c r="U18" s="4" t="str">
        <v>obj_00276</v>
      </c>
      <c r="V18" s="4" t="str">
        <f>IFERROR(_xll.qlRateHelperQuoteName(U18,Trigger),"")</f>
        <v>USDAM3L1Y_Quote</v>
      </c>
      <c r="W18" s="76">
        <f>IFERROR(_xll.qlRateHelperRate(U18,Trigger),"")</f>
        <v>7.7000000000000002E-3</v>
      </c>
      <c r="X18" s="116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42436</v>
      </c>
      <c r="Z18" s="5">
        <f>IFERROR(_xll.qlRateHelperPillarDate(U18,Trigger),"")</f>
        <v>42801</v>
      </c>
      <c r="AA18" s="84">
        <v>0.99469722402248029</v>
      </c>
      <c r="AC18" s="199"/>
      <c r="AD18" s="210"/>
      <c r="AE18" s="200"/>
      <c r="AF18" s="217"/>
      <c r="AG18" s="199">
        <v>43808</v>
      </c>
      <c r="AH18" s="236">
        <v>3.9246976124761579E-3</v>
      </c>
      <c r="AI18" s="236">
        <v>1</v>
      </c>
      <c r="AJ18" s="199">
        <v>43717</v>
      </c>
      <c r="AK18" s="199">
        <v>43808</v>
      </c>
      <c r="AL18" s="201">
        <v>91</v>
      </c>
      <c r="AM18" s="202" t="str">
        <v>FedFundsON Actual/360</v>
      </c>
      <c r="AN18" s="201">
        <v>0</v>
      </c>
      <c r="AO18" s="199">
        <v>43805</v>
      </c>
      <c r="AP18" s="201" t="str">
        <v>Actual/360</v>
      </c>
      <c r="AQ18" s="203">
        <v>0.25277777777777777</v>
      </c>
      <c r="AR18" s="204">
        <v>1.5526276269136448E-2</v>
      </c>
      <c r="AS18" s="204"/>
      <c r="AT18" s="205"/>
      <c r="AU18" s="204"/>
      <c r="AV18" s="204"/>
      <c r="AW18" s="204"/>
      <c r="AX18" s="204"/>
      <c r="AY18" s="204"/>
      <c r="AZ18" s="202"/>
      <c r="BA18" s="194"/>
      <c r="BB18" s="194"/>
      <c r="BC18" s="194"/>
      <c r="BD18" s="194"/>
      <c r="BE18" s="194"/>
      <c r="BF18" s="194"/>
      <c r="BG18" s="194"/>
      <c r="BH18" s="194"/>
      <c r="BI18" s="194"/>
      <c r="BJ18" s="194"/>
      <c r="BK18" s="194"/>
      <c r="BL18" s="194"/>
      <c r="BM18" s="194"/>
      <c r="BN18" s="194"/>
      <c r="BO18" s="194"/>
      <c r="BP18" s="194"/>
      <c r="BQ18" s="194"/>
    </row>
    <row r="19" spans="1:69" ht="11.25" customHeight="1" x14ac:dyDescent="0.2">
      <c r="A19" s="64" t="s">
        <v>100</v>
      </c>
      <c r="B19" s="65" t="s">
        <v>58</v>
      </c>
      <c r="C19" s="66">
        <f t="shared" si="6"/>
        <v>2</v>
      </c>
      <c r="D19" s="137"/>
      <c r="E19" s="67" t="str">
        <f t="shared" si="4"/>
        <v>USDFedFunds</v>
      </c>
      <c r="F19" s="69" t="str">
        <f t="shared" si="5"/>
        <v>USDOIS9M_Quote</v>
      </c>
      <c r="G19" s="137"/>
      <c r="H19" s="70" t="str">
        <f>_xll.qlOISRateHelper(,C19,B19,F19,$E19,,Permanent,Trigger,ObjectOverwrite)</f>
        <v>obj_00317#0074</v>
      </c>
      <c r="I19" s="53"/>
      <c r="J19" s="11" t="str">
        <f t="shared" si="2"/>
        <v>OIS</v>
      </c>
      <c r="K19" s="106" t="str">
        <f t="shared" si="3"/>
        <v>obj_00316#0074</v>
      </c>
      <c r="L19" s="109" t="str">
        <f>IFERROR(_xll.qlRateHelperQuoteName(K19,Trigger),"--")</f>
        <v>USDOIS11M_Quote</v>
      </c>
      <c r="M19" s="110">
        <f>IFERROR(_xll.qlRateHelperQuoteValue($K19,Trigger),"--")</f>
        <v>5.0600000000000003E-3</v>
      </c>
      <c r="N19" s="109" t="b">
        <v>1</v>
      </c>
      <c r="O19" s="106">
        <v>50</v>
      </c>
      <c r="P19" s="106">
        <v>1</v>
      </c>
      <c r="Q19" s="111">
        <f>IFERROR(_xll.qlRateHelperEarliestDate(K19,Trigger),"--")</f>
        <v>42436</v>
      </c>
      <c r="R19" s="111">
        <f>IFERROR(_xll.qlRateHelperPillarDate(K19,Trigger),"--")</f>
        <v>42773</v>
      </c>
      <c r="T19" s="4" t="str">
        <f t="shared" si="0"/>
        <v>BasOIS</v>
      </c>
      <c r="U19" s="4" t="str">
        <v>obj_00277</v>
      </c>
      <c r="V19" s="4" t="str">
        <f>IFERROR(_xll.qlRateHelperQuoteName(U19,Trigger),"")</f>
        <v>USDAM3L2Y_Quote</v>
      </c>
      <c r="W19" s="76">
        <f>IFERROR(_xll.qlRateHelperRate(U19,Trigger),"")</f>
        <v>9.0299999999999998E-3</v>
      </c>
      <c r="X19" s="116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42436</v>
      </c>
      <c r="Z19" s="5">
        <f>IFERROR(_xll.qlRateHelperPillarDate(U19,Trigger),"")</f>
        <v>43166</v>
      </c>
      <c r="AA19" s="84">
        <v>0.98717073205588579</v>
      </c>
      <c r="AC19" s="199"/>
      <c r="AD19" s="200"/>
      <c r="AE19" s="200"/>
      <c r="AF19" s="217"/>
      <c r="AG19" s="199">
        <v>43899</v>
      </c>
      <c r="AH19" s="236">
        <v>4.0557703593853351E-3</v>
      </c>
      <c r="AI19" s="236">
        <v>1</v>
      </c>
      <c r="AJ19" s="199">
        <v>43808</v>
      </c>
      <c r="AK19" s="199">
        <v>43899</v>
      </c>
      <c r="AL19" s="201">
        <v>91</v>
      </c>
      <c r="AM19" s="202" t="str">
        <v>FedFundsON Actual/360</v>
      </c>
      <c r="AN19" s="201">
        <v>0</v>
      </c>
      <c r="AO19" s="199">
        <v>43896</v>
      </c>
      <c r="AP19" s="201" t="str">
        <v>Actual/360</v>
      </c>
      <c r="AQ19" s="203">
        <v>0.25277777777777777</v>
      </c>
      <c r="AR19" s="204">
        <v>1.604480581734858E-2</v>
      </c>
      <c r="AS19" s="204"/>
      <c r="AT19" s="205"/>
      <c r="AU19" s="204"/>
      <c r="AV19" s="204"/>
      <c r="AW19" s="204"/>
      <c r="AX19" s="204"/>
      <c r="AY19" s="204"/>
      <c r="AZ19" s="202"/>
      <c r="BA19" s="194"/>
      <c r="BB19" s="194"/>
      <c r="BC19" s="194"/>
      <c r="BD19" s="194"/>
      <c r="BE19" s="194"/>
      <c r="BF19" s="194"/>
      <c r="BG19" s="194"/>
      <c r="BH19" s="194"/>
      <c r="BI19" s="194"/>
      <c r="BJ19" s="194"/>
      <c r="BK19" s="194"/>
      <c r="BL19" s="194"/>
      <c r="BM19" s="194"/>
      <c r="BN19" s="194"/>
      <c r="BO19" s="194"/>
      <c r="BP19" s="194"/>
      <c r="BQ19" s="194"/>
    </row>
    <row r="20" spans="1:69" ht="11.25" customHeight="1" x14ac:dyDescent="0.2">
      <c r="A20" s="64" t="s">
        <v>100</v>
      </c>
      <c r="B20" s="65" t="s">
        <v>59</v>
      </c>
      <c r="C20" s="66">
        <f t="shared" si="6"/>
        <v>2</v>
      </c>
      <c r="D20" s="137"/>
      <c r="E20" s="67" t="str">
        <f t="shared" si="4"/>
        <v>USDFedFunds</v>
      </c>
      <c r="F20" s="69" t="str">
        <f t="shared" si="5"/>
        <v>USDOIS10M_Quote</v>
      </c>
      <c r="G20" s="137"/>
      <c r="H20" s="70" t="str">
        <f>_xll.qlOISRateHelper(,C20,B20,F20,$E20,,Permanent,Trigger,ObjectOverwrite)</f>
        <v>obj_0031b#0074</v>
      </c>
      <c r="I20" s="53"/>
      <c r="J20" s="11" t="str">
        <f t="shared" si="2"/>
        <v>OIS</v>
      </c>
      <c r="K20" s="106" t="str">
        <f t="shared" si="3"/>
        <v>obj_00320#0074</v>
      </c>
      <c r="L20" s="109" t="str">
        <f>IFERROR(_xll.qlRateHelperQuoteName(K20,Trigger),"--")</f>
        <v>USDOIS1Y_Quote</v>
      </c>
      <c r="M20" s="110">
        <f>IFERROR(_xll.qlRateHelperQuoteValue($K20,Trigger),"--")</f>
        <v>5.1700000000000001E-3</v>
      </c>
      <c r="N20" s="109" t="b">
        <v>0</v>
      </c>
      <c r="O20" s="106">
        <v>50</v>
      </c>
      <c r="P20" s="106">
        <v>1</v>
      </c>
      <c r="Q20" s="111">
        <f>IFERROR(_xll.qlRateHelperEarliestDate(K20,Trigger),"--")</f>
        <v>42436</v>
      </c>
      <c r="R20" s="111">
        <f>IFERROR(_xll.qlRateHelperPillarDate(K20,Trigger),"--")</f>
        <v>42801</v>
      </c>
      <c r="T20" s="4" t="str">
        <f t="shared" si="0"/>
        <v>BasOIS</v>
      </c>
      <c r="U20" s="4" t="str">
        <v>obj_00272</v>
      </c>
      <c r="V20" s="4" t="str">
        <f>IFERROR(_xll.qlRateHelperQuoteName(U20,Trigger),"")</f>
        <v>USDAM3L3Y_Quote</v>
      </c>
      <c r="W20" s="76">
        <f>IFERROR(_xll.qlRateHelperRate(U20,Trigger),"")</f>
        <v>1.0289999999999999E-2</v>
      </c>
      <c r="X20" s="116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42436</v>
      </c>
      <c r="Z20" s="5">
        <f>IFERROR(_xll.qlRateHelperPillarDate(U20,Trigger),"")</f>
        <v>43531</v>
      </c>
      <c r="AA20" s="84">
        <v>0.9774684718955422</v>
      </c>
      <c r="AC20" s="199"/>
      <c r="AD20" s="200"/>
      <c r="AE20" s="200"/>
      <c r="AF20" s="217"/>
      <c r="AG20" s="199">
        <v>43990</v>
      </c>
      <c r="AH20" s="236">
        <v>4.1855855041906601E-3</v>
      </c>
      <c r="AI20" s="236">
        <v>1</v>
      </c>
      <c r="AJ20" s="199">
        <v>43899</v>
      </c>
      <c r="AK20" s="199">
        <v>43990</v>
      </c>
      <c r="AL20" s="201">
        <v>91</v>
      </c>
      <c r="AM20" s="202" t="str">
        <v>FedFundsON Actual/360</v>
      </c>
      <c r="AN20" s="201">
        <v>0</v>
      </c>
      <c r="AO20" s="199">
        <v>43987</v>
      </c>
      <c r="AP20" s="201" t="str">
        <v>Actual/360</v>
      </c>
      <c r="AQ20" s="203">
        <v>0.25277777777777777</v>
      </c>
      <c r="AR20" s="204">
        <v>1.6558360236358656E-2</v>
      </c>
      <c r="AS20" s="204"/>
      <c r="AT20" s="205"/>
      <c r="AU20" s="204"/>
      <c r="AV20" s="204"/>
      <c r="AW20" s="204"/>
      <c r="AX20" s="204"/>
      <c r="AY20" s="204"/>
      <c r="AZ20" s="202"/>
      <c r="BA20" s="194"/>
      <c r="BB20" s="194"/>
      <c r="BC20" s="194"/>
      <c r="BD20" s="194"/>
      <c r="BE20" s="194"/>
      <c r="BF20" s="194"/>
      <c r="BG20" s="194"/>
      <c r="BH20" s="194"/>
      <c r="BI20" s="194"/>
      <c r="BJ20" s="194"/>
      <c r="BK20" s="194"/>
      <c r="BL20" s="194"/>
      <c r="BM20" s="194"/>
      <c r="BN20" s="194"/>
      <c r="BO20" s="194"/>
      <c r="BP20" s="194"/>
      <c r="BQ20" s="194"/>
    </row>
    <row r="21" spans="1:69" ht="11.25" customHeight="1" x14ac:dyDescent="0.2">
      <c r="A21" s="64" t="s">
        <v>100</v>
      </c>
      <c r="B21" s="65" t="s">
        <v>60</v>
      </c>
      <c r="C21" s="66">
        <f t="shared" si="6"/>
        <v>2</v>
      </c>
      <c r="D21" s="137"/>
      <c r="E21" s="67" t="str">
        <f t="shared" si="4"/>
        <v>USDFedFunds</v>
      </c>
      <c r="F21" s="69" t="str">
        <f t="shared" si="5"/>
        <v>USDOIS11M_Quote</v>
      </c>
      <c r="G21" s="137"/>
      <c r="H21" s="70" t="str">
        <f>_xll.qlOISRateHelper(,C21,B21,F21,$E21,,Permanent,Trigger,ObjectOverwrite)</f>
        <v>obj_00316#0074</v>
      </c>
      <c r="I21" s="53"/>
      <c r="J21" s="11" t="str">
        <f t="shared" si="2"/>
        <v>OIS</v>
      </c>
      <c r="K21" s="106" t="str">
        <f t="shared" si="3"/>
        <v>--</v>
      </c>
      <c r="L21" s="109" t="str">
        <f>IFERROR(_xll.qlRateHelperQuoteName(K21,Trigger),"--")</f>
        <v>--</v>
      </c>
      <c r="M21" s="110" t="str">
        <f>IFERROR(_xll.qlRateHelperQuoteValue($K21,Trigger),"--")</f>
        <v>--</v>
      </c>
      <c r="N21" s="109" t="b">
        <v>0</v>
      </c>
      <c r="O21" s="106">
        <v>50</v>
      </c>
      <c r="P21" s="106">
        <v>1</v>
      </c>
      <c r="Q21" s="111" t="str">
        <f>IFERROR(_xll.qlRateHelperEarliestDate(K21,Trigger),"--")</f>
        <v>--</v>
      </c>
      <c r="R21" s="111" t="str">
        <f>IFERROR(_xll.qlRateHelperPillarDate(K21,Trigger),"--")</f>
        <v>--</v>
      </c>
      <c r="T21" s="4" t="str">
        <f t="shared" si="0"/>
        <v>BasOIS</v>
      </c>
      <c r="U21" s="4" t="str">
        <v>obj_00275</v>
      </c>
      <c r="V21" s="4" t="str">
        <f>IFERROR(_xll.qlRateHelperQuoteName(U21,Trigger),"")</f>
        <v>USDAM3L4Y_Quote</v>
      </c>
      <c r="W21" s="76">
        <f>IFERROR(_xll.qlRateHelperRate(U21,Trigger),"")</f>
        <v>1.153E-2</v>
      </c>
      <c r="X21" s="116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42436</v>
      </c>
      <c r="Z21" s="5">
        <f>IFERROR(_xll.qlRateHelperPillarDate(U21,Trigger),"")</f>
        <v>43899</v>
      </c>
      <c r="AA21" s="84">
        <v>0.96557676687527083</v>
      </c>
      <c r="AC21" s="209" t="str">
        <f>_xll.qlMakeOISAA(,2,AD4,AD12,AD9,"0d",AD10,AD11,AD13,AD14,AD15,AD16,Permanent,Trigger,ObjectOverwrite)</f>
        <v>obj_00279#0121</v>
      </c>
      <c r="AD21" s="210" t="b">
        <f>_xll.qlInstrumentSetPricingEngine(AC21,AD17,Trigger)</f>
        <v>1</v>
      </c>
      <c r="AE21" s="240" t="s">
        <v>11</v>
      </c>
      <c r="AF21" s="217"/>
      <c r="AG21" s="199">
        <v>44082</v>
      </c>
      <c r="AH21" s="236">
        <v>4.3586007373485006E-3</v>
      </c>
      <c r="AI21" s="236">
        <v>1</v>
      </c>
      <c r="AJ21" s="199">
        <v>43990</v>
      </c>
      <c r="AK21" s="199">
        <v>44082</v>
      </c>
      <c r="AL21" s="201">
        <v>92</v>
      </c>
      <c r="AM21" s="202" t="str">
        <v>FedFundsON Actual/360</v>
      </c>
      <c r="AN21" s="201">
        <v>0</v>
      </c>
      <c r="AO21" s="199">
        <v>44078</v>
      </c>
      <c r="AP21" s="201" t="str">
        <v>Actual/360</v>
      </c>
      <c r="AQ21" s="203">
        <v>0.25555555555555554</v>
      </c>
      <c r="AR21" s="204">
        <v>1.7055394189624568E-2</v>
      </c>
      <c r="AS21" s="204"/>
      <c r="AT21" s="205"/>
      <c r="AU21" s="204"/>
      <c r="AV21" s="204"/>
      <c r="AW21" s="204"/>
      <c r="AX21" s="204"/>
      <c r="AY21" s="204"/>
      <c r="AZ21" s="202"/>
      <c r="BA21" s="194"/>
      <c r="BB21" s="194"/>
      <c r="BC21" s="194"/>
      <c r="BD21" s="194"/>
      <c r="BE21" s="194"/>
      <c r="BF21" s="194"/>
      <c r="BG21" s="194"/>
      <c r="BH21" s="194"/>
      <c r="BI21" s="194"/>
      <c r="BJ21" s="194"/>
      <c r="BK21" s="194"/>
      <c r="BL21" s="194"/>
      <c r="BM21" s="194"/>
      <c r="BN21" s="194"/>
      <c r="BO21" s="194"/>
      <c r="BP21" s="194"/>
      <c r="BQ21" s="194"/>
    </row>
    <row r="22" spans="1:69" ht="11.25" customHeight="1" x14ac:dyDescent="0.2">
      <c r="A22" s="64" t="s">
        <v>100</v>
      </c>
      <c r="B22" s="65" t="s">
        <v>29</v>
      </c>
      <c r="C22" s="66">
        <f t="shared" si="6"/>
        <v>2</v>
      </c>
      <c r="D22" s="137"/>
      <c r="E22" s="67" t="str">
        <f t="shared" si="4"/>
        <v>USDFedFunds</v>
      </c>
      <c r="F22" s="69" t="str">
        <f t="shared" si="5"/>
        <v>USDOIS1Y_Quote</v>
      </c>
      <c r="G22" s="137"/>
      <c r="H22" s="70" t="str">
        <f>_xll.qlOISRateHelper(,C22,B22,F22,$E22,,Permanent,Trigger,ObjectOverwrite)</f>
        <v>obj_00320#0074</v>
      </c>
      <c r="J22" s="11" t="str">
        <f t="shared" si="2"/>
        <v>OIS</v>
      </c>
      <c r="K22" s="106" t="str">
        <f t="shared" si="3"/>
        <v>--</v>
      </c>
      <c r="L22" s="109" t="str">
        <f>IFERROR(_xll.qlRateHelperQuoteName(K22,Trigger),"--")</f>
        <v>--</v>
      </c>
      <c r="M22" s="110" t="str">
        <f>IFERROR(_xll.qlRateHelperQuoteValue($K22,Trigger),"--")</f>
        <v>--</v>
      </c>
      <c r="N22" s="109" t="b">
        <v>0</v>
      </c>
      <c r="O22" s="106">
        <v>50</v>
      </c>
      <c r="P22" s="106">
        <v>1</v>
      </c>
      <c r="Q22" s="111" t="str">
        <f>IFERROR(_xll.qlRateHelperEarliestDate(K22,Trigger),"--")</f>
        <v>--</v>
      </c>
      <c r="R22" s="111" t="str">
        <f>IFERROR(_xll.qlRateHelperPillarDate(K22,Trigger),"--")</f>
        <v>--</v>
      </c>
      <c r="T22" s="4" t="str">
        <f t="shared" si="0"/>
        <v>BasOIS</v>
      </c>
      <c r="U22" s="4" t="str">
        <v>obj_00274</v>
      </c>
      <c r="V22" s="4" t="str">
        <f>IFERROR(_xll.qlRateHelperQuoteName(U22,Trigger),"")</f>
        <v>USDAM3L5Y_Quote</v>
      </c>
      <c r="W22" s="76">
        <f>IFERROR(_xll.qlRateHelperRate(U22,Trigger),"")</f>
        <v>1.2669999999999999E-2</v>
      </c>
      <c r="X22" s="116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42436</v>
      </c>
      <c r="Z22" s="5">
        <f>IFERROR(_xll.qlRateHelperPillarDate(U22,Trigger),"")</f>
        <v>44263</v>
      </c>
      <c r="AA22" s="84">
        <v>0.95200253477041552</v>
      </c>
      <c r="AC22" s="209" t="s">
        <v>179</v>
      </c>
      <c r="AD22" s="214">
        <f>_xll.qlOvernightIndexedSwapFairRate(AC21,Trigger)</f>
        <v>1.6892222407898373E-2</v>
      </c>
      <c r="AE22" s="250">
        <f>AD22-AD9</f>
        <v>2.2224078983709705E-6</v>
      </c>
      <c r="AF22" s="217"/>
      <c r="AG22" s="199">
        <v>44172</v>
      </c>
      <c r="AH22" s="236">
        <v>4.3817537883574474E-3</v>
      </c>
      <c r="AI22" s="236">
        <v>1</v>
      </c>
      <c r="AJ22" s="199">
        <v>44082</v>
      </c>
      <c r="AK22" s="199">
        <v>44172</v>
      </c>
      <c r="AL22" s="201">
        <v>90</v>
      </c>
      <c r="AM22" s="202" t="str">
        <v>FedFundsON Actual/360</v>
      </c>
      <c r="AN22" s="201">
        <v>0</v>
      </c>
      <c r="AO22" s="199">
        <v>44169</v>
      </c>
      <c r="AP22" s="201" t="str">
        <v>Actual/360</v>
      </c>
      <c r="AQ22" s="203">
        <v>0.25</v>
      </c>
      <c r="AR22" s="204">
        <v>1.752701515342979E-2</v>
      </c>
      <c r="AS22" s="204"/>
      <c r="AT22" s="205"/>
      <c r="AU22" s="204"/>
      <c r="AV22" s="204"/>
      <c r="AW22" s="204"/>
      <c r="AX22" s="204"/>
      <c r="AY22" s="204"/>
      <c r="AZ22" s="202"/>
      <c r="BA22" s="194"/>
      <c r="BB22" s="194"/>
      <c r="BC22" s="194"/>
      <c r="BD22" s="194"/>
      <c r="BE22" s="194"/>
      <c r="BF22" s="194"/>
      <c r="BG22" s="194"/>
      <c r="BH22" s="194"/>
      <c r="BI22" s="194"/>
      <c r="BJ22" s="194"/>
      <c r="BK22" s="194"/>
      <c r="BL22" s="194"/>
      <c r="BM22" s="194"/>
      <c r="BN22" s="194"/>
      <c r="BO22" s="194"/>
      <c r="BP22" s="194"/>
      <c r="BQ22" s="194"/>
    </row>
    <row r="23" spans="1:69" ht="11.25" customHeight="1" x14ac:dyDescent="0.2">
      <c r="A23" s="64" t="s">
        <v>100</v>
      </c>
      <c r="B23" s="65" t="s">
        <v>61</v>
      </c>
      <c r="C23" s="66">
        <f t="shared" ref="C23:C61" si="7">IF(B23="O/N",0,IF(B23="T/N",1,2))</f>
        <v>2</v>
      </c>
      <c r="D23" s="137"/>
      <c r="E23" s="67" t="str">
        <f t="shared" si="4"/>
        <v>USDFedFunds</v>
      </c>
      <c r="F23" s="69" t="str">
        <f t="shared" si="5"/>
        <v>USDOIS13M_Quote</v>
      </c>
      <c r="G23" s="137"/>
      <c r="H23" s="70"/>
      <c r="J23" s="11" t="str">
        <f t="shared" si="2"/>
        <v>OIS</v>
      </c>
      <c r="K23" s="106" t="str">
        <f t="shared" si="3"/>
        <v>obj_0030e#0075</v>
      </c>
      <c r="L23" s="109" t="str">
        <f>IFERROR(_xll.qlRateHelperQuoteName(K23,Trigger),"--")</f>
        <v>USDOIS15M_Quote</v>
      </c>
      <c r="M23" s="110">
        <f>IFERROR(_xll.qlRateHelperQuoteValue($K23,Trigger),"--")</f>
        <v>5.5000000000000005E-3</v>
      </c>
      <c r="N23" s="109" t="b">
        <v>0</v>
      </c>
      <c r="O23" s="106">
        <v>50</v>
      </c>
      <c r="P23" s="106">
        <v>1</v>
      </c>
      <c r="Q23" s="111">
        <f>IFERROR(_xll.qlRateHelperEarliestDate(K23,Trigger),"--")</f>
        <v>42436</v>
      </c>
      <c r="R23" s="111">
        <f>IFERROR(_xll.qlRateHelperPillarDate(K23,Trigger),"--")</f>
        <v>42893</v>
      </c>
      <c r="T23" s="4" t="str">
        <f t="shared" si="0"/>
        <v>BasOIS</v>
      </c>
      <c r="U23" s="4" t="str">
        <v>obj_00278</v>
      </c>
      <c r="V23" s="4" t="str">
        <f>IFERROR(_xll.qlRateHelperQuoteName(U23,Trigger),"")</f>
        <v>USDAM3L7Y_Quote</v>
      </c>
      <c r="W23" s="76">
        <f>IFERROR(_xll.qlRateHelperRate(U23,Trigger),"")</f>
        <v>1.4659999999999999E-2</v>
      </c>
      <c r="X23" s="116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42436</v>
      </c>
      <c r="Z23" s="5">
        <f>IFERROR(_xll.qlRateHelperPillarDate(U23,Trigger),"")</f>
        <v>44992</v>
      </c>
      <c r="AA23" s="84">
        <v>0.92095226617647685</v>
      </c>
      <c r="AC23" s="209" t="s">
        <v>180</v>
      </c>
      <c r="AD23" s="214">
        <f>_xll.qlOvernightIndexedSwapFairSpread(AC21,Trigger)</f>
        <v>3.2977775921016303E-3</v>
      </c>
      <c r="AE23" s="250">
        <f>AD23-AD13</f>
        <v>-2.2224078983696695E-6</v>
      </c>
      <c r="AF23" s="217"/>
      <c r="AG23" s="199">
        <v>44263</v>
      </c>
      <c r="AH23" s="236">
        <v>4.5432941033670109E-3</v>
      </c>
      <c r="AI23" s="236">
        <v>1</v>
      </c>
      <c r="AJ23" s="199">
        <v>44172</v>
      </c>
      <c r="AK23" s="199">
        <v>44263</v>
      </c>
      <c r="AL23" s="201">
        <v>91</v>
      </c>
      <c r="AM23" s="202" t="str">
        <v>FedFundsON Actual/360</v>
      </c>
      <c r="AN23" s="201">
        <v>0</v>
      </c>
      <c r="AO23" s="199">
        <v>44260</v>
      </c>
      <c r="AP23" s="201" t="str">
        <v>Actual/360</v>
      </c>
      <c r="AQ23" s="203">
        <v>0.25277777777777777</v>
      </c>
      <c r="AR23" s="204">
        <v>1.7973471178155207E-2</v>
      </c>
      <c r="AS23" s="204"/>
      <c r="AT23" s="205"/>
      <c r="AU23" s="204"/>
      <c r="AV23" s="204"/>
      <c r="AW23" s="204"/>
      <c r="AX23" s="204"/>
      <c r="AY23" s="204"/>
      <c r="AZ23" s="202"/>
      <c r="BA23" s="194"/>
      <c r="BB23" s="194"/>
      <c r="BC23" s="194"/>
      <c r="BD23" s="194"/>
      <c r="BE23" s="194"/>
      <c r="BF23" s="194"/>
      <c r="BG23" s="194"/>
      <c r="BH23" s="194"/>
      <c r="BI23" s="194"/>
      <c r="BJ23" s="194"/>
      <c r="BK23" s="194"/>
      <c r="BL23" s="194"/>
      <c r="BM23" s="194"/>
      <c r="BN23" s="194"/>
      <c r="BO23" s="194"/>
      <c r="BP23" s="194"/>
      <c r="BQ23" s="194"/>
    </row>
    <row r="24" spans="1:69" ht="11.25" customHeight="1" x14ac:dyDescent="0.2">
      <c r="A24" s="64" t="s">
        <v>100</v>
      </c>
      <c r="B24" s="65" t="s">
        <v>62</v>
      </c>
      <c r="C24" s="66">
        <f t="shared" si="7"/>
        <v>2</v>
      </c>
      <c r="D24" s="137"/>
      <c r="E24" s="67" t="str">
        <f t="shared" si="4"/>
        <v>USDFedFunds</v>
      </c>
      <c r="F24" s="69" t="str">
        <f t="shared" si="5"/>
        <v>USDOIS14M_Quote</v>
      </c>
      <c r="G24" s="137"/>
      <c r="H24" s="70"/>
      <c r="J24" s="11" t="str">
        <f t="shared" si="2"/>
        <v>OIS</v>
      </c>
      <c r="K24" s="106" t="str">
        <f t="shared" si="3"/>
        <v>--</v>
      </c>
      <c r="L24" s="109" t="str">
        <f>IFERROR(_xll.qlRateHelperQuoteName(K24,Trigger),"--")</f>
        <v>--</v>
      </c>
      <c r="M24" s="110" t="str">
        <f>IFERROR(_xll.qlRateHelperQuoteValue($K24,Trigger),"--")</f>
        <v>--</v>
      </c>
      <c r="N24" s="109" t="b">
        <v>0</v>
      </c>
      <c r="O24" s="106">
        <v>50</v>
      </c>
      <c r="P24" s="106">
        <v>1</v>
      </c>
      <c r="Q24" s="111" t="str">
        <f>IFERROR(_xll.qlRateHelperEarliestDate(K24,Trigger),"--")</f>
        <v>--</v>
      </c>
      <c r="R24" s="111" t="str">
        <f>IFERROR(_xll.qlRateHelperPillarDate(K24,Trigger),"--")</f>
        <v>--</v>
      </c>
      <c r="T24" s="4" t="str">
        <f t="shared" si="0"/>
        <v>BasOIS</v>
      </c>
      <c r="U24" s="4" t="str">
        <v>obj_00273</v>
      </c>
      <c r="V24" s="4" t="str">
        <f>IFERROR(_xll.qlRateHelperQuoteName(U24,Trigger),"")</f>
        <v>USDAM3L10Y_Quote</v>
      </c>
      <c r="W24" s="76">
        <f>IFERROR(_xll.qlRateHelperRate(U24,Trigger),"")</f>
        <v>1.6890000000000002E-2</v>
      </c>
      <c r="X24" s="116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42436</v>
      </c>
      <c r="Z24" s="5">
        <f>IFERROR(_xll.qlRateHelperPillarDate(U24,Trigger),"")</f>
        <v>46090</v>
      </c>
      <c r="AA24" s="84">
        <v>0.86914418744812882</v>
      </c>
      <c r="AC24" s="209"/>
      <c r="AD24" s="214"/>
      <c r="AE24" s="200"/>
      <c r="AF24" s="217"/>
      <c r="AG24" s="199">
        <v>44354</v>
      </c>
      <c r="AH24" s="236">
        <v>4.6510066715948007E-3</v>
      </c>
      <c r="AI24" s="236">
        <v>1</v>
      </c>
      <c r="AJ24" s="199">
        <v>44263</v>
      </c>
      <c r="AK24" s="199">
        <v>44354</v>
      </c>
      <c r="AL24" s="201">
        <v>91</v>
      </c>
      <c r="AM24" s="202" t="str">
        <v>FedFundsON Actual/360</v>
      </c>
      <c r="AN24" s="201">
        <v>0</v>
      </c>
      <c r="AO24" s="199">
        <v>44351</v>
      </c>
      <c r="AP24" s="201" t="str">
        <v>Actual/360</v>
      </c>
      <c r="AQ24" s="203">
        <v>0.25277777777777777</v>
      </c>
      <c r="AR24" s="204">
        <v>1.8399586832682727E-2</v>
      </c>
      <c r="AS24" s="204"/>
      <c r="AT24" s="205"/>
      <c r="AU24" s="204"/>
      <c r="AV24" s="204"/>
      <c r="AW24" s="204"/>
      <c r="AX24" s="204"/>
      <c r="AY24" s="204"/>
      <c r="AZ24" s="202"/>
      <c r="BA24" s="194"/>
      <c r="BB24" s="194"/>
      <c r="BC24" s="194"/>
      <c r="BD24" s="194"/>
      <c r="BE24" s="194"/>
      <c r="BF24" s="194"/>
      <c r="BG24" s="194"/>
      <c r="BH24" s="194"/>
      <c r="BI24" s="194"/>
      <c r="BJ24" s="194"/>
      <c r="BK24" s="194"/>
      <c r="BL24" s="194"/>
      <c r="BM24" s="194"/>
      <c r="BN24" s="194"/>
      <c r="BO24" s="194"/>
      <c r="BP24" s="194"/>
      <c r="BQ24" s="194"/>
    </row>
    <row r="25" spans="1:69" ht="11.25" customHeight="1" x14ac:dyDescent="0.2">
      <c r="A25" s="64" t="s">
        <v>100</v>
      </c>
      <c r="B25" s="65" t="s">
        <v>63</v>
      </c>
      <c r="C25" s="66">
        <f t="shared" si="7"/>
        <v>2</v>
      </c>
      <c r="D25" s="137"/>
      <c r="E25" s="67" t="str">
        <f t="shared" si="4"/>
        <v>USDFedFunds</v>
      </c>
      <c r="F25" s="69" t="str">
        <f t="shared" si="5"/>
        <v>USDOIS15M_Quote</v>
      </c>
      <c r="G25" s="137"/>
      <c r="H25" s="70" t="str">
        <f>_xll.qlOISRateHelper(,C25,B25,F25,$E25,,Permanent,Trigger,ObjectOverwrite)</f>
        <v>obj_0030e#0075</v>
      </c>
      <c r="J25" s="11" t="str">
        <f t="shared" si="2"/>
        <v>OIS</v>
      </c>
      <c r="K25" s="106" t="str">
        <f t="shared" si="3"/>
        <v>--</v>
      </c>
      <c r="L25" s="109" t="str">
        <f>IFERROR(_xll.qlRateHelperQuoteName(K25,Trigger),"--")</f>
        <v>--</v>
      </c>
      <c r="M25" s="110" t="str">
        <f>IFERROR(_xll.qlRateHelperQuoteValue($K25,Trigger),"--")</f>
        <v>--</v>
      </c>
      <c r="N25" s="109" t="b">
        <v>0</v>
      </c>
      <c r="O25" s="106">
        <v>50</v>
      </c>
      <c r="P25" s="106">
        <v>1</v>
      </c>
      <c r="Q25" s="111" t="str">
        <f>IFERROR(_xll.qlRateHelperEarliestDate(K25,Trigger),"--")</f>
        <v>--</v>
      </c>
      <c r="R25" s="111" t="str">
        <f>IFERROR(_xll.qlRateHelperPillarDate(K25,Trigger),"--")</f>
        <v>--</v>
      </c>
      <c r="T25" s="4" t="str">
        <f t="shared" si="0"/>
        <v>OIS</v>
      </c>
      <c r="U25" s="4" t="str">
        <v>obj_0030c</v>
      </c>
      <c r="V25" s="4" t="str">
        <f>IFERROR(_xll.qlRateHelperQuoteName(U25,Trigger),"")</f>
        <v>USDOIS12Y_Quote</v>
      </c>
      <c r="W25" s="76">
        <f>IFERROR(_xll.qlRateHelperRate(U25,Trigger),"")</f>
        <v>1.4809999999999999E-2</v>
      </c>
      <c r="X25" s="116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42436</v>
      </c>
      <c r="Z25" s="5">
        <f>IFERROR(_xll.qlRateHelperPillarDate(U25,Trigger),"")</f>
        <v>46819</v>
      </c>
      <c r="AA25" s="84">
        <v>0.83346015843556287</v>
      </c>
      <c r="AE25" s="51" t="s">
        <v>193</v>
      </c>
      <c r="AG25" s="199">
        <v>44446</v>
      </c>
      <c r="AH25" s="236">
        <v>4.8055086831844951E-3</v>
      </c>
      <c r="AI25" s="236">
        <v>1</v>
      </c>
      <c r="AJ25" s="199">
        <v>44354</v>
      </c>
      <c r="AK25" s="199">
        <v>44446</v>
      </c>
      <c r="AL25" s="201">
        <v>92</v>
      </c>
      <c r="AM25" s="202" t="str">
        <v>FedFundsON Actual/360</v>
      </c>
      <c r="AN25" s="201">
        <v>0</v>
      </c>
      <c r="AO25" s="199">
        <v>44442</v>
      </c>
      <c r="AP25" s="201" t="str">
        <v>Actual/360</v>
      </c>
      <c r="AQ25" s="203">
        <v>0.25555555555555554</v>
      </c>
      <c r="AR25" s="204">
        <v>1.880416441246107E-2</v>
      </c>
      <c r="AS25" s="204"/>
      <c r="AT25" s="205"/>
      <c r="AU25" s="204"/>
      <c r="AV25" s="204"/>
      <c r="AW25" s="204"/>
      <c r="AX25" s="204"/>
      <c r="AY25" s="204"/>
      <c r="AZ25" s="202"/>
      <c r="BA25" s="194"/>
      <c r="BB25" s="194"/>
      <c r="BC25" s="194"/>
      <c r="BD25" s="194"/>
      <c r="BE25" s="194"/>
      <c r="BF25" s="194"/>
      <c r="BG25" s="194"/>
      <c r="BH25" s="194"/>
      <c r="BI25" s="194"/>
      <c r="BJ25" s="194"/>
      <c r="BK25" s="194"/>
      <c r="BL25" s="194"/>
      <c r="BM25" s="194"/>
      <c r="BN25" s="194"/>
      <c r="BO25" s="194"/>
      <c r="BP25" s="194"/>
      <c r="BQ25" s="194"/>
    </row>
    <row r="26" spans="1:69" ht="11.25" customHeight="1" x14ac:dyDescent="0.2">
      <c r="A26" s="64" t="s">
        <v>100</v>
      </c>
      <c r="B26" s="65" t="s">
        <v>64</v>
      </c>
      <c r="C26" s="66">
        <f t="shared" si="7"/>
        <v>2</v>
      </c>
      <c r="D26" s="137"/>
      <c r="E26" s="67" t="str">
        <f t="shared" si="4"/>
        <v>USDFedFunds</v>
      </c>
      <c r="F26" s="69" t="str">
        <f t="shared" si="5"/>
        <v>USDOIS16M_Quote</v>
      </c>
      <c r="G26" s="137"/>
      <c r="H26" s="70"/>
      <c r="J26" s="11" t="str">
        <f t="shared" si="2"/>
        <v>OIS</v>
      </c>
      <c r="K26" s="106" t="str">
        <f t="shared" si="3"/>
        <v>obj_00304#0078</v>
      </c>
      <c r="L26" s="109" t="str">
        <f>IFERROR(_xll.qlRateHelperQuoteName(K26,Trigger),"--")</f>
        <v>USDOIS18M_Quote</v>
      </c>
      <c r="M26" s="110">
        <f>IFERROR(_xll.qlRateHelperQuoteValue($K26,Trigger),"--")</f>
        <v>5.7799999999999995E-3</v>
      </c>
      <c r="N26" s="109" t="b">
        <v>0</v>
      </c>
      <c r="O26" s="106">
        <v>50</v>
      </c>
      <c r="P26" s="106">
        <v>1</v>
      </c>
      <c r="Q26" s="111">
        <f>IFERROR(_xll.qlRateHelperEarliestDate(K26,Trigger),"--")</f>
        <v>42436</v>
      </c>
      <c r="R26" s="111">
        <f>IFERROR(_xll.qlRateHelperPillarDate(K26,Trigger),"--")</f>
        <v>42985</v>
      </c>
      <c r="T26" s="4" t="str">
        <f t="shared" si="0"/>
        <v>OIS</v>
      </c>
      <c r="U26" s="4" t="str">
        <v>obj_0030f</v>
      </c>
      <c r="V26" s="4" t="str">
        <f>IFERROR(_xll.qlRateHelperQuoteName(U26,Trigger),"")</f>
        <v>USDOIS15Y_Quote</v>
      </c>
      <c r="W26" s="76">
        <f>IFERROR(_xll.qlRateHelperRate(U26,Trigger),"")</f>
        <v>1.5939999999999999E-2</v>
      </c>
      <c r="X26" s="116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42436</v>
      </c>
      <c r="Z26" s="5">
        <f>IFERROR(_xll.qlRateHelperPillarDate(U26,Trigger),"")</f>
        <v>47914</v>
      </c>
      <c r="AA26" s="84">
        <v>0.78201852128271054</v>
      </c>
      <c r="AC26" s="51" t="s">
        <v>183</v>
      </c>
      <c r="AD26" s="191">
        <f>AJ43</f>
        <v>45999</v>
      </c>
      <c r="AE26" s="242">
        <f>_xll.qlDayCounterYearFraction("actual/365 (fixed)",Evaluationdate,AD26,,,Trigger)</f>
        <v>9.7726027397260271</v>
      </c>
      <c r="AF26" s="245"/>
      <c r="AG26" s="199">
        <v>44537</v>
      </c>
      <c r="AH26" s="236">
        <v>4.8494581639277404E-3</v>
      </c>
      <c r="AI26" s="236">
        <v>1</v>
      </c>
      <c r="AJ26" s="199">
        <v>44446</v>
      </c>
      <c r="AK26" s="199">
        <v>44537</v>
      </c>
      <c r="AL26" s="201">
        <v>91</v>
      </c>
      <c r="AM26" s="202" t="str">
        <v>FedFundsON Actual/360</v>
      </c>
      <c r="AN26" s="201">
        <v>0</v>
      </c>
      <c r="AO26" s="199">
        <v>44536</v>
      </c>
      <c r="AP26" s="201" t="str">
        <v>Actual/360</v>
      </c>
      <c r="AQ26" s="203">
        <v>0.25277777777777777</v>
      </c>
      <c r="AR26" s="204">
        <v>1.918466965949436E-2</v>
      </c>
      <c r="AS26" s="204"/>
      <c r="AT26" s="205"/>
      <c r="AU26" s="204"/>
      <c r="AV26" s="204"/>
      <c r="AW26" s="204"/>
      <c r="AX26" s="204"/>
      <c r="AY26" s="204"/>
      <c r="AZ26" s="202"/>
      <c r="BA26" s="194"/>
      <c r="BB26" s="194"/>
      <c r="BC26" s="194"/>
      <c r="BD26" s="194"/>
      <c r="BE26" s="194"/>
      <c r="BF26" s="194"/>
      <c r="BG26" s="194"/>
      <c r="BH26" s="194"/>
      <c r="BI26" s="194"/>
      <c r="BJ26" s="194"/>
      <c r="BK26" s="194"/>
      <c r="BL26" s="194"/>
      <c r="BM26" s="194"/>
      <c r="BN26" s="194"/>
      <c r="BO26" s="194"/>
      <c r="BP26" s="194"/>
      <c r="BQ26" s="194"/>
    </row>
    <row r="27" spans="1:69" ht="11.25" customHeight="1" x14ac:dyDescent="0.2">
      <c r="A27" s="64" t="s">
        <v>100</v>
      </c>
      <c r="B27" s="65" t="s">
        <v>65</v>
      </c>
      <c r="C27" s="66">
        <f t="shared" si="7"/>
        <v>2</v>
      </c>
      <c r="D27" s="137"/>
      <c r="E27" s="67" t="str">
        <f t="shared" si="4"/>
        <v>USDFedFunds</v>
      </c>
      <c r="F27" s="69" t="str">
        <f t="shared" si="5"/>
        <v>USDOIS17M_Quote</v>
      </c>
      <c r="G27" s="137"/>
      <c r="H27" s="70"/>
      <c r="J27" s="11" t="str">
        <f t="shared" si="2"/>
        <v>OIS</v>
      </c>
      <c r="K27" s="106" t="str">
        <f t="shared" si="3"/>
        <v>--</v>
      </c>
      <c r="L27" s="109" t="str">
        <f>IFERROR(_xll.qlRateHelperQuoteName(K27,Trigger),"--")</f>
        <v>--</v>
      </c>
      <c r="M27" s="110" t="str">
        <f>IFERROR(_xll.qlRateHelperQuoteValue($K27,Trigger),"--")</f>
        <v>--</v>
      </c>
      <c r="N27" s="109" t="b">
        <v>0</v>
      </c>
      <c r="O27" s="106">
        <v>50</v>
      </c>
      <c r="P27" s="106">
        <v>1</v>
      </c>
      <c r="Q27" s="111" t="str">
        <f>IFERROR(_xll.qlRateHelperEarliestDate(K27,Trigger),"--")</f>
        <v>--</v>
      </c>
      <c r="R27" s="111" t="str">
        <f>IFERROR(_xll.qlRateHelperPillarDate(K27,Trigger),"--")</f>
        <v>--</v>
      </c>
      <c r="T27" s="4" t="str">
        <f t="shared" si="0"/>
        <v>OIS</v>
      </c>
      <c r="U27" s="4" t="str">
        <v>obj_00305</v>
      </c>
      <c r="V27" s="4" t="str">
        <f>IFERROR(_xll.qlRateHelperQuoteName(U27,Trigger),"")</f>
        <v>USDOIS20Y_Quote</v>
      </c>
      <c r="W27" s="76">
        <f>IFERROR(_xll.qlRateHelperRate(U27,Trigger),"")</f>
        <v>1.7180000000000001E-2</v>
      </c>
      <c r="X27" s="116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42436</v>
      </c>
      <c r="Z27" s="5">
        <f>IFERROR(_xll.qlRateHelperPillarDate(U27,Trigger),"")</f>
        <v>49741</v>
      </c>
      <c r="AA27" s="84">
        <v>0.70118192658226464</v>
      </c>
      <c r="AC27" s="51" t="s">
        <v>184</v>
      </c>
      <c r="AD27" s="191">
        <f>AK43</f>
        <v>46090</v>
      </c>
      <c r="AE27" s="242">
        <f>_xll.qlDayCounterYearFraction("actual/365 (fixed)",Evaluationdate,AD27,,,Trigger)</f>
        <v>10.021917808219179</v>
      </c>
      <c r="AF27" s="245"/>
      <c r="AG27" s="199">
        <v>44627</v>
      </c>
      <c r="AH27" s="236">
        <v>4.8843233796706494E-3</v>
      </c>
      <c r="AI27" s="236">
        <v>1</v>
      </c>
      <c r="AJ27" s="199">
        <v>44537</v>
      </c>
      <c r="AK27" s="199">
        <v>44627</v>
      </c>
      <c r="AL27" s="201">
        <v>90</v>
      </c>
      <c r="AM27" s="202" t="str">
        <v>FedFundsON Actual/360</v>
      </c>
      <c r="AN27" s="201">
        <v>0</v>
      </c>
      <c r="AO27" s="199">
        <v>44624</v>
      </c>
      <c r="AP27" s="201" t="str">
        <v>Actual/360</v>
      </c>
      <c r="AQ27" s="203">
        <v>0.25</v>
      </c>
      <c r="AR27" s="204">
        <v>1.9537293518682598E-2</v>
      </c>
      <c r="AS27" s="204"/>
      <c r="AT27" s="205"/>
      <c r="AU27" s="204"/>
      <c r="AV27" s="204"/>
      <c r="AW27" s="204"/>
      <c r="AX27" s="204"/>
      <c r="AY27" s="204"/>
      <c r="AZ27" s="202"/>
      <c r="BA27" s="194"/>
      <c r="BB27" s="194"/>
      <c r="BC27" s="194"/>
      <c r="BD27" s="194"/>
      <c r="BE27" s="194"/>
      <c r="BF27" s="194"/>
      <c r="BG27" s="194"/>
      <c r="BH27" s="194"/>
      <c r="BI27" s="194"/>
      <c r="BJ27" s="194"/>
      <c r="BK27" s="194"/>
      <c r="BL27" s="194"/>
      <c r="BM27" s="194"/>
      <c r="BN27" s="194"/>
      <c r="BO27" s="194"/>
      <c r="BP27" s="194"/>
      <c r="BQ27" s="194"/>
    </row>
    <row r="28" spans="1:69" ht="11.25" customHeight="1" x14ac:dyDescent="0.2">
      <c r="A28" s="64" t="s">
        <v>100</v>
      </c>
      <c r="B28" s="65" t="s">
        <v>66</v>
      </c>
      <c r="C28" s="66">
        <f t="shared" si="7"/>
        <v>2</v>
      </c>
      <c r="D28" s="137"/>
      <c r="E28" s="67" t="str">
        <f t="shared" si="4"/>
        <v>USDFedFunds</v>
      </c>
      <c r="F28" s="69" t="str">
        <f t="shared" si="5"/>
        <v>USDOIS18M_Quote</v>
      </c>
      <c r="G28" s="137"/>
      <c r="H28" s="70" t="str">
        <f>_xll.qlOISRateHelper(,C28,B28,F28,$E28,,Permanent,Trigger,ObjectOverwrite)</f>
        <v>obj_00304#0078</v>
      </c>
      <c r="J28" s="11" t="str">
        <f t="shared" si="2"/>
        <v>OIS</v>
      </c>
      <c r="K28" s="106" t="str">
        <f t="shared" si="3"/>
        <v>--</v>
      </c>
      <c r="L28" s="109" t="str">
        <f>IFERROR(_xll.qlRateHelperQuoteName(K28,Trigger),"--")</f>
        <v>--</v>
      </c>
      <c r="M28" s="110" t="str">
        <f>IFERROR(_xll.qlRateHelperQuoteValue($K28,Trigger),"--")</f>
        <v>--</v>
      </c>
      <c r="N28" s="109" t="b">
        <v>0</v>
      </c>
      <c r="O28" s="106">
        <v>50</v>
      </c>
      <c r="P28" s="106">
        <v>1</v>
      </c>
      <c r="Q28" s="111" t="str">
        <f>IFERROR(_xll.qlRateHelperEarliestDate(K28,Trigger),"--")</f>
        <v>--</v>
      </c>
      <c r="R28" s="111" t="str">
        <f>IFERROR(_xll.qlRateHelperPillarDate(K28,Trigger),"--")</f>
        <v>--</v>
      </c>
      <c r="T28" s="4" t="str">
        <f t="shared" si="0"/>
        <v>OIS</v>
      </c>
      <c r="U28" s="4" t="str">
        <v>obj_0030d</v>
      </c>
      <c r="V28" s="4" t="str">
        <f>IFERROR(_xll.qlRateHelperQuoteName(U28,Trigger),"")</f>
        <v>USDOIS25Y_Quote</v>
      </c>
      <c r="W28" s="76">
        <f>IFERROR(_xll.qlRateHelperRate(U28,Trigger),"")</f>
        <v>1.7690000000000001E-2</v>
      </c>
      <c r="X28" s="116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42436</v>
      </c>
      <c r="Z28" s="5">
        <f>IFERROR(_xll.qlRateHelperPillarDate(U28,Trigger),"")</f>
        <v>51567</v>
      </c>
      <c r="AA28" s="84">
        <v>0.63313633332692021</v>
      </c>
      <c r="AC28" s="208" t="s">
        <v>194</v>
      </c>
      <c r="AD28" s="241">
        <f>_xll.qlDayCounterYearFraction(AP4,AD26,AD27,,,Trigger)</f>
        <v>0.25277777777777777</v>
      </c>
      <c r="AG28" s="199">
        <v>44719</v>
      </c>
      <c r="AH28" s="236">
        <v>5.077380517735576E-3</v>
      </c>
      <c r="AI28" s="236">
        <v>1</v>
      </c>
      <c r="AJ28" s="199">
        <v>44627</v>
      </c>
      <c r="AK28" s="199">
        <v>44719</v>
      </c>
      <c r="AL28" s="201">
        <v>92</v>
      </c>
      <c r="AM28" s="202" t="str">
        <v>FedFundsON Actual/360</v>
      </c>
      <c r="AN28" s="201">
        <v>0</v>
      </c>
      <c r="AO28" s="199">
        <v>44718</v>
      </c>
      <c r="AP28" s="201" t="str">
        <v>Actual/360</v>
      </c>
      <c r="AQ28" s="203">
        <v>0.25555555555555554</v>
      </c>
      <c r="AR28" s="204">
        <v>1.9868010721573993E-2</v>
      </c>
      <c r="AS28" s="204"/>
      <c r="AT28" s="205"/>
      <c r="AU28" s="204"/>
      <c r="AV28" s="204"/>
      <c r="AW28" s="204"/>
      <c r="AX28" s="204"/>
      <c r="AY28" s="204"/>
      <c r="AZ28" s="202"/>
      <c r="BA28" s="194"/>
      <c r="BB28" s="194"/>
      <c r="BC28" s="194"/>
      <c r="BD28" s="194"/>
      <c r="BE28" s="194"/>
      <c r="BF28" s="194"/>
      <c r="BG28" s="194"/>
      <c r="BH28" s="194"/>
      <c r="BI28" s="194"/>
      <c r="BJ28" s="194"/>
      <c r="BK28" s="194"/>
      <c r="BL28" s="194"/>
      <c r="BM28" s="194"/>
      <c r="BN28" s="194"/>
      <c r="BO28" s="194"/>
      <c r="BP28" s="194"/>
      <c r="BQ28" s="194"/>
    </row>
    <row r="29" spans="1:69" ht="11.25" customHeight="1" x14ac:dyDescent="0.2">
      <c r="A29" s="64" t="s">
        <v>100</v>
      </c>
      <c r="B29" s="65" t="s">
        <v>67</v>
      </c>
      <c r="C29" s="66">
        <f t="shared" si="7"/>
        <v>2</v>
      </c>
      <c r="D29" s="137"/>
      <c r="E29" s="67" t="str">
        <f t="shared" si="4"/>
        <v>USDFedFunds</v>
      </c>
      <c r="F29" s="69" t="str">
        <f t="shared" si="5"/>
        <v>USDOIS19M_Quote</v>
      </c>
      <c r="G29" s="137"/>
      <c r="H29" s="70"/>
      <c r="J29" s="11" t="str">
        <f t="shared" si="2"/>
        <v>OIS</v>
      </c>
      <c r="K29" s="106" t="str">
        <f t="shared" si="3"/>
        <v>obj_00307#0078</v>
      </c>
      <c r="L29" s="109" t="str">
        <f>IFERROR(_xll.qlRateHelperQuoteName(K29,Trigger),"--")</f>
        <v>USDOIS21M_Quote</v>
      </c>
      <c r="M29" s="110">
        <f>IFERROR(_xll.qlRateHelperQuoteValue($K29,Trigger),"--")</f>
        <v>6.0499999999999998E-3</v>
      </c>
      <c r="N29" s="109" t="b">
        <v>0</v>
      </c>
      <c r="O29" s="106">
        <v>50</v>
      </c>
      <c r="P29" s="106">
        <v>1</v>
      </c>
      <c r="Q29" s="111">
        <f>IFERROR(_xll.qlRateHelperEarliestDate(K29,Trigger),"--")</f>
        <v>42436</v>
      </c>
      <c r="R29" s="111">
        <f>IFERROR(_xll.qlRateHelperPillarDate(K29,Trigger),"--")</f>
        <v>43076</v>
      </c>
      <c r="T29" s="4" t="str">
        <f t="shared" si="0"/>
        <v>OIS</v>
      </c>
      <c r="U29" s="4" t="str">
        <v>obj_00302</v>
      </c>
      <c r="V29" s="4" t="str">
        <f>IFERROR(_xll.qlRateHelperQuoteName(U29,Trigger),"")</f>
        <v>USDOIS30Y_Quote</v>
      </c>
      <c r="W29" s="76">
        <f>IFERROR(_xll.qlRateHelperRate(U29,Trigger),"")</f>
        <v>1.7989999999999999E-2</v>
      </c>
      <c r="X29" s="116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42436</v>
      </c>
      <c r="Z29" s="5">
        <f>IFERROR(_xll.qlRateHelperPillarDate(U29,Trigger),"")</f>
        <v>53393</v>
      </c>
      <c r="AA29" s="84">
        <v>0.57251516253843915</v>
      </c>
      <c r="AG29" s="199">
        <v>44811</v>
      </c>
      <c r="AH29" s="236">
        <v>5.1566404686532452E-3</v>
      </c>
      <c r="AI29" s="236">
        <v>1</v>
      </c>
      <c r="AJ29" s="199">
        <v>44719</v>
      </c>
      <c r="AK29" s="199">
        <v>44811</v>
      </c>
      <c r="AL29" s="201">
        <v>92</v>
      </c>
      <c r="AM29" s="202" t="str">
        <v>FedFundsON Actual/360</v>
      </c>
      <c r="AN29" s="201">
        <v>0</v>
      </c>
      <c r="AO29" s="199">
        <v>44810</v>
      </c>
      <c r="AP29" s="201" t="str">
        <v>Actual/360</v>
      </c>
      <c r="AQ29" s="203">
        <v>0.25555555555555554</v>
      </c>
      <c r="AR29" s="204">
        <v>2.0178158355599655E-2</v>
      </c>
      <c r="AS29" s="204"/>
      <c r="AT29" s="205"/>
      <c r="AU29" s="204"/>
      <c r="AV29" s="204"/>
      <c r="AW29" s="204"/>
      <c r="AX29" s="204"/>
      <c r="AY29" s="204"/>
      <c r="AZ29" s="202"/>
      <c r="BA29" s="194"/>
      <c r="BB29" s="194"/>
      <c r="BC29" s="194"/>
      <c r="BD29" s="194"/>
      <c r="BE29" s="194"/>
      <c r="BF29" s="194"/>
      <c r="BG29" s="194"/>
      <c r="BH29" s="194"/>
      <c r="BI29" s="194"/>
      <c r="BJ29" s="194"/>
      <c r="BK29" s="194"/>
      <c r="BL29" s="194"/>
      <c r="BM29" s="194"/>
      <c r="BN29" s="194"/>
      <c r="BO29" s="194"/>
      <c r="BP29" s="194"/>
      <c r="BQ29" s="194"/>
    </row>
    <row r="30" spans="1:69" ht="11.25" customHeight="1" x14ac:dyDescent="0.2">
      <c r="A30" s="64" t="s">
        <v>100</v>
      </c>
      <c r="B30" s="65" t="s">
        <v>68</v>
      </c>
      <c r="C30" s="66">
        <f t="shared" si="7"/>
        <v>2</v>
      </c>
      <c r="D30" s="137"/>
      <c r="E30" s="67" t="str">
        <f t="shared" si="4"/>
        <v>USDFedFunds</v>
      </c>
      <c r="F30" s="69" t="str">
        <f t="shared" si="5"/>
        <v>USDOIS20M_Quote</v>
      </c>
      <c r="G30" s="137"/>
      <c r="H30" s="70"/>
      <c r="J30" s="11" t="str">
        <f t="shared" si="2"/>
        <v>OIS</v>
      </c>
      <c r="K30" s="106" t="str">
        <f t="shared" si="3"/>
        <v>--</v>
      </c>
      <c r="L30" s="109" t="str">
        <f>IFERROR(_xll.qlRateHelperQuoteName(K30,Trigger),"--")</f>
        <v>--</v>
      </c>
      <c r="M30" s="110" t="str">
        <f>IFERROR(_xll.qlRateHelperQuoteValue($K30,Trigger),"--")</f>
        <v>--</v>
      </c>
      <c r="N30" s="109" t="b">
        <v>0</v>
      </c>
      <c r="O30" s="106">
        <v>50</v>
      </c>
      <c r="P30" s="106">
        <v>1</v>
      </c>
      <c r="Q30" s="111" t="str">
        <f>IFERROR(_xll.qlRateHelperEarliestDate(K30,Trigger),"--")</f>
        <v>--</v>
      </c>
      <c r="R30" s="111" t="str">
        <f>IFERROR(_xll.qlRateHelperPillarDate(K30,Trigger),"--")</f>
        <v>--</v>
      </c>
      <c r="T30" s="4" t="str">
        <f t="shared" si="0"/>
        <v>OIS</v>
      </c>
      <c r="U30" s="4" t="str">
        <v>obj_00306</v>
      </c>
      <c r="V30" s="4" t="str">
        <f>IFERROR(_xll.qlRateHelperQuoteName(U30,Trigger),"")</f>
        <v>USDOIS40Y_Quote</v>
      </c>
      <c r="W30" s="76">
        <f>IFERROR(_xll.qlRateHelperRate(U30,Trigger),"")</f>
        <v>1.8079999999999999E-2</v>
      </c>
      <c r="X30" s="116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42436</v>
      </c>
      <c r="Z30" s="5">
        <f>IFERROR(_xll.qlRateHelperPillarDate(U30,Trigger),"")</f>
        <v>57046</v>
      </c>
      <c r="AA30" s="84">
        <v>0.47556514159390395</v>
      </c>
      <c r="AC30" s="51" t="s">
        <v>192</v>
      </c>
      <c r="AD30" s="87">
        <f>_xll.qlYieldTSDiscount("USDON",AD26,,Trigger)</f>
        <v>0.87382904493588598</v>
      </c>
      <c r="AG30" s="199">
        <v>44902</v>
      </c>
      <c r="AH30" s="236">
        <v>5.1724551673892642E-3</v>
      </c>
      <c r="AI30" s="236">
        <v>1</v>
      </c>
      <c r="AJ30" s="199">
        <v>44811</v>
      </c>
      <c r="AK30" s="199">
        <v>44902</v>
      </c>
      <c r="AL30" s="201">
        <v>91</v>
      </c>
      <c r="AM30" s="202" t="str">
        <v>FedFundsON Actual/360</v>
      </c>
      <c r="AN30" s="201">
        <v>0</v>
      </c>
      <c r="AO30" s="199">
        <v>44901</v>
      </c>
      <c r="AP30" s="201" t="str">
        <v>Actual/360</v>
      </c>
      <c r="AQ30" s="203">
        <v>0.25277777777777777</v>
      </c>
      <c r="AR30" s="204">
        <v>2.0462460002858628E-2</v>
      </c>
      <c r="AS30" s="204"/>
      <c r="AT30" s="205"/>
      <c r="AU30" s="204"/>
      <c r="AV30" s="204"/>
      <c r="AW30" s="204"/>
      <c r="AX30" s="204"/>
      <c r="AY30" s="204"/>
      <c r="AZ30" s="202"/>
      <c r="BA30" s="194"/>
      <c r="BB30" s="194"/>
      <c r="BC30" s="194"/>
      <c r="BD30" s="194"/>
      <c r="BE30" s="194"/>
      <c r="BF30" s="194"/>
      <c r="BG30" s="194"/>
      <c r="BH30" s="194"/>
      <c r="BI30" s="194"/>
      <c r="BJ30" s="194"/>
      <c r="BK30" s="194"/>
      <c r="BL30" s="194"/>
      <c r="BM30" s="194"/>
      <c r="BN30" s="194"/>
      <c r="BO30" s="194"/>
      <c r="BP30" s="194"/>
      <c r="BQ30" s="194"/>
    </row>
    <row r="31" spans="1:69" ht="11.25" customHeight="1" x14ac:dyDescent="0.2">
      <c r="A31" s="64" t="s">
        <v>100</v>
      </c>
      <c r="B31" s="65" t="s">
        <v>69</v>
      </c>
      <c r="C31" s="66">
        <f t="shared" si="7"/>
        <v>2</v>
      </c>
      <c r="D31" s="137"/>
      <c r="E31" s="67" t="str">
        <f t="shared" si="4"/>
        <v>USDFedFunds</v>
      </c>
      <c r="F31" s="69" t="str">
        <f t="shared" si="5"/>
        <v>USDOIS21M_Quote</v>
      </c>
      <c r="G31" s="137"/>
      <c r="H31" s="70" t="str">
        <f>_xll.qlOISRateHelper(,C31,B31,F31,$E31,,Permanent,Trigger,ObjectOverwrite)</f>
        <v>obj_00307#0078</v>
      </c>
      <c r="J31" s="11" t="str">
        <f t="shared" si="2"/>
        <v>OIS</v>
      </c>
      <c r="K31" s="106" t="str">
        <f t="shared" si="3"/>
        <v>--</v>
      </c>
      <c r="L31" s="109" t="str">
        <f>IFERROR(_xll.qlRateHelperQuoteName(K31,Trigger),"--")</f>
        <v>--</v>
      </c>
      <c r="M31" s="110" t="str">
        <f>IFERROR(_xll.qlRateHelperQuoteValue($K31,Trigger),"--")</f>
        <v>--</v>
      </c>
      <c r="N31" s="109" t="b">
        <v>0</v>
      </c>
      <c r="O31" s="106">
        <v>50</v>
      </c>
      <c r="P31" s="106">
        <v>1</v>
      </c>
      <c r="Q31" s="111" t="str">
        <f>IFERROR(_xll.qlRateHelperEarliestDate(K31,Trigger),"--")</f>
        <v>--</v>
      </c>
      <c r="R31" s="111" t="str">
        <f>IFERROR(_xll.qlRateHelperPillarDate(K31,Trigger),"--")</f>
        <v>--</v>
      </c>
      <c r="T31" s="4" t="str">
        <f t="shared" si="0"/>
        <v>OIS</v>
      </c>
      <c r="U31" s="4" t="str">
        <v>obj_00301</v>
      </c>
      <c r="V31" s="4" t="str">
        <f>IFERROR(_xll.qlRateHelperQuoteName(U31,Trigger),"")</f>
        <v>USDOIS50Y_Quote</v>
      </c>
      <c r="W31" s="76">
        <f>IFERROR(_xll.qlRateHelperRate(U31,Trigger),"")</f>
        <v>1.7950000000000001E-2</v>
      </c>
      <c r="X31" s="116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42436</v>
      </c>
      <c r="Z31" s="5">
        <f>IFERROR(_xll.qlRateHelperPillarDate(U31,Trigger),"")</f>
        <v>60699</v>
      </c>
      <c r="AA31" s="84">
        <v>0.40047467131028436</v>
      </c>
      <c r="AC31" s="209" t="s">
        <v>191</v>
      </c>
      <c r="AD31" s="87">
        <f>_xll.qlYieldTSDiscount("USDON",AD27,,Trigger)</f>
        <v>0.86937622178368457</v>
      </c>
      <c r="AE31" s="217"/>
      <c r="AF31" s="217"/>
      <c r="AG31" s="199">
        <v>44992</v>
      </c>
      <c r="AH31" s="236">
        <v>5.1799829169187255E-3</v>
      </c>
      <c r="AI31" s="236">
        <v>1</v>
      </c>
      <c r="AJ31" s="199">
        <v>44902</v>
      </c>
      <c r="AK31" s="199">
        <v>44992</v>
      </c>
      <c r="AL31" s="201">
        <v>90</v>
      </c>
      <c r="AM31" s="202" t="str">
        <v>FedFundsON Actual/360</v>
      </c>
      <c r="AN31" s="201">
        <v>0</v>
      </c>
      <c r="AO31" s="199">
        <v>44991</v>
      </c>
      <c r="AP31" s="201" t="str">
        <v>Actual/360</v>
      </c>
      <c r="AQ31" s="203">
        <v>0.25</v>
      </c>
      <c r="AR31" s="204">
        <v>2.0719931667674902E-2</v>
      </c>
      <c r="AS31" s="204"/>
      <c r="AT31" s="205"/>
      <c r="AU31" s="204"/>
      <c r="AV31" s="204"/>
      <c r="AW31" s="204"/>
      <c r="AX31" s="204"/>
      <c r="AY31" s="204"/>
      <c r="AZ31" s="202"/>
      <c r="BA31" s="194"/>
      <c r="BB31" s="194"/>
      <c r="BC31" s="194"/>
      <c r="BD31" s="194"/>
      <c r="BE31" s="194"/>
      <c r="BF31" s="194"/>
      <c r="BG31" s="194"/>
      <c r="BH31" s="194"/>
      <c r="BI31" s="194"/>
      <c r="BJ31" s="194"/>
      <c r="BK31" s="194"/>
      <c r="BL31" s="194"/>
      <c r="BM31" s="194"/>
      <c r="BN31" s="194"/>
      <c r="BO31" s="194"/>
      <c r="BP31" s="194"/>
      <c r="BQ31" s="194"/>
    </row>
    <row r="32" spans="1:69" ht="11.25" customHeight="1" x14ac:dyDescent="0.2">
      <c r="A32" s="64" t="s">
        <v>100</v>
      </c>
      <c r="B32" s="65" t="s">
        <v>70</v>
      </c>
      <c r="C32" s="66">
        <f t="shared" si="7"/>
        <v>2</v>
      </c>
      <c r="D32" s="137"/>
      <c r="E32" s="67" t="str">
        <f t="shared" si="4"/>
        <v>USDFedFunds</v>
      </c>
      <c r="F32" s="69" t="str">
        <f t="shared" si="5"/>
        <v>USDOIS22M_Quote</v>
      </c>
      <c r="G32" s="137"/>
      <c r="H32" s="70"/>
      <c r="J32" s="11" t="str">
        <f t="shared" si="2"/>
        <v>OIS</v>
      </c>
      <c r="K32" s="106" t="str">
        <f t="shared" si="3"/>
        <v>obj_002fb#0078</v>
      </c>
      <c r="L32" s="109" t="str">
        <f>IFERROR(_xll.qlRateHelperQuoteName(K32,Trigger),"--")</f>
        <v>USDOIS2Y_Quote</v>
      </c>
      <c r="M32" s="110">
        <f>IFERROR(_xll.qlRateHelperQuoteValue($K32,Trigger),"--")</f>
        <v>6.3200000000000001E-3</v>
      </c>
      <c r="N32" s="109" t="b">
        <v>0</v>
      </c>
      <c r="O32" s="106">
        <v>50</v>
      </c>
      <c r="P32" s="106">
        <v>1</v>
      </c>
      <c r="Q32" s="111">
        <f>IFERROR(_xll.qlRateHelperEarliestDate(K32,Trigger),"--")</f>
        <v>42436</v>
      </c>
      <c r="R32" s="111">
        <f>IFERROR(_xll.qlRateHelperPillarDate(K32,Trigger),"--")</f>
        <v>43166</v>
      </c>
      <c r="T32" s="4" t="str">
        <f t="shared" si="0"/>
        <v/>
      </c>
      <c r="U32" s="4" t="e">
        <v>#N/A</v>
      </c>
      <c r="V32" s="4" t="str">
        <f>IFERROR(_xll.qlRateHelperQuoteName(U32,Trigger),"")</f>
        <v/>
      </c>
      <c r="W32" s="76" t="str">
        <f>IFERROR(_xll.qlRateHelperRate(U32,Trigger),"")</f>
        <v/>
      </c>
      <c r="X32" s="116" t="str">
        <f>IF(ISERROR(_xll.qlSwapRateHelperSpread($U32)),IF(ISERROR(_xll.qlFuturesRateHelperConvexityAdjustment($U32)),"",_xll.qlFuturesRateHelperConvexityAdjustment($U32)),_xll.qlSwapRateHelperSpread($U32))</f>
        <v/>
      </c>
      <c r="Y32" s="5" t="str">
        <f>IFERROR(_xll.qlRateHelperEarliestDate(U32,Trigger),"")</f>
        <v/>
      </c>
      <c r="Z32" s="5" t="str">
        <f>IFERROR(_xll.qlRateHelperPillarDate(U32,Trigger),"")</f>
        <v/>
      </c>
      <c r="AA32" s="84" t="e">
        <v>#N/A</v>
      </c>
      <c r="AC32" s="199"/>
      <c r="AD32" s="200"/>
      <c r="AE32" s="240" t="s">
        <v>182</v>
      </c>
      <c r="AF32" s="240"/>
      <c r="AG32" s="199">
        <v>45084</v>
      </c>
      <c r="AH32" s="236">
        <v>5.3561650995620986E-3</v>
      </c>
      <c r="AI32" s="236">
        <v>1</v>
      </c>
      <c r="AJ32" s="199">
        <v>44992</v>
      </c>
      <c r="AK32" s="199">
        <v>45084</v>
      </c>
      <c r="AL32" s="201">
        <v>92</v>
      </c>
      <c r="AM32" s="202" t="str">
        <v>FedFundsON Actual/360</v>
      </c>
      <c r="AN32" s="201">
        <v>0</v>
      </c>
      <c r="AO32" s="199">
        <v>45083</v>
      </c>
      <c r="AP32" s="201" t="str">
        <v>Actual/360</v>
      </c>
      <c r="AQ32" s="203">
        <v>0.25555555555555554</v>
      </c>
      <c r="AR32" s="204">
        <v>2.0958906911329952E-2</v>
      </c>
      <c r="AS32" s="204"/>
      <c r="AT32" s="205"/>
      <c r="AU32" s="204"/>
      <c r="AV32" s="204"/>
      <c r="AW32" s="204"/>
      <c r="AX32" s="204"/>
      <c r="AY32" s="204"/>
      <c r="AZ32" s="202"/>
      <c r="BA32" s="194"/>
      <c r="BB32" s="194"/>
      <c r="BC32" s="194"/>
      <c r="BD32" s="194"/>
      <c r="BE32" s="194"/>
      <c r="BF32" s="194"/>
      <c r="BG32" s="194"/>
      <c r="BH32" s="194"/>
      <c r="BI32" s="194"/>
      <c r="BJ32" s="194"/>
      <c r="BK32" s="194"/>
      <c r="BL32" s="194"/>
      <c r="BM32" s="194"/>
      <c r="BN32" s="194"/>
      <c r="BO32" s="194"/>
      <c r="BP32" s="194"/>
      <c r="BQ32" s="194"/>
    </row>
    <row r="33" spans="1:69" ht="11.25" customHeight="1" x14ac:dyDescent="0.2">
      <c r="A33" s="64" t="s">
        <v>100</v>
      </c>
      <c r="B33" s="65" t="s">
        <v>71</v>
      </c>
      <c r="C33" s="66">
        <f t="shared" si="7"/>
        <v>2</v>
      </c>
      <c r="D33" s="137"/>
      <c r="E33" s="67" t="str">
        <f t="shared" si="4"/>
        <v>USDFedFunds</v>
      </c>
      <c r="F33" s="69" t="str">
        <f t="shared" si="5"/>
        <v>USDOIS23M_Quote</v>
      </c>
      <c r="G33" s="137"/>
      <c r="H33" s="70"/>
      <c r="J33" s="11" t="str">
        <f t="shared" si="2"/>
        <v>OIS</v>
      </c>
      <c r="K33" s="106" t="str">
        <f t="shared" si="3"/>
        <v>--</v>
      </c>
      <c r="L33" s="109" t="str">
        <f>IFERROR(_xll.qlRateHelperQuoteName(K33,Trigger),"--")</f>
        <v>--</v>
      </c>
      <c r="M33" s="110" t="str">
        <f>IFERROR(_xll.qlRateHelperQuoteValue($K33,Trigger),"--")</f>
        <v>--</v>
      </c>
      <c r="N33" s="109" t="b">
        <v>0</v>
      </c>
      <c r="O33" s="106">
        <v>50</v>
      </c>
      <c r="P33" s="106">
        <v>1</v>
      </c>
      <c r="Q33" s="111" t="str">
        <f>IFERROR(_xll.qlRateHelperEarliestDate(K33,Trigger),"--")</f>
        <v>--</v>
      </c>
      <c r="R33" s="111" t="str">
        <f>IFERROR(_xll.qlRateHelperPillarDate(K33,Trigger),"--")</f>
        <v>--</v>
      </c>
      <c r="T33" s="4" t="str">
        <f t="shared" si="0"/>
        <v/>
      </c>
      <c r="U33" s="4" t="e">
        <v>#N/A</v>
      </c>
      <c r="V33" s="4" t="str">
        <f>IFERROR(_xll.qlRateHelperQuoteName(U33,Trigger),"")</f>
        <v/>
      </c>
      <c r="W33" s="76" t="str">
        <f>IFERROR(_xll.qlRateHelperRate(U33,Trigger),"")</f>
        <v/>
      </c>
      <c r="X33" s="116" t="str">
        <f>IF(ISERROR(_xll.qlSwapRateHelperSpread($U33)),IF(ISERROR(_xll.qlFuturesRateHelperConvexityAdjustment($U33)),"",_xll.qlFuturesRateHelperConvexityAdjustment($U33)),_xll.qlSwapRateHelperSpread($U33))</f>
        <v/>
      </c>
      <c r="Y33" s="5" t="str">
        <f>IFERROR(_xll.qlRateHelperEarliestDate(U33,Trigger),"")</f>
        <v/>
      </c>
      <c r="Z33" s="5" t="str">
        <f>IFERROR(_xll.qlRateHelperPillarDate(U33,Trigger),"")</f>
        <v/>
      </c>
      <c r="AA33" s="84" t="e">
        <v>#N/A</v>
      </c>
      <c r="AC33" s="209" t="s">
        <v>185</v>
      </c>
      <c r="AD33" s="214">
        <f>AD16^2/(4*AD15^3)*(1-EXP(-2*AD15*AE26))*(1-EXP(-AD15*(AE27-AE26)))^2</f>
        <v>1.1007886540038523E-8</v>
      </c>
      <c r="AE33" s="243">
        <f>AD33*10000</f>
        <v>1.1007886540038524E-4</v>
      </c>
      <c r="AF33" s="246"/>
      <c r="AG33" s="199">
        <v>45176</v>
      </c>
      <c r="AH33" s="236">
        <v>5.4167406511860944E-3</v>
      </c>
      <c r="AI33" s="236">
        <v>1</v>
      </c>
      <c r="AJ33" s="199">
        <v>45084</v>
      </c>
      <c r="AK33" s="199">
        <v>45176</v>
      </c>
      <c r="AL33" s="201">
        <v>92</v>
      </c>
      <c r="AM33" s="202" t="str">
        <v>FedFundsON Actual/360</v>
      </c>
      <c r="AN33" s="201">
        <v>0</v>
      </c>
      <c r="AO33" s="199">
        <v>45175</v>
      </c>
      <c r="AP33" s="201" t="str">
        <v>Actual/360</v>
      </c>
      <c r="AQ33" s="203">
        <v>0.25555555555555554</v>
      </c>
      <c r="AR33" s="204">
        <v>2.1195941678554285E-2</v>
      </c>
      <c r="AS33" s="204"/>
      <c r="AT33" s="205"/>
      <c r="AU33" s="204"/>
      <c r="AV33" s="204"/>
      <c r="AW33" s="204"/>
      <c r="AX33" s="204"/>
      <c r="AY33" s="204"/>
      <c r="AZ33" s="202"/>
      <c r="BA33" s="194"/>
      <c r="BB33" s="194"/>
      <c r="BC33" s="194"/>
      <c r="BD33" s="194"/>
      <c r="BE33" s="194"/>
      <c r="BF33" s="194"/>
      <c r="BG33" s="194"/>
      <c r="BH33" s="194"/>
      <c r="BI33" s="194"/>
      <c r="BJ33" s="194"/>
      <c r="BK33" s="194"/>
      <c r="BL33" s="194"/>
      <c r="BM33" s="194"/>
      <c r="BN33" s="194"/>
      <c r="BO33" s="194"/>
      <c r="BP33" s="194"/>
      <c r="BQ33" s="194"/>
    </row>
    <row r="34" spans="1:69" ht="11.25" customHeight="1" x14ac:dyDescent="0.2">
      <c r="A34" s="64" t="s">
        <v>100</v>
      </c>
      <c r="B34" s="65" t="s">
        <v>72</v>
      </c>
      <c r="C34" s="66">
        <f t="shared" si="7"/>
        <v>2</v>
      </c>
      <c r="D34" s="137"/>
      <c r="E34" s="67" t="str">
        <f t="shared" si="4"/>
        <v>USDFedFunds</v>
      </c>
      <c r="F34" s="69" t="str">
        <f t="shared" si="5"/>
        <v>USDOIS2Y_Quote</v>
      </c>
      <c r="G34" s="137"/>
      <c r="H34" s="70" t="str">
        <f>_xll.qlOISRateHelper(,C34,B34,F34,$E34,,Permanent,Trigger,ObjectOverwrite)</f>
        <v>obj_002fb#0078</v>
      </c>
      <c r="J34" s="11" t="str">
        <f t="shared" si="2"/>
        <v>OIS</v>
      </c>
      <c r="K34" s="106" t="str">
        <f t="shared" si="3"/>
        <v>--</v>
      </c>
      <c r="L34" s="109" t="str">
        <f>IFERROR(_xll.qlRateHelperQuoteName(K34,Trigger),"--")</f>
        <v>--</v>
      </c>
      <c r="M34" s="110" t="str">
        <f>IFERROR(_xll.qlRateHelperQuoteValue($K34,Trigger),"--")</f>
        <v>--</v>
      </c>
      <c r="N34" s="109" t="b">
        <v>0</v>
      </c>
      <c r="O34" s="106">
        <v>50</v>
      </c>
      <c r="P34" s="106">
        <v>1</v>
      </c>
      <c r="Q34" s="111" t="str">
        <f>IFERROR(_xll.qlRateHelperEarliestDate(K34,Trigger),"--")</f>
        <v>--</v>
      </c>
      <c r="R34" s="111" t="str">
        <f>IFERROR(_xll.qlRateHelperPillarDate(K34,Trigger),"--")</f>
        <v>--</v>
      </c>
      <c r="T34" s="4" t="str">
        <f t="shared" si="0"/>
        <v/>
      </c>
      <c r="U34" s="4" t="e">
        <v>#N/A</v>
      </c>
      <c r="V34" s="4" t="str">
        <f>IFERROR(_xll.qlRateHelperQuoteName(U34,Trigger),"")</f>
        <v/>
      </c>
      <c r="W34" s="76" t="str">
        <f>IFERROR(_xll.qlRateHelperRate(U34,Trigger),"")</f>
        <v/>
      </c>
      <c r="X34" s="116" t="str">
        <f>IF(ISERROR(_xll.qlSwapRateHelperSpread($U34)),IF(ISERROR(_xll.qlFuturesRateHelperConvexityAdjustment($U34)),"",_xll.qlFuturesRateHelperConvexityAdjustment($U34)),_xll.qlSwapRateHelperSpread($U34))</f>
        <v/>
      </c>
      <c r="Y34" s="5" t="str">
        <f>IFERROR(_xll.qlRateHelperEarliestDate(U34,Trigger),"")</f>
        <v/>
      </c>
      <c r="Z34" s="5" t="str">
        <f>IFERROR(_xll.qlRateHelperPillarDate(U34,Trigger),"")</f>
        <v/>
      </c>
      <c r="AA34" s="84" t="e">
        <v>#N/A</v>
      </c>
      <c r="AC34" s="209" t="s">
        <v>186</v>
      </c>
      <c r="AD34" s="214">
        <f>AD16^2/(2*AD15^2)*(AE27-AE26-(1-EXP(-AD15*(AE27-AE26)))^2/AD15-(1-EXP(-2*AD15*(AE27-AE26)))/(2*AD15))</f>
        <v>1.0311988893896283E-10</v>
      </c>
      <c r="AE34" s="243">
        <f>AD34*10000</f>
        <v>1.0311988893896282E-6</v>
      </c>
      <c r="AF34" s="246"/>
      <c r="AG34" s="199">
        <v>45267</v>
      </c>
      <c r="AH34" s="236">
        <v>5.4172630860809846E-3</v>
      </c>
      <c r="AI34" s="236">
        <v>1</v>
      </c>
      <c r="AJ34" s="199">
        <v>45176</v>
      </c>
      <c r="AK34" s="199">
        <v>45267</v>
      </c>
      <c r="AL34" s="201">
        <v>91</v>
      </c>
      <c r="AM34" s="202" t="str">
        <v>FedFundsON Actual/360</v>
      </c>
      <c r="AN34" s="201">
        <v>0</v>
      </c>
      <c r="AO34" s="199">
        <v>45266</v>
      </c>
      <c r="AP34" s="201" t="str">
        <v>Actual/360</v>
      </c>
      <c r="AQ34" s="203">
        <v>0.25277777777777777</v>
      </c>
      <c r="AR34" s="204">
        <v>2.143093088999071E-2</v>
      </c>
      <c r="AS34" s="204"/>
      <c r="AT34" s="205"/>
      <c r="AU34" s="204"/>
      <c r="AV34" s="204"/>
      <c r="AW34" s="204"/>
      <c r="AX34" s="204"/>
      <c r="AY34" s="204"/>
      <c r="AZ34" s="202"/>
      <c r="BA34" s="194"/>
      <c r="BB34" s="194"/>
      <c r="BC34" s="194"/>
      <c r="BD34" s="194"/>
      <c r="BE34" s="194"/>
      <c r="BF34" s="194"/>
      <c r="BG34" s="194"/>
      <c r="BH34" s="194"/>
      <c r="BI34" s="194"/>
      <c r="BJ34" s="194"/>
      <c r="BK34" s="194"/>
      <c r="BL34" s="194"/>
      <c r="BM34" s="194"/>
      <c r="BN34" s="194"/>
      <c r="BO34" s="194"/>
      <c r="BP34" s="194"/>
      <c r="BQ34" s="194"/>
    </row>
    <row r="35" spans="1:69" ht="11.25" customHeight="1" x14ac:dyDescent="0.2">
      <c r="A35" s="64" t="s">
        <v>100</v>
      </c>
      <c r="B35" s="65" t="s">
        <v>73</v>
      </c>
      <c r="C35" s="66">
        <f t="shared" si="7"/>
        <v>2</v>
      </c>
      <c r="D35" s="137"/>
      <c r="E35" s="67" t="str">
        <f t="shared" si="4"/>
        <v>USDFedFunds</v>
      </c>
      <c r="F35" s="69" t="str">
        <f t="shared" si="5"/>
        <v>USDOIS27M_Quote</v>
      </c>
      <c r="G35" s="137"/>
      <c r="H35" s="70"/>
      <c r="J35" s="11" t="str">
        <f t="shared" si="2"/>
        <v>OIS</v>
      </c>
      <c r="K35" s="106" t="str">
        <f t="shared" si="3"/>
        <v>--</v>
      </c>
      <c r="L35" s="109" t="str">
        <f>IFERROR(_xll.qlRateHelperQuoteName(K35,Trigger),"--")</f>
        <v>--</v>
      </c>
      <c r="M35" s="110" t="str">
        <f>IFERROR(_xll.qlRateHelperQuoteValue($K35,Trigger),"--")</f>
        <v>--</v>
      </c>
      <c r="N35" s="109" t="b">
        <v>0</v>
      </c>
      <c r="O35" s="106">
        <v>50</v>
      </c>
      <c r="P35" s="106">
        <v>1</v>
      </c>
      <c r="Q35" s="111" t="str">
        <f>IFERROR(_xll.qlRateHelperEarliestDate(K35,Trigger),"--")</f>
        <v>--</v>
      </c>
      <c r="R35" s="111" t="str">
        <f>IFERROR(_xll.qlRateHelperPillarDate(K35,Trigger),"--")</f>
        <v>--</v>
      </c>
      <c r="T35" s="4" t="str">
        <f t="shared" si="0"/>
        <v/>
      </c>
      <c r="U35" s="4" t="e">
        <v>#N/A</v>
      </c>
      <c r="V35" s="4" t="str">
        <f>IFERROR(_xll.qlRateHelperQuoteName(U35,Trigger),"")</f>
        <v/>
      </c>
      <c r="W35" s="76" t="str">
        <f>IFERROR(_xll.qlRateHelperRate(U35,Trigger),"")</f>
        <v/>
      </c>
      <c r="X35" s="116" t="str">
        <f>IF(ISERROR(_xll.qlSwapRateHelperSpread($U35)),IF(ISERROR(_xll.qlFuturesRateHelperConvexityAdjustment($U35)),"",_xll.qlFuturesRateHelperConvexityAdjustment($U35)),_xll.qlSwapRateHelperSpread($U35))</f>
        <v/>
      </c>
      <c r="Y35" s="5" t="str">
        <f>IFERROR(_xll.qlRateHelperEarliestDate(U35,Trigger),"")</f>
        <v/>
      </c>
      <c r="Z35" s="5" t="str">
        <f>IFERROR(_xll.qlRateHelperPillarDate(U35,Trigger),"")</f>
        <v/>
      </c>
      <c r="AA35" s="84" t="e">
        <v>#N/A</v>
      </c>
      <c r="AC35" s="238" t="s">
        <v>190</v>
      </c>
      <c r="AD35" s="239">
        <f>AD33+AD34</f>
        <v>1.1111006428977487E-8</v>
      </c>
      <c r="AE35" s="244">
        <f>AE33+AE34</f>
        <v>1.1111006428977486E-4</v>
      </c>
      <c r="AF35" s="246"/>
      <c r="AG35" s="199">
        <v>45358</v>
      </c>
      <c r="AH35" s="236">
        <v>5.4761486631536363E-3</v>
      </c>
      <c r="AI35" s="236">
        <v>1</v>
      </c>
      <c r="AJ35" s="199">
        <v>45267</v>
      </c>
      <c r="AK35" s="199">
        <v>45358</v>
      </c>
      <c r="AL35" s="201">
        <v>91</v>
      </c>
      <c r="AM35" s="202" t="str">
        <v>FedFundsON Actual/360</v>
      </c>
      <c r="AN35" s="201">
        <v>0</v>
      </c>
      <c r="AO35" s="199">
        <v>45357</v>
      </c>
      <c r="AP35" s="201" t="str">
        <v>Actual/360</v>
      </c>
      <c r="AQ35" s="203">
        <v>0.25277777777777777</v>
      </c>
      <c r="AR35" s="204">
        <v>2.1663884821267132E-2</v>
      </c>
      <c r="AS35" s="204"/>
      <c r="AT35" s="205"/>
      <c r="AU35" s="204"/>
      <c r="AV35" s="204"/>
      <c r="AW35" s="204"/>
      <c r="AX35" s="204"/>
      <c r="AY35" s="204"/>
      <c r="AZ35" s="202"/>
      <c r="BA35" s="194"/>
      <c r="BB35" s="194"/>
      <c r="BC35" s="194"/>
      <c r="BD35" s="194"/>
      <c r="BE35" s="194"/>
      <c r="BF35" s="194"/>
      <c r="BG35" s="194"/>
      <c r="BH35" s="194"/>
      <c r="BI35" s="194"/>
      <c r="BJ35" s="194"/>
      <c r="BK35" s="194"/>
      <c r="BL35" s="194"/>
      <c r="BM35" s="194"/>
      <c r="BN35" s="194"/>
      <c r="BO35" s="194"/>
      <c r="BP35" s="194"/>
      <c r="BQ35" s="194"/>
    </row>
    <row r="36" spans="1:69" ht="11.25" customHeight="1" x14ac:dyDescent="0.2">
      <c r="A36" s="64" t="s">
        <v>100</v>
      </c>
      <c r="B36" s="65" t="s">
        <v>74</v>
      </c>
      <c r="C36" s="66">
        <f t="shared" si="7"/>
        <v>2</v>
      </c>
      <c r="D36" s="137"/>
      <c r="E36" s="67" t="str">
        <f t="shared" si="4"/>
        <v>USDFedFunds</v>
      </c>
      <c r="F36" s="69" t="str">
        <f t="shared" si="5"/>
        <v>USDOIS30M_Quote</v>
      </c>
      <c r="G36" s="137"/>
      <c r="H36" s="70"/>
      <c r="J36" s="11" t="str">
        <f t="shared" si="2"/>
        <v>OIS</v>
      </c>
      <c r="K36" s="106" t="str">
        <f t="shared" si="3"/>
        <v>obj_002fd#0078</v>
      </c>
      <c r="L36" s="109" t="str">
        <f>IFERROR(_xll.qlRateHelperQuoteName(K36,Trigger),"--")</f>
        <v>USDOIS3Y_Quote</v>
      </c>
      <c r="M36" s="110">
        <f>IFERROR(_xll.qlRateHelperQuoteValue($K36,Trigger),"--")</f>
        <v>7.4399999999999996E-3</v>
      </c>
      <c r="N36" s="109" t="b">
        <v>0</v>
      </c>
      <c r="O36" s="106">
        <v>50</v>
      </c>
      <c r="P36" s="106">
        <v>1</v>
      </c>
      <c r="Q36" s="111">
        <f>IFERROR(_xll.qlRateHelperEarliestDate(K36,Trigger),"--")</f>
        <v>42436</v>
      </c>
      <c r="R36" s="111">
        <f>IFERROR(_xll.qlRateHelperPillarDate(K36,Trigger),"--")</f>
        <v>43531</v>
      </c>
      <c r="T36" s="4" t="str">
        <f t="shared" si="0"/>
        <v/>
      </c>
      <c r="U36" s="4" t="e">
        <v>#N/A</v>
      </c>
      <c r="V36" s="4" t="str">
        <f>IFERROR(_xll.qlRateHelperQuoteName(U36,Trigger),"")</f>
        <v/>
      </c>
      <c r="W36" s="76" t="str">
        <f>IFERROR(_xll.qlRateHelperRate(U36,Trigger),"")</f>
        <v/>
      </c>
      <c r="X36" s="116" t="str">
        <f>IF(ISERROR(_xll.qlSwapRateHelperSpread($U36)),IF(ISERROR(_xll.qlFuturesRateHelperConvexityAdjustment($U36)),"",_xll.qlFuturesRateHelperConvexityAdjustment($U36)),_xll.qlSwapRateHelperSpread($U36))</f>
        <v/>
      </c>
      <c r="Y36" s="5" t="str">
        <f>IFERROR(_xll.qlRateHelperEarliestDate(U36,Trigger),"")</f>
        <v/>
      </c>
      <c r="Z36" s="5" t="str">
        <f>IFERROR(_xll.qlRateHelperPillarDate(U36,Trigger),"")</f>
        <v/>
      </c>
      <c r="AA36" s="84" t="e">
        <v>#N/A</v>
      </c>
      <c r="AC36" s="209"/>
      <c r="AD36" s="214"/>
      <c r="AE36" s="217"/>
      <c r="AF36" s="217"/>
      <c r="AG36" s="199">
        <v>45450</v>
      </c>
      <c r="AH36" s="236">
        <v>5.5959928614598906E-3</v>
      </c>
      <c r="AI36" s="236">
        <v>1</v>
      </c>
      <c r="AJ36" s="199">
        <v>45358</v>
      </c>
      <c r="AK36" s="199">
        <v>45450</v>
      </c>
      <c r="AL36" s="201">
        <v>92</v>
      </c>
      <c r="AM36" s="202" t="str">
        <v>FedFundsON Actual/360</v>
      </c>
      <c r="AN36" s="201">
        <v>0</v>
      </c>
      <c r="AO36" s="199">
        <v>45449</v>
      </c>
      <c r="AP36" s="201" t="str">
        <v>Actual/360</v>
      </c>
      <c r="AQ36" s="203">
        <v>0.25555555555555554</v>
      </c>
      <c r="AR36" s="204">
        <v>2.1897363370930008E-2</v>
      </c>
      <c r="AS36" s="204"/>
      <c r="AT36" s="205"/>
      <c r="AU36" s="204"/>
      <c r="AV36" s="204"/>
      <c r="AW36" s="204"/>
      <c r="AX36" s="204"/>
      <c r="AY36" s="204"/>
      <c r="AZ36" s="202"/>
      <c r="BA36" s="194"/>
      <c r="BB36" s="194"/>
      <c r="BC36" s="194"/>
      <c r="BD36" s="194"/>
      <c r="BE36" s="194"/>
      <c r="BF36" s="194"/>
      <c r="BG36" s="194"/>
      <c r="BH36" s="194"/>
      <c r="BI36" s="194"/>
      <c r="BJ36" s="194"/>
      <c r="BK36" s="194"/>
      <c r="BL36" s="194"/>
      <c r="BM36" s="194"/>
      <c r="BN36" s="194"/>
      <c r="BO36" s="194"/>
      <c r="BP36" s="194"/>
      <c r="BQ36" s="194"/>
    </row>
    <row r="37" spans="1:69" ht="11.25" customHeight="1" x14ac:dyDescent="0.2">
      <c r="A37" s="64" t="s">
        <v>100</v>
      </c>
      <c r="B37" s="65" t="s">
        <v>75</v>
      </c>
      <c r="C37" s="66">
        <f t="shared" si="7"/>
        <v>2</v>
      </c>
      <c r="D37" s="137"/>
      <c r="E37" s="67" t="str">
        <f t="shared" si="4"/>
        <v>USDFedFunds</v>
      </c>
      <c r="F37" s="69" t="str">
        <f t="shared" si="5"/>
        <v>USDOIS33M_Quote</v>
      </c>
      <c r="G37" s="137"/>
      <c r="H37" s="70"/>
      <c r="J37" s="11" t="str">
        <f t="shared" si="2"/>
        <v>OIS</v>
      </c>
      <c r="K37" s="106" t="str">
        <f t="shared" si="3"/>
        <v>--</v>
      </c>
      <c r="L37" s="109" t="str">
        <f>IFERROR(_xll.qlRateHelperQuoteName(K37,Trigger),"--")</f>
        <v>--</v>
      </c>
      <c r="M37" s="110" t="str">
        <f>IFERROR(_xll.qlRateHelperQuoteValue($K37,Trigger),"--")</f>
        <v>--</v>
      </c>
      <c r="N37" s="109" t="b">
        <v>0</v>
      </c>
      <c r="O37" s="106">
        <v>50</v>
      </c>
      <c r="P37" s="106">
        <v>1</v>
      </c>
      <c r="Q37" s="111" t="str">
        <f>IFERROR(_xll.qlRateHelperEarliestDate(K37,Trigger),"--")</f>
        <v>--</v>
      </c>
      <c r="R37" s="111" t="str">
        <f>IFERROR(_xll.qlRateHelperPillarDate(K37,Trigger),"--")</f>
        <v>--</v>
      </c>
      <c r="T37" s="4" t="str">
        <f t="shared" si="0"/>
        <v/>
      </c>
      <c r="U37" s="4" t="e">
        <v>#N/A</v>
      </c>
      <c r="V37" s="4" t="str">
        <f>IFERROR(_xll.qlRateHelperQuoteName(U37,Trigger),"")</f>
        <v/>
      </c>
      <c r="W37" s="76" t="str">
        <f>IFERROR(_xll.qlRateHelperRate(U37,Trigger),"")</f>
        <v/>
      </c>
      <c r="X37" s="116" t="str">
        <f>IF(ISERROR(_xll.qlSwapRateHelperSpread($U37)),IF(ISERROR(_xll.qlFuturesRateHelperConvexityAdjustment($U37)),"",_xll.qlFuturesRateHelperConvexityAdjustment($U37)),_xll.qlSwapRateHelperSpread($U37))</f>
        <v/>
      </c>
      <c r="Y37" s="5" t="str">
        <f>IFERROR(_xll.qlRateHelperEarliestDate(U37,Trigger),"")</f>
        <v/>
      </c>
      <c r="Z37" s="5" t="str">
        <f>IFERROR(_xll.qlRateHelperPillarDate(U37,Trigger),"")</f>
        <v/>
      </c>
      <c r="AA37" s="84" t="e">
        <v>#N/A</v>
      </c>
      <c r="AC37" s="209"/>
      <c r="AD37" s="214"/>
      <c r="AE37" s="217"/>
      <c r="AF37" s="217"/>
      <c r="AG37" s="199">
        <v>45544</v>
      </c>
      <c r="AH37" s="236">
        <v>5.779405468523317E-3</v>
      </c>
      <c r="AI37" s="236">
        <v>1</v>
      </c>
      <c r="AJ37" s="199">
        <v>45450</v>
      </c>
      <c r="AK37" s="199">
        <v>45544</v>
      </c>
      <c r="AL37" s="201">
        <v>94</v>
      </c>
      <c r="AM37" s="202" t="str">
        <v>FedFundsON Actual/360</v>
      </c>
      <c r="AN37" s="201">
        <v>0</v>
      </c>
      <c r="AO37" s="199">
        <v>45541</v>
      </c>
      <c r="AP37" s="201" t="str">
        <v>Actual/360</v>
      </c>
      <c r="AQ37" s="203">
        <v>0.26111111111111113</v>
      </c>
      <c r="AR37" s="204">
        <v>2.2133893283706321E-2</v>
      </c>
      <c r="AS37" s="204"/>
      <c r="AT37" s="205"/>
      <c r="AU37" s="204"/>
      <c r="AV37" s="204"/>
      <c r="AW37" s="204"/>
      <c r="AX37" s="204"/>
      <c r="AY37" s="204"/>
      <c r="AZ37" s="202"/>
      <c r="BA37" s="194"/>
      <c r="BB37" s="194"/>
      <c r="BC37" s="194"/>
      <c r="BD37" s="194"/>
      <c r="BE37" s="194"/>
      <c r="BF37" s="194"/>
      <c r="BG37" s="194"/>
      <c r="BH37" s="194"/>
      <c r="BI37" s="194"/>
      <c r="BJ37" s="194"/>
      <c r="BK37" s="194"/>
      <c r="BL37" s="194"/>
      <c r="BM37" s="194"/>
      <c r="BN37" s="194"/>
      <c r="BO37" s="194"/>
      <c r="BP37" s="194"/>
      <c r="BQ37" s="194"/>
    </row>
    <row r="38" spans="1:69" ht="11.25" customHeight="1" x14ac:dyDescent="0.2">
      <c r="A38" s="64" t="s">
        <v>100</v>
      </c>
      <c r="B38" s="65" t="s">
        <v>76</v>
      </c>
      <c r="C38" s="66">
        <f t="shared" si="7"/>
        <v>2</v>
      </c>
      <c r="D38" s="137"/>
      <c r="E38" s="67" t="str">
        <f t="shared" si="4"/>
        <v>USDFedFunds</v>
      </c>
      <c r="F38" s="69" t="str">
        <f t="shared" si="5"/>
        <v>USDOIS3Y_Quote</v>
      </c>
      <c r="G38" s="137"/>
      <c r="H38" s="70" t="str">
        <f>_xll.qlOISRateHelper(,C38,B38,F38,$E38,,Permanent,Trigger,ObjectOverwrite)</f>
        <v>obj_002fd#0078</v>
      </c>
      <c r="J38" s="11" t="str">
        <f t="shared" ref="J38:J55" si="8">A40</f>
        <v>OIS</v>
      </c>
      <c r="K38" s="106" t="str">
        <f t="shared" si="3"/>
        <v>--</v>
      </c>
      <c r="L38" s="109" t="str">
        <f>IFERROR(_xll.qlRateHelperQuoteName(K38,Trigger),"--")</f>
        <v>--</v>
      </c>
      <c r="M38" s="110" t="str">
        <f>IFERROR(_xll.qlRateHelperQuoteValue($K38,Trigger),"--")</f>
        <v>--</v>
      </c>
      <c r="N38" s="109" t="b">
        <v>0</v>
      </c>
      <c r="O38" s="106">
        <v>50</v>
      </c>
      <c r="P38" s="106">
        <v>1</v>
      </c>
      <c r="Q38" s="111" t="str">
        <f>IFERROR(_xll.qlRateHelperEarliestDate(K38,Trigger),"--")</f>
        <v>--</v>
      </c>
      <c r="R38" s="111" t="str">
        <f>IFERROR(_xll.qlRateHelperPillarDate(K38,Trigger),"--")</f>
        <v>--</v>
      </c>
      <c r="T38" s="4" t="str">
        <f t="shared" si="0"/>
        <v/>
      </c>
      <c r="U38" s="4" t="e">
        <v>#N/A</v>
      </c>
      <c r="V38" s="4" t="str">
        <f>IFERROR(_xll.qlRateHelperQuoteName(U38,Trigger),"")</f>
        <v/>
      </c>
      <c r="W38" s="76" t="str">
        <f>IFERROR(_xll.qlRateHelperRate(U38,Trigger),"")</f>
        <v/>
      </c>
      <c r="X38" s="116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84" t="e">
        <v>#N/A</v>
      </c>
      <c r="AC38" s="209"/>
      <c r="AD38" s="214"/>
      <c r="AE38" s="217"/>
      <c r="AF38" s="217"/>
      <c r="AG38" s="199">
        <v>45635</v>
      </c>
      <c r="AH38" s="236">
        <v>5.6542299070055542E-3</v>
      </c>
      <c r="AI38" s="236">
        <v>1</v>
      </c>
      <c r="AJ38" s="199">
        <v>45544</v>
      </c>
      <c r="AK38" s="199">
        <v>45635</v>
      </c>
      <c r="AL38" s="201">
        <v>91</v>
      </c>
      <c r="AM38" s="202" t="str">
        <v>FedFundsON Actual/360</v>
      </c>
      <c r="AN38" s="201">
        <v>0</v>
      </c>
      <c r="AO38" s="199">
        <v>45632</v>
      </c>
      <c r="AP38" s="201" t="str">
        <v>Actual/360</v>
      </c>
      <c r="AQ38" s="203">
        <v>0.25277777777777777</v>
      </c>
      <c r="AR38" s="204">
        <v>2.2368382049692302E-2</v>
      </c>
      <c r="AS38" s="204"/>
      <c r="AT38" s="205"/>
      <c r="AU38" s="204"/>
      <c r="AV38" s="204"/>
      <c r="AW38" s="204"/>
      <c r="AX38" s="204"/>
      <c r="AY38" s="204"/>
      <c r="AZ38" s="202"/>
      <c r="BA38" s="194"/>
      <c r="BB38" s="194"/>
      <c r="BC38" s="194"/>
      <c r="BD38" s="194"/>
      <c r="BE38" s="194"/>
      <c r="BF38" s="194"/>
      <c r="BG38" s="194"/>
      <c r="BH38" s="194"/>
      <c r="BI38" s="194"/>
      <c r="BJ38" s="194"/>
      <c r="BK38" s="194"/>
      <c r="BL38" s="194"/>
      <c r="BM38" s="194"/>
      <c r="BN38" s="194"/>
      <c r="BO38" s="194"/>
      <c r="BP38" s="194"/>
      <c r="BQ38" s="194"/>
    </row>
    <row r="39" spans="1:69" ht="11.25" customHeight="1" x14ac:dyDescent="0.2">
      <c r="A39" s="64" t="s">
        <v>100</v>
      </c>
      <c r="B39" s="65" t="s">
        <v>77</v>
      </c>
      <c r="C39" s="66">
        <f t="shared" si="7"/>
        <v>2</v>
      </c>
      <c r="D39" s="137"/>
      <c r="E39" s="67" t="str">
        <f t="shared" si="4"/>
        <v>USDFedFunds</v>
      </c>
      <c r="F39" s="69" t="str">
        <f t="shared" si="5"/>
        <v>USDOIS39M_Quote</v>
      </c>
      <c r="G39" s="137"/>
      <c r="H39" s="70"/>
      <c r="J39" s="11" t="str">
        <f t="shared" si="8"/>
        <v>OIS</v>
      </c>
      <c r="K39" s="106" t="str">
        <f t="shared" si="3"/>
        <v>--</v>
      </c>
      <c r="L39" s="109" t="str">
        <f>IFERROR(_xll.qlRateHelperQuoteName(K39,Trigger),"--")</f>
        <v>--</v>
      </c>
      <c r="M39" s="110" t="str">
        <f>IFERROR(_xll.qlRateHelperQuoteValue($K39,Trigger),"--")</f>
        <v>--</v>
      </c>
      <c r="N39" s="109" t="b">
        <v>0</v>
      </c>
      <c r="O39" s="106">
        <v>50</v>
      </c>
      <c r="P39" s="106">
        <v>1</v>
      </c>
      <c r="Q39" s="111" t="str">
        <f>IFERROR(_xll.qlRateHelperEarliestDate(K39,Trigger),"--")</f>
        <v>--</v>
      </c>
      <c r="R39" s="111" t="str">
        <f>IFERROR(_xll.qlRateHelperPillarDate(K39,Trigger),"--")</f>
        <v>--</v>
      </c>
      <c r="T39" s="4" t="str">
        <f t="shared" si="0"/>
        <v/>
      </c>
      <c r="U39" s="4" t="e">
        <v>#N/A</v>
      </c>
      <c r="V39" s="4" t="str">
        <f>IFERROR(_xll.qlRateHelperQuoteName(U39,Trigger),"")</f>
        <v/>
      </c>
      <c r="W39" s="76" t="str">
        <f>IFERROR(_xll.qlRateHelperRate(U39,Trigger),"")</f>
        <v/>
      </c>
      <c r="X39" s="116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4" t="e">
        <v>#N/A</v>
      </c>
      <c r="AE39" s="240" t="s">
        <v>11</v>
      </c>
      <c r="AF39" s="217"/>
      <c r="AG39" s="199">
        <v>45723</v>
      </c>
      <c r="AH39" s="236">
        <v>5.5231073658757587E-3</v>
      </c>
      <c r="AI39" s="236">
        <v>1</v>
      </c>
      <c r="AJ39" s="199">
        <v>45635</v>
      </c>
      <c r="AK39" s="199">
        <v>45723</v>
      </c>
      <c r="AL39" s="201">
        <v>88</v>
      </c>
      <c r="AM39" s="202" t="str">
        <v>FedFundsON Actual/360</v>
      </c>
      <c r="AN39" s="201">
        <v>0</v>
      </c>
      <c r="AO39" s="199">
        <v>45722</v>
      </c>
      <c r="AP39" s="201" t="str">
        <v>Actual/360</v>
      </c>
      <c r="AQ39" s="203">
        <v>0.24444444444444444</v>
      </c>
      <c r="AR39" s="204">
        <v>2.2594530133128104E-2</v>
      </c>
      <c r="AS39" s="204"/>
      <c r="AT39" s="205"/>
      <c r="AU39" s="204"/>
      <c r="AV39" s="204"/>
      <c r="AW39" s="204"/>
      <c r="AX39" s="204"/>
      <c r="AY39" s="204"/>
      <c r="AZ39" s="202"/>
      <c r="BA39" s="194"/>
      <c r="BB39" s="194"/>
      <c r="BC39" s="194"/>
      <c r="BD39" s="194"/>
      <c r="BE39" s="194"/>
      <c r="BF39" s="194"/>
      <c r="BG39" s="194"/>
      <c r="BH39" s="194"/>
      <c r="BI39" s="194"/>
      <c r="BJ39" s="194"/>
      <c r="BK39" s="194"/>
      <c r="BL39" s="194"/>
      <c r="BM39" s="194"/>
      <c r="BN39" s="194"/>
      <c r="BO39" s="194"/>
      <c r="BP39" s="194"/>
      <c r="BQ39" s="194"/>
    </row>
    <row r="40" spans="1:69" ht="11.25" customHeight="1" x14ac:dyDescent="0.2">
      <c r="A40" s="64" t="s">
        <v>100</v>
      </c>
      <c r="B40" s="65" t="s">
        <v>78</v>
      </c>
      <c r="C40" s="66">
        <f t="shared" si="7"/>
        <v>2</v>
      </c>
      <c r="D40" s="137"/>
      <c r="E40" s="67" t="str">
        <f t="shared" ref="E40:E61" si="9">Currency&amp;Tenor</f>
        <v>USDFedFunds</v>
      </c>
      <c r="F40" s="69" t="str">
        <f t="shared" ref="F40:F61" si="10">Currency&amp;$A40&amp;IF($B40="1W","SW",$B40)&amp;QuoteSuffix</f>
        <v>USDOIS42M_Quote</v>
      </c>
      <c r="G40" s="137"/>
      <c r="H40" s="70"/>
      <c r="J40" s="11" t="str">
        <f t="shared" si="8"/>
        <v>OIS</v>
      </c>
      <c r="K40" s="106" t="str">
        <f t="shared" si="3"/>
        <v>obj_00309#0078</v>
      </c>
      <c r="L40" s="109" t="str">
        <f>IFERROR(_xll.qlRateHelperQuoteName(K40,Trigger),"--")</f>
        <v>USDOIS4Y_Quote</v>
      </c>
      <c r="M40" s="110">
        <f>IFERROR(_xll.qlRateHelperQuoteValue($K40,Trigger),"--")</f>
        <v>8.5000000000000006E-3</v>
      </c>
      <c r="N40" s="109" t="b">
        <v>0</v>
      </c>
      <c r="O40" s="106">
        <v>50</v>
      </c>
      <c r="P40" s="106">
        <v>1</v>
      </c>
      <c r="Q40" s="111">
        <f>IFERROR(_xll.qlRateHelperEarliestDate(K40,Trigger),"--")</f>
        <v>42436</v>
      </c>
      <c r="R40" s="111">
        <f>IFERROR(_xll.qlRateHelperPillarDate(K40,Trigger),"--")</f>
        <v>43899</v>
      </c>
      <c r="T40" s="4" t="str">
        <f t="shared" si="0"/>
        <v/>
      </c>
      <c r="U40" s="4" t="e">
        <v>#N/A</v>
      </c>
      <c r="V40" s="4" t="str">
        <f>IFERROR(_xll.qlRateHelperQuoteName(U40,Trigger),"")</f>
        <v/>
      </c>
      <c r="W40" s="76" t="str">
        <f>IFERROR(_xll.qlRateHelperRate(U40,Trigger),"")</f>
        <v/>
      </c>
      <c r="X40" s="116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4" t="e">
        <v>#N/A</v>
      </c>
      <c r="AC40" s="219" t="s">
        <v>195</v>
      </c>
      <c r="AD40" s="247">
        <f>(AD30/AD31-1)/AD28+$AD$13</f>
        <v>2.356230264551883E-2</v>
      </c>
      <c r="AE40" s="248"/>
      <c r="AF40" s="217"/>
      <c r="AG40" s="199">
        <v>45817</v>
      </c>
      <c r="AH40" s="236">
        <v>5.9595259351440319E-3</v>
      </c>
      <c r="AI40" s="236">
        <v>1</v>
      </c>
      <c r="AJ40" s="199">
        <v>45723</v>
      </c>
      <c r="AK40" s="199">
        <v>45817</v>
      </c>
      <c r="AL40" s="201">
        <v>94</v>
      </c>
      <c r="AM40" s="202" t="str">
        <v>FedFundsON Actual/360</v>
      </c>
      <c r="AN40" s="201">
        <v>0</v>
      </c>
      <c r="AO40" s="199">
        <v>45814</v>
      </c>
      <c r="AP40" s="201" t="str">
        <v>Actual/360</v>
      </c>
      <c r="AQ40" s="203">
        <v>0.26111111111111113</v>
      </c>
      <c r="AR40" s="204">
        <v>2.2823716347360121E-2</v>
      </c>
      <c r="AS40" s="204"/>
      <c r="AT40" s="205"/>
      <c r="AU40" s="204"/>
      <c r="AV40" s="204"/>
      <c r="AW40" s="204"/>
      <c r="AX40" s="204"/>
      <c r="AY40" s="204"/>
      <c r="AZ40" s="202"/>
      <c r="BA40" s="194"/>
      <c r="BB40" s="194"/>
      <c r="BC40" s="194"/>
      <c r="BD40" s="194"/>
      <c r="BE40" s="194"/>
      <c r="BF40" s="194"/>
      <c r="BG40" s="194"/>
      <c r="BH40" s="194"/>
      <c r="BI40" s="194"/>
      <c r="BJ40" s="194"/>
      <c r="BK40" s="194"/>
      <c r="BL40" s="194"/>
      <c r="BM40" s="194"/>
      <c r="BN40" s="194"/>
      <c r="BO40" s="194"/>
      <c r="BP40" s="194"/>
      <c r="BQ40" s="194"/>
    </row>
    <row r="41" spans="1:69" ht="11.25" customHeight="1" x14ac:dyDescent="0.2">
      <c r="A41" s="64" t="s">
        <v>100</v>
      </c>
      <c r="B41" s="65" t="s">
        <v>79</v>
      </c>
      <c r="C41" s="66">
        <f t="shared" si="7"/>
        <v>2</v>
      </c>
      <c r="D41" s="137"/>
      <c r="E41" s="67" t="str">
        <f t="shared" si="9"/>
        <v>USDFedFunds</v>
      </c>
      <c r="F41" s="69" t="str">
        <f t="shared" si="10"/>
        <v>USDOIS45M_Quote</v>
      </c>
      <c r="G41" s="137"/>
      <c r="H41" s="70"/>
      <c r="J41" s="11" t="str">
        <f t="shared" si="8"/>
        <v>OIS</v>
      </c>
      <c r="K41" s="106" t="str">
        <f t="shared" si="3"/>
        <v>--</v>
      </c>
      <c r="L41" s="109" t="str">
        <f>IFERROR(_xll.qlRateHelperQuoteName(K41,Trigger),"--")</f>
        <v>--</v>
      </c>
      <c r="M41" s="110" t="str">
        <f>IFERROR(_xll.qlRateHelperQuoteValue($K41,Trigger),"--")</f>
        <v>--</v>
      </c>
      <c r="N41" s="109" t="b">
        <v>0</v>
      </c>
      <c r="O41" s="106">
        <v>50</v>
      </c>
      <c r="P41" s="106">
        <v>1</v>
      </c>
      <c r="Q41" s="111" t="str">
        <f>IFERROR(_xll.qlRateHelperEarliestDate(K41,Trigger),"--")</f>
        <v>--</v>
      </c>
      <c r="R41" s="111" t="str">
        <f>IFERROR(_xll.qlRateHelperPillarDate(K41,Trigger),"--")</f>
        <v>--</v>
      </c>
      <c r="T41" s="4" t="str">
        <f t="shared" si="0"/>
        <v/>
      </c>
      <c r="U41" s="4" t="e">
        <v>#N/A</v>
      </c>
      <c r="V41" s="4" t="str">
        <f>IFERROR(_xll.qlRateHelperQuoteName(U41,Trigger),"")</f>
        <v/>
      </c>
      <c r="W41" s="76" t="str">
        <f>IFERROR(_xll.qlRateHelperRate(U41,Trigger),"")</f>
        <v/>
      </c>
      <c r="X41" s="116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4" t="e">
        <v>#N/A</v>
      </c>
      <c r="AC41" s="209" t="s">
        <v>196</v>
      </c>
      <c r="AD41" s="249">
        <f>(LN(1+(AD40-AD13)*AD28)-AD33-AD34)/AD28+AD13</f>
        <v>2.3510544858343883E-2</v>
      </c>
      <c r="AE41" s="251">
        <f>AD41-AR43</f>
        <v>0</v>
      </c>
      <c r="AF41" s="217"/>
      <c r="AG41" s="199">
        <v>45908</v>
      </c>
      <c r="AH41" s="236">
        <v>5.8280252279098279E-3</v>
      </c>
      <c r="AI41" s="236">
        <v>1</v>
      </c>
      <c r="AJ41" s="199">
        <v>45817</v>
      </c>
      <c r="AK41" s="199">
        <v>45908</v>
      </c>
      <c r="AL41" s="201">
        <v>91</v>
      </c>
      <c r="AM41" s="202" t="str">
        <v>FedFundsON Actual/360</v>
      </c>
      <c r="AN41" s="201">
        <v>0</v>
      </c>
      <c r="AO41" s="199">
        <v>45905</v>
      </c>
      <c r="AP41" s="201" t="str">
        <v>Actual/360</v>
      </c>
      <c r="AQ41" s="203">
        <v>0.25277777777777777</v>
      </c>
      <c r="AR41" s="204">
        <v>2.3055923978544376E-2</v>
      </c>
      <c r="AS41" s="204"/>
      <c r="AT41" s="205"/>
      <c r="AU41" s="204"/>
      <c r="AV41" s="204"/>
      <c r="AW41" s="204"/>
      <c r="AX41" s="204"/>
      <c r="AY41" s="204"/>
      <c r="AZ41" s="202"/>
      <c r="BA41" s="194"/>
      <c r="BB41" s="194"/>
      <c r="BC41" s="194"/>
      <c r="BD41" s="194"/>
      <c r="BE41" s="194"/>
      <c r="BF41" s="194"/>
      <c r="BG41" s="194"/>
      <c r="BH41" s="194"/>
      <c r="BI41" s="194"/>
      <c r="BJ41" s="194"/>
      <c r="BK41" s="194"/>
      <c r="BL41" s="194"/>
      <c r="BM41" s="194"/>
      <c r="BN41" s="194"/>
      <c r="BO41" s="194"/>
      <c r="BP41" s="194"/>
      <c r="BQ41" s="194"/>
    </row>
    <row r="42" spans="1:69" ht="11.25" customHeight="1" x14ac:dyDescent="0.2">
      <c r="A42" s="64" t="s">
        <v>100</v>
      </c>
      <c r="B42" s="65" t="s">
        <v>80</v>
      </c>
      <c r="C42" s="66">
        <f t="shared" si="7"/>
        <v>2</v>
      </c>
      <c r="D42" s="137"/>
      <c r="E42" s="67" t="str">
        <f t="shared" si="9"/>
        <v>USDFedFunds</v>
      </c>
      <c r="F42" s="69" t="str">
        <f t="shared" si="10"/>
        <v>USDOIS4Y_Quote</v>
      </c>
      <c r="G42" s="137"/>
      <c r="H42" s="70" t="str">
        <f>_xll.qlOISRateHelper(,C42,B42,F42,$E42,,Permanent,Trigger,ObjectOverwrite)</f>
        <v>obj_00309#0078</v>
      </c>
      <c r="J42" s="11" t="str">
        <f t="shared" si="8"/>
        <v>OIS</v>
      </c>
      <c r="K42" s="106" t="str">
        <f t="shared" si="3"/>
        <v>--</v>
      </c>
      <c r="L42" s="109" t="str">
        <f>IFERROR(_xll.qlRateHelperQuoteName(K42,Trigger),"--")</f>
        <v>--</v>
      </c>
      <c r="M42" s="110" t="str">
        <f>IFERROR(_xll.qlRateHelperQuoteValue($K42,Trigger),"--")</f>
        <v>--</v>
      </c>
      <c r="N42" s="109" t="b">
        <v>0</v>
      </c>
      <c r="O42" s="106">
        <v>50</v>
      </c>
      <c r="P42" s="106">
        <v>1</v>
      </c>
      <c r="Q42" s="111" t="str">
        <f>IFERROR(_xll.qlRateHelperEarliestDate(K42,Trigger),"--")</f>
        <v>--</v>
      </c>
      <c r="R42" s="111" t="str">
        <f>IFERROR(_xll.qlRateHelperPillarDate(K42,Trigger),"--")</f>
        <v>--</v>
      </c>
      <c r="T42" s="4" t="str">
        <f t="shared" si="0"/>
        <v/>
      </c>
      <c r="U42" s="4" t="e">
        <v>#N/A</v>
      </c>
      <c r="V42" s="4" t="str">
        <f>IFERROR(_xll.qlRateHelperQuoteName(U42,Trigger),"")</f>
        <v/>
      </c>
      <c r="W42" s="76" t="str">
        <f>IFERROR(_xll.qlRateHelperRate(U42,Trigger),"")</f>
        <v/>
      </c>
      <c r="X42" s="116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4" t="e">
        <v>#N/A</v>
      </c>
      <c r="AC42" s="209" t="s">
        <v>197</v>
      </c>
      <c r="AD42" s="249">
        <f>(LN(AD30/AD31)-AD33-AD34)/AD28+$AD$13</f>
        <v>2.3510544858343883E-2</v>
      </c>
      <c r="AE42" s="251">
        <f>AD42-AR43</f>
        <v>0</v>
      </c>
      <c r="AF42" s="217"/>
      <c r="AG42" s="199">
        <v>45999</v>
      </c>
      <c r="AH42" s="236">
        <v>5.8855788049319282E-3</v>
      </c>
      <c r="AI42" s="236">
        <v>1</v>
      </c>
      <c r="AJ42" s="199">
        <v>45908</v>
      </c>
      <c r="AK42" s="199">
        <v>45999</v>
      </c>
      <c r="AL42" s="201">
        <v>91</v>
      </c>
      <c r="AM42" s="202" t="str">
        <v>FedFundsON Actual/360</v>
      </c>
      <c r="AN42" s="201">
        <v>0</v>
      </c>
      <c r="AO42" s="199">
        <v>45996</v>
      </c>
      <c r="AP42" s="201" t="str">
        <v>Actual/360</v>
      </c>
      <c r="AQ42" s="203">
        <v>0.25277777777777777</v>
      </c>
      <c r="AR42" s="204">
        <v>2.3283608459071365E-2</v>
      </c>
      <c r="AS42" s="204"/>
      <c r="AT42" s="205"/>
      <c r="AU42" s="204"/>
      <c r="AV42" s="204"/>
      <c r="AW42" s="204"/>
      <c r="AX42" s="204"/>
      <c r="AY42" s="204"/>
      <c r="AZ42" s="202"/>
      <c r="BA42" s="194"/>
      <c r="BB42" s="194"/>
      <c r="BC42" s="194"/>
      <c r="BD42" s="194"/>
      <c r="BE42" s="194"/>
      <c r="BF42" s="194"/>
      <c r="BG42" s="194"/>
      <c r="BH42" s="194"/>
      <c r="BI42" s="194"/>
      <c r="BJ42" s="194"/>
      <c r="BK42" s="194"/>
    </row>
    <row r="43" spans="1:69" ht="11.25" customHeight="1" x14ac:dyDescent="0.2">
      <c r="A43" s="64" t="s">
        <v>100</v>
      </c>
      <c r="B43" s="65" t="s">
        <v>81</v>
      </c>
      <c r="C43" s="66">
        <f t="shared" si="7"/>
        <v>2</v>
      </c>
      <c r="D43" s="137"/>
      <c r="E43" s="67" t="str">
        <f t="shared" si="9"/>
        <v>USDFedFunds</v>
      </c>
      <c r="F43" s="69" t="str">
        <f t="shared" si="10"/>
        <v>USDOIS51M_Quote</v>
      </c>
      <c r="G43" s="137"/>
      <c r="H43" s="70"/>
      <c r="J43" s="11" t="str">
        <f t="shared" si="8"/>
        <v>OIS</v>
      </c>
      <c r="K43" s="106" t="str">
        <f t="shared" si="3"/>
        <v>--</v>
      </c>
      <c r="L43" s="109" t="str">
        <f>IFERROR(_xll.qlRateHelperQuoteName(K43,Trigger),"--")</f>
        <v>--</v>
      </c>
      <c r="M43" s="110" t="str">
        <f>IFERROR(_xll.qlRateHelperQuoteValue($K43,Trigger),"--")</f>
        <v>--</v>
      </c>
      <c r="N43" s="109" t="b">
        <v>0</v>
      </c>
      <c r="O43" s="106">
        <v>50</v>
      </c>
      <c r="P43" s="106">
        <v>1</v>
      </c>
      <c r="Q43" s="111" t="str">
        <f>IFERROR(_xll.qlRateHelperEarliestDate(K43,Trigger),"--")</f>
        <v>--</v>
      </c>
      <c r="R43" s="111" t="str">
        <f>IFERROR(_xll.qlRateHelperPillarDate(K43,Trigger),"--")</f>
        <v>--</v>
      </c>
      <c r="T43" s="4" t="str">
        <f t="shared" si="0"/>
        <v/>
      </c>
      <c r="U43" s="4" t="e">
        <v>#N/A</v>
      </c>
      <c r="V43" s="4" t="str">
        <f>IFERROR(_xll.qlRateHelperQuoteName(U43,Trigger),"")</f>
        <v/>
      </c>
      <c r="W43" s="76" t="str">
        <f>IFERROR(_xll.qlRateHelperRate(U43,Trigger),"")</f>
        <v/>
      </c>
      <c r="X43" s="116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4" t="e">
        <v>#N/A</v>
      </c>
      <c r="AC43" s="199"/>
      <c r="AD43" s="217"/>
      <c r="AE43" s="200"/>
      <c r="AF43" s="217"/>
      <c r="AG43" s="199">
        <v>46090</v>
      </c>
      <c r="AH43" s="236">
        <v>5.9429432836369247E-3</v>
      </c>
      <c r="AI43" s="236">
        <v>1</v>
      </c>
      <c r="AJ43" s="199">
        <v>45999</v>
      </c>
      <c r="AK43" s="199">
        <v>46090</v>
      </c>
      <c r="AL43" s="201">
        <v>91</v>
      </c>
      <c r="AM43" s="202" t="str">
        <v>FedFundsON Actual/360</v>
      </c>
      <c r="AN43" s="201">
        <v>0</v>
      </c>
      <c r="AO43" s="199">
        <v>46087</v>
      </c>
      <c r="AP43" s="201" t="str">
        <v>Actual/360</v>
      </c>
      <c r="AQ43" s="203">
        <v>0.25277777777777777</v>
      </c>
      <c r="AR43" s="204">
        <v>2.351054485834388E-2</v>
      </c>
      <c r="AS43" s="204"/>
      <c r="AT43" s="205"/>
      <c r="AU43" s="204"/>
      <c r="AV43" s="204"/>
      <c r="AW43" s="204"/>
      <c r="AX43" s="204"/>
      <c r="AY43" s="204"/>
      <c r="AZ43" s="202"/>
      <c r="BA43" s="194"/>
      <c r="BB43" s="194"/>
      <c r="BC43" s="194"/>
      <c r="BD43" s="194"/>
      <c r="BE43" s="194"/>
      <c r="BF43" s="194"/>
      <c r="BG43" s="194"/>
      <c r="BH43" s="194"/>
      <c r="BI43" s="194"/>
      <c r="BJ43" s="194"/>
      <c r="BK43" s="194"/>
    </row>
    <row r="44" spans="1:69" ht="11.25" customHeight="1" x14ac:dyDescent="0.2">
      <c r="A44" s="64" t="s">
        <v>100</v>
      </c>
      <c r="B44" s="65" t="s">
        <v>82</v>
      </c>
      <c r="C44" s="66">
        <f t="shared" si="7"/>
        <v>2</v>
      </c>
      <c r="D44" s="137"/>
      <c r="E44" s="67" t="str">
        <f t="shared" si="9"/>
        <v>USDFedFunds</v>
      </c>
      <c r="F44" s="69" t="str">
        <f t="shared" si="10"/>
        <v>USDOIS54M_Quote</v>
      </c>
      <c r="G44" s="137"/>
      <c r="H44" s="70"/>
      <c r="J44" s="11" t="str">
        <f t="shared" si="8"/>
        <v>OIS</v>
      </c>
      <c r="K44" s="106" t="str">
        <f t="shared" si="3"/>
        <v>obj_002fe#0078</v>
      </c>
      <c r="L44" s="109" t="str">
        <f>IFERROR(_xll.qlRateHelperQuoteName(K44,Trigger),"--")</f>
        <v>USDOIS5Y_Quote</v>
      </c>
      <c r="M44" s="110">
        <f>IFERROR(_xll.qlRateHelperQuoteValue($K44,Trigger),"--")</f>
        <v>9.6200000000000001E-3</v>
      </c>
      <c r="N44" s="109" t="b">
        <v>0</v>
      </c>
      <c r="O44" s="106">
        <v>50</v>
      </c>
      <c r="P44" s="106">
        <v>1</v>
      </c>
      <c r="Q44" s="111">
        <f>IFERROR(_xll.qlRateHelperEarliestDate(K44,Trigger),"--")</f>
        <v>42436</v>
      </c>
      <c r="R44" s="111">
        <f>IFERROR(_xll.qlRateHelperPillarDate(K44,Trigger),"--")</f>
        <v>44263</v>
      </c>
      <c r="T44" s="4" t="str">
        <f t="shared" si="0"/>
        <v/>
      </c>
      <c r="U44" s="4" t="e">
        <v>#N/A</v>
      </c>
      <c r="V44" s="4" t="str">
        <f>IFERROR(_xll.qlRateHelperQuoteName(U44,Trigger),"")</f>
        <v/>
      </c>
      <c r="W44" s="76" t="str">
        <f>IFERROR(_xll.qlRateHelperRate(U44,Trigger),"")</f>
        <v/>
      </c>
      <c r="X44" s="116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4" t="e">
        <v>#N/A</v>
      </c>
      <c r="AC44" s="199"/>
      <c r="AD44" s="217"/>
      <c r="AE44" s="217"/>
      <c r="AF44" s="217"/>
      <c r="AG44" s="199" t="e">
        <v>#N/A</v>
      </c>
      <c r="AH44" s="236" t="e">
        <v>#N/A</v>
      </c>
      <c r="AI44" s="236" t="e">
        <v>#N/A</v>
      </c>
      <c r="AJ44" s="199" t="e">
        <v>#N/A</v>
      </c>
      <c r="AK44" s="199" t="e">
        <v>#N/A</v>
      </c>
      <c r="AL44" s="201" t="e">
        <v>#N/A</v>
      </c>
      <c r="AM44" s="202" t="e">
        <v>#N/A</v>
      </c>
      <c r="AN44" s="201" t="e">
        <v>#N/A</v>
      </c>
      <c r="AO44" s="199" t="e">
        <v>#N/A</v>
      </c>
      <c r="AP44" s="201" t="e">
        <v>#N/A</v>
      </c>
      <c r="AQ44" s="203" t="e">
        <v>#N/A</v>
      </c>
      <c r="AR44" s="204" t="e">
        <v>#N/A</v>
      </c>
      <c r="AS44" s="204"/>
      <c r="AT44" s="205"/>
      <c r="AU44" s="204"/>
      <c r="AV44" s="204"/>
      <c r="AW44" s="204"/>
      <c r="AX44" s="204"/>
      <c r="AY44" s="204"/>
      <c r="AZ44" s="202"/>
      <c r="BA44" s="194"/>
      <c r="BB44" s="194"/>
      <c r="BC44" s="194"/>
      <c r="BD44" s="194"/>
      <c r="BE44" s="194"/>
      <c r="BF44" s="194"/>
      <c r="BG44" s="194"/>
      <c r="BH44" s="194"/>
      <c r="BI44" s="194"/>
      <c r="BJ44" s="194"/>
      <c r="BK44" s="194"/>
    </row>
    <row r="45" spans="1:69" ht="11.25" customHeight="1" x14ac:dyDescent="0.2">
      <c r="A45" s="64" t="s">
        <v>100</v>
      </c>
      <c r="B45" s="65" t="s">
        <v>83</v>
      </c>
      <c r="C45" s="66">
        <f t="shared" si="7"/>
        <v>2</v>
      </c>
      <c r="D45" s="137"/>
      <c r="E45" s="67" t="str">
        <f t="shared" si="9"/>
        <v>USDFedFunds</v>
      </c>
      <c r="F45" s="69" t="str">
        <f t="shared" si="10"/>
        <v>USDOIS57M_Quote</v>
      </c>
      <c r="G45" s="137"/>
      <c r="H45" s="70"/>
      <c r="J45" s="11" t="str">
        <f t="shared" si="8"/>
        <v>OIS</v>
      </c>
      <c r="K45" s="106" t="str">
        <f t="shared" si="3"/>
        <v>obj_002ff#0078</v>
      </c>
      <c r="L45" s="109" t="str">
        <f>IFERROR(_xll.qlRateHelperQuoteName(K45,Trigger),"--")</f>
        <v>USDOIS6Y_Quote</v>
      </c>
      <c r="M45" s="110">
        <f>IFERROR(_xll.qlRateHelperQuoteValue($K45,Trigger),"--")</f>
        <v>1.0579999999999999E-2</v>
      </c>
      <c r="N45" s="109" t="b">
        <v>0</v>
      </c>
      <c r="O45" s="106">
        <v>50</v>
      </c>
      <c r="P45" s="106">
        <v>1</v>
      </c>
      <c r="Q45" s="111">
        <f>IFERROR(_xll.qlRateHelperEarliestDate(K45,Trigger),"--")</f>
        <v>42436</v>
      </c>
      <c r="R45" s="111">
        <f>IFERROR(_xll.qlRateHelperPillarDate(K45,Trigger),"--")</f>
        <v>44627</v>
      </c>
      <c r="T45" s="4" t="str">
        <f t="shared" si="0"/>
        <v/>
      </c>
      <c r="U45" s="4" t="e">
        <v>#N/A</v>
      </c>
      <c r="V45" s="4" t="str">
        <f>IFERROR(_xll.qlRateHelperQuoteName(U45,Trigger),"")</f>
        <v/>
      </c>
      <c r="W45" s="76" t="str">
        <f>IFERROR(_xll.qlRateHelperRate(U45,Trigger),"")</f>
        <v/>
      </c>
      <c r="X45" s="116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4" t="e">
        <v>#N/A</v>
      </c>
      <c r="AC45" s="199"/>
      <c r="AD45" s="217"/>
      <c r="AE45" s="217"/>
      <c r="AF45" s="217"/>
      <c r="AG45" s="199" t="e">
        <v>#N/A</v>
      </c>
      <c r="AH45" s="236" t="e">
        <v>#N/A</v>
      </c>
      <c r="AI45" s="236" t="e">
        <v>#N/A</v>
      </c>
      <c r="AJ45" s="199" t="e">
        <v>#N/A</v>
      </c>
      <c r="AK45" s="199" t="e">
        <v>#N/A</v>
      </c>
      <c r="AL45" s="201" t="e">
        <v>#N/A</v>
      </c>
      <c r="AM45" s="202" t="e">
        <v>#N/A</v>
      </c>
      <c r="AN45" s="201" t="e">
        <v>#N/A</v>
      </c>
      <c r="AO45" s="199" t="e">
        <v>#N/A</v>
      </c>
      <c r="AP45" s="201" t="e">
        <v>#N/A</v>
      </c>
      <c r="AQ45" s="203" t="e">
        <v>#N/A</v>
      </c>
      <c r="AR45" s="204" t="e">
        <v>#N/A</v>
      </c>
      <c r="AS45" s="204"/>
      <c r="AT45" s="205"/>
      <c r="AU45" s="204"/>
      <c r="AV45" s="204"/>
      <c r="AW45" s="204"/>
      <c r="AX45" s="204"/>
      <c r="AY45" s="204"/>
      <c r="AZ45" s="202"/>
      <c r="BA45" s="194"/>
      <c r="BB45" s="194"/>
      <c r="BC45" s="194"/>
      <c r="BD45" s="194"/>
      <c r="BE45" s="194"/>
      <c r="BF45" s="194"/>
      <c r="BG45" s="194"/>
      <c r="BH45" s="194"/>
      <c r="BI45" s="194"/>
      <c r="BJ45" s="194"/>
      <c r="BK45" s="194"/>
    </row>
    <row r="46" spans="1:69" ht="11.25" customHeight="1" x14ac:dyDescent="0.2">
      <c r="A46" s="64" t="s">
        <v>100</v>
      </c>
      <c r="B46" s="65" t="s">
        <v>84</v>
      </c>
      <c r="C46" s="66">
        <f t="shared" si="7"/>
        <v>2</v>
      </c>
      <c r="D46" s="137"/>
      <c r="E46" s="67" t="str">
        <f t="shared" si="9"/>
        <v>USDFedFunds</v>
      </c>
      <c r="F46" s="69" t="str">
        <f t="shared" si="10"/>
        <v>USDOIS5Y_Quote</v>
      </c>
      <c r="G46" s="137"/>
      <c r="H46" s="70" t="str">
        <f>_xll.qlOISRateHelper(,C46,B46,F46,$E46,,Permanent,Trigger,ObjectOverwrite)</f>
        <v>obj_002fe#0078</v>
      </c>
      <c r="J46" s="11" t="str">
        <f t="shared" si="8"/>
        <v>OIS</v>
      </c>
      <c r="K46" s="106" t="str">
        <f t="shared" si="3"/>
        <v>obj_002fc#0078</v>
      </c>
      <c r="L46" s="109" t="str">
        <f>IFERROR(_xll.qlRateHelperQuoteName(K46,Trigger),"--")</f>
        <v>USDOIS7Y_Quote</v>
      </c>
      <c r="M46" s="110">
        <f>IFERROR(_xll.qlRateHelperQuoteValue($K46,Trigger),"--")</f>
        <v>1.15E-2</v>
      </c>
      <c r="N46" s="109" t="b">
        <v>0</v>
      </c>
      <c r="O46" s="106">
        <v>50</v>
      </c>
      <c r="P46" s="106">
        <v>1</v>
      </c>
      <c r="Q46" s="111">
        <f>IFERROR(_xll.qlRateHelperEarliestDate(K46,Trigger),"--")</f>
        <v>42436</v>
      </c>
      <c r="R46" s="111">
        <f>IFERROR(_xll.qlRateHelperPillarDate(K46,Trigger),"--")</f>
        <v>44992</v>
      </c>
      <c r="T46" s="4" t="str">
        <f t="shared" si="0"/>
        <v/>
      </c>
      <c r="U46" s="4" t="e">
        <v>#N/A</v>
      </c>
      <c r="V46" s="4" t="str">
        <f>IFERROR(_xll.qlRateHelperQuoteName(U46,Trigger),"")</f>
        <v/>
      </c>
      <c r="W46" s="76" t="str">
        <f>IFERROR(_xll.qlRateHelperRate(U46,Trigger),"")</f>
        <v/>
      </c>
      <c r="X46" s="116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4" t="e">
        <v>#N/A</v>
      </c>
      <c r="AC46" s="199"/>
      <c r="AD46" s="217"/>
      <c r="AE46" s="217"/>
      <c r="AF46" s="217"/>
      <c r="AG46" s="199" t="e">
        <v>#N/A</v>
      </c>
      <c r="AH46" s="236" t="e">
        <v>#N/A</v>
      </c>
      <c r="AI46" s="236" t="e">
        <v>#N/A</v>
      </c>
      <c r="AJ46" s="199" t="e">
        <v>#N/A</v>
      </c>
      <c r="AK46" s="199" t="e">
        <v>#N/A</v>
      </c>
      <c r="AL46" s="201" t="e">
        <v>#N/A</v>
      </c>
      <c r="AM46" s="202" t="e">
        <v>#N/A</v>
      </c>
      <c r="AN46" s="201" t="e">
        <v>#N/A</v>
      </c>
      <c r="AO46" s="199" t="e">
        <v>#N/A</v>
      </c>
      <c r="AP46" s="201" t="e">
        <v>#N/A</v>
      </c>
      <c r="AQ46" s="203" t="e">
        <v>#N/A</v>
      </c>
      <c r="AR46" s="204" t="e">
        <v>#N/A</v>
      </c>
      <c r="AS46" s="204"/>
      <c r="AT46" s="205"/>
      <c r="AU46" s="204"/>
      <c r="AV46" s="204"/>
      <c r="AW46" s="204"/>
      <c r="AX46" s="204"/>
      <c r="AY46" s="204"/>
      <c r="AZ46" s="202"/>
      <c r="BA46" s="194"/>
      <c r="BB46" s="194"/>
      <c r="BC46" s="194"/>
      <c r="BD46" s="194"/>
      <c r="BE46" s="194"/>
      <c r="BF46" s="194"/>
      <c r="BG46" s="194"/>
      <c r="BH46" s="194"/>
      <c r="BI46" s="194"/>
      <c r="BJ46" s="194"/>
      <c r="BK46" s="194"/>
    </row>
    <row r="47" spans="1:69" ht="11.25" customHeight="1" x14ac:dyDescent="0.2">
      <c r="A47" s="64" t="s">
        <v>100</v>
      </c>
      <c r="B47" s="65" t="s">
        <v>85</v>
      </c>
      <c r="C47" s="66">
        <f t="shared" si="7"/>
        <v>2</v>
      </c>
      <c r="D47" s="137"/>
      <c r="E47" s="67" t="str">
        <f t="shared" si="9"/>
        <v>USDFedFunds</v>
      </c>
      <c r="F47" s="69" t="str">
        <f t="shared" si="10"/>
        <v>USDOIS6Y_Quote</v>
      </c>
      <c r="G47" s="137"/>
      <c r="H47" s="70" t="str">
        <f>_xll.qlOISRateHelper(,C47,B47,F47,$E47,,Permanent,Trigger,ObjectOverwrite)</f>
        <v>obj_002ff#0078</v>
      </c>
      <c r="J47" s="11" t="str">
        <f t="shared" si="8"/>
        <v>OIS</v>
      </c>
      <c r="K47" s="106" t="str">
        <f t="shared" si="3"/>
        <v>obj_0030a#0078</v>
      </c>
      <c r="L47" s="109" t="str">
        <f>IFERROR(_xll.qlRateHelperQuoteName(K47,Trigger),"--")</f>
        <v>USDOIS8Y_Quote</v>
      </c>
      <c r="M47" s="110">
        <f>IFERROR(_xll.qlRateHelperQuoteValue($K47,Trigger),"--")</f>
        <v>1.2280000000000003E-2</v>
      </c>
      <c r="N47" s="109" t="b">
        <v>0</v>
      </c>
      <c r="O47" s="106">
        <v>50</v>
      </c>
      <c r="P47" s="106">
        <v>1</v>
      </c>
      <c r="Q47" s="111">
        <f>IFERROR(_xll.qlRateHelperEarliestDate(K47,Trigger),"--")</f>
        <v>42436</v>
      </c>
      <c r="R47" s="111">
        <f>IFERROR(_xll.qlRateHelperPillarDate(K47,Trigger),"--")</f>
        <v>45358</v>
      </c>
      <c r="T47" s="4" t="str">
        <f t="shared" si="0"/>
        <v/>
      </c>
      <c r="U47" s="4" t="e">
        <v>#N/A</v>
      </c>
      <c r="V47" s="4" t="str">
        <f>IFERROR(_xll.qlRateHelperQuoteName(U47,Trigger),"")</f>
        <v/>
      </c>
      <c r="W47" s="76" t="str">
        <f>IFERROR(_xll.qlRateHelperRate(U47,Trigger),"")</f>
        <v/>
      </c>
      <c r="X47" s="116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4" t="e">
        <v>#N/A</v>
      </c>
      <c r="AC47" s="199"/>
      <c r="AD47" s="217"/>
      <c r="AE47" s="217"/>
      <c r="AF47" s="217"/>
      <c r="AG47" s="199" t="e">
        <v>#N/A</v>
      </c>
      <c r="AH47" s="236" t="e">
        <v>#N/A</v>
      </c>
      <c r="AI47" s="236" t="e">
        <v>#N/A</v>
      </c>
      <c r="AJ47" s="199" t="e">
        <v>#N/A</v>
      </c>
      <c r="AK47" s="199" t="e">
        <v>#N/A</v>
      </c>
      <c r="AL47" s="201" t="e">
        <v>#N/A</v>
      </c>
      <c r="AM47" s="202" t="e">
        <v>#N/A</v>
      </c>
      <c r="AN47" s="201" t="e">
        <v>#N/A</v>
      </c>
      <c r="AO47" s="199" t="e">
        <v>#N/A</v>
      </c>
      <c r="AP47" s="201" t="e">
        <v>#N/A</v>
      </c>
      <c r="AQ47" s="203" t="e">
        <v>#N/A</v>
      </c>
      <c r="AR47" s="204" t="e">
        <v>#N/A</v>
      </c>
      <c r="AS47" s="204"/>
      <c r="AT47" s="205"/>
      <c r="AU47" s="204"/>
      <c r="AV47" s="204"/>
      <c r="AW47" s="204"/>
      <c r="AX47" s="204"/>
      <c r="AY47" s="204"/>
      <c r="AZ47" s="202"/>
      <c r="BA47" s="194"/>
      <c r="BB47" s="194"/>
      <c r="BC47" s="194"/>
      <c r="BD47" s="194"/>
      <c r="BE47" s="194"/>
      <c r="BF47" s="194"/>
      <c r="BG47" s="194"/>
      <c r="BH47" s="194"/>
      <c r="BI47" s="194"/>
      <c r="BJ47" s="194"/>
      <c r="BK47" s="194"/>
      <c r="BL47" s="194"/>
      <c r="BM47" s="194"/>
      <c r="BN47" s="194"/>
    </row>
    <row r="48" spans="1:69" ht="11.25" customHeight="1" x14ac:dyDescent="0.2">
      <c r="A48" s="64" t="s">
        <v>100</v>
      </c>
      <c r="B48" s="65" t="s">
        <v>86</v>
      </c>
      <c r="C48" s="66">
        <f t="shared" si="7"/>
        <v>2</v>
      </c>
      <c r="D48" s="137"/>
      <c r="E48" s="67" t="str">
        <f t="shared" si="9"/>
        <v>USDFedFunds</v>
      </c>
      <c r="F48" s="69" t="str">
        <f t="shared" si="10"/>
        <v>USDOIS7Y_Quote</v>
      </c>
      <c r="G48" s="137"/>
      <c r="H48" s="70" t="str">
        <f>_xll.qlOISRateHelper(,C48,B48,F48,$E48,,Permanent,Trigger,ObjectOverwrite)</f>
        <v>obj_002fc#0078</v>
      </c>
      <c r="J48" s="11" t="str">
        <f t="shared" si="8"/>
        <v>OIS</v>
      </c>
      <c r="K48" s="106" t="str">
        <f t="shared" si="3"/>
        <v>obj_0030b#0075</v>
      </c>
      <c r="L48" s="109" t="str">
        <f>IFERROR(_xll.qlRateHelperQuoteName(K48,Trigger),"--")</f>
        <v>USDOIS9Y_Quote</v>
      </c>
      <c r="M48" s="110">
        <f>IFERROR(_xll.qlRateHelperQuoteValue($K48,Trigger),"--")</f>
        <v>1.3010000000000001E-2</v>
      </c>
      <c r="N48" s="109" t="b">
        <v>0</v>
      </c>
      <c r="O48" s="106">
        <v>50</v>
      </c>
      <c r="P48" s="106">
        <v>1</v>
      </c>
      <c r="Q48" s="111">
        <f>IFERROR(_xll.qlRateHelperEarliestDate(K48,Trigger),"--")</f>
        <v>42436</v>
      </c>
      <c r="R48" s="111">
        <f>IFERROR(_xll.qlRateHelperPillarDate(K48,Trigger),"--")</f>
        <v>45723</v>
      </c>
      <c r="T48" s="4" t="str">
        <f t="shared" ref="T48:T111" si="11">IFERROR(INDEX($J$3:$J$113,MATCH(V48,$L$3:$L$113,0),1),"")</f>
        <v/>
      </c>
      <c r="U48" s="4" t="e">
        <v>#N/A</v>
      </c>
      <c r="V48" s="4" t="str">
        <f>IFERROR(_xll.qlRateHelperQuoteName(U48,Trigger),"")</f>
        <v/>
      </c>
      <c r="W48" s="76" t="str">
        <f>IFERROR(_xll.qlRateHelperRate(U48,Trigger),"")</f>
        <v/>
      </c>
      <c r="X48" s="116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4" t="e">
        <v>#N/A</v>
      </c>
      <c r="AC48" s="199"/>
      <c r="AD48" s="217"/>
      <c r="AE48" s="217"/>
      <c r="AF48" s="217"/>
      <c r="AG48" s="199" t="e">
        <v>#N/A</v>
      </c>
      <c r="AH48" s="236" t="e">
        <v>#N/A</v>
      </c>
      <c r="AI48" s="236" t="e">
        <v>#N/A</v>
      </c>
      <c r="AJ48" s="199" t="e">
        <v>#N/A</v>
      </c>
      <c r="AK48" s="199" t="e">
        <v>#N/A</v>
      </c>
      <c r="AL48" s="201" t="e">
        <v>#N/A</v>
      </c>
      <c r="AM48" s="202" t="e">
        <v>#N/A</v>
      </c>
      <c r="AN48" s="201" t="e">
        <v>#N/A</v>
      </c>
      <c r="AO48" s="199" t="e">
        <v>#N/A</v>
      </c>
      <c r="AP48" s="201" t="e">
        <v>#N/A</v>
      </c>
      <c r="AQ48" s="203" t="e">
        <v>#N/A</v>
      </c>
      <c r="AR48" s="204" t="e">
        <v>#N/A</v>
      </c>
      <c r="AS48" s="204"/>
      <c r="AT48" s="205"/>
      <c r="AU48" s="204"/>
      <c r="AV48" s="204"/>
      <c r="AW48" s="204"/>
      <c r="AX48" s="204"/>
      <c r="AY48" s="204"/>
      <c r="AZ48" s="202"/>
      <c r="BA48" s="194"/>
      <c r="BB48" s="194"/>
      <c r="BC48" s="194"/>
      <c r="BD48" s="194"/>
      <c r="BE48" s="194"/>
      <c r="BF48" s="194"/>
      <c r="BG48" s="194"/>
      <c r="BH48" s="194"/>
      <c r="BI48" s="194"/>
      <c r="BJ48" s="194"/>
      <c r="BK48" s="194"/>
      <c r="BL48" s="194"/>
      <c r="BM48" s="194"/>
      <c r="BN48" s="194"/>
    </row>
    <row r="49" spans="1:66" ht="11.25" customHeight="1" x14ac:dyDescent="0.2">
      <c r="A49" s="64" t="s">
        <v>100</v>
      </c>
      <c r="B49" s="65" t="s">
        <v>87</v>
      </c>
      <c r="C49" s="66">
        <f t="shared" si="7"/>
        <v>2</v>
      </c>
      <c r="D49" s="137"/>
      <c r="E49" s="67" t="str">
        <f t="shared" si="9"/>
        <v>USDFedFunds</v>
      </c>
      <c r="F49" s="69" t="str">
        <f t="shared" si="10"/>
        <v>USDOIS8Y_Quote</v>
      </c>
      <c r="G49" s="137"/>
      <c r="H49" s="70" t="str">
        <f>_xll.qlOISRateHelper(,C49,B49,F49,$E49,,Permanent,Trigger,ObjectOverwrite)</f>
        <v>obj_0030a#0078</v>
      </c>
      <c r="J49" s="11" t="str">
        <f t="shared" si="8"/>
        <v>OIS</v>
      </c>
      <c r="K49" s="106" t="str">
        <f t="shared" si="3"/>
        <v>obj_00303#0078</v>
      </c>
      <c r="L49" s="109" t="str">
        <f>IFERROR(_xll.qlRateHelperQuoteName(K49,Trigger),"--")</f>
        <v>USDOIS10Y_Quote</v>
      </c>
      <c r="M49" s="110">
        <f>IFERROR(_xll.qlRateHelperQuoteValue($K49,Trigger),"--")</f>
        <v>1.372E-2</v>
      </c>
      <c r="N49" s="109" t="b">
        <v>1</v>
      </c>
      <c r="O49" s="106">
        <v>50</v>
      </c>
      <c r="P49" s="106">
        <v>1</v>
      </c>
      <c r="Q49" s="111">
        <f>IFERROR(_xll.qlRateHelperEarliestDate(K49,Trigger),"--")</f>
        <v>42436</v>
      </c>
      <c r="R49" s="111">
        <f>IFERROR(_xll.qlRateHelperPillarDate(K49,Trigger),"--")</f>
        <v>46090</v>
      </c>
      <c r="T49" s="4" t="str">
        <f t="shared" si="11"/>
        <v/>
      </c>
      <c r="U49" s="4" t="e">
        <v>#N/A</v>
      </c>
      <c r="V49" s="4" t="str">
        <f>IFERROR(_xll.qlRateHelperQuoteName(U49,Trigger),"")</f>
        <v/>
      </c>
      <c r="W49" s="76" t="str">
        <f>IFERROR(_xll.qlRateHelperRate(U49,Trigger),"")</f>
        <v/>
      </c>
      <c r="X49" s="116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4" t="e">
        <v>#N/A</v>
      </c>
      <c r="AC49" s="199"/>
      <c r="AD49" s="217"/>
      <c r="AE49" s="217"/>
      <c r="AF49" s="217"/>
      <c r="AG49" s="199" t="e">
        <v>#N/A</v>
      </c>
      <c r="AH49" s="236" t="e">
        <v>#N/A</v>
      </c>
      <c r="AI49" s="236" t="e">
        <v>#N/A</v>
      </c>
      <c r="AJ49" s="199" t="e">
        <v>#N/A</v>
      </c>
      <c r="AK49" s="199" t="e">
        <v>#N/A</v>
      </c>
      <c r="AL49" s="201" t="e">
        <v>#N/A</v>
      </c>
      <c r="AM49" s="202" t="e">
        <v>#N/A</v>
      </c>
      <c r="AN49" s="201" t="e">
        <v>#N/A</v>
      </c>
      <c r="AO49" s="199" t="e">
        <v>#N/A</v>
      </c>
      <c r="AP49" s="201" t="e">
        <v>#N/A</v>
      </c>
      <c r="AQ49" s="203" t="e">
        <v>#N/A</v>
      </c>
      <c r="AR49" s="204" t="e">
        <v>#N/A</v>
      </c>
      <c r="AS49" s="204"/>
      <c r="AT49" s="205"/>
      <c r="AU49" s="204"/>
      <c r="AV49" s="204"/>
      <c r="AW49" s="204"/>
      <c r="AX49" s="204"/>
      <c r="AY49" s="204"/>
      <c r="AZ49" s="202"/>
      <c r="BA49" s="194"/>
      <c r="BB49" s="194"/>
      <c r="BC49" s="194"/>
      <c r="BD49" s="194"/>
      <c r="BE49" s="194"/>
      <c r="BF49" s="194"/>
      <c r="BG49" s="194"/>
      <c r="BH49" s="194"/>
      <c r="BI49" s="194"/>
      <c r="BJ49" s="194"/>
      <c r="BK49" s="194"/>
      <c r="BL49" s="194"/>
      <c r="BM49" s="194"/>
      <c r="BN49" s="194"/>
    </row>
    <row r="50" spans="1:66" ht="11.25" customHeight="1" x14ac:dyDescent="0.2">
      <c r="A50" s="64" t="s">
        <v>100</v>
      </c>
      <c r="B50" s="65" t="s">
        <v>88</v>
      </c>
      <c r="C50" s="66">
        <f t="shared" si="7"/>
        <v>2</v>
      </c>
      <c r="D50" s="137"/>
      <c r="E50" s="67" t="str">
        <f t="shared" si="9"/>
        <v>USDFedFunds</v>
      </c>
      <c r="F50" s="69" t="str">
        <f t="shared" si="10"/>
        <v>USDOIS9Y_Quote</v>
      </c>
      <c r="G50" s="137"/>
      <c r="H50" s="70" t="str">
        <f>_xll.qlOISRateHelper(,C50,B50,F50,$E50,,Permanent,Trigger,ObjectOverwrite)</f>
        <v>obj_0030b#0075</v>
      </c>
      <c r="J50" s="11" t="str">
        <f t="shared" si="8"/>
        <v>OIS</v>
      </c>
      <c r="K50" s="106" t="str">
        <f t="shared" si="3"/>
        <v>obj_0030c#0075</v>
      </c>
      <c r="L50" s="109" t="str">
        <f>IFERROR(_xll.qlRateHelperQuoteName(K50,Trigger),"--")</f>
        <v>USDOIS12Y_Quote</v>
      </c>
      <c r="M50" s="110">
        <f>IFERROR(_xll.qlRateHelperQuoteValue($K50,Trigger),"--")</f>
        <v>1.4809999999999999E-2</v>
      </c>
      <c r="N50" s="109" t="b">
        <v>1</v>
      </c>
      <c r="O50" s="106">
        <v>50</v>
      </c>
      <c r="P50" s="106">
        <v>1</v>
      </c>
      <c r="Q50" s="111">
        <f>IFERROR(_xll.qlRateHelperEarliestDate(K50,Trigger),"--")</f>
        <v>42436</v>
      </c>
      <c r="R50" s="111">
        <f>IFERROR(_xll.qlRateHelperPillarDate(K50,Trigger),"--")</f>
        <v>46819</v>
      </c>
      <c r="T50" s="4" t="str">
        <f t="shared" si="11"/>
        <v/>
      </c>
      <c r="U50" s="4" t="e">
        <v>#N/A</v>
      </c>
      <c r="V50" s="4" t="str">
        <f>IFERROR(_xll.qlRateHelperQuoteName(U50,Trigger),"")</f>
        <v/>
      </c>
      <c r="W50" s="76" t="str">
        <f>IFERROR(_xll.qlRateHelperRate(U50,Trigger),"")</f>
        <v/>
      </c>
      <c r="X50" s="116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4" t="e">
        <v>#N/A</v>
      </c>
      <c r="AC50" s="199"/>
      <c r="AD50" s="217"/>
      <c r="AE50" s="217"/>
      <c r="AF50" s="217"/>
      <c r="AG50" s="199" t="e">
        <v>#N/A</v>
      </c>
      <c r="AH50" s="236" t="e">
        <v>#N/A</v>
      </c>
      <c r="AI50" s="236" t="e">
        <v>#N/A</v>
      </c>
      <c r="AJ50" s="199" t="e">
        <v>#N/A</v>
      </c>
      <c r="AK50" s="199" t="e">
        <v>#N/A</v>
      </c>
      <c r="AL50" s="201" t="e">
        <v>#N/A</v>
      </c>
      <c r="AM50" s="202" t="e">
        <v>#N/A</v>
      </c>
      <c r="AN50" s="201" t="e">
        <v>#N/A</v>
      </c>
      <c r="AO50" s="199" t="e">
        <v>#N/A</v>
      </c>
      <c r="AP50" s="201" t="e">
        <v>#N/A</v>
      </c>
      <c r="AQ50" s="203" t="e">
        <v>#N/A</v>
      </c>
      <c r="AR50" s="204" t="e">
        <v>#N/A</v>
      </c>
      <c r="AS50" s="204"/>
      <c r="AT50" s="205"/>
      <c r="AU50" s="204"/>
      <c r="AV50" s="204"/>
      <c r="AW50" s="204"/>
      <c r="AX50" s="204"/>
      <c r="AY50" s="204"/>
      <c r="AZ50" s="202"/>
      <c r="BA50" s="194"/>
      <c r="BB50" s="194"/>
      <c r="BC50" s="194"/>
      <c r="BD50" s="194"/>
      <c r="BE50" s="194"/>
      <c r="BF50" s="194"/>
      <c r="BG50" s="194"/>
      <c r="BH50" s="194"/>
      <c r="BI50" s="194"/>
      <c r="BJ50" s="194"/>
      <c r="BK50" s="194"/>
      <c r="BL50" s="194"/>
      <c r="BM50" s="194"/>
      <c r="BN50" s="194"/>
    </row>
    <row r="51" spans="1:66" ht="11.25" customHeight="1" x14ac:dyDescent="0.2">
      <c r="A51" s="64" t="s">
        <v>100</v>
      </c>
      <c r="B51" s="65" t="s">
        <v>89</v>
      </c>
      <c r="C51" s="66">
        <f t="shared" si="7"/>
        <v>2</v>
      </c>
      <c r="D51" s="137"/>
      <c r="E51" s="67" t="str">
        <f t="shared" si="9"/>
        <v>USDFedFunds</v>
      </c>
      <c r="F51" s="69" t="str">
        <f t="shared" si="10"/>
        <v>USDOIS10Y_Quote</v>
      </c>
      <c r="G51" s="137"/>
      <c r="H51" s="70" t="str">
        <f>_xll.qlOISRateHelper(,C51,B51,F51,$E51,,Permanent,Trigger,ObjectOverwrite)</f>
        <v>obj_00303#0078</v>
      </c>
      <c r="J51" s="11" t="str">
        <f t="shared" si="8"/>
        <v>OIS</v>
      </c>
      <c r="K51" s="106" t="str">
        <f t="shared" si="3"/>
        <v>obj_0030f#0075</v>
      </c>
      <c r="L51" s="109" t="str">
        <f>IFERROR(_xll.qlRateHelperQuoteName(K51,Trigger),"--")</f>
        <v>USDOIS15Y_Quote</v>
      </c>
      <c r="M51" s="110">
        <f>IFERROR(_xll.qlRateHelperQuoteValue($K51,Trigger),"--")</f>
        <v>1.5939999999999999E-2</v>
      </c>
      <c r="N51" s="109" t="b">
        <v>1</v>
      </c>
      <c r="O51" s="106">
        <v>50</v>
      </c>
      <c r="P51" s="106">
        <v>1</v>
      </c>
      <c r="Q51" s="111">
        <f>IFERROR(_xll.qlRateHelperEarliestDate(K51,Trigger),"--")</f>
        <v>42436</v>
      </c>
      <c r="R51" s="111">
        <f>IFERROR(_xll.qlRateHelperPillarDate(K51,Trigger),"--")</f>
        <v>47914</v>
      </c>
      <c r="T51" s="4" t="str">
        <f t="shared" si="11"/>
        <v/>
      </c>
      <c r="U51" s="4" t="e">
        <v>#N/A</v>
      </c>
      <c r="V51" s="4" t="str">
        <f>IFERROR(_xll.qlRateHelperQuoteName(U51,Trigger),"")</f>
        <v/>
      </c>
      <c r="W51" s="76" t="str">
        <f>IFERROR(_xll.qlRateHelperRate(U51,Trigger),"")</f>
        <v/>
      </c>
      <c r="X51" s="116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  <c r="AC51" s="199"/>
      <c r="AD51" s="217"/>
      <c r="AE51" s="217"/>
      <c r="AF51" s="217"/>
      <c r="AG51" s="199" t="e">
        <v>#N/A</v>
      </c>
      <c r="AH51" s="236" t="e">
        <v>#N/A</v>
      </c>
      <c r="AI51" s="236" t="e">
        <v>#N/A</v>
      </c>
      <c r="AJ51" s="199" t="e">
        <v>#N/A</v>
      </c>
      <c r="AK51" s="199" t="e">
        <v>#N/A</v>
      </c>
      <c r="AL51" s="201" t="e">
        <v>#N/A</v>
      </c>
      <c r="AM51" s="202" t="e">
        <v>#N/A</v>
      </c>
      <c r="AN51" s="201" t="e">
        <v>#N/A</v>
      </c>
      <c r="AO51" s="199" t="e">
        <v>#N/A</v>
      </c>
      <c r="AP51" s="201" t="e">
        <v>#N/A</v>
      </c>
      <c r="AQ51" s="203" t="e">
        <v>#N/A</v>
      </c>
      <c r="AR51" s="204" t="e">
        <v>#N/A</v>
      </c>
      <c r="AS51" s="204"/>
      <c r="AT51" s="205"/>
      <c r="AU51" s="204"/>
      <c r="AV51" s="204"/>
      <c r="AW51" s="204"/>
      <c r="AX51" s="204"/>
      <c r="AY51" s="204"/>
      <c r="AZ51" s="202"/>
      <c r="BA51" s="194"/>
      <c r="BB51" s="194"/>
      <c r="BC51" s="194"/>
      <c r="BD51" s="194"/>
      <c r="BE51" s="194"/>
      <c r="BF51" s="194"/>
      <c r="BG51" s="194"/>
      <c r="BH51" s="194"/>
      <c r="BI51" s="194"/>
      <c r="BJ51" s="194"/>
      <c r="BK51" s="194"/>
      <c r="BL51" s="194"/>
      <c r="BM51" s="194"/>
      <c r="BN51" s="194"/>
    </row>
    <row r="52" spans="1:66" ht="11.25" customHeight="1" x14ac:dyDescent="0.2">
      <c r="A52" s="64" t="s">
        <v>100</v>
      </c>
      <c r="B52" s="65" t="s">
        <v>90</v>
      </c>
      <c r="C52" s="66">
        <f t="shared" si="7"/>
        <v>2</v>
      </c>
      <c r="D52" s="137"/>
      <c r="E52" s="67" t="str">
        <f t="shared" si="9"/>
        <v>USDFedFunds</v>
      </c>
      <c r="F52" s="69" t="str">
        <f t="shared" si="10"/>
        <v>USDOIS12Y_Quote</v>
      </c>
      <c r="G52" s="137"/>
      <c r="H52" s="70" t="str">
        <f>_xll.qlOISRateHelper(,C52,B52,F52,$E52,,Permanent,Trigger,ObjectOverwrite)</f>
        <v>obj_0030c#0075</v>
      </c>
      <c r="J52" s="11" t="str">
        <f t="shared" si="8"/>
        <v>OIS</v>
      </c>
      <c r="K52" s="106" t="str">
        <f t="shared" si="3"/>
        <v>obj_00305#0078</v>
      </c>
      <c r="L52" s="109" t="str">
        <f>IFERROR(_xll.qlRateHelperQuoteName(K52,Trigger),"--")</f>
        <v>USDOIS20Y_Quote</v>
      </c>
      <c r="M52" s="110">
        <f>IFERROR(_xll.qlRateHelperQuoteValue($K52,Trigger),"--")</f>
        <v>1.7180000000000001E-2</v>
      </c>
      <c r="N52" s="109" t="b">
        <v>1</v>
      </c>
      <c r="O52" s="106">
        <v>50</v>
      </c>
      <c r="P52" s="106">
        <v>1</v>
      </c>
      <c r="Q52" s="111">
        <f>IFERROR(_xll.qlRateHelperEarliestDate(K52,Trigger),"--")</f>
        <v>42436</v>
      </c>
      <c r="R52" s="111">
        <f>IFERROR(_xll.qlRateHelperPillarDate(K52,Trigger),"--")</f>
        <v>49741</v>
      </c>
      <c r="T52" s="4" t="str">
        <f t="shared" si="11"/>
        <v/>
      </c>
      <c r="U52" s="4" t="e">
        <v>#N/A</v>
      </c>
      <c r="V52" s="4" t="str">
        <f>IFERROR(_xll.qlRateHelperQuoteName(U52,Trigger),"")</f>
        <v/>
      </c>
      <c r="W52" s="76" t="str">
        <f>IFERROR(_xll.qlRateHelperRate(U52,Trigger),"")</f>
        <v/>
      </c>
      <c r="X52" s="116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  <c r="AG52" s="191"/>
      <c r="AH52" s="237"/>
      <c r="AI52" s="237"/>
      <c r="AJ52" s="191"/>
      <c r="AK52" s="191"/>
      <c r="AL52" s="193"/>
      <c r="AM52" s="194"/>
      <c r="AN52" s="193"/>
      <c r="AO52" s="191"/>
      <c r="AP52" s="193"/>
      <c r="AQ52" s="195"/>
      <c r="AR52" s="196"/>
      <c r="AS52" s="196"/>
      <c r="AT52" s="197"/>
      <c r="AU52" s="196"/>
      <c r="AV52" s="196"/>
      <c r="AW52" s="196"/>
      <c r="AX52" s="196"/>
      <c r="AY52" s="196"/>
      <c r="AZ52" s="194"/>
      <c r="BA52" s="194"/>
      <c r="BB52" s="194"/>
      <c r="BC52" s="194"/>
      <c r="BD52" s="194"/>
      <c r="BE52" s="194"/>
      <c r="BF52" s="194"/>
      <c r="BG52" s="194"/>
      <c r="BH52" s="194"/>
      <c r="BI52" s="194"/>
      <c r="BJ52" s="194"/>
      <c r="BK52" s="194"/>
      <c r="BL52" s="194"/>
      <c r="BM52" s="194"/>
      <c r="BN52" s="194"/>
    </row>
    <row r="53" spans="1:66" ht="11.25" customHeight="1" x14ac:dyDescent="0.2">
      <c r="A53" s="64" t="s">
        <v>100</v>
      </c>
      <c r="B53" s="65" t="s">
        <v>91</v>
      </c>
      <c r="C53" s="66">
        <f t="shared" si="7"/>
        <v>2</v>
      </c>
      <c r="D53" s="137"/>
      <c r="E53" s="67" t="str">
        <f t="shared" si="9"/>
        <v>USDFedFunds</v>
      </c>
      <c r="F53" s="69" t="str">
        <f t="shared" si="10"/>
        <v>USDOIS15Y_Quote</v>
      </c>
      <c r="G53" s="137"/>
      <c r="H53" s="70" t="str">
        <f>_xll.qlOISRateHelper(,C53,B53,F53,$E53,,Permanent,Trigger,ObjectOverwrite)</f>
        <v>obj_0030f#0075</v>
      </c>
      <c r="J53" s="11" t="str">
        <f t="shared" si="8"/>
        <v>OIS</v>
      </c>
      <c r="K53" s="106" t="str">
        <f t="shared" si="3"/>
        <v>obj_0030d#0075</v>
      </c>
      <c r="L53" s="109" t="str">
        <f>IFERROR(_xll.qlRateHelperQuoteName(K53,Trigger),"--")</f>
        <v>USDOIS25Y_Quote</v>
      </c>
      <c r="M53" s="110">
        <f>IFERROR(_xll.qlRateHelperQuoteValue($K53,Trigger),"--")</f>
        <v>1.7690000000000001E-2</v>
      </c>
      <c r="N53" s="109" t="b">
        <v>1</v>
      </c>
      <c r="O53" s="106">
        <v>50</v>
      </c>
      <c r="P53" s="106">
        <v>1</v>
      </c>
      <c r="Q53" s="111">
        <f>IFERROR(_xll.qlRateHelperEarliestDate(K53,Trigger),"--")</f>
        <v>42436</v>
      </c>
      <c r="R53" s="111">
        <f>IFERROR(_xll.qlRateHelperPillarDate(K53,Trigger),"--")</f>
        <v>51567</v>
      </c>
      <c r="T53" s="4" t="str">
        <f t="shared" si="11"/>
        <v/>
      </c>
      <c r="U53" s="4" t="e">
        <v>#N/A</v>
      </c>
      <c r="V53" s="4" t="str">
        <f>IFERROR(_xll.qlRateHelperQuoteName(U53,Trigger),"")</f>
        <v/>
      </c>
      <c r="W53" s="76" t="str">
        <f>IFERROR(_xll.qlRateHelperRate(U53,Trigger),"")</f>
        <v/>
      </c>
      <c r="X53" s="116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  <c r="AH53" s="207"/>
      <c r="AZ53" s="194"/>
      <c r="BA53" s="194"/>
      <c r="BB53" s="194"/>
      <c r="BC53" s="194"/>
      <c r="BD53" s="194"/>
      <c r="BE53" s="194"/>
      <c r="BF53" s="194"/>
      <c r="BG53" s="194"/>
      <c r="BH53" s="194"/>
      <c r="BI53" s="194"/>
      <c r="BJ53" s="194"/>
      <c r="BK53" s="194"/>
      <c r="BL53" s="194"/>
      <c r="BM53" s="194"/>
      <c r="BN53" s="194"/>
    </row>
    <row r="54" spans="1:66" ht="11.25" customHeight="1" x14ac:dyDescent="0.2">
      <c r="A54" s="64" t="s">
        <v>100</v>
      </c>
      <c r="B54" s="65" t="s">
        <v>92</v>
      </c>
      <c r="C54" s="66">
        <f t="shared" si="7"/>
        <v>2</v>
      </c>
      <c r="D54" s="137"/>
      <c r="E54" s="67" t="str">
        <f t="shared" si="9"/>
        <v>USDFedFunds</v>
      </c>
      <c r="F54" s="69" t="str">
        <f t="shared" si="10"/>
        <v>USDOIS20Y_Quote</v>
      </c>
      <c r="G54" s="137"/>
      <c r="H54" s="70" t="str">
        <f>_xll.qlOISRateHelper(,C54,B54,F54,$E54,,Permanent,Trigger,ObjectOverwrite)</f>
        <v>obj_00305#0078</v>
      </c>
      <c r="J54" s="11" t="str">
        <f t="shared" si="8"/>
        <v>OIS</v>
      </c>
      <c r="K54" s="106" t="str">
        <f t="shared" si="3"/>
        <v>--</v>
      </c>
      <c r="L54" s="109" t="str">
        <f>IFERROR(_xll.qlRateHelperQuoteName(K54,Trigger),"--")</f>
        <v>--</v>
      </c>
      <c r="M54" s="110" t="str">
        <f>IFERROR(_xll.qlRateHelperQuoteValue($K54,Trigger),"--")</f>
        <v>--</v>
      </c>
      <c r="N54" s="109" t="b">
        <v>0</v>
      </c>
      <c r="O54" s="106">
        <v>50</v>
      </c>
      <c r="P54" s="106">
        <v>1</v>
      </c>
      <c r="Q54" s="111" t="str">
        <f>IFERROR(_xll.qlRateHelperEarliestDate(K54,Trigger),"--")</f>
        <v>--</v>
      </c>
      <c r="R54" s="111" t="str">
        <f>IFERROR(_xll.qlRateHelperPillarDate(K54,Trigger),"--")</f>
        <v>--</v>
      </c>
      <c r="T54" s="4" t="str">
        <f t="shared" si="11"/>
        <v/>
      </c>
      <c r="U54" s="4" t="e">
        <v>#N/A</v>
      </c>
      <c r="V54" s="4" t="str">
        <f>IFERROR(_xll.qlRateHelperQuoteName(U54,Trigger),"")</f>
        <v/>
      </c>
      <c r="W54" s="76" t="str">
        <f>IFERROR(_xll.qlRateHelperRate(U54,Trigger),"")</f>
        <v/>
      </c>
      <c r="X54" s="116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  <c r="AH54" s="207"/>
      <c r="AZ54" s="194"/>
      <c r="BA54" s="194"/>
      <c r="BB54" s="194"/>
      <c r="BC54" s="194"/>
      <c r="BD54" s="194"/>
      <c r="BE54" s="194"/>
      <c r="BF54" s="194"/>
      <c r="BG54" s="194"/>
      <c r="BH54" s="194"/>
      <c r="BI54" s="194"/>
      <c r="BJ54" s="194"/>
      <c r="BK54" s="194"/>
      <c r="BL54" s="194"/>
      <c r="BM54" s="194"/>
      <c r="BN54" s="194"/>
    </row>
    <row r="55" spans="1:66" ht="11.25" customHeight="1" x14ac:dyDescent="0.2">
      <c r="A55" s="64" t="s">
        <v>100</v>
      </c>
      <c r="B55" s="65" t="s">
        <v>93</v>
      </c>
      <c r="C55" s="66">
        <f t="shared" si="7"/>
        <v>2</v>
      </c>
      <c r="D55" s="137"/>
      <c r="E55" s="67" t="str">
        <f t="shared" si="9"/>
        <v>USDFedFunds</v>
      </c>
      <c r="F55" s="69" t="str">
        <f t="shared" si="10"/>
        <v>USDOIS25Y_Quote</v>
      </c>
      <c r="G55" s="137"/>
      <c r="H55" s="70" t="str">
        <f>_xll.qlOISRateHelper(,C55,B55,F55,$E55,,Permanent,Trigger,ObjectOverwrite)</f>
        <v>obj_0030d#0075</v>
      </c>
      <c r="J55" s="11" t="str">
        <f t="shared" si="8"/>
        <v>OIS</v>
      </c>
      <c r="K55" s="106" t="str">
        <f t="shared" si="3"/>
        <v>obj_00302#0078</v>
      </c>
      <c r="L55" s="109" t="str">
        <f>IFERROR(_xll.qlRateHelperQuoteName(K55,Trigger),"--")</f>
        <v>USDOIS30Y_Quote</v>
      </c>
      <c r="M55" s="110">
        <f>IFERROR(_xll.qlRateHelperQuoteValue($K55,Trigger),"--")</f>
        <v>1.7989999999999999E-2</v>
      </c>
      <c r="N55" s="109" t="b">
        <v>1</v>
      </c>
      <c r="O55" s="106">
        <v>50</v>
      </c>
      <c r="P55" s="106">
        <v>1</v>
      </c>
      <c r="Q55" s="111">
        <f>IFERROR(_xll.qlRateHelperEarliestDate(K55,Trigger),"--")</f>
        <v>42436</v>
      </c>
      <c r="R55" s="111">
        <f>IFERROR(_xll.qlRateHelperPillarDate(K55,Trigger),"--")</f>
        <v>53393</v>
      </c>
      <c r="T55" s="4" t="str">
        <f t="shared" si="11"/>
        <v/>
      </c>
      <c r="U55" s="4" t="e">
        <v>#N/A</v>
      </c>
      <c r="V55" s="4" t="str">
        <f>IFERROR(_xll.qlRateHelperQuoteName(U55,Trigger),"")</f>
        <v/>
      </c>
      <c r="W55" s="76" t="str">
        <f>IFERROR(_xll.qlRateHelperRate(U55,Trigger),"")</f>
        <v/>
      </c>
      <c r="X55" s="116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5" t="e">
        <v>#N/A</v>
      </c>
      <c r="AG55" s="198"/>
      <c r="AJ55" s="198"/>
      <c r="AK55" s="198"/>
      <c r="AL55" s="198"/>
      <c r="AM55" s="198"/>
      <c r="AN55" s="198"/>
      <c r="AO55" s="198"/>
      <c r="AV55" s="198"/>
      <c r="AW55" s="198"/>
      <c r="AZ55" s="194"/>
      <c r="BA55" s="194"/>
      <c r="BB55" s="194"/>
      <c r="BC55" s="194"/>
      <c r="BD55" s="194"/>
      <c r="BE55" s="194"/>
      <c r="BF55" s="194"/>
      <c r="BG55" s="194"/>
      <c r="BH55" s="194"/>
      <c r="BI55" s="194"/>
      <c r="BJ55" s="194"/>
      <c r="BK55" s="194"/>
      <c r="BL55" s="194"/>
      <c r="BM55" s="194"/>
      <c r="BN55" s="194"/>
    </row>
    <row r="56" spans="1:66" ht="11.25" customHeight="1" x14ac:dyDescent="0.2">
      <c r="A56" s="64" t="s">
        <v>100</v>
      </c>
      <c r="B56" s="65" t="s">
        <v>94</v>
      </c>
      <c r="C56" s="66">
        <f t="shared" si="7"/>
        <v>2</v>
      </c>
      <c r="D56" s="137"/>
      <c r="E56" s="67" t="str">
        <f t="shared" si="9"/>
        <v>USDFedFunds</v>
      </c>
      <c r="F56" s="69" t="str">
        <f t="shared" si="10"/>
        <v>USDOIS27Y_Quote</v>
      </c>
      <c r="G56" s="137"/>
      <c r="H56" s="70"/>
      <c r="J56" s="11" t="str">
        <f t="shared" ref="J56:J57" si="12">A58</f>
        <v>OIS</v>
      </c>
      <c r="K56" s="106" t="str">
        <f t="shared" ref="K56:K57" si="13">IF(ISBLANK(H58),"--",H58)</f>
        <v>--</v>
      </c>
      <c r="L56" s="109" t="str">
        <f>IFERROR(_xll.qlRateHelperQuoteName(K56,Trigger),"--")</f>
        <v>--</v>
      </c>
      <c r="M56" s="110" t="str">
        <f>IFERROR(_xll.qlRateHelperQuoteValue($K56,Trigger),"--")</f>
        <v>--</v>
      </c>
      <c r="N56" s="109" t="b">
        <v>0</v>
      </c>
      <c r="O56" s="106">
        <v>50</v>
      </c>
      <c r="P56" s="106">
        <v>1</v>
      </c>
      <c r="Q56" s="111" t="str">
        <f>IFERROR(_xll.qlRateHelperEarliestDate(K56,Trigger),"--")</f>
        <v>--</v>
      </c>
      <c r="R56" s="111" t="str">
        <f>IFERROR(_xll.qlRateHelperPillarDate(K56,Trigger),"--")</f>
        <v>--</v>
      </c>
      <c r="T56" s="4" t="str">
        <f t="shared" si="11"/>
        <v/>
      </c>
      <c r="U56" s="4" t="e">
        <v>#N/A</v>
      </c>
      <c r="V56" s="4" t="str">
        <f>IFERROR(_xll.qlRateHelperQuoteName(U56,Trigger),"")</f>
        <v/>
      </c>
      <c r="W56" s="76" t="str">
        <f>IFERROR(_xll.qlRateHelperRate(U56,Trigger),"")</f>
        <v/>
      </c>
      <c r="X56" s="116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5" t="e">
        <v>#N/A</v>
      </c>
      <c r="AC56" s="199"/>
      <c r="AD56" s="200"/>
      <c r="AG56" s="204"/>
      <c r="AJ56" s="204"/>
      <c r="AM56" s="201"/>
      <c r="AN56" s="203"/>
      <c r="AO56" s="204"/>
      <c r="AV56" s="204"/>
      <c r="AW56" s="202"/>
      <c r="AX56" s="194"/>
      <c r="AY56" s="194"/>
      <c r="AZ56" s="194"/>
      <c r="BA56" s="194"/>
      <c r="BB56" s="194"/>
      <c r="BC56" s="194"/>
      <c r="BD56" s="194"/>
      <c r="BE56" s="194"/>
      <c r="BF56" s="194"/>
      <c r="BG56" s="194"/>
      <c r="BH56" s="194"/>
      <c r="BI56" s="194"/>
      <c r="BJ56" s="194"/>
      <c r="BK56" s="194"/>
      <c r="BL56" s="194"/>
      <c r="BM56" s="194"/>
      <c r="BN56" s="194"/>
    </row>
    <row r="57" spans="1:66" ht="11.25" customHeight="1" x14ac:dyDescent="0.2">
      <c r="A57" s="64" t="s">
        <v>100</v>
      </c>
      <c r="B57" s="65" t="s">
        <v>95</v>
      </c>
      <c r="C57" s="66">
        <f t="shared" si="7"/>
        <v>2</v>
      </c>
      <c r="D57" s="137"/>
      <c r="E57" s="67" t="str">
        <f t="shared" si="9"/>
        <v>USDFedFunds</v>
      </c>
      <c r="F57" s="69" t="str">
        <f t="shared" si="10"/>
        <v>USDOIS30Y_Quote</v>
      </c>
      <c r="G57" s="137"/>
      <c r="H57" s="70" t="str">
        <f>_xll.qlOISRateHelper(,C57,B57,F57,$E57,,Permanent,Trigger,ObjectOverwrite)</f>
        <v>obj_00302#0078</v>
      </c>
      <c r="J57" s="11" t="str">
        <f t="shared" si="12"/>
        <v>OIS</v>
      </c>
      <c r="K57" s="106" t="str">
        <f t="shared" si="13"/>
        <v>obj_00306#0078</v>
      </c>
      <c r="L57" s="109" t="str">
        <f>IFERROR(_xll.qlRateHelperQuoteName(K57,Trigger),"--")</f>
        <v>USDOIS40Y_Quote</v>
      </c>
      <c r="M57" s="110">
        <f>IFERROR(_xll.qlRateHelperQuoteValue($K57,Trigger),"--")</f>
        <v>1.8079999999999999E-2</v>
      </c>
      <c r="N57" s="109" t="b">
        <v>1</v>
      </c>
      <c r="O57" s="106">
        <v>50</v>
      </c>
      <c r="P57" s="106">
        <v>1</v>
      </c>
      <c r="Q57" s="111">
        <f>IFERROR(_xll.qlRateHelperEarliestDate(K57,Trigger),"--")</f>
        <v>42436</v>
      </c>
      <c r="R57" s="111">
        <f>IFERROR(_xll.qlRateHelperPillarDate(K57,Trigger),"--")</f>
        <v>57046</v>
      </c>
      <c r="T57" s="4" t="str">
        <f t="shared" si="11"/>
        <v/>
      </c>
      <c r="U57" s="4" t="e">
        <v>#N/A</v>
      </c>
      <c r="V57" s="4" t="str">
        <f>IFERROR(_xll.qlRateHelperQuoteName(U57,Trigger),"")</f>
        <v/>
      </c>
      <c r="W57" s="76" t="str">
        <f>IFERROR(_xll.qlRateHelperRate(U57,Trigger),"")</f>
        <v/>
      </c>
      <c r="X57" s="116" t="str">
        <f>IF(ISERROR(_xll.qlSwapRateHelperSpread($U57)),IF(ISERROR(_xll.qlFuturesRateHelperConvexityAdjustment($U57)),"",_xll.qlFuturesRateHelperConvexityAdjustment($U57)),_xll.qlSwapRateHelperSpread($U57))</f>
        <v/>
      </c>
      <c r="Y57" s="5" t="str">
        <f>IFERROR(_xll.qlRateHelperEarliestDate(U57,Trigger),"")</f>
        <v/>
      </c>
      <c r="Z57" s="5" t="str">
        <f>IFERROR(_xll.qlRateHelperPillarDate(U57,Trigger),"")</f>
        <v/>
      </c>
      <c r="AA57" s="5" t="e">
        <v>#N/A</v>
      </c>
      <c r="AC57" s="199"/>
      <c r="AD57" s="200"/>
      <c r="AE57" s="200"/>
      <c r="AF57" s="217"/>
      <c r="AG57" s="204"/>
      <c r="AH57" s="205"/>
      <c r="AI57" s="220"/>
      <c r="AJ57" s="204"/>
      <c r="AK57" s="220"/>
      <c r="AL57" s="220"/>
      <c r="AM57" s="201"/>
      <c r="AN57" s="203"/>
      <c r="AO57" s="204"/>
      <c r="AV57" s="204"/>
      <c r="AW57" s="202"/>
      <c r="AX57" s="194"/>
      <c r="AY57" s="194"/>
      <c r="AZ57" s="194"/>
      <c r="BA57" s="194"/>
      <c r="BB57" s="194"/>
      <c r="BC57" s="194"/>
      <c r="BD57" s="194"/>
      <c r="BE57" s="194"/>
      <c r="BF57" s="194"/>
      <c r="BG57" s="194"/>
      <c r="BH57" s="194"/>
      <c r="BI57" s="194"/>
      <c r="BJ57" s="194"/>
      <c r="BK57" s="194"/>
      <c r="BL57" s="194"/>
      <c r="BM57" s="194"/>
      <c r="BN57" s="194"/>
    </row>
    <row r="58" spans="1:66" ht="11.25" customHeight="1" x14ac:dyDescent="0.2">
      <c r="A58" s="64" t="s">
        <v>100</v>
      </c>
      <c r="B58" s="65" t="s">
        <v>96</v>
      </c>
      <c r="C58" s="66">
        <f t="shared" si="7"/>
        <v>2</v>
      </c>
      <c r="D58" s="137"/>
      <c r="E58" s="67" t="str">
        <f t="shared" si="9"/>
        <v>USDFedFunds</v>
      </c>
      <c r="F58" s="69" t="str">
        <f t="shared" si="10"/>
        <v>USDOIS35Y_Quote</v>
      </c>
      <c r="G58" s="137"/>
      <c r="H58" s="70"/>
      <c r="J58" s="11" t="str">
        <f t="shared" ref="J58:J59" si="14">A60</f>
        <v>OIS</v>
      </c>
      <c r="K58" s="106" t="str">
        <f t="shared" ref="K58:K59" si="15">IF(ISBLANK(H60),"--",H60)</f>
        <v>--</v>
      </c>
      <c r="L58" s="109" t="str">
        <f>IFERROR(_xll.qlRateHelperQuoteName(K58,Trigger),"--")</f>
        <v>--</v>
      </c>
      <c r="M58" s="110" t="str">
        <f>IFERROR(_xll.qlRateHelperQuoteValue($K58,Trigger),"--")</f>
        <v>--</v>
      </c>
      <c r="N58" s="109" t="b">
        <v>0</v>
      </c>
      <c r="O58" s="106">
        <v>50</v>
      </c>
      <c r="P58" s="106">
        <v>1</v>
      </c>
      <c r="Q58" s="111" t="str">
        <f>IFERROR(_xll.qlRateHelperEarliestDate(K58,Trigger),"--")</f>
        <v>--</v>
      </c>
      <c r="R58" s="111" t="str">
        <f>IFERROR(_xll.qlRateHelperPillarDate(K58,Trigger),"--")</f>
        <v>--</v>
      </c>
      <c r="T58" s="4" t="str">
        <f t="shared" si="11"/>
        <v/>
      </c>
      <c r="U58" s="4" t="e">
        <v>#N/A</v>
      </c>
      <c r="V58" s="4" t="str">
        <f>IFERROR(_xll.qlRateHelperQuoteName(U58,Trigger),"")</f>
        <v/>
      </c>
      <c r="W58" s="76" t="str">
        <f>IFERROR(_xll.qlRateHelperRate(U58,Trigger),"")</f>
        <v/>
      </c>
      <c r="X58" s="116" t="str">
        <f>IF(ISERROR(_xll.qlSwapRateHelperSpread($U58)),IF(ISERROR(_xll.qlFuturesRateHelperConvexityAdjustment($U58)),"",_xll.qlFuturesRateHelperConvexityAdjustment($U58)),_xll.qlSwapRateHelperSpread($U58))</f>
        <v/>
      </c>
      <c r="Y58" s="5" t="str">
        <f>IFERROR(_xll.qlRateHelperEarliestDate(U58,Trigger),"")</f>
        <v/>
      </c>
      <c r="Z58" s="5" t="str">
        <f>IFERROR(_xll.qlRateHelperPillarDate(U58,Trigger),"")</f>
        <v/>
      </c>
      <c r="AA58" s="5" t="e">
        <v>#N/A</v>
      </c>
      <c r="AC58" s="199"/>
      <c r="AD58" s="200"/>
      <c r="AE58" s="200"/>
      <c r="AF58" s="217"/>
      <c r="AG58" s="204"/>
      <c r="AH58" s="205"/>
      <c r="AI58" s="204"/>
      <c r="AJ58" s="204"/>
      <c r="AK58" s="204"/>
      <c r="AL58" s="204"/>
      <c r="AM58" s="201"/>
      <c r="AN58" s="203"/>
      <c r="AO58" s="204"/>
      <c r="AV58" s="204"/>
      <c r="AW58" s="202"/>
      <c r="AX58" s="194"/>
      <c r="AY58" s="194"/>
      <c r="AZ58" s="194"/>
      <c r="BA58" s="194"/>
      <c r="BB58" s="194"/>
      <c r="BC58" s="194"/>
      <c r="BD58" s="194"/>
      <c r="BE58" s="194"/>
      <c r="BF58" s="194"/>
      <c r="BG58" s="194"/>
      <c r="BH58" s="194"/>
      <c r="BI58" s="194"/>
      <c r="BJ58" s="194"/>
      <c r="BK58" s="194"/>
      <c r="BL58" s="194"/>
      <c r="BM58" s="194"/>
      <c r="BN58" s="194"/>
    </row>
    <row r="59" spans="1:66" ht="11.25" customHeight="1" x14ac:dyDescent="0.2">
      <c r="A59" s="64" t="s">
        <v>100</v>
      </c>
      <c r="B59" s="65" t="s">
        <v>97</v>
      </c>
      <c r="C59" s="66">
        <f t="shared" si="7"/>
        <v>2</v>
      </c>
      <c r="D59" s="137"/>
      <c r="E59" s="67" t="str">
        <f t="shared" si="9"/>
        <v>USDFedFunds</v>
      </c>
      <c r="F59" s="69" t="str">
        <f t="shared" si="10"/>
        <v>USDOIS40Y_Quote</v>
      </c>
      <c r="G59" s="137"/>
      <c r="H59" s="70" t="str">
        <f>_xll.qlOISRateHelper(,C59,B59,F59,$E59,,Permanent,Trigger,ObjectOverwrite)</f>
        <v>obj_00306#0078</v>
      </c>
      <c r="J59" s="11" t="str">
        <f t="shared" si="14"/>
        <v>OIS</v>
      </c>
      <c r="K59" s="106" t="str">
        <f t="shared" si="15"/>
        <v>obj_00301#0078</v>
      </c>
      <c r="L59" s="109" t="str">
        <f>IFERROR(_xll.qlRateHelperQuoteName(K59,Trigger),"--")</f>
        <v>USDOIS50Y_Quote</v>
      </c>
      <c r="M59" s="110">
        <f>IFERROR(_xll.qlRateHelperQuoteValue($K59,Trigger),"--")</f>
        <v>1.7950000000000001E-2</v>
      </c>
      <c r="N59" s="109" t="b">
        <v>1</v>
      </c>
      <c r="O59" s="106">
        <v>50</v>
      </c>
      <c r="P59" s="106">
        <v>1</v>
      </c>
      <c r="Q59" s="111">
        <f>IFERROR(_xll.qlRateHelperEarliestDate(K59,Trigger),"--")</f>
        <v>42436</v>
      </c>
      <c r="R59" s="111">
        <f>IFERROR(_xll.qlRateHelperPillarDate(K59,Trigger),"--")</f>
        <v>60699</v>
      </c>
      <c r="T59" s="4" t="str">
        <f t="shared" si="11"/>
        <v/>
      </c>
      <c r="U59" s="4" t="e">
        <v>#N/A</v>
      </c>
      <c r="V59" s="4" t="str">
        <f>IFERROR(_xll.qlRateHelperQuoteName(U59,Trigger),"")</f>
        <v/>
      </c>
      <c r="W59" s="76" t="str">
        <f>IFERROR(_xll.qlRateHelperRate(U59,Trigger),"")</f>
        <v/>
      </c>
      <c r="X59" s="116" t="str">
        <f>IF(ISERROR(_xll.qlSwapRateHelperSpread($U59)),IF(ISERROR(_xll.qlFuturesRateHelperConvexityAdjustment($U59)),"",_xll.qlFuturesRateHelperConvexityAdjustment($U59)),_xll.qlSwapRateHelperSpread($U59))</f>
        <v/>
      </c>
      <c r="Y59" s="5" t="str">
        <f>IFERROR(_xll.qlRateHelperEarliestDate(U59,Trigger),"")</f>
        <v/>
      </c>
      <c r="Z59" s="5" t="str">
        <f>IFERROR(_xll.qlRateHelperPillarDate(U59,Trigger),"")</f>
        <v/>
      </c>
      <c r="AA59" s="5" t="e">
        <v>#N/A</v>
      </c>
      <c r="AG59" s="204"/>
      <c r="AH59" s="205"/>
      <c r="AI59" s="204"/>
      <c r="AJ59" s="204"/>
      <c r="AK59" s="204"/>
      <c r="AL59" s="204"/>
      <c r="AM59" s="201"/>
      <c r="AN59" s="203"/>
      <c r="AO59" s="204"/>
      <c r="AV59" s="204"/>
      <c r="AW59" s="202"/>
      <c r="AX59" s="194"/>
      <c r="AY59" s="194"/>
      <c r="AZ59" s="194"/>
      <c r="BA59" s="194"/>
      <c r="BB59" s="194"/>
      <c r="BC59" s="194"/>
      <c r="BD59" s="194"/>
      <c r="BE59" s="194"/>
      <c r="BF59" s="194"/>
      <c r="BG59" s="194"/>
      <c r="BH59" s="194"/>
      <c r="BI59" s="194"/>
      <c r="BJ59" s="194"/>
      <c r="BK59" s="194"/>
      <c r="BL59" s="194"/>
      <c r="BM59" s="194"/>
      <c r="BN59" s="194"/>
    </row>
    <row r="60" spans="1:66" ht="11.25" customHeight="1" x14ac:dyDescent="0.2">
      <c r="A60" s="64" t="s">
        <v>100</v>
      </c>
      <c r="B60" s="65" t="s">
        <v>98</v>
      </c>
      <c r="C60" s="66">
        <f t="shared" si="7"/>
        <v>2</v>
      </c>
      <c r="D60" s="137"/>
      <c r="E60" s="67" t="str">
        <f t="shared" si="9"/>
        <v>USDFedFunds</v>
      </c>
      <c r="F60" s="69" t="str">
        <f t="shared" si="10"/>
        <v>USDOIS45Y_Quote</v>
      </c>
      <c r="G60" s="137"/>
      <c r="H60" s="70"/>
      <c r="J60" s="74" t="str">
        <f>A64</f>
        <v>BasOIS</v>
      </c>
      <c r="K60" s="145" t="str">
        <f>IF(ISBLANK(H64),"--",H64)</f>
        <v>--</v>
      </c>
      <c r="L60" s="146" t="str">
        <f>IFERROR(_xll.qlRateHelperQuoteName(K60,Trigger),"--")</f>
        <v>--</v>
      </c>
      <c r="M60" s="147" t="str">
        <f>IFERROR(_xll.qlRateHelperQuoteValue($K60,Trigger),"--")</f>
        <v>--</v>
      </c>
      <c r="N60" s="146" t="b">
        <v>0</v>
      </c>
      <c r="O60" s="145">
        <v>60</v>
      </c>
      <c r="P60" s="145">
        <v>1</v>
      </c>
      <c r="Q60" s="148" t="str">
        <f>IFERROR(_xll.qlRateHelperEarliestDate(K60,Trigger),"--")</f>
        <v>--</v>
      </c>
      <c r="R60" s="148" t="str">
        <f>IFERROR(_xll.qlRateHelperPillarDate(K60,Trigger),"--")</f>
        <v>--</v>
      </c>
      <c r="T60" s="4" t="str">
        <f t="shared" si="11"/>
        <v/>
      </c>
      <c r="U60" s="4" t="e">
        <v>#N/A</v>
      </c>
      <c r="V60" s="4" t="str">
        <f>IFERROR(_xll.qlRateHelperQuoteName(U60,Trigger),"")</f>
        <v/>
      </c>
      <c r="W60" s="76" t="str">
        <f>IFERROR(_xll.qlRateHelperRate(U60,Trigger),"")</f>
        <v/>
      </c>
      <c r="X60" s="116" t="str">
        <f>IF(ISERROR(_xll.qlSwapRateHelperSpread($U60)),IF(ISERROR(_xll.qlFuturesRateHelperConvexityAdjustment($U60)),"",_xll.qlFuturesRateHelperConvexityAdjustment($U60)),_xll.qlSwapRateHelperSpread($U60))</f>
        <v/>
      </c>
      <c r="Y60" s="5" t="str">
        <f>IFERROR(_xll.qlRateHelperEarliestDate(U60,Trigger),"")</f>
        <v/>
      </c>
      <c r="Z60" s="5" t="str">
        <f>IFERROR(_xll.qlRateHelperPillarDate(U60,Trigger),"")</f>
        <v/>
      </c>
      <c r="AA60" s="5" t="e">
        <v>#N/A</v>
      </c>
      <c r="AG60" s="204"/>
      <c r="AH60" s="221"/>
      <c r="AI60" s="196"/>
      <c r="AJ60" s="204"/>
      <c r="AK60" s="204"/>
      <c r="AL60" s="204"/>
      <c r="AM60" s="201"/>
      <c r="AN60" s="203"/>
      <c r="AO60" s="204"/>
      <c r="AV60" s="204"/>
      <c r="AW60" s="202"/>
      <c r="AX60" s="194"/>
      <c r="AY60" s="194"/>
      <c r="AZ60" s="194"/>
      <c r="BA60" s="194"/>
      <c r="BB60" s="194"/>
      <c r="BC60" s="194"/>
      <c r="BD60" s="194"/>
      <c r="BE60" s="194"/>
      <c r="BF60" s="194"/>
      <c r="BG60" s="194"/>
      <c r="BH60" s="194"/>
      <c r="BI60" s="194"/>
      <c r="BJ60" s="194"/>
      <c r="BK60" s="194"/>
      <c r="BL60" s="194"/>
      <c r="BM60" s="194"/>
      <c r="BN60" s="194"/>
    </row>
    <row r="61" spans="1:66" ht="11.25" customHeight="1" x14ac:dyDescent="0.2">
      <c r="A61" s="1" t="s">
        <v>100</v>
      </c>
      <c r="B61" s="9" t="s">
        <v>99</v>
      </c>
      <c r="C61" s="7">
        <f t="shared" si="7"/>
        <v>2</v>
      </c>
      <c r="D61" s="138"/>
      <c r="E61" s="8" t="str">
        <f t="shared" si="9"/>
        <v>USDFedFunds</v>
      </c>
      <c r="F61" s="2" t="str">
        <f t="shared" si="10"/>
        <v>USDOIS50Y_Quote</v>
      </c>
      <c r="G61" s="138"/>
      <c r="H61" s="3" t="str">
        <f>_xll.qlOISRateHelper(,C61,B61,F61,$E61,,Permanent,Trigger,ObjectOverwrite)</f>
        <v>obj_00301#0078</v>
      </c>
      <c r="J61" s="11" t="str">
        <f t="shared" ref="J61:J113" si="16">A65</f>
        <v>BasOIS</v>
      </c>
      <c r="K61" s="106" t="str">
        <f t="shared" ref="K61:K113" si="17">IF(ISBLANK(H65),"--",H65)</f>
        <v>--</v>
      </c>
      <c r="L61" s="109" t="str">
        <f>IFERROR(_xll.qlRateHelperQuoteName(K61,Trigger),"--")</f>
        <v>--</v>
      </c>
      <c r="M61" s="110" t="str">
        <f>IFERROR(_xll.qlRateHelperQuoteValue($K61,Trigger),"--")</f>
        <v>--</v>
      </c>
      <c r="N61" s="109" t="b">
        <v>0</v>
      </c>
      <c r="O61" s="106">
        <v>60</v>
      </c>
      <c r="P61" s="106">
        <v>1</v>
      </c>
      <c r="Q61" s="111" t="str">
        <f>IFERROR(_xll.qlRateHelperEarliestDate(K61,Trigger),"--")</f>
        <v>--</v>
      </c>
      <c r="R61" s="111" t="str">
        <f>IFERROR(_xll.qlRateHelperPillarDate(K61,Trigger),"--")</f>
        <v>--</v>
      </c>
      <c r="T61" s="4" t="str">
        <f t="shared" si="11"/>
        <v/>
      </c>
      <c r="U61" s="4" t="e">
        <v>#N/A</v>
      </c>
      <c r="V61" s="4" t="str">
        <f>IFERROR(_xll.qlRateHelperQuoteName(U61,Trigger),"")</f>
        <v/>
      </c>
      <c r="W61" s="76" t="str">
        <f>IFERROR(_xll.qlRateHelperRate(U61,Trigger),"")</f>
        <v/>
      </c>
      <c r="X61" s="116" t="str">
        <f>IF(ISERROR(_xll.qlSwapRateHelperSpread($U61)),IF(ISERROR(_xll.qlFuturesRateHelperConvexityAdjustment($U61)),"",_xll.qlFuturesRateHelperConvexityAdjustment($U61)),_xll.qlSwapRateHelperSpread($U61))</f>
        <v/>
      </c>
      <c r="Y61" s="5" t="str">
        <f>IFERROR(_xll.qlRateHelperEarliestDate(U61,Trigger),"")</f>
        <v/>
      </c>
      <c r="Z61" s="5" t="str">
        <f>IFERROR(_xll.qlRateHelperPillarDate(U61,Trigger),"")</f>
        <v/>
      </c>
      <c r="AA61" s="5" t="e">
        <v>#N/A</v>
      </c>
      <c r="AG61" s="204"/>
      <c r="AH61" s="221"/>
      <c r="AI61" s="196"/>
      <c r="AJ61" s="204"/>
      <c r="AK61" s="204"/>
      <c r="AL61" s="204"/>
      <c r="AM61" s="201"/>
      <c r="AN61" s="203"/>
      <c r="AO61" s="204"/>
      <c r="AV61" s="204"/>
      <c r="AW61" s="202"/>
      <c r="AX61" s="194"/>
      <c r="AY61" s="194"/>
      <c r="AZ61" s="194"/>
      <c r="BA61" s="194"/>
      <c r="BB61" s="194"/>
      <c r="BC61" s="194"/>
      <c r="BD61" s="194"/>
      <c r="BE61" s="194"/>
      <c r="BF61" s="194"/>
      <c r="BG61" s="194"/>
      <c r="BH61" s="194"/>
      <c r="BI61" s="194"/>
      <c r="BJ61" s="194"/>
      <c r="BK61" s="194"/>
      <c r="BL61" s="194"/>
      <c r="BM61" s="194"/>
      <c r="BN61" s="194"/>
    </row>
    <row r="62" spans="1:66" ht="11.25" customHeight="1" x14ac:dyDescent="0.2">
      <c r="E62" s="57" t="s">
        <v>165</v>
      </c>
      <c r="F62" s="51" t="s">
        <v>150</v>
      </c>
      <c r="G62" s="218">
        <f>_xll.qlQuoteValue(MeanReversion,Trigger)</f>
        <v>0.03</v>
      </c>
      <c r="H62" s="206">
        <f>_xll.qlQuoteValue(Volatility,Trigger)</f>
        <v>7.4841230000000005E-3</v>
      </c>
      <c r="J62" s="11" t="str">
        <f t="shared" si="16"/>
        <v>BasOIS</v>
      </c>
      <c r="K62" s="106" t="str">
        <f t="shared" si="17"/>
        <v>--</v>
      </c>
      <c r="L62" s="109" t="str">
        <f>IFERROR(_xll.qlRateHelperQuoteName(K62,Trigger),"--")</f>
        <v>--</v>
      </c>
      <c r="M62" s="110" t="str">
        <f>IFERROR(_xll.qlRateHelperQuoteValue($K62,Trigger),"--")</f>
        <v>--</v>
      </c>
      <c r="N62" s="109" t="b">
        <v>0</v>
      </c>
      <c r="O62" s="106">
        <v>60</v>
      </c>
      <c r="P62" s="106">
        <v>1</v>
      </c>
      <c r="Q62" s="111" t="str">
        <f>IFERROR(_xll.qlRateHelperEarliestDate(K62,Trigger),"--")</f>
        <v>--</v>
      </c>
      <c r="R62" s="111" t="str">
        <f>IFERROR(_xll.qlRateHelperPillarDate(K62,Trigger),"--")</f>
        <v>--</v>
      </c>
      <c r="T62" s="4" t="str">
        <f t="shared" si="11"/>
        <v/>
      </c>
      <c r="U62" s="4" t="e">
        <v>#N/A</v>
      </c>
      <c r="V62" s="4" t="str">
        <f>IFERROR(_xll.qlRateHelperQuoteName(U62,Trigger),"")</f>
        <v/>
      </c>
      <c r="W62" s="76" t="str">
        <f>IFERROR(_xll.qlRateHelperRate(U62,Trigger),"")</f>
        <v/>
      </c>
      <c r="X62" s="116" t="str">
        <f>IF(ISERROR(_xll.qlSwapRateHelperSpread($U62)),IF(ISERROR(_xll.qlFuturesRateHelperConvexityAdjustment($U62)),"",_xll.qlFuturesRateHelperConvexityAdjustment($U62)),_xll.qlSwapRateHelperSpread($U62))</f>
        <v/>
      </c>
      <c r="Y62" s="5" t="str">
        <f>IFERROR(_xll.qlRateHelperEarliestDate(U62,Trigger),"")</f>
        <v/>
      </c>
      <c r="Z62" s="5" t="str">
        <f>IFERROR(_xll.qlRateHelperPillarDate(U62,Trigger),"")</f>
        <v/>
      </c>
      <c r="AA62" s="5" t="e">
        <v>#N/A</v>
      </c>
      <c r="AG62" s="199"/>
      <c r="AH62" s="199"/>
      <c r="AI62" s="201"/>
      <c r="AJ62" s="202"/>
      <c r="AK62" s="201"/>
      <c r="AL62" s="199"/>
      <c r="AM62" s="201"/>
      <c r="AN62" s="203"/>
      <c r="AO62" s="204"/>
      <c r="AP62" s="204"/>
      <c r="AQ62" s="205"/>
      <c r="AR62" s="204"/>
      <c r="AS62" s="204"/>
      <c r="AT62" s="204"/>
      <c r="AU62" s="204"/>
      <c r="AV62" s="204"/>
      <c r="AW62" s="202"/>
      <c r="AX62" s="194"/>
      <c r="AY62" s="194"/>
      <c r="AZ62" s="194"/>
      <c r="BA62" s="194"/>
      <c r="BB62" s="194"/>
      <c r="BC62" s="194"/>
      <c r="BD62" s="194"/>
      <c r="BE62" s="194"/>
      <c r="BF62" s="194"/>
      <c r="BG62" s="194"/>
      <c r="BH62" s="194"/>
      <c r="BI62" s="194"/>
      <c r="BJ62" s="194"/>
      <c r="BK62" s="194"/>
      <c r="BL62" s="194"/>
      <c r="BM62" s="194"/>
      <c r="BN62" s="194"/>
    </row>
    <row r="63" spans="1:66" ht="11.25" customHeight="1" x14ac:dyDescent="0.2">
      <c r="A63" s="71" t="s">
        <v>9</v>
      </c>
      <c r="B63" s="71" t="s">
        <v>30</v>
      </c>
      <c r="C63" s="71" t="s">
        <v>111</v>
      </c>
      <c r="D63" s="71" t="s">
        <v>5</v>
      </c>
      <c r="E63" s="71" t="s">
        <v>4</v>
      </c>
      <c r="F63" s="71" t="s">
        <v>1</v>
      </c>
      <c r="G63" s="71" t="s">
        <v>148</v>
      </c>
      <c r="H63" s="71" t="s">
        <v>25</v>
      </c>
      <c r="J63" s="11" t="str">
        <f t="shared" si="16"/>
        <v>BasOIS</v>
      </c>
      <c r="K63" s="106" t="str">
        <f t="shared" si="17"/>
        <v>--</v>
      </c>
      <c r="L63" s="109" t="str">
        <f>IFERROR(_xll.qlRateHelperQuoteName(K63,Trigger),"--")</f>
        <v>--</v>
      </c>
      <c r="M63" s="110" t="str">
        <f>IFERROR(_xll.qlRateHelperQuoteValue($K63,Trigger),"--")</f>
        <v>--</v>
      </c>
      <c r="N63" s="109" t="b">
        <v>0</v>
      </c>
      <c r="O63" s="106">
        <v>60</v>
      </c>
      <c r="P63" s="106">
        <v>1</v>
      </c>
      <c r="Q63" s="111" t="str">
        <f>IFERROR(_xll.qlRateHelperEarliestDate(K63,Trigger),"--")</f>
        <v>--</v>
      </c>
      <c r="R63" s="111" t="str">
        <f>IFERROR(_xll.qlRateHelperPillarDate(K63,Trigger),"--")</f>
        <v>--</v>
      </c>
      <c r="T63" s="4" t="str">
        <f t="shared" si="11"/>
        <v/>
      </c>
      <c r="U63" s="4" t="e">
        <v>#N/A</v>
      </c>
      <c r="V63" s="4" t="str">
        <f>IFERROR(_xll.qlRateHelperQuoteName(U63,Trigger),"")</f>
        <v/>
      </c>
      <c r="W63" s="76" t="str">
        <f>IFERROR(_xll.qlRateHelperRate(U63,Trigger),"")</f>
        <v/>
      </c>
      <c r="X63" s="116" t="str">
        <f>IF(ISERROR(_xll.qlSwapRateHelperSpread($U63)),IF(ISERROR(_xll.qlFuturesRateHelperConvexityAdjustment($U63)),"",_xll.qlFuturesRateHelperConvexityAdjustment($U63)),_xll.qlSwapRateHelperSpread($U63))</f>
        <v/>
      </c>
      <c r="Y63" s="5" t="str">
        <f>IFERROR(_xll.qlRateHelperEarliestDate(U63,Trigger),"")</f>
        <v/>
      </c>
      <c r="Z63" s="5" t="str">
        <f>IFERROR(_xll.qlRateHelperPillarDate(U63,Trigger),"")</f>
        <v/>
      </c>
      <c r="AA63" s="5" t="e">
        <v>#N/A</v>
      </c>
      <c r="AC63" s="199"/>
      <c r="AD63" s="200"/>
      <c r="AE63" s="200"/>
      <c r="AF63" s="217"/>
      <c r="AG63" s="199"/>
      <c r="AH63" s="199"/>
      <c r="AI63" s="201"/>
      <c r="AJ63" s="202"/>
      <c r="AK63" s="201"/>
      <c r="AL63" s="199"/>
      <c r="AM63" s="201"/>
      <c r="AN63" s="203"/>
      <c r="AO63" s="204"/>
      <c r="AP63" s="204"/>
      <c r="AQ63" s="205"/>
      <c r="AR63" s="204"/>
      <c r="AS63" s="204"/>
      <c r="AT63" s="204"/>
      <c r="AU63" s="204"/>
      <c r="AV63" s="204"/>
      <c r="AW63" s="202"/>
      <c r="AX63" s="194"/>
      <c r="AY63" s="194"/>
      <c r="AZ63" s="194"/>
      <c r="BA63" s="194"/>
      <c r="BB63" s="194"/>
      <c r="BC63" s="194"/>
      <c r="BD63" s="194"/>
      <c r="BE63" s="194"/>
      <c r="BF63" s="194"/>
      <c r="BG63" s="194"/>
      <c r="BH63" s="194"/>
      <c r="BI63" s="194"/>
      <c r="BJ63" s="194"/>
      <c r="BK63" s="194"/>
      <c r="BL63" s="194"/>
      <c r="BM63" s="194"/>
      <c r="BN63" s="194"/>
    </row>
    <row r="64" spans="1:66" ht="11.25" customHeight="1" x14ac:dyDescent="0.2">
      <c r="A64" s="58" t="s">
        <v>164</v>
      </c>
      <c r="B64" s="59" t="s">
        <v>50</v>
      </c>
      <c r="C64" s="60">
        <v>2</v>
      </c>
      <c r="D64" s="66" t="s">
        <v>166</v>
      </c>
      <c r="E64" s="67" t="s">
        <v>163</v>
      </c>
      <c r="F64" s="62" t="str">
        <f t="shared" ref="F64:F95" si="18">Currency&amp;"AM"&amp;$F$62&amp;B64&amp;QuoteSuffix</f>
        <v>USDAM3L1W_Quote</v>
      </c>
      <c r="G64" s="62" t="str">
        <f t="shared" ref="G64:G95" si="19">Currency&amp;$E$62&amp;$F$62&amp;B64&amp;QuoteSuffix</f>
        <v>USDFF3L1W_Quote</v>
      </c>
      <c r="H64" s="63"/>
      <c r="J64" s="11" t="str">
        <f t="shared" si="16"/>
        <v>BasOIS</v>
      </c>
      <c r="K64" s="106" t="str">
        <f t="shared" si="17"/>
        <v>--</v>
      </c>
      <c r="L64" s="109" t="str">
        <f>IFERROR(_xll.qlRateHelperQuoteName(K64,Trigger),"--")</f>
        <v>--</v>
      </c>
      <c r="M64" s="110" t="str">
        <f>IFERROR(_xll.qlRateHelperQuoteValue($K64,Trigger),"--")</f>
        <v>--</v>
      </c>
      <c r="N64" s="109" t="b">
        <v>0</v>
      </c>
      <c r="O64" s="106">
        <v>60</v>
      </c>
      <c r="P64" s="106">
        <v>1</v>
      </c>
      <c r="Q64" s="111" t="str">
        <f>IFERROR(_xll.qlRateHelperEarliestDate(K64,Trigger),"--")</f>
        <v>--</v>
      </c>
      <c r="R64" s="111" t="str">
        <f>IFERROR(_xll.qlRateHelperPillarDate(K64,Trigger),"--")</f>
        <v>--</v>
      </c>
      <c r="T64" s="4" t="str">
        <f t="shared" si="11"/>
        <v/>
      </c>
      <c r="U64" s="4" t="e">
        <v>#N/A</v>
      </c>
      <c r="V64" s="4" t="str">
        <f>IFERROR(_xll.qlRateHelperQuoteName(U64,Trigger),"")</f>
        <v/>
      </c>
      <c r="W64" s="76" t="str">
        <f>IFERROR(_xll.qlRateHelperRate(U64,Trigger),"")</f>
        <v/>
      </c>
      <c r="X64" s="116" t="str">
        <f>IF(ISERROR(_xll.qlSwapRateHelperSpread($U64)),IF(ISERROR(_xll.qlFuturesRateHelperConvexityAdjustment($U64)),"",_xll.qlFuturesRateHelperConvexityAdjustment($U64)),_xll.qlSwapRateHelperSpread($U64))</f>
        <v/>
      </c>
      <c r="Y64" s="5" t="str">
        <f>IFERROR(_xll.qlRateHelperEarliestDate(U64,Trigger),"")</f>
        <v/>
      </c>
      <c r="Z64" s="5" t="str">
        <f>IFERROR(_xll.qlRateHelperPillarDate(U64,Trigger),"")</f>
        <v/>
      </c>
      <c r="AA64" s="5" t="e">
        <v>#N/A</v>
      </c>
      <c r="AC64" s="199"/>
      <c r="AD64" s="200"/>
      <c r="AE64" s="200"/>
      <c r="AF64" s="217"/>
      <c r="AG64" s="199"/>
      <c r="AH64" s="199"/>
      <c r="AI64" s="201"/>
      <c r="AJ64" s="202"/>
      <c r="AK64" s="201"/>
      <c r="AL64" s="199"/>
      <c r="AM64" s="201"/>
      <c r="AN64" s="203"/>
      <c r="AO64" s="204"/>
      <c r="AP64" s="204"/>
      <c r="AQ64" s="205"/>
      <c r="AR64" s="204"/>
      <c r="AS64" s="204"/>
      <c r="AT64" s="204"/>
      <c r="AU64" s="204"/>
      <c r="AV64" s="204"/>
      <c r="AW64" s="202"/>
      <c r="AX64" s="194"/>
      <c r="AY64" s="194"/>
      <c r="AZ64" s="194"/>
      <c r="BA64" s="194"/>
      <c r="BB64" s="194"/>
      <c r="BC64" s="194"/>
      <c r="BD64" s="194"/>
      <c r="BE64" s="194"/>
      <c r="BF64" s="194"/>
      <c r="BG64" s="194"/>
      <c r="BH64" s="194"/>
      <c r="BI64" s="194"/>
      <c r="BJ64" s="194"/>
      <c r="BK64" s="194"/>
      <c r="BL64" s="194"/>
      <c r="BM64" s="194"/>
      <c r="BN64" s="194"/>
    </row>
    <row r="65" spans="1:66" ht="11.25" customHeight="1" x14ac:dyDescent="0.2">
      <c r="A65" s="64" t="s">
        <v>164</v>
      </c>
      <c r="B65" s="65" t="s">
        <v>51</v>
      </c>
      <c r="C65" s="66">
        <v>2</v>
      </c>
      <c r="D65" s="66" t="s">
        <v>166</v>
      </c>
      <c r="E65" s="67" t="s">
        <v>163</v>
      </c>
      <c r="F65" s="69" t="str">
        <f t="shared" si="18"/>
        <v>USDAM3L2W_Quote</v>
      </c>
      <c r="G65" s="69" t="str">
        <f t="shared" si="19"/>
        <v>USDFF3L2W_Quote</v>
      </c>
      <c r="H65" s="70"/>
      <c r="J65" s="11" t="str">
        <f t="shared" si="16"/>
        <v>BasOIS</v>
      </c>
      <c r="K65" s="106" t="str">
        <f t="shared" si="17"/>
        <v>--</v>
      </c>
      <c r="L65" s="109" t="str">
        <f>IFERROR(_xll.qlRateHelperQuoteName(K65,Trigger),"--")</f>
        <v>--</v>
      </c>
      <c r="M65" s="110" t="str">
        <f>IFERROR(_xll.qlRateHelperQuoteValue($K65,Trigger),"--")</f>
        <v>--</v>
      </c>
      <c r="N65" s="109" t="b">
        <v>0</v>
      </c>
      <c r="O65" s="106">
        <v>60</v>
      </c>
      <c r="P65" s="106">
        <v>1</v>
      </c>
      <c r="Q65" s="111" t="str">
        <f>IFERROR(_xll.qlRateHelperEarliestDate(K65,Trigger),"--")</f>
        <v>--</v>
      </c>
      <c r="R65" s="111" t="str">
        <f>IFERROR(_xll.qlRateHelperPillarDate(K65,Trigger),"--")</f>
        <v>--</v>
      </c>
      <c r="T65" s="4" t="str">
        <f t="shared" si="11"/>
        <v/>
      </c>
      <c r="U65" s="4" t="e">
        <v>#N/A</v>
      </c>
      <c r="V65" s="4" t="str">
        <f>IFERROR(_xll.qlRateHelperQuoteName(U65,Trigger),"")</f>
        <v/>
      </c>
      <c r="W65" s="76" t="str">
        <f>IFERROR(_xll.qlRateHelperRate(U65,Trigger),"")</f>
        <v/>
      </c>
      <c r="X65" s="116" t="str">
        <f>IF(ISERROR(_xll.qlSwapRateHelperSpread($U65)),IF(ISERROR(_xll.qlFuturesRateHelperConvexityAdjustment($U65)),"",_xll.qlFuturesRateHelperConvexityAdjustment($U65)),_xll.qlSwapRateHelperSpread($U65))</f>
        <v/>
      </c>
      <c r="Y65" s="5" t="str">
        <f>IFERROR(_xll.qlRateHelperEarliestDate(U65,Trigger),"")</f>
        <v/>
      </c>
      <c r="Z65" s="5" t="str">
        <f>IFERROR(_xll.qlRateHelperPillarDate(U65,Trigger),"")</f>
        <v/>
      </c>
      <c r="AA65" s="5" t="e">
        <v>#N/A</v>
      </c>
      <c r="AC65" s="199"/>
      <c r="AD65" s="200"/>
      <c r="AE65" s="200"/>
      <c r="AF65" s="217"/>
      <c r="AG65" s="199"/>
      <c r="AH65" s="199"/>
      <c r="AI65" s="201"/>
      <c r="AJ65" s="202"/>
      <c r="AK65" s="201"/>
      <c r="AL65" s="199"/>
      <c r="AM65" s="201"/>
      <c r="AN65" s="203"/>
      <c r="AO65" s="204"/>
      <c r="AP65" s="204"/>
      <c r="AQ65" s="205"/>
      <c r="AR65" s="204"/>
      <c r="AS65" s="204"/>
      <c r="AT65" s="204"/>
      <c r="AU65" s="204"/>
      <c r="AV65" s="204"/>
      <c r="AW65" s="202"/>
      <c r="AX65" s="194"/>
      <c r="AY65" s="194"/>
      <c r="AZ65" s="194"/>
      <c r="BA65" s="194"/>
      <c r="BB65" s="194"/>
      <c r="BC65" s="194"/>
      <c r="BD65" s="194"/>
      <c r="BE65" s="194"/>
      <c r="BF65" s="194"/>
      <c r="BG65" s="194"/>
      <c r="BH65" s="194"/>
      <c r="BI65" s="194"/>
      <c r="BJ65" s="194"/>
      <c r="BK65" s="194"/>
      <c r="BL65" s="194"/>
      <c r="BM65" s="194"/>
      <c r="BN65" s="194"/>
    </row>
    <row r="66" spans="1:66" ht="11.25" customHeight="1" x14ac:dyDescent="0.2">
      <c r="A66" s="64" t="s">
        <v>164</v>
      </c>
      <c r="B66" s="65" t="s">
        <v>52</v>
      </c>
      <c r="C66" s="66">
        <v>2</v>
      </c>
      <c r="D66" s="66" t="s">
        <v>166</v>
      </c>
      <c r="E66" s="67" t="s">
        <v>163</v>
      </c>
      <c r="F66" s="69" t="str">
        <f t="shared" si="18"/>
        <v>USDAM3L3W_Quote</v>
      </c>
      <c r="G66" s="69" t="str">
        <f t="shared" si="19"/>
        <v>USDFF3L3W_Quote</v>
      </c>
      <c r="H66" s="70"/>
      <c r="J66" s="11" t="str">
        <f t="shared" si="16"/>
        <v>BasOIS</v>
      </c>
      <c r="K66" s="106" t="str">
        <f t="shared" si="17"/>
        <v>--</v>
      </c>
      <c r="L66" s="109" t="str">
        <f>IFERROR(_xll.qlRateHelperQuoteName(K66,Trigger),"--")</f>
        <v>--</v>
      </c>
      <c r="M66" s="110" t="str">
        <f>IFERROR(_xll.qlRateHelperQuoteValue($K66,Trigger),"--")</f>
        <v>--</v>
      </c>
      <c r="N66" s="109" t="b">
        <v>0</v>
      </c>
      <c r="O66" s="106">
        <v>60</v>
      </c>
      <c r="P66" s="106">
        <v>1</v>
      </c>
      <c r="Q66" s="111" t="str">
        <f>IFERROR(_xll.qlRateHelperEarliestDate(K66,Trigger),"--")</f>
        <v>--</v>
      </c>
      <c r="R66" s="111" t="str">
        <f>IFERROR(_xll.qlRateHelperPillarDate(K66,Trigger),"--")</f>
        <v>--</v>
      </c>
      <c r="T66" s="4" t="str">
        <f t="shared" si="11"/>
        <v/>
      </c>
      <c r="U66" s="4" t="e">
        <v>#N/A</v>
      </c>
      <c r="V66" s="4" t="str">
        <f>IFERROR(_xll.qlRateHelperQuoteName(U66,Trigger),"")</f>
        <v/>
      </c>
      <c r="W66" s="76" t="str">
        <f>IFERROR(_xll.qlRateHelperRate(U66,Trigger),"")</f>
        <v/>
      </c>
      <c r="X66" s="116" t="str">
        <f>IF(ISERROR(_xll.qlSwapRateHelperSpread($U66)),IF(ISERROR(_xll.qlFuturesRateHelperConvexityAdjustment($U66)),"",_xll.qlFuturesRateHelperConvexityAdjustment($U66)),_xll.qlSwapRateHelperSpread($U66))</f>
        <v/>
      </c>
      <c r="Y66" s="5" t="str">
        <f>IFERROR(_xll.qlRateHelperEarliestDate(U66,Trigger),"")</f>
        <v/>
      </c>
      <c r="Z66" s="5" t="str">
        <f>IFERROR(_xll.qlRateHelperPillarDate(U66,Trigger),"")</f>
        <v/>
      </c>
      <c r="AA66" s="5" t="e">
        <v>#N/A</v>
      </c>
      <c r="AC66" s="199"/>
      <c r="AD66" s="200"/>
      <c r="AE66" s="200"/>
      <c r="AF66" s="217"/>
      <c r="AG66" s="202">
        <f>1/AG67</f>
        <v>1000</v>
      </c>
      <c r="AH66" s="202">
        <f t="shared" ref="AH66:AL66" si="20">1/AH67</f>
        <v>100</v>
      </c>
      <c r="AI66" s="202">
        <f t="shared" si="20"/>
        <v>20</v>
      </c>
      <c r="AJ66" s="202">
        <f t="shared" si="20"/>
        <v>10</v>
      </c>
      <c r="AK66" s="202">
        <f t="shared" si="20"/>
        <v>2</v>
      </c>
      <c r="AL66" s="202">
        <f t="shared" si="20"/>
        <v>1</v>
      </c>
      <c r="AM66" s="202"/>
      <c r="AN66" s="217"/>
      <c r="AO66" s="202">
        <f>1/AO67</f>
        <v>1000</v>
      </c>
      <c r="AP66" s="202">
        <f t="shared" ref="AP66" si="21">1/AP67</f>
        <v>100</v>
      </c>
      <c r="AQ66" s="202">
        <f t="shared" ref="AQ66" si="22">1/AQ67</f>
        <v>20</v>
      </c>
      <c r="AR66" s="202">
        <f t="shared" ref="AR66" si="23">1/AR67</f>
        <v>10</v>
      </c>
      <c r="AS66" s="202">
        <f t="shared" ref="AS66" si="24">1/AS67</f>
        <v>2</v>
      </c>
      <c r="AT66" s="202">
        <f t="shared" ref="AT66" si="25">1/AT67</f>
        <v>1</v>
      </c>
      <c r="AU66" s="204"/>
      <c r="AV66" s="204"/>
      <c r="AW66" s="202"/>
      <c r="AX66" s="194"/>
      <c r="AY66" s="194"/>
      <c r="AZ66" s="194"/>
      <c r="BA66" s="194"/>
      <c r="BB66" s="194"/>
      <c r="BC66" s="194"/>
      <c r="BD66" s="194"/>
      <c r="BE66" s="194"/>
      <c r="BF66" s="194"/>
      <c r="BG66" s="194"/>
      <c r="BH66" s="194"/>
      <c r="BI66" s="194"/>
      <c r="BJ66" s="194"/>
      <c r="BK66" s="194"/>
      <c r="BL66" s="194"/>
      <c r="BM66" s="194"/>
      <c r="BN66" s="194"/>
    </row>
    <row r="67" spans="1:66" ht="11.25" customHeight="1" x14ac:dyDescent="0.2">
      <c r="A67" s="64" t="s">
        <v>164</v>
      </c>
      <c r="B67" s="65" t="s">
        <v>2</v>
      </c>
      <c r="C67" s="66">
        <v>2</v>
      </c>
      <c r="D67" s="66" t="s">
        <v>166</v>
      </c>
      <c r="E67" s="67" t="s">
        <v>163</v>
      </c>
      <c r="F67" s="69" t="str">
        <f t="shared" si="18"/>
        <v>USDAM3L1M_Quote</v>
      </c>
      <c r="G67" s="69" t="str">
        <f t="shared" si="19"/>
        <v>USDFF3L1M_Quote</v>
      </c>
      <c r="H67" s="70"/>
      <c r="J67" s="11" t="str">
        <f t="shared" si="16"/>
        <v>BasOIS</v>
      </c>
      <c r="K67" s="106" t="str">
        <f t="shared" si="17"/>
        <v>--</v>
      </c>
      <c r="L67" s="109" t="str">
        <f>IFERROR(_xll.qlRateHelperQuoteName(K67,Trigger),"--")</f>
        <v>--</v>
      </c>
      <c r="M67" s="110" t="str">
        <f>IFERROR(_xll.qlRateHelperQuoteValue($K67,Trigger),"--")</f>
        <v>--</v>
      </c>
      <c r="N67" s="109" t="b">
        <v>0</v>
      </c>
      <c r="O67" s="106">
        <v>60</v>
      </c>
      <c r="P67" s="106">
        <v>1</v>
      </c>
      <c r="Q67" s="111" t="str">
        <f>IFERROR(_xll.qlRateHelperEarliestDate(K67,Trigger),"--")</f>
        <v>--</v>
      </c>
      <c r="R67" s="111" t="str">
        <f>IFERROR(_xll.qlRateHelperPillarDate(K67,Trigger),"--")</f>
        <v>--</v>
      </c>
      <c r="T67" s="4" t="str">
        <f t="shared" si="11"/>
        <v/>
      </c>
      <c r="U67" s="4" t="e">
        <v>#N/A</v>
      </c>
      <c r="V67" s="4" t="str">
        <f>IFERROR(_xll.qlRateHelperQuoteName(U67,Trigger),"")</f>
        <v/>
      </c>
      <c r="W67" s="76" t="str">
        <f>IFERROR(_xll.qlRateHelperRate(U67,Trigger),"")</f>
        <v/>
      </c>
      <c r="X67" s="116" t="str">
        <f>IF(ISERROR(_xll.qlSwapRateHelperSpread($U67)),IF(ISERROR(_xll.qlFuturesRateHelperConvexityAdjustment($U67)),"",_xll.qlFuturesRateHelperConvexityAdjustment($U67)),_xll.qlSwapRateHelperSpread($U67))</f>
        <v/>
      </c>
      <c r="Y67" s="5" t="str">
        <f>IFERROR(_xll.qlRateHelperEarliestDate(U67,Trigger),"")</f>
        <v/>
      </c>
      <c r="Z67" s="5" t="str">
        <f>IFERROR(_xll.qlRateHelperPillarDate(U67,Trigger),"")</f>
        <v/>
      </c>
      <c r="AA67" s="5" t="e">
        <v>#N/A</v>
      </c>
      <c r="AC67" s="199"/>
      <c r="AD67" s="200"/>
      <c r="AF67" s="232" t="s">
        <v>187</v>
      </c>
      <c r="AG67" s="233">
        <v>1E-3</v>
      </c>
      <c r="AH67" s="234">
        <v>0.01</v>
      </c>
      <c r="AI67" s="234">
        <v>0.05</v>
      </c>
      <c r="AJ67" s="234">
        <v>0.1</v>
      </c>
      <c r="AK67" s="234">
        <v>0.5</v>
      </c>
      <c r="AL67" s="235">
        <v>1</v>
      </c>
      <c r="AM67" s="202"/>
      <c r="AN67" s="232" t="s">
        <v>188</v>
      </c>
      <c r="AO67" s="233">
        <v>1E-3</v>
      </c>
      <c r="AP67" s="234">
        <v>0.01</v>
      </c>
      <c r="AQ67" s="234">
        <v>0.05</v>
      </c>
      <c r="AR67" s="234">
        <v>0.1</v>
      </c>
      <c r="AS67" s="234">
        <v>0.5</v>
      </c>
      <c r="AT67" s="235">
        <v>1</v>
      </c>
      <c r="AU67" s="204"/>
      <c r="AV67" s="204"/>
      <c r="AW67" s="202"/>
      <c r="AX67" s="194"/>
      <c r="AY67" s="194"/>
      <c r="AZ67" s="194"/>
      <c r="BA67" s="194"/>
      <c r="BB67" s="194"/>
      <c r="BC67" s="194"/>
      <c r="BD67" s="194"/>
      <c r="BE67" s="194"/>
      <c r="BF67" s="194"/>
      <c r="BG67" s="194"/>
      <c r="BH67" s="194"/>
      <c r="BI67" s="194"/>
      <c r="BJ67" s="194"/>
      <c r="BK67" s="194"/>
      <c r="BL67" s="194"/>
      <c r="BM67" s="194"/>
      <c r="BN67" s="194"/>
    </row>
    <row r="68" spans="1:66" ht="11.25" customHeight="1" x14ac:dyDescent="0.2">
      <c r="A68" s="64" t="s">
        <v>164</v>
      </c>
      <c r="B68" s="65" t="s">
        <v>53</v>
      </c>
      <c r="C68" s="66">
        <v>2</v>
      </c>
      <c r="D68" s="66" t="s">
        <v>166</v>
      </c>
      <c r="E68" s="67" t="s">
        <v>163</v>
      </c>
      <c r="F68" s="69" t="str">
        <f t="shared" si="18"/>
        <v>USDAM3L2M_Quote</v>
      </c>
      <c r="G68" s="69" t="str">
        <f t="shared" si="19"/>
        <v>USDFF3L2M_Quote</v>
      </c>
      <c r="H68" s="70"/>
      <c r="J68" s="11" t="str">
        <f t="shared" si="16"/>
        <v>BasOIS</v>
      </c>
      <c r="K68" s="106" t="str">
        <f t="shared" si="17"/>
        <v>--</v>
      </c>
      <c r="L68" s="109" t="str">
        <f>IFERROR(_xll.qlRateHelperQuoteName(K68,Trigger),"--")</f>
        <v>--</v>
      </c>
      <c r="M68" s="110" t="str">
        <f>IFERROR(_xll.qlRateHelperQuoteValue($K68,Trigger),"--")</f>
        <v>--</v>
      </c>
      <c r="N68" s="109" t="b">
        <v>0</v>
      </c>
      <c r="O68" s="106">
        <v>60</v>
      </c>
      <c r="P68" s="106">
        <v>1</v>
      </c>
      <c r="Q68" s="111" t="str">
        <f>IFERROR(_xll.qlRateHelperEarliestDate(K68,Trigger),"--")</f>
        <v>--</v>
      </c>
      <c r="R68" s="111" t="str">
        <f>IFERROR(_xll.qlRateHelperPillarDate(K68,Trigger),"--")</f>
        <v>--</v>
      </c>
      <c r="T68" s="4" t="str">
        <f t="shared" si="11"/>
        <v/>
      </c>
      <c r="U68" s="4" t="e">
        <v>#N/A</v>
      </c>
      <c r="V68" s="4" t="str">
        <f>IFERROR(_xll.qlRateHelperQuoteName(U68,Trigger),"")</f>
        <v/>
      </c>
      <c r="W68" s="76" t="str">
        <f>IFERROR(_xll.qlRateHelperRate(U68,Trigger),"")</f>
        <v/>
      </c>
      <c r="X68" s="116" t="str">
        <f>IF(ISERROR(_xll.qlSwapRateHelperSpread($U68)),IF(ISERROR(_xll.qlFuturesRateHelperConvexityAdjustment($U68)),"",_xll.qlFuturesRateHelperConvexityAdjustment($U68)),_xll.qlSwapRateHelperSpread($U68))</f>
        <v/>
      </c>
      <c r="Y68" s="5" t="str">
        <f>IFERROR(_xll.qlRateHelperEarliestDate(U68,Trigger),"")</f>
        <v/>
      </c>
      <c r="Z68" s="5" t="str">
        <f>IFERROR(_xll.qlRateHelperPillarDate(U68,Trigger),"")</f>
        <v/>
      </c>
      <c r="AA68" s="5" t="e">
        <v>#N/A</v>
      </c>
      <c r="AC68" s="199"/>
      <c r="AD68" s="200"/>
      <c r="AF68" s="229">
        <v>1E-4</v>
      </c>
      <c r="AG68" s="252">
        <v>3.480269166533423E-8</v>
      </c>
      <c r="AH68" s="253"/>
      <c r="AI68" s="253">
        <v>3.4357500147037761E-8</v>
      </c>
      <c r="AJ68" s="253"/>
      <c r="AK68" s="253">
        <v>3.0562668908872454E-8</v>
      </c>
      <c r="AL68" s="254"/>
      <c r="AM68" s="201"/>
      <c r="AN68" s="229">
        <v>1E-4</v>
      </c>
      <c r="AO68" s="252">
        <v>2.6684053022751897E-7</v>
      </c>
      <c r="AP68" s="253"/>
      <c r="AQ68" s="253">
        <v>2.6438292469010967E-7</v>
      </c>
      <c r="AR68" s="253"/>
      <c r="AS68" s="253">
        <v>2.4308343381074795E-7</v>
      </c>
      <c r="AT68" s="254"/>
      <c r="AU68" s="204"/>
      <c r="AV68" s="204"/>
      <c r="AW68" s="202"/>
      <c r="AX68" s="194"/>
      <c r="AY68" s="194"/>
      <c r="AZ68" s="194"/>
      <c r="BA68" s="194"/>
      <c r="BB68" s="194"/>
      <c r="BC68" s="194"/>
      <c r="BD68" s="194"/>
      <c r="BE68" s="194"/>
      <c r="BF68" s="194"/>
      <c r="BG68" s="194"/>
      <c r="BH68" s="194"/>
      <c r="BI68" s="194"/>
      <c r="BJ68" s="194"/>
      <c r="BK68" s="194"/>
      <c r="BL68" s="194"/>
      <c r="BM68" s="194"/>
      <c r="BN68" s="194"/>
    </row>
    <row r="69" spans="1:66" ht="11.25" customHeight="1" x14ac:dyDescent="0.2">
      <c r="A69" s="64" t="s">
        <v>164</v>
      </c>
      <c r="B69" s="65" t="s">
        <v>0</v>
      </c>
      <c r="C69" s="66">
        <v>2</v>
      </c>
      <c r="D69" s="66" t="s">
        <v>166</v>
      </c>
      <c r="E69" s="67" t="s">
        <v>163</v>
      </c>
      <c r="F69" s="69" t="str">
        <f t="shared" si="18"/>
        <v>USDAM3L3M_Quote</v>
      </c>
      <c r="G69" s="69" t="str">
        <f t="shared" si="19"/>
        <v>USDFF3L3M_Quote</v>
      </c>
      <c r="H69" s="70"/>
      <c r="J69" s="11" t="str">
        <f t="shared" si="16"/>
        <v>BasOIS</v>
      </c>
      <c r="K69" s="106" t="str">
        <f t="shared" si="17"/>
        <v>--</v>
      </c>
      <c r="L69" s="109" t="str">
        <f>IFERROR(_xll.qlRateHelperQuoteName(K69,Trigger),"--")</f>
        <v>--</v>
      </c>
      <c r="M69" s="110" t="str">
        <f>IFERROR(_xll.qlRateHelperQuoteValue($K69,Trigger),"--")</f>
        <v>--</v>
      </c>
      <c r="N69" s="109" t="b">
        <v>0</v>
      </c>
      <c r="O69" s="106">
        <v>60</v>
      </c>
      <c r="P69" s="106">
        <v>1</v>
      </c>
      <c r="Q69" s="111" t="str">
        <f>IFERROR(_xll.qlRateHelperEarliestDate(K69,Trigger),"--")</f>
        <v>--</v>
      </c>
      <c r="R69" s="111" t="str">
        <f>IFERROR(_xll.qlRateHelperPillarDate(K69,Trigger),"--")</f>
        <v>--</v>
      </c>
      <c r="T69" s="4" t="str">
        <f t="shared" si="11"/>
        <v/>
      </c>
      <c r="U69" s="4" t="e">
        <v>#N/A</v>
      </c>
      <c r="V69" s="4" t="str">
        <f>IFERROR(_xll.qlRateHelperQuoteName(U69,Trigger),"")</f>
        <v/>
      </c>
      <c r="W69" s="76" t="str">
        <f>IFERROR(_xll.qlRateHelperRate(U69,Trigger),"")</f>
        <v/>
      </c>
      <c r="X69" s="116" t="str">
        <f>IF(ISERROR(_xll.qlSwapRateHelperSpread($U69)),IF(ISERROR(_xll.qlFuturesRateHelperConvexityAdjustment($U69)),"",_xll.qlFuturesRateHelperConvexityAdjustment($U69)),_xll.qlSwapRateHelperSpread($U69))</f>
        <v/>
      </c>
      <c r="Y69" s="5" t="str">
        <f>IFERROR(_xll.qlRateHelperEarliestDate(U69,Trigger),"")</f>
        <v/>
      </c>
      <c r="Z69" s="5" t="str">
        <f>IFERROR(_xll.qlRateHelperPillarDate(U69,Trigger),"")</f>
        <v/>
      </c>
      <c r="AA69" s="5" t="e">
        <v>#N/A</v>
      </c>
      <c r="AC69" s="191"/>
      <c r="AD69" s="192"/>
      <c r="AF69" s="230">
        <v>5.0000000000000001E-4</v>
      </c>
      <c r="AG69" s="255"/>
      <c r="AH69" s="256"/>
      <c r="AI69" s="256"/>
      <c r="AJ69" s="256"/>
      <c r="AK69" s="256"/>
      <c r="AL69" s="257"/>
      <c r="AM69" s="201"/>
      <c r="AN69" s="230">
        <v>5.0000000000000001E-4</v>
      </c>
      <c r="AO69" s="255"/>
      <c r="AP69" s="256"/>
      <c r="AQ69" s="256"/>
      <c r="AR69" s="256"/>
      <c r="AS69" s="256"/>
      <c r="AT69" s="257"/>
      <c r="AU69" s="204"/>
      <c r="AV69" s="204"/>
      <c r="AW69" s="202"/>
      <c r="AX69" s="194"/>
      <c r="AY69" s="194"/>
      <c r="AZ69" s="194"/>
      <c r="BA69" s="194"/>
      <c r="BB69" s="194"/>
      <c r="BC69" s="194"/>
      <c r="BD69" s="194"/>
      <c r="BE69" s="194"/>
      <c r="BF69" s="194"/>
      <c r="BG69" s="194"/>
      <c r="BH69" s="194"/>
      <c r="BI69" s="194"/>
      <c r="BJ69" s="194"/>
      <c r="BK69" s="194"/>
      <c r="BL69" s="194"/>
      <c r="BM69" s="194"/>
      <c r="BN69" s="194"/>
    </row>
    <row r="70" spans="1:66" ht="11.25" customHeight="1" x14ac:dyDescent="0.2">
      <c r="A70" s="64" t="s">
        <v>164</v>
      </c>
      <c r="B70" s="65" t="s">
        <v>54</v>
      </c>
      <c r="C70" s="66">
        <v>2</v>
      </c>
      <c r="D70" s="66" t="s">
        <v>166</v>
      </c>
      <c r="E70" s="67" t="s">
        <v>163</v>
      </c>
      <c r="F70" s="69" t="str">
        <f t="shared" si="18"/>
        <v>USDAM3L4M_Quote</v>
      </c>
      <c r="G70" s="69" t="str">
        <f t="shared" si="19"/>
        <v>USDFF3L4M_Quote</v>
      </c>
      <c r="H70" s="70"/>
      <c r="J70" s="11" t="str">
        <f t="shared" si="16"/>
        <v>BasOIS</v>
      </c>
      <c r="K70" s="106" t="str">
        <f t="shared" si="17"/>
        <v>--</v>
      </c>
      <c r="L70" s="109" t="str">
        <f>IFERROR(_xll.qlRateHelperQuoteName(K70,Trigger),"--")</f>
        <v>--</v>
      </c>
      <c r="M70" s="110" t="str">
        <f>IFERROR(_xll.qlRateHelperQuoteValue($K70,Trigger),"--")</f>
        <v>--</v>
      </c>
      <c r="N70" s="109" t="b">
        <v>0</v>
      </c>
      <c r="O70" s="106">
        <v>60</v>
      </c>
      <c r="P70" s="106">
        <v>1</v>
      </c>
      <c r="Q70" s="111" t="str">
        <f>IFERROR(_xll.qlRateHelperEarliestDate(K70,Trigger),"--")</f>
        <v>--</v>
      </c>
      <c r="R70" s="111" t="str">
        <f>IFERROR(_xll.qlRateHelperPillarDate(K70,Trigger),"--")</f>
        <v>--</v>
      </c>
      <c r="T70" s="4" t="str">
        <f t="shared" si="11"/>
        <v/>
      </c>
      <c r="U70" s="4" t="e">
        <v>#N/A</v>
      </c>
      <c r="V70" s="4" t="str">
        <f>IFERROR(_xll.qlRateHelperQuoteName(U70,Trigger),"")</f>
        <v/>
      </c>
      <c r="W70" s="76" t="str">
        <f>IFERROR(_xll.qlRateHelperRate(U70,Trigger),"")</f>
        <v/>
      </c>
      <c r="X70" s="116" t="str">
        <f>IF(ISERROR(_xll.qlSwapRateHelperSpread($U70)),IF(ISERROR(_xll.qlFuturesRateHelperConvexityAdjustment($U70)),"",_xll.qlFuturesRateHelperConvexityAdjustment($U70)),_xll.qlSwapRateHelperSpread($U70))</f>
        <v/>
      </c>
      <c r="Y70" s="5" t="str">
        <f>IFERROR(_xll.qlRateHelperEarliestDate(U70,Trigger),"")</f>
        <v/>
      </c>
      <c r="Z70" s="5" t="str">
        <f>IFERROR(_xll.qlRateHelperPillarDate(U70,Trigger),"")</f>
        <v/>
      </c>
      <c r="AA70" s="5" t="e">
        <v>#N/A</v>
      </c>
      <c r="AF70" s="230">
        <v>1E-3</v>
      </c>
      <c r="AG70" s="255">
        <v>3.4802691665334225E-6</v>
      </c>
      <c r="AH70" s="256"/>
      <c r="AI70" s="256">
        <v>3.4357500147037763E-6</v>
      </c>
      <c r="AJ70" s="256"/>
      <c r="AK70" s="256">
        <v>3.0562668908872457E-6</v>
      </c>
      <c r="AL70" s="257"/>
      <c r="AM70" s="201"/>
      <c r="AN70" s="230">
        <v>1E-3</v>
      </c>
      <c r="AO70" s="255">
        <v>2.6684053022751897E-5</v>
      </c>
      <c r="AP70" s="256"/>
      <c r="AQ70" s="256">
        <v>2.6438292469010964E-5</v>
      </c>
      <c r="AR70" s="256"/>
      <c r="AS70" s="256">
        <v>2.4308343381074793E-5</v>
      </c>
      <c r="AT70" s="257"/>
      <c r="AU70" s="204"/>
      <c r="AV70" s="204"/>
      <c r="AW70" s="202"/>
      <c r="AX70" s="194"/>
      <c r="AY70" s="194"/>
      <c r="AZ70" s="194"/>
      <c r="BA70" s="194"/>
      <c r="BB70" s="194"/>
      <c r="BC70" s="194"/>
      <c r="BD70" s="194"/>
      <c r="BE70" s="194"/>
      <c r="BF70" s="194"/>
      <c r="BG70" s="194"/>
      <c r="BH70" s="194"/>
      <c r="BI70" s="194"/>
      <c r="BJ70" s="194"/>
      <c r="BK70" s="194"/>
      <c r="BL70" s="194"/>
      <c r="BM70" s="194"/>
      <c r="BN70" s="194"/>
    </row>
    <row r="71" spans="1:66" ht="11.25" customHeight="1" x14ac:dyDescent="0.2">
      <c r="A71" s="64" t="s">
        <v>164</v>
      </c>
      <c r="B71" s="65" t="s">
        <v>55</v>
      </c>
      <c r="C71" s="66">
        <v>2</v>
      </c>
      <c r="D71" s="66" t="s">
        <v>166</v>
      </c>
      <c r="E71" s="67" t="s">
        <v>163</v>
      </c>
      <c r="F71" s="69" t="str">
        <f t="shared" si="18"/>
        <v>USDAM3L5M_Quote</v>
      </c>
      <c r="G71" s="69" t="str">
        <f t="shared" si="19"/>
        <v>USDFF3L5M_Quote</v>
      </c>
      <c r="H71" s="70"/>
      <c r="J71" s="11" t="str">
        <f t="shared" si="16"/>
        <v>BasOIS</v>
      </c>
      <c r="K71" s="106" t="str">
        <f t="shared" si="17"/>
        <v>--</v>
      </c>
      <c r="L71" s="109" t="str">
        <f>IFERROR(_xll.qlRateHelperQuoteName(K71,Trigger),"--")</f>
        <v>--</v>
      </c>
      <c r="M71" s="110" t="str">
        <f>IFERROR(_xll.qlRateHelperQuoteValue($K71,Trigger),"--")</f>
        <v>--</v>
      </c>
      <c r="N71" s="109" t="b">
        <v>0</v>
      </c>
      <c r="O71" s="106">
        <v>60</v>
      </c>
      <c r="P71" s="106">
        <v>1</v>
      </c>
      <c r="Q71" s="111" t="str">
        <f>IFERROR(_xll.qlRateHelperEarliestDate(K71,Trigger),"--")</f>
        <v>--</v>
      </c>
      <c r="R71" s="111" t="str">
        <f>IFERROR(_xll.qlRateHelperPillarDate(K71,Trigger),"--")</f>
        <v>--</v>
      </c>
      <c r="T71" s="4" t="str">
        <f t="shared" si="11"/>
        <v/>
      </c>
      <c r="U71" s="4" t="e">
        <v>#N/A</v>
      </c>
      <c r="V71" s="4" t="str">
        <f>IFERROR(_xll.qlRateHelperQuoteName(U71,Trigger),"")</f>
        <v/>
      </c>
      <c r="W71" s="76" t="str">
        <f>IFERROR(_xll.qlRateHelperRate(U71,Trigger),"")</f>
        <v/>
      </c>
      <c r="X71" s="116" t="str">
        <f>IF(ISERROR(_xll.qlSwapRateHelperSpread($U71)),IF(ISERROR(_xll.qlFuturesRateHelperConvexityAdjustment($U71)),"",_xll.qlFuturesRateHelperConvexityAdjustment($U71)),_xll.qlSwapRateHelperSpread($U71))</f>
        <v/>
      </c>
      <c r="Y71" s="5" t="str">
        <f>IFERROR(_xll.qlRateHelperEarliestDate(U71,Trigger),"")</f>
        <v/>
      </c>
      <c r="Z71" s="5" t="str">
        <f>IFERROR(_xll.qlRateHelperPillarDate(U71,Trigger),"")</f>
        <v/>
      </c>
      <c r="AA71" s="5" t="e">
        <v>#N/A</v>
      </c>
      <c r="AF71" s="230">
        <v>5.0000000000000001E-3</v>
      </c>
      <c r="AG71" s="255">
        <v>8.7006729163335573E-5</v>
      </c>
      <c r="AH71" s="256"/>
      <c r="AI71" s="256">
        <v>8.5893750367594407E-5</v>
      </c>
      <c r="AJ71" s="256"/>
      <c r="AK71" s="256">
        <v>7.6406672272181147E-5</v>
      </c>
      <c r="AL71" s="257"/>
      <c r="AM71" s="201"/>
      <c r="AN71" s="230">
        <v>5.0000000000000001E-3</v>
      </c>
      <c r="AO71" s="255">
        <v>6.6710132556879753E-4</v>
      </c>
      <c r="AP71" s="256"/>
      <c r="AQ71" s="256">
        <v>6.6095731172527417E-4</v>
      </c>
      <c r="AR71" s="256"/>
      <c r="AS71" s="256">
        <v>6.0770858452686993E-4</v>
      </c>
      <c r="AT71" s="257"/>
      <c r="AU71" s="204"/>
      <c r="AV71" s="204"/>
      <c r="AW71" s="202"/>
      <c r="AX71" s="194"/>
      <c r="AY71" s="194"/>
      <c r="AZ71" s="194"/>
      <c r="BA71" s="194"/>
      <c r="BB71" s="194"/>
      <c r="BC71" s="194"/>
      <c r="BD71" s="194"/>
      <c r="BE71" s="194"/>
      <c r="BF71" s="194"/>
      <c r="BG71" s="194"/>
      <c r="BH71" s="194"/>
      <c r="BI71" s="194"/>
      <c r="BJ71" s="194"/>
      <c r="BK71" s="194"/>
      <c r="BL71" s="194"/>
      <c r="BM71" s="194"/>
      <c r="BN71" s="194"/>
    </row>
    <row r="72" spans="1:66" ht="11.25" customHeight="1" x14ac:dyDescent="0.2">
      <c r="A72" s="64" t="s">
        <v>164</v>
      </c>
      <c r="B72" s="65" t="s">
        <v>3</v>
      </c>
      <c r="C72" s="66">
        <v>2</v>
      </c>
      <c r="D72" s="66" t="s">
        <v>166</v>
      </c>
      <c r="E72" s="67" t="s">
        <v>163</v>
      </c>
      <c r="F72" s="69" t="str">
        <f t="shared" si="18"/>
        <v>USDAM3L6M_Quote</v>
      </c>
      <c r="G72" s="69" t="str">
        <f t="shared" si="19"/>
        <v>USDFF3L6M_Quote</v>
      </c>
      <c r="H72" s="70"/>
      <c r="J72" s="11" t="str">
        <f t="shared" si="16"/>
        <v>BasOIS</v>
      </c>
      <c r="K72" s="106" t="str">
        <f t="shared" si="17"/>
        <v>--</v>
      </c>
      <c r="L72" s="109" t="str">
        <f>IFERROR(_xll.qlRateHelperQuoteName(K72,Trigger),"--")</f>
        <v>--</v>
      </c>
      <c r="M72" s="110" t="str">
        <f>IFERROR(_xll.qlRateHelperQuoteValue($K72,Trigger),"--")</f>
        <v>--</v>
      </c>
      <c r="N72" s="109" t="b">
        <v>0</v>
      </c>
      <c r="O72" s="106">
        <v>60</v>
      </c>
      <c r="P72" s="106">
        <v>1</v>
      </c>
      <c r="Q72" s="111" t="str">
        <f>IFERROR(_xll.qlRateHelperEarliestDate(K72,Trigger),"--")</f>
        <v>--</v>
      </c>
      <c r="R72" s="111" t="str">
        <f>IFERROR(_xll.qlRateHelperPillarDate(K72,Trigger),"--")</f>
        <v>--</v>
      </c>
      <c r="T72" s="4" t="str">
        <f t="shared" si="11"/>
        <v/>
      </c>
      <c r="U72" s="4" t="e">
        <v>#N/A</v>
      </c>
      <c r="V72" s="4" t="str">
        <f>IFERROR(_xll.qlRateHelperQuoteName(U72,Trigger),"")</f>
        <v/>
      </c>
      <c r="W72" s="76" t="str">
        <f>IFERROR(_xll.qlRateHelperRate(U72,Trigger),"")</f>
        <v/>
      </c>
      <c r="X72" s="116" t="str">
        <f>IF(ISERROR(_xll.qlSwapRateHelperSpread($U72)),IF(ISERROR(_xll.qlFuturesRateHelperConvexityAdjustment($U72)),"",_xll.qlFuturesRateHelperConvexityAdjustment($U72)),_xll.qlSwapRateHelperSpread($U72))</f>
        <v/>
      </c>
      <c r="Y72" s="5" t="str">
        <f>IFERROR(_xll.qlRateHelperEarliestDate(U72,Trigger),"")</f>
        <v/>
      </c>
      <c r="Z72" s="5" t="str">
        <f>IFERROR(_xll.qlRateHelperPillarDate(U72,Trigger),"")</f>
        <v/>
      </c>
      <c r="AA72" s="5" t="e">
        <v>#N/A</v>
      </c>
      <c r="AF72" s="230">
        <v>0.01</v>
      </c>
      <c r="AG72" s="255"/>
      <c r="AH72" s="256"/>
      <c r="AI72" s="256"/>
      <c r="AJ72" s="256"/>
      <c r="AK72" s="256"/>
      <c r="AL72" s="257"/>
      <c r="AM72" s="201"/>
      <c r="AN72" s="230">
        <v>0.01</v>
      </c>
      <c r="AO72" s="255"/>
      <c r="AP72" s="256"/>
      <c r="AQ72" s="256"/>
      <c r="AR72" s="256"/>
      <c r="AS72" s="256"/>
      <c r="AT72" s="257"/>
      <c r="AU72" s="204"/>
      <c r="AV72" s="204"/>
      <c r="AW72" s="202"/>
      <c r="AX72" s="194"/>
      <c r="AY72" s="194"/>
      <c r="AZ72" s="194"/>
      <c r="BA72" s="194"/>
      <c r="BB72" s="194"/>
      <c r="BC72" s="194"/>
      <c r="BD72" s="194"/>
      <c r="BE72" s="194"/>
      <c r="BF72" s="194"/>
      <c r="BG72" s="194"/>
      <c r="BH72" s="194"/>
      <c r="BI72" s="194"/>
      <c r="BJ72" s="194"/>
      <c r="BK72" s="194"/>
      <c r="BL72" s="194"/>
      <c r="BM72" s="194"/>
      <c r="BN72" s="194"/>
    </row>
    <row r="73" spans="1:66" ht="11.25" customHeight="1" x14ac:dyDescent="0.2">
      <c r="A73" s="64" t="s">
        <v>164</v>
      </c>
      <c r="B73" s="65" t="s">
        <v>56</v>
      </c>
      <c r="C73" s="66">
        <v>2</v>
      </c>
      <c r="D73" s="66" t="s">
        <v>166</v>
      </c>
      <c r="E73" s="67" t="s">
        <v>163</v>
      </c>
      <c r="F73" s="69" t="str">
        <f t="shared" si="18"/>
        <v>USDAM3L7M_Quote</v>
      </c>
      <c r="G73" s="69" t="str">
        <f t="shared" si="19"/>
        <v>USDFF3L7M_Quote</v>
      </c>
      <c r="H73" s="70"/>
      <c r="J73" s="11" t="str">
        <f t="shared" si="16"/>
        <v>BasOIS</v>
      </c>
      <c r="K73" s="106" t="str">
        <f t="shared" si="17"/>
        <v>--</v>
      </c>
      <c r="L73" s="109" t="str">
        <f>IFERROR(_xll.qlRateHelperQuoteName(K73,Trigger),"--")</f>
        <v>--</v>
      </c>
      <c r="M73" s="110" t="str">
        <f>IFERROR(_xll.qlRateHelperQuoteValue($K73,Trigger),"--")</f>
        <v>--</v>
      </c>
      <c r="N73" s="109" t="b">
        <v>0</v>
      </c>
      <c r="O73" s="106">
        <v>60</v>
      </c>
      <c r="P73" s="106">
        <v>1</v>
      </c>
      <c r="Q73" s="111" t="str">
        <f>IFERROR(_xll.qlRateHelperEarliestDate(K73,Trigger),"--")</f>
        <v>--</v>
      </c>
      <c r="R73" s="111" t="str">
        <f>IFERROR(_xll.qlRateHelperPillarDate(K73,Trigger),"--")</f>
        <v>--</v>
      </c>
      <c r="T73" s="4" t="str">
        <f t="shared" si="11"/>
        <v/>
      </c>
      <c r="U73" s="4" t="e">
        <v>#N/A</v>
      </c>
      <c r="V73" s="4" t="str">
        <f>IFERROR(_xll.qlRateHelperQuoteName(U73,Trigger),"")</f>
        <v/>
      </c>
      <c r="W73" s="76" t="str">
        <f>IFERROR(_xll.qlRateHelperRate(U73,Trigger),"")</f>
        <v/>
      </c>
      <c r="X73" s="116" t="str">
        <f>IF(ISERROR(_xll.qlSwapRateHelperSpread($U73)),IF(ISERROR(_xll.qlFuturesRateHelperConvexityAdjustment($U73)),"",_xll.qlFuturesRateHelperConvexityAdjustment($U73)),_xll.qlSwapRateHelperSpread($U73))</f>
        <v/>
      </c>
      <c r="Y73" s="5" t="str">
        <f>IFERROR(_xll.qlRateHelperEarliestDate(U73,Trigger),"")</f>
        <v/>
      </c>
      <c r="Z73" s="5" t="str">
        <f>IFERROR(_xll.qlRateHelperPillarDate(U73,Trigger),"")</f>
        <v/>
      </c>
      <c r="AA73" s="5" t="e">
        <v>#N/A</v>
      </c>
      <c r="AF73" s="230">
        <v>0.05</v>
      </c>
      <c r="AG73" s="255">
        <v>8.700672916333559E-3</v>
      </c>
      <c r="AH73" s="256"/>
      <c r="AI73" s="256">
        <v>8.5893750367594425E-3</v>
      </c>
      <c r="AJ73" s="256"/>
      <c r="AK73" s="256">
        <v>7.6406672272181153E-3</v>
      </c>
      <c r="AL73" s="257"/>
      <c r="AM73" s="201"/>
      <c r="AN73" s="230">
        <v>0.05</v>
      </c>
      <c r="AO73" s="255">
        <v>6.6710132556879756E-2</v>
      </c>
      <c r="AP73" s="256"/>
      <c r="AQ73" s="256">
        <v>6.6095731172527428E-2</v>
      </c>
      <c r="AR73" s="256"/>
      <c r="AS73" s="256">
        <v>6.0770858452686989E-2</v>
      </c>
      <c r="AT73" s="257"/>
      <c r="AU73" s="204"/>
      <c r="AV73" s="204"/>
      <c r="AW73" s="202"/>
      <c r="AX73" s="194"/>
      <c r="AY73" s="194"/>
      <c r="AZ73" s="194"/>
      <c r="BA73" s="194"/>
      <c r="BB73" s="194"/>
      <c r="BC73" s="194"/>
      <c r="BD73" s="194"/>
      <c r="BE73" s="194"/>
      <c r="BF73" s="194"/>
      <c r="BG73" s="194"/>
      <c r="BH73" s="194"/>
      <c r="BI73" s="194"/>
      <c r="BJ73" s="194"/>
      <c r="BK73" s="194"/>
      <c r="BL73" s="194"/>
      <c r="BM73" s="194"/>
      <c r="BN73" s="194"/>
    </row>
    <row r="74" spans="1:66" ht="11.25" customHeight="1" x14ac:dyDescent="0.2">
      <c r="A74" s="64" t="s">
        <v>164</v>
      </c>
      <c r="B74" s="65" t="s">
        <v>57</v>
      </c>
      <c r="C74" s="66">
        <v>2</v>
      </c>
      <c r="D74" s="66" t="s">
        <v>166</v>
      </c>
      <c r="E74" s="67" t="s">
        <v>163</v>
      </c>
      <c r="F74" s="69" t="str">
        <f t="shared" si="18"/>
        <v>USDAM3L8M_Quote</v>
      </c>
      <c r="G74" s="69" t="str">
        <f t="shared" si="19"/>
        <v>USDFF3L8M_Quote</v>
      </c>
      <c r="H74" s="70"/>
      <c r="J74" s="11" t="str">
        <f t="shared" si="16"/>
        <v>BasOIS</v>
      </c>
      <c r="K74" s="106" t="str">
        <f t="shared" si="17"/>
        <v>obj_00276#0120</v>
      </c>
      <c r="L74" s="109" t="str">
        <f>IFERROR(_xll.qlRateHelperQuoteName(K74,Trigger),"--")</f>
        <v>USDAM3L1Y_Quote</v>
      </c>
      <c r="M74" s="110">
        <f>IFERROR(_xll.qlRateHelperQuoteValue($K74,Trigger),"--")</f>
        <v>7.7000000000000002E-3</v>
      </c>
      <c r="N74" s="109" t="b">
        <v>1</v>
      </c>
      <c r="O74" s="106">
        <v>60</v>
      </c>
      <c r="P74" s="106">
        <v>1</v>
      </c>
      <c r="Q74" s="111">
        <f>IFERROR(_xll.qlRateHelperEarliestDate(K74,Trigger),"--")</f>
        <v>42436</v>
      </c>
      <c r="R74" s="111">
        <f>IFERROR(_xll.qlRateHelperPillarDate(K74,Trigger),"--")</f>
        <v>42801</v>
      </c>
      <c r="T74" s="4" t="str">
        <f t="shared" si="11"/>
        <v/>
      </c>
      <c r="U74" s="4" t="e">
        <v>#N/A</v>
      </c>
      <c r="V74" s="4" t="str">
        <f>IFERROR(_xll.qlRateHelperQuoteName(U74,Trigger),"")</f>
        <v/>
      </c>
      <c r="W74" s="76" t="str">
        <f>IFERROR(_xll.qlRateHelperRate(U74,Trigger),"")</f>
        <v/>
      </c>
      <c r="X74" s="116" t="str">
        <f>IF(ISERROR(_xll.qlSwapRateHelperSpread($U74)),IF(ISERROR(_xll.qlFuturesRateHelperConvexityAdjustment($U74)),"",_xll.qlFuturesRateHelperConvexityAdjustment($U74)),_xll.qlSwapRateHelperSpread($U74))</f>
        <v/>
      </c>
      <c r="Y74" s="5" t="str">
        <f>IFERROR(_xll.qlRateHelperEarliestDate(U74,Trigger),"")</f>
        <v/>
      </c>
      <c r="Z74" s="5" t="str">
        <f>IFERROR(_xll.qlRateHelperPillarDate(U74,Trigger),"")</f>
        <v/>
      </c>
      <c r="AA74" s="5" t="e">
        <v>#N/A</v>
      </c>
      <c r="AC74" s="198"/>
      <c r="AD74" s="198"/>
      <c r="AF74" s="230">
        <v>0.1</v>
      </c>
      <c r="AG74" s="255"/>
      <c r="AH74" s="256"/>
      <c r="AI74" s="256"/>
      <c r="AJ74" s="256"/>
      <c r="AK74" s="256"/>
      <c r="AL74" s="257"/>
      <c r="AM74" s="201"/>
      <c r="AN74" s="230">
        <v>0.1</v>
      </c>
      <c r="AO74" s="255"/>
      <c r="AP74" s="256"/>
      <c r="AQ74" s="256"/>
      <c r="AR74" s="256"/>
      <c r="AS74" s="256"/>
      <c r="AT74" s="257"/>
      <c r="AU74" s="204"/>
      <c r="AV74" s="204"/>
      <c r="AW74" s="202"/>
      <c r="AX74" s="194"/>
      <c r="AY74" s="194"/>
      <c r="AZ74" s="194"/>
      <c r="BA74" s="194"/>
      <c r="BB74" s="194"/>
      <c r="BC74" s="194"/>
      <c r="BD74" s="194"/>
      <c r="BE74" s="194"/>
      <c r="BF74" s="194"/>
      <c r="BG74" s="194"/>
      <c r="BH74" s="194"/>
      <c r="BI74" s="194"/>
      <c r="BJ74" s="194"/>
      <c r="BK74" s="194"/>
      <c r="BL74" s="194"/>
      <c r="BM74" s="194"/>
      <c r="BN74" s="194"/>
    </row>
    <row r="75" spans="1:66" ht="11.25" customHeight="1" x14ac:dyDescent="0.2">
      <c r="A75" s="64" t="s">
        <v>164</v>
      </c>
      <c r="B75" s="65" t="s">
        <v>58</v>
      </c>
      <c r="C75" s="66">
        <v>2</v>
      </c>
      <c r="D75" s="66" t="s">
        <v>166</v>
      </c>
      <c r="E75" s="67" t="s">
        <v>163</v>
      </c>
      <c r="F75" s="69" t="str">
        <f t="shared" si="18"/>
        <v>USDAM3L9M_Quote</v>
      </c>
      <c r="G75" s="69" t="str">
        <f t="shared" si="19"/>
        <v>USDFF3L9M_Quote</v>
      </c>
      <c r="H75" s="70"/>
      <c r="J75" s="11" t="str">
        <f t="shared" si="16"/>
        <v>BasOIS</v>
      </c>
      <c r="K75" s="106" t="str">
        <f t="shared" si="17"/>
        <v>--</v>
      </c>
      <c r="L75" s="109" t="str">
        <f>IFERROR(_xll.qlRateHelperQuoteName(K75,Trigger),"--")</f>
        <v>--</v>
      </c>
      <c r="M75" s="110" t="str">
        <f>IFERROR(_xll.qlRateHelperQuoteValue($K75,Trigger),"--")</f>
        <v>--</v>
      </c>
      <c r="N75" s="109" t="b">
        <v>0</v>
      </c>
      <c r="O75" s="106">
        <v>60</v>
      </c>
      <c r="P75" s="106">
        <v>1</v>
      </c>
      <c r="Q75" s="111" t="str">
        <f>IFERROR(_xll.qlRateHelperEarliestDate(K75,Trigger),"--")</f>
        <v>--</v>
      </c>
      <c r="R75" s="111" t="str">
        <f>IFERROR(_xll.qlRateHelperPillarDate(K75,Trigger),"--")</f>
        <v>--</v>
      </c>
      <c r="T75" s="4" t="str">
        <f t="shared" si="11"/>
        <v/>
      </c>
      <c r="U75" s="4" t="e">
        <v>#N/A</v>
      </c>
      <c r="V75" s="4" t="str">
        <f>IFERROR(_xll.qlRateHelperQuoteName(U75,Trigger),"")</f>
        <v/>
      </c>
      <c r="W75" s="76" t="str">
        <f>IFERROR(_xll.qlRateHelperRate(U75,Trigger),"")</f>
        <v/>
      </c>
      <c r="X75" s="116" t="str">
        <f>IF(ISERROR(_xll.qlSwapRateHelperSpread($U75)),IF(ISERROR(_xll.qlFuturesRateHelperConvexityAdjustment($U75)),"",_xll.qlFuturesRateHelperConvexityAdjustment($U75)),_xll.qlSwapRateHelperSpread($U75))</f>
        <v/>
      </c>
      <c r="Y75" s="5" t="str">
        <f>IFERROR(_xll.qlRateHelperEarliestDate(U75,Trigger),"")</f>
        <v/>
      </c>
      <c r="Z75" s="5" t="str">
        <f>IFERROR(_xll.qlRateHelperPillarDate(U75,Trigger),"")</f>
        <v/>
      </c>
      <c r="AA75" s="5" t="e">
        <v>#N/A</v>
      </c>
      <c r="AC75" s="199"/>
      <c r="AD75" s="200"/>
      <c r="AF75" s="231">
        <v>0.3</v>
      </c>
      <c r="AG75" s="258">
        <v>0.313224224988008</v>
      </c>
      <c r="AH75" s="259"/>
      <c r="AI75" s="259">
        <v>0.30921750132333986</v>
      </c>
      <c r="AJ75" s="259"/>
      <c r="AK75" s="259">
        <v>0.2750640201798521</v>
      </c>
      <c r="AL75" s="260"/>
      <c r="AM75" s="201"/>
      <c r="AN75" s="231">
        <v>0.3</v>
      </c>
      <c r="AO75" s="258">
        <v>2.4015647720476707</v>
      </c>
      <c r="AP75" s="259"/>
      <c r="AQ75" s="259">
        <v>2.379446322210987</v>
      </c>
      <c r="AR75" s="259"/>
      <c r="AS75" s="259">
        <v>2.1877509042967311</v>
      </c>
      <c r="AT75" s="260"/>
      <c r="AU75" s="204"/>
      <c r="AV75" s="204"/>
      <c r="AW75" s="202"/>
      <c r="AX75" s="194"/>
      <c r="AY75" s="194"/>
      <c r="AZ75" s="194"/>
      <c r="BA75" s="194"/>
      <c r="BB75" s="194"/>
      <c r="BC75" s="194"/>
      <c r="BD75" s="194"/>
      <c r="BE75" s="194"/>
      <c r="BF75" s="194"/>
      <c r="BG75" s="194"/>
      <c r="BH75" s="194"/>
      <c r="BI75" s="194"/>
      <c r="BJ75" s="194"/>
      <c r="BK75" s="194"/>
      <c r="BL75" s="194"/>
      <c r="BM75" s="194"/>
      <c r="BN75" s="194"/>
    </row>
    <row r="76" spans="1:66" ht="11.25" customHeight="1" x14ac:dyDescent="0.2">
      <c r="A76" s="64" t="s">
        <v>164</v>
      </c>
      <c r="B76" s="65" t="s">
        <v>59</v>
      </c>
      <c r="C76" s="66">
        <v>2</v>
      </c>
      <c r="D76" s="66" t="s">
        <v>166</v>
      </c>
      <c r="E76" s="67" t="s">
        <v>163</v>
      </c>
      <c r="F76" s="69" t="str">
        <f t="shared" si="18"/>
        <v>USDAM3L10M_Quote</v>
      </c>
      <c r="G76" s="69" t="str">
        <f t="shared" si="19"/>
        <v>USDFF3L10M_Quote</v>
      </c>
      <c r="H76" s="70"/>
      <c r="J76" s="11" t="str">
        <f t="shared" si="16"/>
        <v>BasOIS</v>
      </c>
      <c r="K76" s="106" t="str">
        <f t="shared" si="17"/>
        <v>--</v>
      </c>
      <c r="L76" s="109" t="str">
        <f>IFERROR(_xll.qlRateHelperQuoteName(K76,Trigger),"--")</f>
        <v>--</v>
      </c>
      <c r="M76" s="110" t="str">
        <f>IFERROR(_xll.qlRateHelperQuoteValue($K76,Trigger),"--")</f>
        <v>--</v>
      </c>
      <c r="N76" s="109" t="b">
        <v>0</v>
      </c>
      <c r="O76" s="106">
        <v>60</v>
      </c>
      <c r="P76" s="106">
        <v>1</v>
      </c>
      <c r="Q76" s="111" t="str">
        <f>IFERROR(_xll.qlRateHelperEarliestDate(K76,Trigger),"--")</f>
        <v>--</v>
      </c>
      <c r="R76" s="111" t="str">
        <f>IFERROR(_xll.qlRateHelperPillarDate(K76,Trigger),"--")</f>
        <v>--</v>
      </c>
      <c r="T76" s="4" t="str">
        <f t="shared" si="11"/>
        <v/>
      </c>
      <c r="U76" s="4" t="e">
        <v>#N/A</v>
      </c>
      <c r="V76" s="4" t="str">
        <f>IFERROR(_xll.qlRateHelperQuoteName(U76,Trigger),"")</f>
        <v/>
      </c>
      <c r="W76" s="76" t="str">
        <f>IFERROR(_xll.qlRateHelperRate(U76,Trigger),"")</f>
        <v/>
      </c>
      <c r="X76" s="116" t="str">
        <f>IF(ISERROR(_xll.qlSwapRateHelperSpread($U76)),IF(ISERROR(_xll.qlFuturesRateHelperConvexityAdjustment($U76)),"",_xll.qlFuturesRateHelperConvexityAdjustment($U76)),_xll.qlSwapRateHelperSpread($U76))</f>
        <v/>
      </c>
      <c r="Y76" s="5" t="str">
        <f>IFERROR(_xll.qlRateHelperEarliestDate(U76,Trigger),"")</f>
        <v/>
      </c>
      <c r="Z76" s="5" t="str">
        <f>IFERROR(_xll.qlRateHelperPillarDate(U76,Trigger),"")</f>
        <v/>
      </c>
      <c r="AA76" s="5" t="e">
        <v>#N/A</v>
      </c>
      <c r="AC76" s="199"/>
      <c r="AD76" s="200"/>
      <c r="AE76" s="228"/>
      <c r="AF76" s="228"/>
      <c r="AG76" s="199"/>
      <c r="AH76" s="199"/>
      <c r="AI76" s="201"/>
      <c r="AJ76" s="202"/>
      <c r="AK76" s="201"/>
      <c r="AL76" s="199"/>
      <c r="AM76" s="201"/>
      <c r="AN76" s="203"/>
      <c r="AO76" s="204"/>
      <c r="AP76" s="204"/>
      <c r="AQ76" s="205"/>
      <c r="AR76" s="204"/>
      <c r="AS76" s="204"/>
      <c r="AT76" s="204"/>
      <c r="AU76" s="204"/>
      <c r="AV76" s="204"/>
      <c r="AW76" s="202"/>
      <c r="AX76" s="194"/>
      <c r="AY76" s="194"/>
      <c r="AZ76" s="194"/>
      <c r="BA76" s="194"/>
      <c r="BB76" s="194"/>
      <c r="BC76" s="194"/>
      <c r="BD76" s="194"/>
      <c r="BE76" s="194"/>
      <c r="BF76" s="194"/>
      <c r="BG76" s="194"/>
      <c r="BH76" s="194"/>
      <c r="BI76" s="194"/>
      <c r="BJ76" s="194"/>
      <c r="BK76" s="194"/>
      <c r="BL76" s="194"/>
      <c r="BM76" s="194"/>
      <c r="BN76" s="194"/>
    </row>
    <row r="77" spans="1:66" ht="11.25" customHeight="1" x14ac:dyDescent="0.2">
      <c r="A77" s="64" t="s">
        <v>164</v>
      </c>
      <c r="B77" s="65" t="s">
        <v>60</v>
      </c>
      <c r="C77" s="66">
        <v>2</v>
      </c>
      <c r="D77" s="66" t="s">
        <v>166</v>
      </c>
      <c r="E77" s="67" t="s">
        <v>163</v>
      </c>
      <c r="F77" s="69" t="str">
        <f t="shared" si="18"/>
        <v>USDAM3L11M_Quote</v>
      </c>
      <c r="G77" s="69" t="str">
        <f t="shared" si="19"/>
        <v>USDFF3L11M_Quote</v>
      </c>
      <c r="H77" s="70"/>
      <c r="J77" s="11" t="str">
        <f t="shared" si="16"/>
        <v>BasOIS</v>
      </c>
      <c r="K77" s="106" t="str">
        <f t="shared" si="17"/>
        <v>--</v>
      </c>
      <c r="L77" s="109" t="str">
        <f>IFERROR(_xll.qlRateHelperQuoteName(K77,Trigger),"--")</f>
        <v>--</v>
      </c>
      <c r="M77" s="110" t="str">
        <f>IFERROR(_xll.qlRateHelperQuoteValue($K77,Trigger),"--")</f>
        <v>--</v>
      </c>
      <c r="N77" s="109" t="b">
        <v>0</v>
      </c>
      <c r="O77" s="106">
        <v>60</v>
      </c>
      <c r="P77" s="106">
        <v>1</v>
      </c>
      <c r="Q77" s="111" t="str">
        <f>IFERROR(_xll.qlRateHelperEarliestDate(K77,Trigger),"--")</f>
        <v>--</v>
      </c>
      <c r="R77" s="111" t="str">
        <f>IFERROR(_xll.qlRateHelperPillarDate(K77,Trigger),"--")</f>
        <v>--</v>
      </c>
      <c r="T77" s="4" t="str">
        <f t="shared" si="11"/>
        <v/>
      </c>
      <c r="U77" s="4" t="e">
        <v>#N/A</v>
      </c>
      <c r="V77" s="4" t="str">
        <f>IFERROR(_xll.qlRateHelperQuoteName(U77,Trigger),"")</f>
        <v/>
      </c>
      <c r="W77" s="76" t="str">
        <f>IFERROR(_xll.qlRateHelperRate(U77,Trigger),"")</f>
        <v/>
      </c>
      <c r="X77" s="116" t="str">
        <f>IF(ISERROR(_xll.qlSwapRateHelperSpread($U77)),IF(ISERROR(_xll.qlFuturesRateHelperConvexityAdjustment($U77)),"",_xll.qlFuturesRateHelperConvexityAdjustment($U77)),_xll.qlSwapRateHelperSpread($U77))</f>
        <v/>
      </c>
      <c r="Y77" s="5" t="str">
        <f>IFERROR(_xll.qlRateHelperEarliestDate(U77,Trigger),"")</f>
        <v/>
      </c>
      <c r="Z77" s="5" t="str">
        <f>IFERROR(_xll.qlRateHelperPillarDate(U77,Trigger),"")</f>
        <v/>
      </c>
      <c r="AA77" s="5" t="e">
        <v>#N/A</v>
      </c>
      <c r="AC77" s="199"/>
      <c r="AD77" s="200"/>
      <c r="AE77" s="228"/>
      <c r="AF77" s="228"/>
      <c r="AG77" s="199"/>
      <c r="AH77" s="199"/>
      <c r="AI77" s="201"/>
      <c r="AJ77" s="202"/>
      <c r="AK77" s="201"/>
      <c r="AL77" s="199"/>
      <c r="AM77" s="201"/>
      <c r="AN77" s="203"/>
      <c r="AO77" s="204"/>
      <c r="AP77" s="204"/>
      <c r="AQ77" s="205"/>
      <c r="AR77" s="204"/>
      <c r="AS77" s="204"/>
      <c r="AT77" s="204"/>
      <c r="AU77" s="204"/>
      <c r="AV77" s="204"/>
      <c r="AW77" s="202"/>
      <c r="AX77" s="194"/>
      <c r="AY77" s="194"/>
      <c r="AZ77" s="194"/>
      <c r="BA77" s="194"/>
      <c r="BB77" s="194"/>
      <c r="BC77" s="194"/>
      <c r="BD77" s="194"/>
      <c r="BE77" s="194"/>
      <c r="BF77" s="194"/>
      <c r="BG77" s="194"/>
      <c r="BH77" s="194"/>
      <c r="BI77" s="194"/>
      <c r="BJ77" s="194"/>
      <c r="BK77" s="194"/>
      <c r="BL77" s="194"/>
      <c r="BM77" s="194"/>
      <c r="BN77" s="194"/>
    </row>
    <row r="78" spans="1:66" ht="11.25" customHeight="1" x14ac:dyDescent="0.2">
      <c r="A78" s="64" t="s">
        <v>164</v>
      </c>
      <c r="B78" s="65" t="s">
        <v>29</v>
      </c>
      <c r="C78" s="66">
        <v>2</v>
      </c>
      <c r="D78" s="66" t="s">
        <v>166</v>
      </c>
      <c r="E78" s="67" t="s">
        <v>163</v>
      </c>
      <c r="F78" s="69" t="str">
        <f t="shared" si="18"/>
        <v>USDAM3L1Y_Quote</v>
      </c>
      <c r="G78" s="69" t="str">
        <f t="shared" si="19"/>
        <v>USDFF3L1Y_Quote</v>
      </c>
      <c r="H78" s="70" t="str">
        <f>_xll.qlOISAARateHelper(,C78,B78,F78,E78,G78,D78,TRUE,$G$62,$H$62,,Permanent,Trigger,ObjectOverwrite)</f>
        <v>obj_00276#0120</v>
      </c>
      <c r="J78" s="11" t="str">
        <f t="shared" si="16"/>
        <v>BasOIS</v>
      </c>
      <c r="K78" s="106" t="str">
        <f t="shared" si="17"/>
        <v>--</v>
      </c>
      <c r="L78" s="109" t="str">
        <f>IFERROR(_xll.qlRateHelperQuoteName(K78,Trigger),"--")</f>
        <v>--</v>
      </c>
      <c r="M78" s="110" t="str">
        <f>IFERROR(_xll.qlRateHelperQuoteValue($K78,Trigger),"--")</f>
        <v>--</v>
      </c>
      <c r="N78" s="109" t="b">
        <v>0</v>
      </c>
      <c r="O78" s="106">
        <v>60</v>
      </c>
      <c r="P78" s="106">
        <v>1</v>
      </c>
      <c r="Q78" s="111" t="str">
        <f>IFERROR(_xll.qlRateHelperEarliestDate(K78,Trigger),"--")</f>
        <v>--</v>
      </c>
      <c r="R78" s="111" t="str">
        <f>IFERROR(_xll.qlRateHelperPillarDate(K78,Trigger),"--")</f>
        <v>--</v>
      </c>
      <c r="T78" s="4" t="str">
        <f t="shared" si="11"/>
        <v/>
      </c>
      <c r="U78" s="4" t="e">
        <v>#N/A</v>
      </c>
      <c r="V78" s="4" t="str">
        <f>IFERROR(_xll.qlRateHelperQuoteName(U78,Trigger),"")</f>
        <v/>
      </c>
      <c r="W78" s="76" t="str">
        <f>IFERROR(_xll.qlRateHelperRate(U78,Trigger),"")</f>
        <v/>
      </c>
      <c r="X78" s="116" t="str">
        <f>IF(ISERROR(_xll.qlSwapRateHelperSpread($U78)),IF(ISERROR(_xll.qlFuturesRateHelperConvexityAdjustment($U78)),"",_xll.qlFuturesRateHelperConvexityAdjustment($U78)),_xll.qlSwapRateHelperSpread($U78))</f>
        <v/>
      </c>
      <c r="Y78" s="5" t="str">
        <f>IFERROR(_xll.qlRateHelperEarliestDate(U78,Trigger),"")</f>
        <v/>
      </c>
      <c r="Z78" s="5" t="str">
        <f>IFERROR(_xll.qlRateHelperPillarDate(U78,Trigger),"")</f>
        <v/>
      </c>
      <c r="AA78" s="5" t="e">
        <v>#N/A</v>
      </c>
      <c r="AC78" s="199"/>
      <c r="AD78" s="200"/>
      <c r="AE78" s="228"/>
      <c r="AF78" s="217"/>
      <c r="AG78" s="202">
        <v>1000</v>
      </c>
      <c r="AH78" s="202">
        <v>100</v>
      </c>
      <c r="AI78" s="202">
        <v>20</v>
      </c>
      <c r="AJ78" s="202">
        <v>10</v>
      </c>
      <c r="AK78" s="202">
        <v>2</v>
      </c>
      <c r="AL78" s="202">
        <v>1</v>
      </c>
      <c r="AM78" s="202"/>
      <c r="AN78" s="217"/>
      <c r="AO78" s="202">
        <v>1000</v>
      </c>
      <c r="AP78" s="202">
        <v>100</v>
      </c>
      <c r="AQ78" s="202">
        <v>20</v>
      </c>
      <c r="AR78" s="202">
        <v>10</v>
      </c>
      <c r="AS78" s="202">
        <v>2</v>
      </c>
      <c r="AT78" s="202">
        <v>1</v>
      </c>
      <c r="AU78" s="204"/>
      <c r="AV78" s="204"/>
      <c r="AW78" s="202"/>
      <c r="AX78" s="194"/>
      <c r="AY78" s="194"/>
      <c r="AZ78" s="194"/>
      <c r="BA78" s="194"/>
      <c r="BB78" s="194"/>
      <c r="BC78" s="194"/>
      <c r="BD78" s="194"/>
      <c r="BE78" s="194"/>
      <c r="BF78" s="194"/>
      <c r="BG78" s="194"/>
      <c r="BH78" s="194"/>
      <c r="BI78" s="194"/>
      <c r="BJ78" s="194"/>
      <c r="BK78" s="194"/>
      <c r="BL78" s="194"/>
      <c r="BM78" s="194"/>
      <c r="BN78" s="194"/>
    </row>
    <row r="79" spans="1:66" ht="11.25" customHeight="1" x14ac:dyDescent="0.2">
      <c r="A79" s="64" t="s">
        <v>164</v>
      </c>
      <c r="B79" s="65" t="s">
        <v>61</v>
      </c>
      <c r="C79" s="66">
        <v>2</v>
      </c>
      <c r="D79" s="66" t="s">
        <v>166</v>
      </c>
      <c r="E79" s="67" t="s">
        <v>163</v>
      </c>
      <c r="F79" s="69" t="str">
        <f t="shared" si="18"/>
        <v>USDAM3L13M_Quote</v>
      </c>
      <c r="G79" s="69" t="str">
        <f t="shared" si="19"/>
        <v>USDFF3L13M_Quote</v>
      </c>
      <c r="H79" s="70"/>
      <c r="J79" s="11" t="str">
        <f t="shared" si="16"/>
        <v>BasOIS</v>
      </c>
      <c r="K79" s="106" t="str">
        <f t="shared" si="17"/>
        <v>--</v>
      </c>
      <c r="L79" s="109" t="str">
        <f>IFERROR(_xll.qlRateHelperQuoteName(K79,Trigger),"--")</f>
        <v>--</v>
      </c>
      <c r="M79" s="110" t="str">
        <f>IFERROR(_xll.qlRateHelperQuoteValue($K79,Trigger),"--")</f>
        <v>--</v>
      </c>
      <c r="N79" s="109" t="b">
        <v>0</v>
      </c>
      <c r="O79" s="106">
        <v>60</v>
      </c>
      <c r="P79" s="106">
        <v>1</v>
      </c>
      <c r="Q79" s="111" t="str">
        <f>IFERROR(_xll.qlRateHelperEarliestDate(K79,Trigger),"--")</f>
        <v>--</v>
      </c>
      <c r="R79" s="111" t="str">
        <f>IFERROR(_xll.qlRateHelperPillarDate(K79,Trigger),"--")</f>
        <v>--</v>
      </c>
      <c r="T79" s="4" t="str">
        <f t="shared" si="11"/>
        <v/>
      </c>
      <c r="U79" s="4" t="e">
        <v>#N/A</v>
      </c>
      <c r="V79" s="4" t="str">
        <f>IFERROR(_xll.qlRateHelperQuoteName(U79,Trigger),"")</f>
        <v/>
      </c>
      <c r="W79" s="76" t="str">
        <f>IFERROR(_xll.qlRateHelperRate(U79,Trigger),"")</f>
        <v/>
      </c>
      <c r="X79" s="116" t="str">
        <f>IF(ISERROR(_xll.qlSwapRateHelperSpread($U79)),IF(ISERROR(_xll.qlFuturesRateHelperConvexityAdjustment($U79)),"",_xll.qlFuturesRateHelperConvexityAdjustment($U79)),_xll.qlSwapRateHelperSpread($U79))</f>
        <v/>
      </c>
      <c r="Y79" s="5" t="str">
        <f>IFERROR(_xll.qlRateHelperEarliestDate(U79,Trigger),"")</f>
        <v/>
      </c>
      <c r="Z79" s="5" t="str">
        <f>IFERROR(_xll.qlRateHelperPillarDate(U79,Trigger),"")</f>
        <v/>
      </c>
      <c r="AA79" s="5" t="e">
        <v>#N/A</v>
      </c>
      <c r="AC79" s="199"/>
      <c r="AD79" s="200"/>
      <c r="AE79" s="228"/>
      <c r="AF79" s="232" t="s">
        <v>198</v>
      </c>
      <c r="AG79" s="233">
        <v>1E-3</v>
      </c>
      <c r="AH79" s="234">
        <v>0.01</v>
      </c>
      <c r="AI79" s="234">
        <v>0.05</v>
      </c>
      <c r="AJ79" s="234">
        <v>0.1</v>
      </c>
      <c r="AK79" s="234">
        <v>0.5</v>
      </c>
      <c r="AL79" s="235">
        <v>1</v>
      </c>
      <c r="AM79" s="202"/>
      <c r="AN79" s="232" t="s">
        <v>199</v>
      </c>
      <c r="AO79" s="233">
        <v>1E-3</v>
      </c>
      <c r="AP79" s="234">
        <v>0.01</v>
      </c>
      <c r="AQ79" s="234">
        <v>0.05</v>
      </c>
      <c r="AR79" s="234">
        <v>0.1</v>
      </c>
      <c r="AS79" s="234">
        <v>0.5</v>
      </c>
      <c r="AT79" s="235">
        <v>1</v>
      </c>
      <c r="AU79" s="204"/>
      <c r="AV79" s="204"/>
      <c r="AW79" s="202"/>
      <c r="AX79" s="194"/>
      <c r="AY79" s="194"/>
      <c r="AZ79" s="194"/>
      <c r="BA79" s="194"/>
      <c r="BB79" s="194"/>
      <c r="BC79" s="194"/>
      <c r="BD79" s="194"/>
      <c r="BE79" s="194"/>
      <c r="BF79" s="194"/>
      <c r="BG79" s="194"/>
      <c r="BH79" s="194"/>
      <c r="BI79" s="194"/>
      <c r="BJ79" s="194"/>
      <c r="BK79" s="194"/>
      <c r="BL79" s="194"/>
      <c r="BM79" s="194"/>
      <c r="BN79" s="194"/>
    </row>
    <row r="80" spans="1:66" ht="11.25" customHeight="1" x14ac:dyDescent="0.2">
      <c r="A80" s="64" t="s">
        <v>164</v>
      </c>
      <c r="B80" s="65" t="s">
        <v>62</v>
      </c>
      <c r="C80" s="66">
        <v>2</v>
      </c>
      <c r="D80" s="66" t="s">
        <v>166</v>
      </c>
      <c r="E80" s="67" t="s">
        <v>163</v>
      </c>
      <c r="F80" s="69" t="str">
        <f t="shared" si="18"/>
        <v>USDAM3L14M_Quote</v>
      </c>
      <c r="G80" s="69" t="str">
        <f t="shared" si="19"/>
        <v>USDFF3L14M_Quote</v>
      </c>
      <c r="H80" s="70"/>
      <c r="J80" s="11" t="str">
        <f t="shared" si="16"/>
        <v>BasOIS</v>
      </c>
      <c r="K80" s="106" t="str">
        <f t="shared" si="17"/>
        <v>--</v>
      </c>
      <c r="L80" s="109" t="str">
        <f>IFERROR(_xll.qlRateHelperQuoteName(K80,Trigger),"--")</f>
        <v>--</v>
      </c>
      <c r="M80" s="110" t="str">
        <f>IFERROR(_xll.qlRateHelperQuoteValue($K80,Trigger),"--")</f>
        <v>--</v>
      </c>
      <c r="N80" s="109" t="b">
        <v>0</v>
      </c>
      <c r="O80" s="106">
        <v>60</v>
      </c>
      <c r="P80" s="106">
        <v>1</v>
      </c>
      <c r="Q80" s="111" t="str">
        <f>IFERROR(_xll.qlRateHelperEarliestDate(K80,Trigger),"--")</f>
        <v>--</v>
      </c>
      <c r="R80" s="111" t="str">
        <f>IFERROR(_xll.qlRateHelperPillarDate(K80,Trigger),"--")</f>
        <v>--</v>
      </c>
      <c r="T80" s="4" t="str">
        <f t="shared" si="11"/>
        <v/>
      </c>
      <c r="U80" s="4" t="e">
        <v>#N/A</v>
      </c>
      <c r="V80" s="4" t="str">
        <f>IFERROR(_xll.qlRateHelperQuoteName(U80,Trigger),"")</f>
        <v/>
      </c>
      <c r="W80" s="76" t="str">
        <f>IFERROR(_xll.qlRateHelperRate(U80,Trigger),"")</f>
        <v/>
      </c>
      <c r="X80" s="116" t="str">
        <f>IF(ISERROR(_xll.qlSwapRateHelperSpread($U80)),IF(ISERROR(_xll.qlFuturesRateHelperConvexityAdjustment($U80)),"",_xll.qlFuturesRateHelperConvexityAdjustment($U80)),_xll.qlSwapRateHelperSpread($U80))</f>
        <v/>
      </c>
      <c r="Y80" s="5" t="str">
        <f>IFERROR(_xll.qlRateHelperEarliestDate(U80,Trigger),"")</f>
        <v/>
      </c>
      <c r="Z80" s="5" t="str">
        <f>IFERROR(_xll.qlRateHelperPillarDate(U80,Trigger),"")</f>
        <v/>
      </c>
      <c r="AA80" s="5" t="e">
        <v>#N/A</v>
      </c>
      <c r="AC80" s="199"/>
      <c r="AD80" s="200"/>
      <c r="AE80" s="228"/>
      <c r="AF80" s="229">
        <v>1E-4</v>
      </c>
      <c r="AG80" s="252">
        <v>3.0069884251408457E-5</v>
      </c>
      <c r="AH80" s="253">
        <v>2.7519716350096309E-5</v>
      </c>
      <c r="AI80" s="253">
        <v>1.9142834224453586E-5</v>
      </c>
      <c r="AJ80" s="253"/>
      <c r="AK80" s="253">
        <v>2.7470499058682797E-6</v>
      </c>
      <c r="AL80" s="254"/>
      <c r="AM80" s="201"/>
      <c r="AN80" s="229">
        <v>1E-4</v>
      </c>
      <c r="AO80" s="252">
        <v>2.5823302246541502E-7</v>
      </c>
      <c r="AP80" s="253">
        <v>2.5779972234740706E-7</v>
      </c>
      <c r="AQ80" s="253">
        <v>2.5588133881815349E-7</v>
      </c>
      <c r="AR80" s="253"/>
      <c r="AS80" s="253">
        <v>2.3547894765114099E-7</v>
      </c>
      <c r="AT80" s="254"/>
      <c r="AU80" s="204"/>
      <c r="AV80" s="204"/>
      <c r="AW80" s="202"/>
      <c r="AX80" s="194"/>
      <c r="AY80" s="194"/>
      <c r="AZ80" s="194"/>
      <c r="BA80" s="194"/>
      <c r="BB80" s="194"/>
      <c r="BC80" s="194"/>
      <c r="BD80" s="194"/>
      <c r="BE80" s="194"/>
      <c r="BF80" s="194"/>
      <c r="BG80" s="194"/>
      <c r="BH80" s="194"/>
      <c r="BI80" s="194"/>
      <c r="BJ80" s="194"/>
      <c r="BK80" s="194"/>
      <c r="BL80" s="194"/>
      <c r="BM80" s="194"/>
      <c r="BN80" s="194"/>
    </row>
    <row r="81" spans="1:56" x14ac:dyDescent="0.2">
      <c r="A81" s="64" t="s">
        <v>164</v>
      </c>
      <c r="B81" s="65" t="s">
        <v>63</v>
      </c>
      <c r="C81" s="66">
        <v>2</v>
      </c>
      <c r="D81" s="66" t="s">
        <v>166</v>
      </c>
      <c r="E81" s="67" t="s">
        <v>163</v>
      </c>
      <c r="F81" s="69" t="str">
        <f t="shared" si="18"/>
        <v>USDAM3L15M_Quote</v>
      </c>
      <c r="G81" s="69" t="str">
        <f t="shared" si="19"/>
        <v>USDFF3L15M_Quote</v>
      </c>
      <c r="H81" s="70"/>
      <c r="J81" s="11" t="str">
        <f t="shared" si="16"/>
        <v>BasOIS</v>
      </c>
      <c r="K81" s="106" t="str">
        <f t="shared" si="17"/>
        <v>--</v>
      </c>
      <c r="L81" s="109" t="str">
        <f>IFERROR(_xll.qlRateHelperQuoteName(K81,Trigger),"--")</f>
        <v>--</v>
      </c>
      <c r="M81" s="110" t="str">
        <f>IFERROR(_xll.qlRateHelperQuoteValue($K81,Trigger),"--")</f>
        <v>--</v>
      </c>
      <c r="N81" s="109" t="b">
        <v>0</v>
      </c>
      <c r="O81" s="106">
        <v>60</v>
      </c>
      <c r="P81" s="106">
        <v>1</v>
      </c>
      <c r="Q81" s="111" t="str">
        <f>IFERROR(_xll.qlRateHelperEarliestDate(K81,Trigger),"--")</f>
        <v>--</v>
      </c>
      <c r="R81" s="111" t="str">
        <f>IFERROR(_xll.qlRateHelperPillarDate(K81,Trigger),"--")</f>
        <v>--</v>
      </c>
      <c r="T81" s="4" t="str">
        <f t="shared" si="11"/>
        <v/>
      </c>
      <c r="U81" s="4" t="e">
        <v>#N/A</v>
      </c>
      <c r="V81" s="4" t="str">
        <f>IFERROR(_xll.qlRateHelperQuoteName(U81,Trigger),"")</f>
        <v/>
      </c>
      <c r="W81" s="76" t="str">
        <f>IFERROR(_xll.qlRateHelperRate(U81,Trigger),"")</f>
        <v/>
      </c>
      <c r="X81" s="116" t="str">
        <f>IF(ISERROR(_xll.qlSwapRateHelperSpread($U81)),IF(ISERROR(_xll.qlFuturesRateHelperConvexityAdjustment($U81)),"",_xll.qlFuturesRateHelperConvexityAdjustment($U81)),_xll.qlSwapRateHelperSpread($U81))</f>
        <v/>
      </c>
      <c r="Y81" s="5" t="str">
        <f>IFERROR(_xll.qlRateHelperEarliestDate(U81,Trigger),"")</f>
        <v/>
      </c>
      <c r="Z81" s="5" t="str">
        <f>IFERROR(_xll.qlRateHelperPillarDate(U81,Trigger),"")</f>
        <v/>
      </c>
      <c r="AA81" s="5" t="e">
        <v>#N/A</v>
      </c>
      <c r="AC81" s="199"/>
      <c r="AD81" s="200"/>
      <c r="AE81" s="228"/>
      <c r="AF81" s="230">
        <v>5.0000000000000001E-4</v>
      </c>
      <c r="AG81" s="255">
        <v>7.517471062852113E-4</v>
      </c>
      <c r="AH81" s="256">
        <v>6.8799290875240775E-4</v>
      </c>
      <c r="AI81" s="256">
        <v>4.7857085561133969E-4</v>
      </c>
      <c r="AJ81" s="256"/>
      <c r="AK81" s="256">
        <v>6.8676247646706992E-5</v>
      </c>
      <c r="AL81" s="257"/>
      <c r="AM81" s="201"/>
      <c r="AN81" s="230">
        <v>5.0000000000000001E-4</v>
      </c>
      <c r="AO81" s="255">
        <v>6.4558255616353755E-6</v>
      </c>
      <c r="AP81" s="256">
        <v>6.444993058685177E-6</v>
      </c>
      <c r="AQ81" s="256">
        <v>6.3970334704538373E-6</v>
      </c>
      <c r="AR81" s="256"/>
      <c r="AS81" s="256">
        <v>5.886973691278524E-6</v>
      </c>
      <c r="AT81" s="257"/>
      <c r="AU81" s="204"/>
      <c r="AV81" s="204"/>
      <c r="AW81" s="202"/>
      <c r="AX81" s="194"/>
      <c r="AY81" s="194"/>
      <c r="AZ81" s="194"/>
      <c r="BA81" s="194"/>
      <c r="BB81" s="194"/>
      <c r="BC81" s="194"/>
      <c r="BD81" s="194"/>
    </row>
    <row r="82" spans="1:56" x14ac:dyDescent="0.2">
      <c r="A82" s="64" t="s">
        <v>164</v>
      </c>
      <c r="B82" s="65" t="s">
        <v>64</v>
      </c>
      <c r="C82" s="66">
        <v>2</v>
      </c>
      <c r="D82" s="66" t="s">
        <v>166</v>
      </c>
      <c r="E82" s="67" t="s">
        <v>163</v>
      </c>
      <c r="F82" s="69" t="str">
        <f t="shared" si="18"/>
        <v>USDAM3L16M_Quote</v>
      </c>
      <c r="G82" s="69" t="str">
        <f t="shared" si="19"/>
        <v>USDFF3L16M_Quote</v>
      </c>
      <c r="H82" s="70"/>
      <c r="J82" s="11" t="str">
        <f t="shared" si="16"/>
        <v>BasOIS</v>
      </c>
      <c r="K82" s="106" t="str">
        <f t="shared" si="17"/>
        <v>--</v>
      </c>
      <c r="L82" s="109" t="str">
        <f>IFERROR(_xll.qlRateHelperQuoteName(K82,Trigger),"--")</f>
        <v>--</v>
      </c>
      <c r="M82" s="110" t="str">
        <f>IFERROR(_xll.qlRateHelperQuoteValue($K82,Trigger),"--")</f>
        <v>--</v>
      </c>
      <c r="N82" s="109" t="b">
        <v>0</v>
      </c>
      <c r="O82" s="106">
        <v>60</v>
      </c>
      <c r="P82" s="106">
        <v>1</v>
      </c>
      <c r="Q82" s="111" t="str">
        <f>IFERROR(_xll.qlRateHelperEarliestDate(K82,Trigger),"--")</f>
        <v>--</v>
      </c>
      <c r="R82" s="111" t="str">
        <f>IFERROR(_xll.qlRateHelperPillarDate(K82,Trigger),"--")</f>
        <v>--</v>
      </c>
      <c r="T82" s="4" t="str">
        <f t="shared" si="11"/>
        <v/>
      </c>
      <c r="U82" s="4" t="e">
        <v>#N/A</v>
      </c>
      <c r="V82" s="4" t="str">
        <f>IFERROR(_xll.qlRateHelperQuoteName(U82,Trigger),"")</f>
        <v/>
      </c>
      <c r="W82" s="76" t="str">
        <f>IFERROR(_xll.qlRateHelperRate(U82,Trigger),"")</f>
        <v/>
      </c>
      <c r="X82" s="116" t="str">
        <f>IF(ISERROR(_xll.qlSwapRateHelperSpread($U82)),IF(ISERROR(_xll.qlFuturesRateHelperConvexityAdjustment($U82)),"",_xll.qlFuturesRateHelperConvexityAdjustment($U82)),_xll.qlSwapRateHelperSpread($U82))</f>
        <v/>
      </c>
      <c r="Y82" s="5" t="str">
        <f>IFERROR(_xll.qlRateHelperEarliestDate(U82,Trigger),"")</f>
        <v/>
      </c>
      <c r="Z82" s="5" t="str">
        <f>IFERROR(_xll.qlRateHelperPillarDate(U82,Trigger),"")</f>
        <v/>
      </c>
      <c r="AA82" s="5" t="e">
        <v>#N/A</v>
      </c>
      <c r="AC82" s="199"/>
      <c r="AD82" s="200"/>
      <c r="AE82" s="228"/>
      <c r="AF82" s="230">
        <v>1E-3</v>
      </c>
      <c r="AG82" s="255">
        <v>3.0069884251408452E-3</v>
      </c>
      <c r="AH82" s="256">
        <v>2.751971635009631E-3</v>
      </c>
      <c r="AI82" s="256">
        <v>1.9142834224453588E-3</v>
      </c>
      <c r="AJ82" s="256"/>
      <c r="AK82" s="256">
        <v>2.7470499058682797E-4</v>
      </c>
      <c r="AL82" s="257"/>
      <c r="AM82" s="201"/>
      <c r="AN82" s="230">
        <v>1E-3</v>
      </c>
      <c r="AO82" s="255">
        <v>2.5823302246541502E-5</v>
      </c>
      <c r="AP82" s="256">
        <v>2.5779972234740708E-5</v>
      </c>
      <c r="AQ82" s="256">
        <v>2.5588133881815349E-5</v>
      </c>
      <c r="AR82" s="256"/>
      <c r="AS82" s="256">
        <v>2.3547894765114096E-5</v>
      </c>
      <c r="AT82" s="257"/>
      <c r="AU82" s="204"/>
      <c r="AV82" s="204"/>
      <c r="AW82" s="202"/>
      <c r="AX82" s="194"/>
      <c r="AY82" s="194"/>
      <c r="AZ82" s="194"/>
      <c r="BA82" s="194"/>
      <c r="BB82" s="194"/>
      <c r="BC82" s="194"/>
      <c r="BD82" s="194"/>
    </row>
    <row r="83" spans="1:56" x14ac:dyDescent="0.2">
      <c r="A83" s="64" t="s">
        <v>164</v>
      </c>
      <c r="B83" s="65" t="s">
        <v>65</v>
      </c>
      <c r="C83" s="66">
        <v>2</v>
      </c>
      <c r="D83" s="66" t="s">
        <v>166</v>
      </c>
      <c r="E83" s="67" t="s">
        <v>163</v>
      </c>
      <c r="F83" s="69" t="str">
        <f t="shared" si="18"/>
        <v>USDAM3L17M_Quote</v>
      </c>
      <c r="G83" s="69" t="str">
        <f t="shared" si="19"/>
        <v>USDFF3L17M_Quote</v>
      </c>
      <c r="H83" s="70"/>
      <c r="J83" s="11" t="str">
        <f t="shared" si="16"/>
        <v>BasOIS</v>
      </c>
      <c r="K83" s="106" t="str">
        <f t="shared" si="17"/>
        <v>--</v>
      </c>
      <c r="L83" s="109" t="str">
        <f>IFERROR(_xll.qlRateHelperQuoteName(K83,Trigger),"--")</f>
        <v>--</v>
      </c>
      <c r="M83" s="110" t="str">
        <f>IFERROR(_xll.qlRateHelperQuoteValue($K83,Trigger),"--")</f>
        <v>--</v>
      </c>
      <c r="N83" s="109" t="b">
        <v>0</v>
      </c>
      <c r="O83" s="106">
        <v>60</v>
      </c>
      <c r="P83" s="106">
        <v>1</v>
      </c>
      <c r="Q83" s="111" t="str">
        <f>IFERROR(_xll.qlRateHelperEarliestDate(K83,Trigger),"--")</f>
        <v>--</v>
      </c>
      <c r="R83" s="111" t="str">
        <f>IFERROR(_xll.qlRateHelperPillarDate(K83,Trigger),"--")</f>
        <v>--</v>
      </c>
      <c r="T83" s="4" t="str">
        <f t="shared" si="11"/>
        <v/>
      </c>
      <c r="U83" s="4" t="e">
        <v>#N/A</v>
      </c>
      <c r="V83" s="4" t="str">
        <f>IFERROR(_xll.qlRateHelperQuoteName(U83,Trigger),"")</f>
        <v/>
      </c>
      <c r="W83" s="76" t="str">
        <f>IFERROR(_xll.qlRateHelperRate(U83,Trigger),"")</f>
        <v/>
      </c>
      <c r="X83" s="116" t="str">
        <f>IF(ISERROR(_xll.qlSwapRateHelperSpread($U83)),IF(ISERROR(_xll.qlFuturesRateHelperConvexityAdjustment($U83)),"",_xll.qlFuturesRateHelperConvexityAdjustment($U83)),_xll.qlSwapRateHelperSpread($U83))</f>
        <v/>
      </c>
      <c r="Y83" s="5" t="str">
        <f>IFERROR(_xll.qlRateHelperEarliestDate(U83,Trigger),"")</f>
        <v/>
      </c>
      <c r="Z83" s="5" t="str">
        <f>IFERROR(_xll.qlRateHelperPillarDate(U83,Trigger),"")</f>
        <v/>
      </c>
      <c r="AA83" s="5" t="e">
        <v>#N/A</v>
      </c>
      <c r="AC83" s="199"/>
      <c r="AD83" s="200"/>
      <c r="AE83" s="228"/>
      <c r="AF83" s="230">
        <v>5.0000000000000001E-3</v>
      </c>
      <c r="AG83" s="255">
        <v>7.5174710628521144E-2</v>
      </c>
      <c r="AH83" s="256">
        <v>6.8799290875240768E-2</v>
      </c>
      <c r="AI83" s="256">
        <v>4.7857085561133966E-2</v>
      </c>
      <c r="AJ83" s="256"/>
      <c r="AK83" s="256">
        <v>6.8676247646707001E-3</v>
      </c>
      <c r="AL83" s="257"/>
      <c r="AM83" s="201"/>
      <c r="AN83" s="230">
        <v>5.0000000000000001E-3</v>
      </c>
      <c r="AO83" s="255">
        <v>6.4558255616353765E-4</v>
      </c>
      <c r="AP83" s="256">
        <v>6.4449930586851778E-4</v>
      </c>
      <c r="AQ83" s="256">
        <v>6.397033470453839E-4</v>
      </c>
      <c r="AR83" s="256"/>
      <c r="AS83" s="256">
        <v>5.8869736912785242E-4</v>
      </c>
      <c r="AT83" s="257"/>
      <c r="AU83" s="204"/>
      <c r="AV83" s="204"/>
      <c r="AW83" s="202"/>
      <c r="AX83" s="194"/>
      <c r="AY83" s="194"/>
      <c r="AZ83" s="194"/>
      <c r="BA83" s="194"/>
      <c r="BB83" s="194"/>
      <c r="BC83" s="194"/>
      <c r="BD83" s="194"/>
    </row>
    <row r="84" spans="1:56" x14ac:dyDescent="0.2">
      <c r="A84" s="64" t="s">
        <v>164</v>
      </c>
      <c r="B84" s="65" t="s">
        <v>66</v>
      </c>
      <c r="C84" s="66">
        <v>2</v>
      </c>
      <c r="D84" s="66" t="s">
        <v>166</v>
      </c>
      <c r="E84" s="67" t="s">
        <v>163</v>
      </c>
      <c r="F84" s="69" t="str">
        <f t="shared" si="18"/>
        <v>USDAM3L18M_Quote</v>
      </c>
      <c r="G84" s="69" t="str">
        <f t="shared" si="19"/>
        <v>USDFF3L18M_Quote</v>
      </c>
      <c r="H84" s="70"/>
      <c r="J84" s="11" t="str">
        <f t="shared" si="16"/>
        <v>BasOIS</v>
      </c>
      <c r="K84" s="106" t="str">
        <f t="shared" si="17"/>
        <v>--</v>
      </c>
      <c r="L84" s="109" t="str">
        <f>IFERROR(_xll.qlRateHelperQuoteName(K84,Trigger),"--")</f>
        <v>--</v>
      </c>
      <c r="M84" s="110" t="str">
        <f>IFERROR(_xll.qlRateHelperQuoteValue($K84,Trigger),"--")</f>
        <v>--</v>
      </c>
      <c r="N84" s="109" t="b">
        <v>0</v>
      </c>
      <c r="O84" s="106">
        <v>60</v>
      </c>
      <c r="P84" s="106">
        <v>1</v>
      </c>
      <c r="Q84" s="111" t="str">
        <f>IFERROR(_xll.qlRateHelperEarliestDate(K84,Trigger),"--")</f>
        <v>--</v>
      </c>
      <c r="R84" s="111" t="str">
        <f>IFERROR(_xll.qlRateHelperPillarDate(K84,Trigger),"--")</f>
        <v>--</v>
      </c>
      <c r="T84" s="4" t="str">
        <f t="shared" si="11"/>
        <v/>
      </c>
      <c r="U84" s="4" t="e">
        <v>#N/A</v>
      </c>
      <c r="V84" s="4" t="str">
        <f>IFERROR(_xll.qlRateHelperQuoteName(U84,Trigger),"")</f>
        <v/>
      </c>
      <c r="W84" s="76" t="str">
        <f>IFERROR(_xll.qlRateHelperRate(U84,Trigger),"")</f>
        <v/>
      </c>
      <c r="X84" s="116" t="str">
        <f>IF(ISERROR(_xll.qlSwapRateHelperSpread($U84)),IF(ISERROR(_xll.qlFuturesRateHelperConvexityAdjustment($U84)),"",_xll.qlFuturesRateHelperConvexityAdjustment($U84)),_xll.qlSwapRateHelperSpread($U84))</f>
        <v/>
      </c>
      <c r="Y84" s="5" t="str">
        <f>IFERROR(_xll.qlRateHelperEarliestDate(U84,Trigger),"")</f>
        <v/>
      </c>
      <c r="Z84" s="5" t="str">
        <f>IFERROR(_xll.qlRateHelperPillarDate(U84,Trigger),"")</f>
        <v/>
      </c>
      <c r="AA84" s="5" t="e">
        <v>#N/A</v>
      </c>
      <c r="AC84" s="199"/>
      <c r="AD84" s="200"/>
      <c r="AE84" s="228"/>
      <c r="AF84" s="230">
        <v>0.01</v>
      </c>
      <c r="AG84" s="255">
        <v>0.30069884251408457</v>
      </c>
      <c r="AH84" s="256">
        <v>0.27519716350096307</v>
      </c>
      <c r="AI84" s="256">
        <v>0.19142834224453587</v>
      </c>
      <c r="AJ84" s="256"/>
      <c r="AK84" s="256">
        <v>2.7470499058682801E-2</v>
      </c>
      <c r="AL84" s="257"/>
      <c r="AM84" s="201"/>
      <c r="AN84" s="230">
        <v>0.01</v>
      </c>
      <c r="AO84" s="255">
        <v>2.5823302246541506E-3</v>
      </c>
      <c r="AP84" s="256">
        <v>2.5779972234740711E-3</v>
      </c>
      <c r="AQ84" s="256">
        <v>2.5588133881815356E-3</v>
      </c>
      <c r="AR84" s="256"/>
      <c r="AS84" s="256">
        <v>2.3547894765114097E-3</v>
      </c>
      <c r="AT84" s="257"/>
      <c r="AU84" s="204"/>
      <c r="AV84" s="204"/>
      <c r="AW84" s="202"/>
      <c r="AX84" s="194"/>
      <c r="AY84" s="194"/>
      <c r="AZ84" s="194"/>
      <c r="BA84" s="194"/>
      <c r="BB84" s="194"/>
      <c r="BC84" s="194"/>
      <c r="BD84" s="194"/>
    </row>
    <row r="85" spans="1:56" x14ac:dyDescent="0.2">
      <c r="A85" s="64" t="s">
        <v>164</v>
      </c>
      <c r="B85" s="65" t="s">
        <v>67</v>
      </c>
      <c r="C85" s="66">
        <v>2</v>
      </c>
      <c r="D85" s="66" t="s">
        <v>166</v>
      </c>
      <c r="E85" s="67" t="s">
        <v>163</v>
      </c>
      <c r="F85" s="69" t="str">
        <f t="shared" si="18"/>
        <v>USDAM3L19M_Quote</v>
      </c>
      <c r="G85" s="69" t="str">
        <f t="shared" si="19"/>
        <v>USDFF3L19M_Quote</v>
      </c>
      <c r="H85" s="70"/>
      <c r="J85" s="11" t="str">
        <f t="shared" si="16"/>
        <v>BasOIS</v>
      </c>
      <c r="K85" s="106" t="str">
        <f t="shared" si="17"/>
        <v>--</v>
      </c>
      <c r="L85" s="109" t="str">
        <f>IFERROR(_xll.qlRateHelperQuoteName(K85,Trigger),"--")</f>
        <v>--</v>
      </c>
      <c r="M85" s="110" t="str">
        <f>IFERROR(_xll.qlRateHelperQuoteValue($K85,Trigger),"--")</f>
        <v>--</v>
      </c>
      <c r="N85" s="109" t="b">
        <v>0</v>
      </c>
      <c r="O85" s="106">
        <v>60</v>
      </c>
      <c r="P85" s="106">
        <v>1</v>
      </c>
      <c r="Q85" s="111" t="str">
        <f>IFERROR(_xll.qlRateHelperEarliestDate(K85,Trigger),"--")</f>
        <v>--</v>
      </c>
      <c r="R85" s="111" t="str">
        <f>IFERROR(_xll.qlRateHelperPillarDate(K85,Trigger),"--")</f>
        <v>--</v>
      </c>
      <c r="T85" s="4" t="str">
        <f t="shared" si="11"/>
        <v/>
      </c>
      <c r="U85" s="4" t="e">
        <v>#N/A</v>
      </c>
      <c r="V85" s="4" t="str">
        <f>IFERROR(_xll.qlRateHelperQuoteName(U85,Trigger),"")</f>
        <v/>
      </c>
      <c r="W85" s="76" t="str">
        <f>IFERROR(_xll.qlRateHelperRate(U85,Trigger),"")</f>
        <v/>
      </c>
      <c r="X85" s="116" t="str">
        <f>IF(ISERROR(_xll.qlSwapRateHelperSpread($U85)),IF(ISERROR(_xll.qlFuturesRateHelperConvexityAdjustment($U85)),"",_xll.qlFuturesRateHelperConvexityAdjustment($U85)),_xll.qlSwapRateHelperSpread($U85))</f>
        <v/>
      </c>
      <c r="Y85" s="5" t="str">
        <f>IFERROR(_xll.qlRateHelperEarliestDate(U85,Trigger),"")</f>
        <v/>
      </c>
      <c r="Z85" s="5" t="str">
        <f>IFERROR(_xll.qlRateHelperPillarDate(U85,Trigger),"")</f>
        <v/>
      </c>
      <c r="AA85" s="5" t="e">
        <v>#N/A</v>
      </c>
      <c r="AC85" s="199"/>
      <c r="AD85" s="200"/>
      <c r="AE85" s="228"/>
      <c r="AF85" s="230">
        <v>0.05</v>
      </c>
      <c r="AG85" s="255">
        <v>7.517471062852116</v>
      </c>
      <c r="AH85" s="256">
        <v>6.8799290875240775</v>
      </c>
      <c r="AI85" s="256">
        <v>4.7857085561133967</v>
      </c>
      <c r="AJ85" s="256"/>
      <c r="AK85" s="256">
        <v>0.68676247646707023</v>
      </c>
      <c r="AL85" s="257"/>
      <c r="AM85" s="201"/>
      <c r="AN85" s="230">
        <v>0.05</v>
      </c>
      <c r="AO85" s="255">
        <v>6.4558255616353769E-2</v>
      </c>
      <c r="AP85" s="256">
        <v>6.4449930586851792E-2</v>
      </c>
      <c r="AQ85" s="256">
        <v>6.397033470453839E-2</v>
      </c>
      <c r="AR85" s="256"/>
      <c r="AS85" s="256">
        <v>5.8869736912785256E-2</v>
      </c>
      <c r="AT85" s="257"/>
      <c r="AU85" s="204"/>
      <c r="AV85" s="204"/>
      <c r="AW85" s="202"/>
      <c r="AX85" s="194"/>
      <c r="AY85" s="194"/>
      <c r="AZ85" s="194"/>
      <c r="BA85" s="194"/>
      <c r="BB85" s="194"/>
      <c r="BC85" s="194"/>
      <c r="BD85" s="194"/>
    </row>
    <row r="86" spans="1:56" x14ac:dyDescent="0.2">
      <c r="A86" s="64" t="s">
        <v>164</v>
      </c>
      <c r="B86" s="65" t="s">
        <v>68</v>
      </c>
      <c r="C86" s="66">
        <v>2</v>
      </c>
      <c r="D86" s="66" t="s">
        <v>166</v>
      </c>
      <c r="E86" s="67" t="s">
        <v>163</v>
      </c>
      <c r="F86" s="69" t="str">
        <f t="shared" si="18"/>
        <v>USDAM3L20M_Quote</v>
      </c>
      <c r="G86" s="69" t="str">
        <f t="shared" si="19"/>
        <v>USDFF3L20M_Quote</v>
      </c>
      <c r="H86" s="70"/>
      <c r="J86" s="11" t="str">
        <f t="shared" si="16"/>
        <v>BasOIS</v>
      </c>
      <c r="K86" s="106" t="str">
        <f t="shared" si="17"/>
        <v>obj_00277#0110</v>
      </c>
      <c r="L86" s="109" t="str">
        <f>IFERROR(_xll.qlRateHelperQuoteName(K86,Trigger),"--")</f>
        <v>USDAM3L2Y_Quote</v>
      </c>
      <c r="M86" s="110">
        <f>IFERROR(_xll.qlRateHelperQuoteValue($K86,Trigger),"--")</f>
        <v>9.0299999999999998E-3</v>
      </c>
      <c r="N86" s="109" t="b">
        <v>1</v>
      </c>
      <c r="O86" s="106">
        <v>60</v>
      </c>
      <c r="P86" s="106">
        <v>1</v>
      </c>
      <c r="Q86" s="111">
        <f>IFERROR(_xll.qlRateHelperEarliestDate(K86,Trigger),"--")</f>
        <v>42436</v>
      </c>
      <c r="R86" s="111">
        <f>IFERROR(_xll.qlRateHelperPillarDate(K86,Trigger),"--")</f>
        <v>43166</v>
      </c>
      <c r="T86" s="4" t="str">
        <f t="shared" si="11"/>
        <v/>
      </c>
      <c r="U86" s="4" t="e">
        <v>#N/A</v>
      </c>
      <c r="V86" s="4" t="str">
        <f>IFERROR(_xll.qlRateHelperQuoteName(U86,Trigger),"")</f>
        <v/>
      </c>
      <c r="W86" s="76" t="str">
        <f>IFERROR(_xll.qlRateHelperRate(U86,Trigger),"")</f>
        <v/>
      </c>
      <c r="X86" s="116" t="str">
        <f>IF(ISERROR(_xll.qlSwapRateHelperSpread($U86)),IF(ISERROR(_xll.qlFuturesRateHelperConvexityAdjustment($U86)),"",_xll.qlFuturesRateHelperConvexityAdjustment($U86)),_xll.qlSwapRateHelperSpread($U86))</f>
        <v/>
      </c>
      <c r="Y86" s="5" t="str">
        <f>IFERROR(_xll.qlRateHelperEarliestDate(U86,Trigger),"")</f>
        <v/>
      </c>
      <c r="Z86" s="5" t="str">
        <f>IFERROR(_xll.qlRateHelperPillarDate(U86,Trigger),"")</f>
        <v/>
      </c>
      <c r="AA86" s="5" t="e">
        <v>#N/A</v>
      </c>
      <c r="AC86" s="199"/>
      <c r="AD86" s="200"/>
      <c r="AE86" s="228"/>
      <c r="AF86" s="230">
        <v>0.1</v>
      </c>
      <c r="AG86" s="255"/>
      <c r="AH86" s="256"/>
      <c r="AI86" s="256"/>
      <c r="AJ86" s="256"/>
      <c r="AK86" s="256"/>
      <c r="AL86" s="257"/>
      <c r="AM86" s="201"/>
      <c r="AN86" s="230">
        <v>0.1</v>
      </c>
      <c r="AO86" s="255"/>
      <c r="AP86" s="256"/>
      <c r="AQ86" s="256"/>
      <c r="AR86" s="256"/>
      <c r="AS86" s="256"/>
      <c r="AT86" s="257"/>
      <c r="AU86" s="204"/>
      <c r="AV86" s="204"/>
      <c r="AW86" s="202"/>
      <c r="AX86" s="194"/>
      <c r="AY86" s="194"/>
      <c r="AZ86" s="194"/>
      <c r="BA86" s="194"/>
      <c r="BB86" s="194"/>
      <c r="BC86" s="194"/>
      <c r="BD86" s="194"/>
    </row>
    <row r="87" spans="1:56" x14ac:dyDescent="0.2">
      <c r="A87" s="64" t="s">
        <v>164</v>
      </c>
      <c r="B87" s="65" t="s">
        <v>69</v>
      </c>
      <c r="C87" s="66">
        <v>2</v>
      </c>
      <c r="D87" s="66" t="s">
        <v>166</v>
      </c>
      <c r="E87" s="67" t="s">
        <v>163</v>
      </c>
      <c r="F87" s="69" t="str">
        <f t="shared" si="18"/>
        <v>USDAM3L21M_Quote</v>
      </c>
      <c r="G87" s="69" t="str">
        <f t="shared" si="19"/>
        <v>USDFF3L21M_Quote</v>
      </c>
      <c r="H87" s="70"/>
      <c r="J87" s="11" t="str">
        <f t="shared" si="16"/>
        <v>BasOIS</v>
      </c>
      <c r="K87" s="106" t="str">
        <f t="shared" si="17"/>
        <v>--</v>
      </c>
      <c r="L87" s="109" t="str">
        <f>IFERROR(_xll.qlRateHelperQuoteName(K87,Trigger),"--")</f>
        <v>--</v>
      </c>
      <c r="M87" s="110" t="str">
        <f>IFERROR(_xll.qlRateHelperQuoteValue($K87,Trigger),"--")</f>
        <v>--</v>
      </c>
      <c r="N87" s="109" t="b">
        <v>0</v>
      </c>
      <c r="O87" s="106">
        <v>60</v>
      </c>
      <c r="P87" s="106">
        <v>1</v>
      </c>
      <c r="Q87" s="111" t="str">
        <f>IFERROR(_xll.qlRateHelperEarliestDate(K87,Trigger),"--")</f>
        <v>--</v>
      </c>
      <c r="R87" s="111" t="str">
        <f>IFERROR(_xll.qlRateHelperPillarDate(K87,Trigger),"--")</f>
        <v>--</v>
      </c>
      <c r="T87" s="4" t="str">
        <f t="shared" si="11"/>
        <v/>
      </c>
      <c r="U87" s="4" t="e">
        <v>#N/A</v>
      </c>
      <c r="V87" s="4" t="str">
        <f>IFERROR(_xll.qlRateHelperQuoteName(U87,Trigger),"")</f>
        <v/>
      </c>
      <c r="W87" s="76" t="str">
        <f>IFERROR(_xll.qlRateHelperRate(U87,Trigger),"")</f>
        <v/>
      </c>
      <c r="X87" s="116" t="str">
        <f>IF(ISERROR(_xll.qlSwapRateHelperSpread($U87)),IF(ISERROR(_xll.qlFuturesRateHelperConvexityAdjustment($U87)),"",_xll.qlFuturesRateHelperConvexityAdjustment($U87)),_xll.qlSwapRateHelperSpread($U87))</f>
        <v/>
      </c>
      <c r="Y87" s="5" t="str">
        <f>IFERROR(_xll.qlRateHelperEarliestDate(U87,Trigger),"")</f>
        <v/>
      </c>
      <c r="Z87" s="5" t="str">
        <f>IFERROR(_xll.qlRateHelperPillarDate(U87,Trigger),"")</f>
        <v/>
      </c>
      <c r="AA87" s="5" t="e">
        <v>#N/A</v>
      </c>
      <c r="AC87" s="199"/>
      <c r="AD87" s="200"/>
      <c r="AE87" s="200"/>
      <c r="AF87" s="231">
        <v>0.3</v>
      </c>
      <c r="AG87" s="258">
        <v>270.62895826267606</v>
      </c>
      <c r="AH87" s="259"/>
      <c r="AI87" s="259">
        <v>172.28550802008226</v>
      </c>
      <c r="AJ87" s="259"/>
      <c r="AK87" s="259">
        <v>24.723449152814517</v>
      </c>
      <c r="AL87" s="260"/>
      <c r="AM87" s="201"/>
      <c r="AN87" s="231">
        <v>0.3</v>
      </c>
      <c r="AO87" s="258">
        <v>2.3240972021887352</v>
      </c>
      <c r="AP87" s="259"/>
      <c r="AQ87" s="259">
        <v>2.3029320493633816</v>
      </c>
      <c r="AR87" s="259"/>
      <c r="AS87" s="259">
        <v>2.1193105288602685</v>
      </c>
      <c r="AT87" s="260"/>
      <c r="AU87" s="204"/>
      <c r="AV87" s="204"/>
      <c r="AW87" s="202"/>
      <c r="AX87" s="194"/>
      <c r="AY87" s="194"/>
      <c r="AZ87" s="194"/>
      <c r="BA87" s="194"/>
      <c r="BB87" s="194"/>
      <c r="BC87" s="194"/>
      <c r="BD87" s="194"/>
    </row>
    <row r="88" spans="1:56" x14ac:dyDescent="0.2">
      <c r="A88" s="64" t="s">
        <v>164</v>
      </c>
      <c r="B88" s="65" t="s">
        <v>70</v>
      </c>
      <c r="C88" s="66">
        <v>2</v>
      </c>
      <c r="D88" s="66" t="s">
        <v>166</v>
      </c>
      <c r="E88" s="67" t="s">
        <v>163</v>
      </c>
      <c r="F88" s="69" t="str">
        <f t="shared" si="18"/>
        <v>USDAM3L22M_Quote</v>
      </c>
      <c r="G88" s="69" t="str">
        <f t="shared" si="19"/>
        <v>USDFF3L22M_Quote</v>
      </c>
      <c r="H88" s="70"/>
      <c r="J88" s="11" t="str">
        <f t="shared" si="16"/>
        <v>BasOIS</v>
      </c>
      <c r="K88" s="106" t="str">
        <f t="shared" si="17"/>
        <v>--</v>
      </c>
      <c r="L88" s="109" t="str">
        <f>IFERROR(_xll.qlRateHelperQuoteName(K88,Trigger),"--")</f>
        <v>--</v>
      </c>
      <c r="M88" s="110" t="str">
        <f>IFERROR(_xll.qlRateHelperQuoteValue($K88,Trigger),"--")</f>
        <v>--</v>
      </c>
      <c r="N88" s="109" t="b">
        <v>0</v>
      </c>
      <c r="O88" s="106">
        <v>60</v>
      </c>
      <c r="P88" s="106">
        <v>1</v>
      </c>
      <c r="Q88" s="111" t="str">
        <f>IFERROR(_xll.qlRateHelperEarliestDate(K88,Trigger),"--")</f>
        <v>--</v>
      </c>
      <c r="R88" s="111" t="str">
        <f>IFERROR(_xll.qlRateHelperPillarDate(K88,Trigger),"--")</f>
        <v>--</v>
      </c>
      <c r="T88" s="4" t="str">
        <f t="shared" si="11"/>
        <v/>
      </c>
      <c r="U88" s="4" t="e">
        <v>#N/A</v>
      </c>
      <c r="V88" s="4" t="str">
        <f>IFERROR(_xll.qlRateHelperQuoteName(U88,Trigger),"")</f>
        <v/>
      </c>
      <c r="W88" s="76" t="str">
        <f>IFERROR(_xll.qlRateHelperRate(U88,Trigger),"")</f>
        <v/>
      </c>
      <c r="X88" s="116" t="str">
        <f>IF(ISERROR(_xll.qlSwapRateHelperSpread($U88)),IF(ISERROR(_xll.qlFuturesRateHelperConvexityAdjustment($U88)),"",_xll.qlFuturesRateHelperConvexityAdjustment($U88)),_xll.qlSwapRateHelperSpread($U88))</f>
        <v/>
      </c>
      <c r="Y88" s="5" t="str">
        <f>IFERROR(_xll.qlRateHelperEarliestDate(U88,Trigger),"")</f>
        <v/>
      </c>
      <c r="Z88" s="5" t="str">
        <f>IFERROR(_xll.qlRateHelperPillarDate(U88,Trigger),"")</f>
        <v/>
      </c>
      <c r="AA88" s="5" t="e">
        <v>#N/A</v>
      </c>
      <c r="AC88" s="199"/>
      <c r="AD88" s="200"/>
      <c r="AE88" s="200"/>
      <c r="AF88" s="217"/>
      <c r="AG88" s="199"/>
      <c r="AH88" s="199"/>
      <c r="AI88" s="201"/>
      <c r="AJ88" s="202"/>
      <c r="AK88" s="201"/>
      <c r="AL88" s="199"/>
      <c r="AM88" s="201"/>
      <c r="AN88" s="203"/>
      <c r="AO88" s="204"/>
      <c r="AP88" s="204"/>
      <c r="AQ88" s="205"/>
      <c r="AR88" s="204"/>
      <c r="AS88" s="204"/>
      <c r="AT88" s="204"/>
      <c r="AU88" s="204"/>
      <c r="AV88" s="204"/>
      <c r="AW88" s="202"/>
      <c r="AX88" s="194"/>
      <c r="AY88" s="194"/>
      <c r="AZ88" s="194"/>
      <c r="BA88" s="194"/>
      <c r="BB88" s="194"/>
      <c r="BC88" s="194"/>
      <c r="BD88" s="194"/>
    </row>
    <row r="89" spans="1:56" x14ac:dyDescent="0.2">
      <c r="A89" s="64" t="s">
        <v>164</v>
      </c>
      <c r="B89" s="65" t="s">
        <v>71</v>
      </c>
      <c r="C89" s="66">
        <v>2</v>
      </c>
      <c r="D89" s="66" t="s">
        <v>166</v>
      </c>
      <c r="E89" s="67" t="s">
        <v>163</v>
      </c>
      <c r="F89" s="69" t="str">
        <f t="shared" si="18"/>
        <v>USDAM3L23M_Quote</v>
      </c>
      <c r="G89" s="69" t="str">
        <f t="shared" si="19"/>
        <v>USDFF3L23M_Quote</v>
      </c>
      <c r="H89" s="70"/>
      <c r="J89" s="11" t="str">
        <f t="shared" si="16"/>
        <v>BasOIS</v>
      </c>
      <c r="K89" s="106" t="str">
        <f t="shared" si="17"/>
        <v>--</v>
      </c>
      <c r="L89" s="109" t="str">
        <f>IFERROR(_xll.qlRateHelperQuoteName(K89,Trigger),"--")</f>
        <v>--</v>
      </c>
      <c r="M89" s="110" t="str">
        <f>IFERROR(_xll.qlRateHelperQuoteValue($K89,Trigger),"--")</f>
        <v>--</v>
      </c>
      <c r="N89" s="109" t="b">
        <v>0</v>
      </c>
      <c r="O89" s="106">
        <v>60</v>
      </c>
      <c r="P89" s="106">
        <v>1</v>
      </c>
      <c r="Q89" s="111" t="str">
        <f>IFERROR(_xll.qlRateHelperEarliestDate(K89,Trigger),"--")</f>
        <v>--</v>
      </c>
      <c r="R89" s="111" t="str">
        <f>IFERROR(_xll.qlRateHelperPillarDate(K89,Trigger),"--")</f>
        <v>--</v>
      </c>
      <c r="T89" s="4" t="str">
        <f t="shared" si="11"/>
        <v/>
      </c>
      <c r="U89" s="4" t="e">
        <v>#N/A</v>
      </c>
      <c r="V89" s="4" t="str">
        <f>IFERROR(_xll.qlRateHelperQuoteName(U89,Trigger),"")</f>
        <v/>
      </c>
      <c r="W89" s="76" t="str">
        <f>IFERROR(_xll.qlRateHelperRate(U89,Trigger),"")</f>
        <v/>
      </c>
      <c r="X89" s="116" t="str">
        <f>IF(ISERROR(_xll.qlSwapRateHelperSpread($U89)),IF(ISERROR(_xll.qlFuturesRateHelperConvexityAdjustment($U89)),"",_xll.qlFuturesRateHelperConvexityAdjustment($U89)),_xll.qlSwapRateHelperSpread($U89))</f>
        <v/>
      </c>
      <c r="Y89" s="5" t="str">
        <f>IFERROR(_xll.qlRateHelperEarliestDate(U89,Trigger),"")</f>
        <v/>
      </c>
      <c r="Z89" s="5" t="str">
        <f>IFERROR(_xll.qlRateHelperPillarDate(U89,Trigger),"")</f>
        <v/>
      </c>
      <c r="AA89" s="5" t="e">
        <v>#N/A</v>
      </c>
      <c r="AC89" s="199"/>
      <c r="AD89" s="200"/>
      <c r="AE89" s="200"/>
      <c r="AF89" s="217"/>
      <c r="AG89" s="191"/>
      <c r="AH89" s="191"/>
      <c r="AI89" s="193"/>
      <c r="AJ89" s="194"/>
      <c r="AK89" s="193"/>
      <c r="AL89" s="191"/>
      <c r="AM89" s="193"/>
      <c r="AN89" s="195"/>
      <c r="AO89" s="196"/>
      <c r="AP89" s="196"/>
      <c r="AQ89" s="197"/>
      <c r="AR89" s="196"/>
      <c r="AS89" s="196"/>
      <c r="AT89" s="196"/>
      <c r="AU89" s="196"/>
      <c r="AV89" s="196"/>
      <c r="AW89" s="194"/>
      <c r="AX89" s="194"/>
      <c r="AY89" s="194"/>
      <c r="AZ89" s="194"/>
      <c r="BA89" s="194"/>
      <c r="BB89" s="194"/>
      <c r="BC89" s="194"/>
      <c r="BD89" s="194"/>
    </row>
    <row r="90" spans="1:56" x14ac:dyDescent="0.2">
      <c r="A90" s="64" t="s">
        <v>164</v>
      </c>
      <c r="B90" s="65" t="s">
        <v>72</v>
      </c>
      <c r="C90" s="66">
        <v>2</v>
      </c>
      <c r="D90" s="66" t="s">
        <v>166</v>
      </c>
      <c r="E90" s="67" t="s">
        <v>163</v>
      </c>
      <c r="F90" s="69" t="str">
        <f t="shared" si="18"/>
        <v>USDAM3L2Y_Quote</v>
      </c>
      <c r="G90" s="69" t="str">
        <f t="shared" si="19"/>
        <v>USDFF3L2Y_Quote</v>
      </c>
      <c r="H90" s="70" t="str">
        <f>_xll.qlOISAARateHelper(,C90,B90,F90,E90,G90,D90,TRUE,$G$62,$H$62,,Permanent,Trigger,ObjectOverwrite)</f>
        <v>obj_00277#0110</v>
      </c>
      <c r="J90" s="11" t="str">
        <f t="shared" si="16"/>
        <v>BasOIS</v>
      </c>
      <c r="K90" s="106" t="str">
        <f t="shared" si="17"/>
        <v>obj_00272#0110</v>
      </c>
      <c r="L90" s="109" t="str">
        <f>IFERROR(_xll.qlRateHelperQuoteName(K90,Trigger),"--")</f>
        <v>USDAM3L3Y_Quote</v>
      </c>
      <c r="M90" s="110">
        <f>IFERROR(_xll.qlRateHelperQuoteValue($K90,Trigger),"--")</f>
        <v>1.0289999999999999E-2</v>
      </c>
      <c r="N90" s="109" t="b">
        <v>1</v>
      </c>
      <c r="O90" s="106">
        <v>60</v>
      </c>
      <c r="P90" s="106">
        <v>1</v>
      </c>
      <c r="Q90" s="111">
        <f>IFERROR(_xll.qlRateHelperEarliestDate(K90,Trigger),"--")</f>
        <v>42436</v>
      </c>
      <c r="R90" s="111">
        <f>IFERROR(_xll.qlRateHelperPillarDate(K90,Trigger),"--")</f>
        <v>43531</v>
      </c>
      <c r="T90" s="4" t="str">
        <f t="shared" si="11"/>
        <v/>
      </c>
      <c r="U90" s="4" t="e">
        <v>#N/A</v>
      </c>
      <c r="V90" s="4" t="str">
        <f>IFERROR(_xll.qlRateHelperQuoteName(U90,Trigger),"")</f>
        <v/>
      </c>
      <c r="W90" s="76" t="str">
        <f>IFERROR(_xll.qlRateHelperRate(U90,Trigger),"")</f>
        <v/>
      </c>
      <c r="X90" s="116" t="str">
        <f>IF(ISERROR(_xll.qlSwapRateHelperSpread($U90)),IF(ISERROR(_xll.qlFuturesRateHelperConvexityAdjustment($U90)),"",_xll.qlFuturesRateHelperConvexityAdjustment($U90)),_xll.qlSwapRateHelperSpread($U90))</f>
        <v/>
      </c>
      <c r="Y90" s="5" t="str">
        <f>IFERROR(_xll.qlRateHelperEarliestDate(U90,Trigger),"")</f>
        <v/>
      </c>
      <c r="Z90" s="5" t="str">
        <f>IFERROR(_xll.qlRateHelperPillarDate(U90,Trigger),"")</f>
        <v/>
      </c>
      <c r="AA90" s="5" t="e">
        <v>#N/A</v>
      </c>
      <c r="AC90" s="199"/>
      <c r="AD90" s="200"/>
      <c r="AE90" s="200"/>
      <c r="AF90" s="217"/>
      <c r="AX90" s="194"/>
      <c r="AY90" s="194"/>
      <c r="AZ90" s="194"/>
      <c r="BA90" s="194"/>
      <c r="BB90" s="194"/>
      <c r="BC90" s="194"/>
      <c r="BD90" s="194"/>
    </row>
    <row r="91" spans="1:56" x14ac:dyDescent="0.2">
      <c r="A91" s="64" t="s">
        <v>164</v>
      </c>
      <c r="B91" s="65" t="s">
        <v>73</v>
      </c>
      <c r="C91" s="66">
        <v>2</v>
      </c>
      <c r="D91" s="66" t="s">
        <v>166</v>
      </c>
      <c r="E91" s="67" t="s">
        <v>163</v>
      </c>
      <c r="F91" s="69" t="str">
        <f t="shared" si="18"/>
        <v>USDAM3L27M_Quote</v>
      </c>
      <c r="G91" s="69" t="str">
        <f t="shared" si="19"/>
        <v>USDFF3L27M_Quote</v>
      </c>
      <c r="H91" s="70"/>
      <c r="J91" s="11" t="str">
        <f t="shared" si="16"/>
        <v>BasOIS</v>
      </c>
      <c r="K91" s="106" t="str">
        <f t="shared" si="17"/>
        <v>--</v>
      </c>
      <c r="L91" s="109" t="str">
        <f>IFERROR(_xll.qlRateHelperQuoteName(K91,Trigger),"--")</f>
        <v>--</v>
      </c>
      <c r="M91" s="110" t="str">
        <f>IFERROR(_xll.qlRateHelperQuoteValue($K91,Trigger),"--")</f>
        <v>--</v>
      </c>
      <c r="N91" s="109" t="b">
        <v>0</v>
      </c>
      <c r="O91" s="106">
        <v>60</v>
      </c>
      <c r="P91" s="106">
        <v>1</v>
      </c>
      <c r="Q91" s="111" t="str">
        <f>IFERROR(_xll.qlRateHelperEarliestDate(K91,Trigger),"--")</f>
        <v>--</v>
      </c>
      <c r="R91" s="111" t="str">
        <f>IFERROR(_xll.qlRateHelperPillarDate(K91,Trigger),"--")</f>
        <v>--</v>
      </c>
      <c r="T91" s="4" t="str">
        <f t="shared" si="11"/>
        <v/>
      </c>
      <c r="U91" s="4" t="e">
        <v>#N/A</v>
      </c>
      <c r="V91" s="4" t="str">
        <f>IFERROR(_xll.qlRateHelperQuoteName(U91,Trigger),"")</f>
        <v/>
      </c>
      <c r="W91" s="76" t="str">
        <f>IFERROR(_xll.qlRateHelperRate(U91,Trigger),"")</f>
        <v/>
      </c>
      <c r="X91" s="116" t="str">
        <f>IF(ISERROR(_xll.qlSwapRateHelperSpread($U91)),IF(ISERROR(_xll.qlFuturesRateHelperConvexityAdjustment($U91)),"",_xll.qlFuturesRateHelperConvexityAdjustment($U91)),_xll.qlSwapRateHelperSpread($U91))</f>
        <v/>
      </c>
      <c r="Y91" s="5" t="str">
        <f>IFERROR(_xll.qlRateHelperEarliestDate(U91,Trigger),"")</f>
        <v/>
      </c>
      <c r="Z91" s="5" t="str">
        <f>IFERROR(_xll.qlRateHelperPillarDate(U91,Trigger),"")</f>
        <v/>
      </c>
      <c r="AA91" s="5" t="e">
        <v>#N/A</v>
      </c>
      <c r="AC91" s="199"/>
      <c r="AD91" s="200"/>
      <c r="AX91" s="194"/>
      <c r="AY91" s="194"/>
      <c r="AZ91" s="194"/>
      <c r="BA91" s="194"/>
      <c r="BB91" s="194"/>
      <c r="BC91" s="194"/>
      <c r="BD91" s="194"/>
    </row>
    <row r="92" spans="1:56" x14ac:dyDescent="0.2">
      <c r="A92" s="64" t="s">
        <v>164</v>
      </c>
      <c r="B92" s="65" t="s">
        <v>74</v>
      </c>
      <c r="C92" s="66">
        <v>2</v>
      </c>
      <c r="D92" s="66" t="s">
        <v>166</v>
      </c>
      <c r="E92" s="67" t="s">
        <v>163</v>
      </c>
      <c r="F92" s="69" t="str">
        <f t="shared" si="18"/>
        <v>USDAM3L30M_Quote</v>
      </c>
      <c r="G92" s="69" t="str">
        <f t="shared" si="19"/>
        <v>USDFF3L30M_Quote</v>
      </c>
      <c r="H92" s="70"/>
      <c r="J92" s="11" t="str">
        <f t="shared" si="16"/>
        <v>BasOIS</v>
      </c>
      <c r="K92" s="106" t="str">
        <f t="shared" si="17"/>
        <v>--</v>
      </c>
      <c r="L92" s="109" t="str">
        <f>IFERROR(_xll.qlRateHelperQuoteName(K92,Trigger),"--")</f>
        <v>--</v>
      </c>
      <c r="M92" s="110" t="str">
        <f>IFERROR(_xll.qlRateHelperQuoteValue($K92,Trigger),"--")</f>
        <v>--</v>
      </c>
      <c r="N92" s="109" t="b">
        <v>0</v>
      </c>
      <c r="O92" s="106">
        <v>60</v>
      </c>
      <c r="P92" s="106">
        <v>1</v>
      </c>
      <c r="Q92" s="111" t="str">
        <f>IFERROR(_xll.qlRateHelperEarliestDate(K92,Trigger),"--")</f>
        <v>--</v>
      </c>
      <c r="R92" s="111" t="str">
        <f>IFERROR(_xll.qlRateHelperPillarDate(K92,Trigger),"--")</f>
        <v>--</v>
      </c>
      <c r="T92" s="4" t="str">
        <f t="shared" si="11"/>
        <v/>
      </c>
      <c r="U92" s="4" t="e">
        <v>#N/A</v>
      </c>
      <c r="V92" s="4" t="str">
        <f>IFERROR(_xll.qlRateHelperQuoteName(U92,Trigger),"")</f>
        <v/>
      </c>
      <c r="W92" s="76" t="str">
        <f>IFERROR(_xll.qlRateHelperRate(U92,Trigger),"")</f>
        <v/>
      </c>
      <c r="X92" s="116" t="str">
        <f>IF(ISERROR(_xll.qlSwapRateHelperSpread($U92)),IF(ISERROR(_xll.qlFuturesRateHelperConvexityAdjustment($U92)),"",_xll.qlFuturesRateHelperConvexityAdjustment($U92)),_xll.qlSwapRateHelperSpread($U92))</f>
        <v/>
      </c>
      <c r="Y92" s="5" t="str">
        <f>IFERROR(_xll.qlRateHelperEarliestDate(U92,Trigger),"")</f>
        <v/>
      </c>
      <c r="Z92" s="5" t="str">
        <f>IFERROR(_xll.qlRateHelperPillarDate(U92,Trigger),"")</f>
        <v/>
      </c>
      <c r="AA92" s="5" t="e">
        <v>#N/A</v>
      </c>
      <c r="AC92" s="199"/>
      <c r="AD92" s="200"/>
      <c r="AX92" s="194"/>
      <c r="AY92" s="194"/>
      <c r="AZ92" s="194"/>
      <c r="BA92" s="194"/>
      <c r="BB92" s="194"/>
      <c r="BC92" s="194"/>
      <c r="BD92" s="194"/>
    </row>
    <row r="93" spans="1:56" x14ac:dyDescent="0.2">
      <c r="A93" s="64" t="s">
        <v>164</v>
      </c>
      <c r="B93" s="65" t="s">
        <v>75</v>
      </c>
      <c r="C93" s="66">
        <v>2</v>
      </c>
      <c r="D93" s="66" t="s">
        <v>166</v>
      </c>
      <c r="E93" s="67" t="s">
        <v>163</v>
      </c>
      <c r="F93" s="69" t="str">
        <f t="shared" si="18"/>
        <v>USDAM3L33M_Quote</v>
      </c>
      <c r="G93" s="69" t="str">
        <f t="shared" si="19"/>
        <v>USDFF3L33M_Quote</v>
      </c>
      <c r="H93" s="70"/>
      <c r="J93" s="11" t="str">
        <f t="shared" si="16"/>
        <v>BasOIS</v>
      </c>
      <c r="K93" s="106" t="str">
        <f t="shared" si="17"/>
        <v>--</v>
      </c>
      <c r="L93" s="109" t="str">
        <f>IFERROR(_xll.qlRateHelperQuoteName(K93,Trigger),"--")</f>
        <v>--</v>
      </c>
      <c r="M93" s="110" t="str">
        <f>IFERROR(_xll.qlRateHelperQuoteValue($K93,Trigger),"--")</f>
        <v>--</v>
      </c>
      <c r="N93" s="109" t="b">
        <v>0</v>
      </c>
      <c r="O93" s="106">
        <v>60</v>
      </c>
      <c r="P93" s="106">
        <v>1</v>
      </c>
      <c r="Q93" s="111" t="str">
        <f>IFERROR(_xll.qlRateHelperEarliestDate(K93,Trigger),"--")</f>
        <v>--</v>
      </c>
      <c r="R93" s="111" t="str">
        <f>IFERROR(_xll.qlRateHelperPillarDate(K93,Trigger),"--")</f>
        <v>--</v>
      </c>
      <c r="T93" s="4" t="str">
        <f t="shared" si="11"/>
        <v/>
      </c>
      <c r="U93" s="4" t="e">
        <v>#N/A</v>
      </c>
      <c r="V93" s="4" t="str">
        <f>IFERROR(_xll.qlRateHelperQuoteName(U93,Trigger),"")</f>
        <v/>
      </c>
      <c r="W93" s="76" t="str">
        <f>IFERROR(_xll.qlRateHelperRate(U93,Trigger),"")</f>
        <v/>
      </c>
      <c r="X93" s="116" t="str">
        <f>IF(ISERROR(_xll.qlSwapRateHelperSpread($U93)),IF(ISERROR(_xll.qlFuturesRateHelperConvexityAdjustment($U93)),"",_xll.qlFuturesRateHelperConvexityAdjustment($U93)),_xll.qlSwapRateHelperSpread($U93))</f>
        <v/>
      </c>
      <c r="Y93" s="5" t="str">
        <f>IFERROR(_xll.qlRateHelperEarliestDate(U93,Trigger),"")</f>
        <v/>
      </c>
      <c r="Z93" s="5" t="str">
        <f>IFERROR(_xll.qlRateHelperPillarDate(U93,Trigger),"")</f>
        <v/>
      </c>
      <c r="AA93" s="5" t="e">
        <v>#N/A</v>
      </c>
      <c r="AC93" s="199"/>
      <c r="AD93" s="200"/>
      <c r="AX93" s="194"/>
      <c r="AY93" s="194"/>
      <c r="AZ93" s="194"/>
      <c r="BA93" s="194"/>
      <c r="BB93" s="194"/>
      <c r="BC93" s="194"/>
      <c r="BD93" s="194"/>
    </row>
    <row r="94" spans="1:56" x14ac:dyDescent="0.2">
      <c r="A94" s="64" t="s">
        <v>164</v>
      </c>
      <c r="B94" s="65" t="s">
        <v>76</v>
      </c>
      <c r="C94" s="66">
        <v>2</v>
      </c>
      <c r="D94" s="66" t="s">
        <v>166</v>
      </c>
      <c r="E94" s="67" t="s">
        <v>163</v>
      </c>
      <c r="F94" s="69" t="str">
        <f t="shared" si="18"/>
        <v>USDAM3L3Y_Quote</v>
      </c>
      <c r="G94" s="69" t="str">
        <f t="shared" si="19"/>
        <v>USDFF3L3Y_Quote</v>
      </c>
      <c r="H94" s="70" t="str">
        <f>_xll.qlOISAARateHelper(,C94,B94,F94,E94,G94,D94,TRUE,$G$62,$H$62,,Permanent,Trigger,ObjectOverwrite)</f>
        <v>obj_00272#0110</v>
      </c>
      <c r="J94" s="11" t="str">
        <f t="shared" si="16"/>
        <v>BasOIS</v>
      </c>
      <c r="K94" s="106" t="str">
        <f t="shared" si="17"/>
        <v>obj_00275#0110</v>
      </c>
      <c r="L94" s="109" t="str">
        <f>IFERROR(_xll.qlRateHelperQuoteName(K94,Trigger),"--")</f>
        <v>USDAM3L4Y_Quote</v>
      </c>
      <c r="M94" s="110">
        <f>IFERROR(_xll.qlRateHelperQuoteValue($K94,Trigger),"--")</f>
        <v>1.153E-2</v>
      </c>
      <c r="N94" s="109" t="b">
        <v>1</v>
      </c>
      <c r="O94" s="106">
        <v>60</v>
      </c>
      <c r="P94" s="106">
        <v>1</v>
      </c>
      <c r="Q94" s="111">
        <f>IFERROR(_xll.qlRateHelperEarliestDate(K94,Trigger),"--")</f>
        <v>42436</v>
      </c>
      <c r="R94" s="111">
        <f>IFERROR(_xll.qlRateHelperPillarDate(K94,Trigger),"--")</f>
        <v>43899</v>
      </c>
      <c r="T94" s="4" t="str">
        <f t="shared" si="11"/>
        <v/>
      </c>
      <c r="U94" s="4" t="e">
        <v>#N/A</v>
      </c>
      <c r="V94" s="4" t="str">
        <f>IFERROR(_xll.qlRateHelperQuoteName(U94,Trigger),"")</f>
        <v/>
      </c>
      <c r="W94" s="76" t="str">
        <f>IFERROR(_xll.qlRateHelperRate(U94,Trigger),"")</f>
        <v/>
      </c>
      <c r="X94" s="116" t="str">
        <f>IF(ISERROR(_xll.qlSwapRateHelperSpread($U94)),IF(ISERROR(_xll.qlFuturesRateHelperConvexityAdjustment($U94)),"",_xll.qlFuturesRateHelperConvexityAdjustment($U94)),_xll.qlSwapRateHelperSpread($U94))</f>
        <v/>
      </c>
      <c r="Y94" s="5" t="str">
        <f>IFERROR(_xll.qlRateHelperEarliestDate(U94,Trigger),"")</f>
        <v/>
      </c>
      <c r="Z94" s="5" t="str">
        <f>IFERROR(_xll.qlRateHelperPillarDate(U94,Trigger),"")</f>
        <v/>
      </c>
      <c r="AA94" s="5" t="e">
        <v>#N/A</v>
      </c>
      <c r="AC94" s="199"/>
      <c r="AD94" s="200"/>
      <c r="AX94" s="194"/>
      <c r="AY94" s="194"/>
      <c r="AZ94" s="194"/>
      <c r="BA94" s="194"/>
      <c r="BB94" s="194"/>
      <c r="BC94" s="194"/>
      <c r="BD94" s="194"/>
    </row>
    <row r="95" spans="1:56" x14ac:dyDescent="0.2">
      <c r="A95" s="64" t="s">
        <v>164</v>
      </c>
      <c r="B95" s="65" t="s">
        <v>77</v>
      </c>
      <c r="C95" s="66">
        <v>2</v>
      </c>
      <c r="D95" s="66" t="s">
        <v>166</v>
      </c>
      <c r="E95" s="67" t="s">
        <v>163</v>
      </c>
      <c r="F95" s="69" t="str">
        <f t="shared" si="18"/>
        <v>USDAM3L39M_Quote</v>
      </c>
      <c r="G95" s="69" t="str">
        <f t="shared" si="19"/>
        <v>USDFF3L39M_Quote</v>
      </c>
      <c r="H95" s="70"/>
      <c r="J95" s="11" t="str">
        <f t="shared" si="16"/>
        <v>BasOIS</v>
      </c>
      <c r="K95" s="106" t="str">
        <f t="shared" si="17"/>
        <v>--</v>
      </c>
      <c r="L95" s="109" t="str">
        <f>IFERROR(_xll.qlRateHelperQuoteName(K95,Trigger),"--")</f>
        <v>--</v>
      </c>
      <c r="M95" s="110" t="str">
        <f>IFERROR(_xll.qlRateHelperQuoteValue($K95,Trigger),"--")</f>
        <v>--</v>
      </c>
      <c r="N95" s="109" t="b">
        <v>0</v>
      </c>
      <c r="O95" s="106">
        <v>60</v>
      </c>
      <c r="P95" s="106">
        <v>1</v>
      </c>
      <c r="Q95" s="111" t="str">
        <f>IFERROR(_xll.qlRateHelperEarliestDate(K95,Trigger),"--")</f>
        <v>--</v>
      </c>
      <c r="R95" s="111" t="str">
        <f>IFERROR(_xll.qlRateHelperPillarDate(K95,Trigger),"--")</f>
        <v>--</v>
      </c>
      <c r="T95" s="4" t="str">
        <f t="shared" si="11"/>
        <v/>
      </c>
      <c r="U95" s="4" t="e">
        <v>#N/A</v>
      </c>
      <c r="V95" s="4" t="str">
        <f>IFERROR(_xll.qlRateHelperQuoteName(U95,Trigger),"")</f>
        <v/>
      </c>
      <c r="W95" s="76" t="str">
        <f>IFERROR(_xll.qlRateHelperRate(U95,Trigger),"")</f>
        <v/>
      </c>
      <c r="X95" s="116" t="str">
        <f>IF(ISERROR(_xll.qlSwapRateHelperSpread($U95)),IF(ISERROR(_xll.qlFuturesRateHelperConvexityAdjustment($U95)),"",_xll.qlFuturesRateHelperConvexityAdjustment($U95)),_xll.qlSwapRateHelperSpread($U95))</f>
        <v/>
      </c>
      <c r="Y95" s="5" t="str">
        <f>IFERROR(_xll.qlRateHelperEarliestDate(U95,Trigger),"")</f>
        <v/>
      </c>
      <c r="Z95" s="5" t="str">
        <f>IFERROR(_xll.qlRateHelperPillarDate(U95,Trigger),"")</f>
        <v/>
      </c>
      <c r="AA95" s="5" t="e">
        <v>#N/A</v>
      </c>
      <c r="AC95" s="199"/>
      <c r="AD95" s="200"/>
      <c r="AX95" s="194"/>
      <c r="AY95" s="194"/>
      <c r="AZ95" s="194"/>
      <c r="BA95" s="194"/>
      <c r="BB95" s="194"/>
      <c r="BC95" s="194"/>
      <c r="BD95" s="194"/>
    </row>
    <row r="96" spans="1:56" x14ac:dyDescent="0.2">
      <c r="A96" s="64" t="s">
        <v>164</v>
      </c>
      <c r="B96" s="65" t="s">
        <v>78</v>
      </c>
      <c r="C96" s="66">
        <v>2</v>
      </c>
      <c r="D96" s="66" t="s">
        <v>166</v>
      </c>
      <c r="E96" s="67" t="s">
        <v>163</v>
      </c>
      <c r="F96" s="69" t="str">
        <f t="shared" ref="F96:F117" si="26">Currency&amp;"AM"&amp;$F$62&amp;B96&amp;QuoteSuffix</f>
        <v>USDAM3L42M_Quote</v>
      </c>
      <c r="G96" s="69" t="str">
        <f t="shared" ref="G96:G117" si="27">Currency&amp;$E$62&amp;$F$62&amp;B96&amp;QuoteSuffix</f>
        <v>USDFF3L42M_Quote</v>
      </c>
      <c r="H96" s="70"/>
      <c r="J96" s="11" t="str">
        <f t="shared" si="16"/>
        <v>BasOIS</v>
      </c>
      <c r="K96" s="106" t="str">
        <f t="shared" si="17"/>
        <v>--</v>
      </c>
      <c r="L96" s="109" t="str">
        <f>IFERROR(_xll.qlRateHelperQuoteName(K96,Trigger),"--")</f>
        <v>--</v>
      </c>
      <c r="M96" s="110" t="str">
        <f>IFERROR(_xll.qlRateHelperQuoteValue($K96,Trigger),"--")</f>
        <v>--</v>
      </c>
      <c r="N96" s="109" t="b">
        <v>0</v>
      </c>
      <c r="O96" s="106">
        <v>60</v>
      </c>
      <c r="P96" s="106">
        <v>1</v>
      </c>
      <c r="Q96" s="111" t="str">
        <f>IFERROR(_xll.qlRateHelperEarliestDate(K96,Trigger),"--")</f>
        <v>--</v>
      </c>
      <c r="R96" s="111" t="str">
        <f>IFERROR(_xll.qlRateHelperPillarDate(K96,Trigger),"--")</f>
        <v>--</v>
      </c>
      <c r="T96" s="4" t="str">
        <f t="shared" si="11"/>
        <v/>
      </c>
      <c r="U96" s="4" t="e">
        <v>#N/A</v>
      </c>
      <c r="V96" s="4" t="str">
        <f>IFERROR(_xll.qlRateHelperQuoteName(U96,Trigger),"")</f>
        <v/>
      </c>
      <c r="W96" s="76" t="str">
        <f>IFERROR(_xll.qlRateHelperRate(U96,Trigger),"")</f>
        <v/>
      </c>
      <c r="X96" s="116" t="str">
        <f>IF(ISERROR(_xll.qlSwapRateHelperSpread($U96)),IF(ISERROR(_xll.qlFuturesRateHelperConvexityAdjustment($U96)),"",_xll.qlFuturesRateHelperConvexityAdjustment($U96)),_xll.qlSwapRateHelperSpread($U96))</f>
        <v/>
      </c>
      <c r="Y96" s="5" t="str">
        <f>IFERROR(_xll.qlRateHelperEarliestDate(U96,Trigger),"")</f>
        <v/>
      </c>
      <c r="Z96" s="5" t="str">
        <f>IFERROR(_xll.qlRateHelperPillarDate(U96,Trigger),"")</f>
        <v/>
      </c>
      <c r="AA96" s="5" t="e">
        <v>#N/A</v>
      </c>
      <c r="AC96" s="199"/>
      <c r="AD96" s="200"/>
      <c r="AX96" s="194"/>
      <c r="AY96" s="194"/>
      <c r="AZ96" s="194"/>
      <c r="BA96" s="194"/>
      <c r="BB96" s="194"/>
      <c r="BC96" s="194"/>
      <c r="BD96" s="194"/>
    </row>
    <row r="97" spans="1:56" x14ac:dyDescent="0.2">
      <c r="A97" s="64" t="s">
        <v>164</v>
      </c>
      <c r="B97" s="65" t="s">
        <v>79</v>
      </c>
      <c r="C97" s="66">
        <v>2</v>
      </c>
      <c r="D97" s="66" t="s">
        <v>166</v>
      </c>
      <c r="E97" s="67" t="s">
        <v>163</v>
      </c>
      <c r="F97" s="69" t="str">
        <f t="shared" si="26"/>
        <v>USDAM3L45M_Quote</v>
      </c>
      <c r="G97" s="69" t="str">
        <f t="shared" si="27"/>
        <v>USDFF3L45M_Quote</v>
      </c>
      <c r="H97" s="70"/>
      <c r="J97" s="11" t="str">
        <f t="shared" si="16"/>
        <v>BasOIS</v>
      </c>
      <c r="K97" s="106" t="str">
        <f t="shared" si="17"/>
        <v>--</v>
      </c>
      <c r="L97" s="109" t="str">
        <f>IFERROR(_xll.qlRateHelperQuoteName(K97,Trigger),"--")</f>
        <v>--</v>
      </c>
      <c r="M97" s="110" t="str">
        <f>IFERROR(_xll.qlRateHelperQuoteValue($K97,Trigger),"--")</f>
        <v>--</v>
      </c>
      <c r="N97" s="109" t="b">
        <v>0</v>
      </c>
      <c r="O97" s="106">
        <v>60</v>
      </c>
      <c r="P97" s="106">
        <v>1</v>
      </c>
      <c r="Q97" s="111" t="str">
        <f>IFERROR(_xll.qlRateHelperEarliestDate(K97,Trigger),"--")</f>
        <v>--</v>
      </c>
      <c r="R97" s="111" t="str">
        <f>IFERROR(_xll.qlRateHelperPillarDate(K97,Trigger),"--")</f>
        <v>--</v>
      </c>
      <c r="T97" s="4" t="str">
        <f t="shared" si="11"/>
        <v/>
      </c>
      <c r="U97" s="4" t="e">
        <v>#N/A</v>
      </c>
      <c r="V97" s="4" t="str">
        <f>IFERROR(_xll.qlRateHelperQuoteName(U97,Trigger),"")</f>
        <v/>
      </c>
      <c r="W97" s="76" t="str">
        <f>IFERROR(_xll.qlRateHelperRate(U97,Trigger),"")</f>
        <v/>
      </c>
      <c r="X97" s="116" t="str">
        <f>IF(ISERROR(_xll.qlSwapRateHelperSpread($U97)),IF(ISERROR(_xll.qlFuturesRateHelperConvexityAdjustment($U97)),"",_xll.qlFuturesRateHelperConvexityAdjustment($U97)),_xll.qlSwapRateHelperSpread($U97))</f>
        <v/>
      </c>
      <c r="Y97" s="5" t="str">
        <f>IFERROR(_xll.qlRateHelperEarliestDate(U97,Trigger),"")</f>
        <v/>
      </c>
      <c r="Z97" s="5" t="str">
        <f>IFERROR(_xll.qlRateHelperPillarDate(U97,Trigger),"")</f>
        <v/>
      </c>
      <c r="AA97" s="5" t="e">
        <v>#N/A</v>
      </c>
      <c r="AC97" s="199"/>
      <c r="AD97" s="200"/>
      <c r="AX97" s="194"/>
      <c r="AY97" s="194"/>
      <c r="AZ97" s="194"/>
      <c r="BA97" s="194"/>
      <c r="BB97" s="194"/>
      <c r="BC97" s="194"/>
      <c r="BD97" s="194"/>
    </row>
    <row r="98" spans="1:56" x14ac:dyDescent="0.2">
      <c r="A98" s="64" t="s">
        <v>164</v>
      </c>
      <c r="B98" s="65" t="s">
        <v>80</v>
      </c>
      <c r="C98" s="66">
        <v>2</v>
      </c>
      <c r="D98" s="66" t="s">
        <v>166</v>
      </c>
      <c r="E98" s="67" t="s">
        <v>163</v>
      </c>
      <c r="F98" s="69" t="str">
        <f t="shared" si="26"/>
        <v>USDAM3L4Y_Quote</v>
      </c>
      <c r="G98" s="69" t="str">
        <f t="shared" si="27"/>
        <v>USDFF3L4Y_Quote</v>
      </c>
      <c r="H98" s="70" t="str">
        <f>_xll.qlOISAARateHelper(,C98,B98,F98,E98,G98,D98,TRUE,$G$62,$H$62,,Permanent,Trigger,ObjectOverwrite)</f>
        <v>obj_00275#0110</v>
      </c>
      <c r="J98" s="11" t="str">
        <f t="shared" si="16"/>
        <v>BasOIS</v>
      </c>
      <c r="K98" s="106" t="str">
        <f t="shared" si="17"/>
        <v>obj_00274#0110</v>
      </c>
      <c r="L98" s="109" t="str">
        <f>IFERROR(_xll.qlRateHelperQuoteName(K98,Trigger),"--")</f>
        <v>USDAM3L5Y_Quote</v>
      </c>
      <c r="M98" s="110">
        <f>IFERROR(_xll.qlRateHelperQuoteValue($K98,Trigger),"--")</f>
        <v>1.2669999999999999E-2</v>
      </c>
      <c r="N98" s="109" t="b">
        <v>1</v>
      </c>
      <c r="O98" s="106">
        <v>60</v>
      </c>
      <c r="P98" s="106">
        <v>1</v>
      </c>
      <c r="Q98" s="111">
        <f>IFERROR(_xll.qlRateHelperEarliestDate(K98,Trigger),"--")</f>
        <v>42436</v>
      </c>
      <c r="R98" s="111">
        <f>IFERROR(_xll.qlRateHelperPillarDate(K98,Trigger),"--")</f>
        <v>44263</v>
      </c>
      <c r="T98" s="4" t="str">
        <f t="shared" si="11"/>
        <v/>
      </c>
      <c r="U98" s="4" t="e">
        <v>#N/A</v>
      </c>
      <c r="V98" s="4" t="str">
        <f>IFERROR(_xll.qlRateHelperQuoteName(U98,Trigger),"")</f>
        <v/>
      </c>
      <c r="W98" s="76" t="str">
        <f>IFERROR(_xll.qlRateHelperRate(U98,Trigger),"")</f>
        <v/>
      </c>
      <c r="X98" s="116" t="str">
        <f>IF(ISERROR(_xll.qlSwapRateHelperSpread($U98)),IF(ISERROR(_xll.qlFuturesRateHelperConvexityAdjustment($U98)),"",_xll.qlFuturesRateHelperConvexityAdjustment($U98)),_xll.qlSwapRateHelperSpread($U98))</f>
        <v/>
      </c>
      <c r="Y98" s="5" t="str">
        <f>IFERROR(_xll.qlRateHelperEarliestDate(U98,Trigger),"")</f>
        <v/>
      </c>
      <c r="Z98" s="5" t="str">
        <f>IFERROR(_xll.qlRateHelperPillarDate(U98,Trigger),"")</f>
        <v/>
      </c>
      <c r="AA98" s="5" t="e">
        <v>#N/A</v>
      </c>
      <c r="AC98" s="199"/>
      <c r="AD98" s="200"/>
      <c r="AX98" s="194"/>
      <c r="AY98" s="194"/>
      <c r="AZ98" s="194"/>
      <c r="BA98" s="194"/>
      <c r="BB98" s="194"/>
      <c r="BC98" s="194"/>
      <c r="BD98" s="194"/>
    </row>
    <row r="99" spans="1:56" x14ac:dyDescent="0.2">
      <c r="A99" s="64" t="s">
        <v>164</v>
      </c>
      <c r="B99" s="65" t="s">
        <v>81</v>
      </c>
      <c r="C99" s="66">
        <v>2</v>
      </c>
      <c r="D99" s="66" t="s">
        <v>166</v>
      </c>
      <c r="E99" s="67" t="s">
        <v>163</v>
      </c>
      <c r="F99" s="69" t="str">
        <f t="shared" si="26"/>
        <v>USDAM3L51M_Quote</v>
      </c>
      <c r="G99" s="69" t="str">
        <f t="shared" si="27"/>
        <v>USDFF3L51M_Quote</v>
      </c>
      <c r="H99" s="70"/>
      <c r="J99" s="11" t="str">
        <f t="shared" si="16"/>
        <v>BasOIS</v>
      </c>
      <c r="K99" s="106" t="str">
        <f t="shared" si="17"/>
        <v>--</v>
      </c>
      <c r="L99" s="109" t="str">
        <f>IFERROR(_xll.qlRateHelperQuoteName(K99,Trigger),"--")</f>
        <v>--</v>
      </c>
      <c r="M99" s="110" t="str">
        <f>IFERROR(_xll.qlRateHelperQuoteValue($K99,Trigger),"--")</f>
        <v>--</v>
      </c>
      <c r="N99" s="109" t="b">
        <v>0</v>
      </c>
      <c r="O99" s="106">
        <v>60</v>
      </c>
      <c r="P99" s="106">
        <v>1</v>
      </c>
      <c r="Q99" s="111" t="str">
        <f>IFERROR(_xll.qlRateHelperEarliestDate(K99,Trigger),"--")</f>
        <v>--</v>
      </c>
      <c r="R99" s="111" t="str">
        <f>IFERROR(_xll.qlRateHelperPillarDate(K99,Trigger),"--")</f>
        <v>--</v>
      </c>
      <c r="T99" s="4" t="str">
        <f t="shared" si="11"/>
        <v/>
      </c>
      <c r="U99" s="4" t="e">
        <v>#N/A</v>
      </c>
      <c r="V99" s="4" t="str">
        <f>IFERROR(_xll.qlRateHelperQuoteName(U99,Trigger),"")</f>
        <v/>
      </c>
      <c r="W99" s="76" t="str">
        <f>IFERROR(_xll.qlRateHelperRate(U99,Trigger),"")</f>
        <v/>
      </c>
      <c r="X99" s="116" t="str">
        <f>IF(ISERROR(_xll.qlSwapRateHelperSpread($U99)),IF(ISERROR(_xll.qlFuturesRateHelperConvexityAdjustment($U99)),"",_xll.qlFuturesRateHelperConvexityAdjustment($U99)),_xll.qlSwapRateHelperSpread($U99))</f>
        <v/>
      </c>
      <c r="Y99" s="5" t="str">
        <f>IFERROR(_xll.qlRateHelperEarliestDate(U99,Trigger),"")</f>
        <v/>
      </c>
      <c r="Z99" s="5" t="str">
        <f>IFERROR(_xll.qlRateHelperPillarDate(U99,Trigger),"")</f>
        <v/>
      </c>
      <c r="AA99" s="5" t="e">
        <v>#N/A</v>
      </c>
      <c r="AC99" s="199"/>
      <c r="AD99" s="200"/>
      <c r="AX99" s="194"/>
      <c r="AY99" s="194"/>
      <c r="AZ99" s="194"/>
      <c r="BA99" s="194"/>
      <c r="BB99" s="194"/>
      <c r="BC99" s="194"/>
      <c r="BD99" s="194"/>
    </row>
    <row r="100" spans="1:56" x14ac:dyDescent="0.2">
      <c r="A100" s="64" t="s">
        <v>164</v>
      </c>
      <c r="B100" s="65" t="s">
        <v>82</v>
      </c>
      <c r="C100" s="66">
        <v>2</v>
      </c>
      <c r="D100" s="66" t="s">
        <v>166</v>
      </c>
      <c r="E100" s="67" t="s">
        <v>163</v>
      </c>
      <c r="F100" s="69" t="str">
        <f t="shared" si="26"/>
        <v>USDAM3L54M_Quote</v>
      </c>
      <c r="G100" s="69" t="str">
        <f t="shared" si="27"/>
        <v>USDFF3L54M_Quote</v>
      </c>
      <c r="H100" s="70"/>
      <c r="J100" s="11" t="str">
        <f t="shared" si="16"/>
        <v>BasOIS</v>
      </c>
      <c r="K100" s="106" t="str">
        <f t="shared" si="17"/>
        <v>obj_00278#0110</v>
      </c>
      <c r="L100" s="109" t="str">
        <f>IFERROR(_xll.qlRateHelperQuoteName(K100,Trigger),"--")</f>
        <v>USDAM3L7Y_Quote</v>
      </c>
      <c r="M100" s="110">
        <f>IFERROR(_xll.qlRateHelperQuoteValue($K100,Trigger),"--")</f>
        <v>1.4659999999999999E-2</v>
      </c>
      <c r="N100" s="109" t="b">
        <v>1</v>
      </c>
      <c r="O100" s="106">
        <v>60</v>
      </c>
      <c r="P100" s="106">
        <v>1</v>
      </c>
      <c r="Q100" s="111">
        <f>IFERROR(_xll.qlRateHelperEarliestDate(K100,Trigger),"--")</f>
        <v>42436</v>
      </c>
      <c r="R100" s="111">
        <f>IFERROR(_xll.qlRateHelperPillarDate(K100,Trigger),"--")</f>
        <v>44992</v>
      </c>
      <c r="T100" s="4" t="str">
        <f t="shared" si="11"/>
        <v/>
      </c>
      <c r="U100" s="4" t="e">
        <v>#N/A</v>
      </c>
      <c r="V100" s="4" t="str">
        <f>IFERROR(_xll.qlRateHelperQuoteName(U100,Trigger),"")</f>
        <v/>
      </c>
      <c r="W100" s="76" t="str">
        <f>IFERROR(_xll.qlRateHelperRate(U100,Trigger),"")</f>
        <v/>
      </c>
      <c r="X100" s="116" t="str">
        <f>IF(ISERROR(_xll.qlSwapRateHelperSpread($U100)),IF(ISERROR(_xll.qlFuturesRateHelperConvexityAdjustment($U100)),"",_xll.qlFuturesRateHelperConvexityAdjustment($U100)),_xll.qlSwapRateHelperSpread($U100))</f>
        <v/>
      </c>
      <c r="Y100" s="5" t="str">
        <f>IFERROR(_xll.qlRateHelperEarliestDate(U100,Trigger),"")</f>
        <v/>
      </c>
      <c r="Z100" s="5" t="str">
        <f>IFERROR(_xll.qlRateHelperPillarDate(U100,Trigger),"")</f>
        <v/>
      </c>
      <c r="AA100" s="5" t="e">
        <v>#N/A</v>
      </c>
      <c r="AC100" s="199"/>
      <c r="AD100" s="200"/>
    </row>
    <row r="101" spans="1:56" x14ac:dyDescent="0.2">
      <c r="A101" s="64" t="s">
        <v>164</v>
      </c>
      <c r="B101" s="65" t="s">
        <v>83</v>
      </c>
      <c r="C101" s="66">
        <v>2</v>
      </c>
      <c r="D101" s="66" t="s">
        <v>166</v>
      </c>
      <c r="E101" s="67" t="s">
        <v>163</v>
      </c>
      <c r="F101" s="69" t="str">
        <f t="shared" si="26"/>
        <v>USDAM3L57M_Quote</v>
      </c>
      <c r="G101" s="69" t="str">
        <f t="shared" si="27"/>
        <v>USDFF3L57M_Quote</v>
      </c>
      <c r="H101" s="70"/>
      <c r="J101" s="11" t="str">
        <f t="shared" si="16"/>
        <v>BasOIS</v>
      </c>
      <c r="K101" s="106" t="str">
        <f t="shared" si="17"/>
        <v>--</v>
      </c>
      <c r="L101" s="109" t="str">
        <f>IFERROR(_xll.qlRateHelperQuoteName(K101,Trigger),"--")</f>
        <v>--</v>
      </c>
      <c r="M101" s="110" t="str">
        <f>IFERROR(_xll.qlRateHelperQuoteValue($K101,Trigger),"--")</f>
        <v>--</v>
      </c>
      <c r="N101" s="109" t="b">
        <v>0</v>
      </c>
      <c r="O101" s="106">
        <v>60</v>
      </c>
      <c r="P101" s="106">
        <v>1</v>
      </c>
      <c r="Q101" s="111" t="str">
        <f>IFERROR(_xll.qlRateHelperEarliestDate(K101,Trigger),"--")</f>
        <v>--</v>
      </c>
      <c r="R101" s="111" t="str">
        <f>IFERROR(_xll.qlRateHelperPillarDate(K101,Trigger),"--")</f>
        <v>--</v>
      </c>
      <c r="T101" s="4" t="str">
        <f t="shared" si="11"/>
        <v/>
      </c>
      <c r="U101" s="4" t="e">
        <v>#N/A</v>
      </c>
      <c r="V101" s="4" t="str">
        <f>IFERROR(_xll.qlRateHelperQuoteName(U101,Trigger),"")</f>
        <v/>
      </c>
      <c r="W101" s="76" t="str">
        <f>IFERROR(_xll.qlRateHelperRate(U101,Trigger),"")</f>
        <v/>
      </c>
      <c r="X101" s="116" t="str">
        <f>IF(ISERROR(_xll.qlSwapRateHelperSpread($U101)),IF(ISERROR(_xll.qlFuturesRateHelperConvexityAdjustment($U101)),"",_xll.qlFuturesRateHelperConvexityAdjustment($U101)),_xll.qlSwapRateHelperSpread($U101))</f>
        <v/>
      </c>
      <c r="Y101" s="5" t="str">
        <f>IFERROR(_xll.qlRateHelperEarliestDate(U101,Trigger),"")</f>
        <v/>
      </c>
      <c r="Z101" s="5" t="str">
        <f>IFERROR(_xll.qlRateHelperPillarDate(U101,Trigger),"")</f>
        <v/>
      </c>
      <c r="AA101" s="5" t="e">
        <v>#N/A</v>
      </c>
      <c r="AC101" s="199"/>
      <c r="AD101" s="200"/>
    </row>
    <row r="102" spans="1:56" x14ac:dyDescent="0.2">
      <c r="A102" s="64" t="s">
        <v>164</v>
      </c>
      <c r="B102" s="65" t="s">
        <v>84</v>
      </c>
      <c r="C102" s="66">
        <v>2</v>
      </c>
      <c r="D102" s="66" t="s">
        <v>166</v>
      </c>
      <c r="E102" s="67" t="s">
        <v>163</v>
      </c>
      <c r="F102" s="69" t="str">
        <f t="shared" si="26"/>
        <v>USDAM3L5Y_Quote</v>
      </c>
      <c r="G102" s="69" t="str">
        <f t="shared" si="27"/>
        <v>USDFF3L5Y_Quote</v>
      </c>
      <c r="H102" s="70" t="str">
        <f>_xll.qlOISAARateHelper(,C102,B102,F102,E102,G102,D102,TRUE,$G$62,$H$62,,Permanent,Trigger,ObjectOverwrite)</f>
        <v>obj_00274#0110</v>
      </c>
      <c r="J102" s="11" t="str">
        <f t="shared" si="16"/>
        <v>BasOIS</v>
      </c>
      <c r="K102" s="106" t="str">
        <f t="shared" si="17"/>
        <v>--</v>
      </c>
      <c r="L102" s="109" t="str">
        <f>IFERROR(_xll.qlRateHelperQuoteName(K102,Trigger),"--")</f>
        <v>--</v>
      </c>
      <c r="M102" s="110" t="str">
        <f>IFERROR(_xll.qlRateHelperQuoteValue($K102,Trigger),"--")</f>
        <v>--</v>
      </c>
      <c r="N102" s="109" t="b">
        <v>0</v>
      </c>
      <c r="O102" s="106">
        <v>60</v>
      </c>
      <c r="P102" s="106">
        <v>1</v>
      </c>
      <c r="Q102" s="111" t="str">
        <f>IFERROR(_xll.qlRateHelperEarliestDate(K102,Trigger),"--")</f>
        <v>--</v>
      </c>
      <c r="R102" s="111" t="str">
        <f>IFERROR(_xll.qlRateHelperPillarDate(K102,Trigger),"--")</f>
        <v>--</v>
      </c>
      <c r="T102" s="4" t="str">
        <f t="shared" si="11"/>
        <v/>
      </c>
      <c r="U102" s="4" t="e">
        <v>#N/A</v>
      </c>
      <c r="V102" s="4" t="str">
        <f>IFERROR(_xll.qlRateHelperQuoteName(U102,Trigger),"")</f>
        <v/>
      </c>
      <c r="W102" s="76" t="str">
        <f>IFERROR(_xll.qlRateHelperRate(U102,Trigger),"")</f>
        <v/>
      </c>
      <c r="X102" s="116" t="str">
        <f>IF(ISERROR(_xll.qlSwapRateHelperSpread($U102)),IF(ISERROR(_xll.qlFuturesRateHelperConvexityAdjustment($U102)),"",_xll.qlFuturesRateHelperConvexityAdjustment($U102)),_xll.qlSwapRateHelperSpread($U102))</f>
        <v/>
      </c>
      <c r="Y102" s="5" t="str">
        <f>IFERROR(_xll.qlRateHelperEarliestDate(U102,Trigger),"")</f>
        <v/>
      </c>
      <c r="Z102" s="5" t="str">
        <f>IFERROR(_xll.qlRateHelperPillarDate(U102,Trigger),"")</f>
        <v/>
      </c>
      <c r="AA102" s="5" t="e">
        <v>#N/A</v>
      </c>
      <c r="AC102" s="199"/>
      <c r="AD102" s="200"/>
    </row>
    <row r="103" spans="1:56" x14ac:dyDescent="0.2">
      <c r="A103" s="64" t="s">
        <v>164</v>
      </c>
      <c r="B103" s="65" t="s">
        <v>85</v>
      </c>
      <c r="C103" s="66">
        <v>2</v>
      </c>
      <c r="D103" s="66" t="s">
        <v>166</v>
      </c>
      <c r="E103" s="67" t="s">
        <v>163</v>
      </c>
      <c r="F103" s="69" t="str">
        <f t="shared" si="26"/>
        <v>USDAM3L6Y_Quote</v>
      </c>
      <c r="G103" s="69" t="str">
        <f t="shared" si="27"/>
        <v>USDFF3L6Y_Quote</v>
      </c>
      <c r="H103" s="70"/>
      <c r="J103" s="11" t="str">
        <f t="shared" si="16"/>
        <v>BasOIS</v>
      </c>
      <c r="K103" s="106" t="str">
        <f t="shared" si="17"/>
        <v>obj_00273#0110</v>
      </c>
      <c r="L103" s="109" t="str">
        <f>IFERROR(_xll.qlRateHelperQuoteName(K103,Trigger),"--")</f>
        <v>USDAM3L10Y_Quote</v>
      </c>
      <c r="M103" s="110">
        <f>IFERROR(_xll.qlRateHelperQuoteValue($K103,Trigger),"--")</f>
        <v>1.6890000000000002E-2</v>
      </c>
      <c r="N103" s="109" t="b">
        <v>1</v>
      </c>
      <c r="O103" s="106">
        <v>60</v>
      </c>
      <c r="P103" s="106">
        <v>1</v>
      </c>
      <c r="Q103" s="111">
        <f>IFERROR(_xll.qlRateHelperEarliestDate(K103,Trigger),"--")</f>
        <v>42436</v>
      </c>
      <c r="R103" s="111">
        <f>IFERROR(_xll.qlRateHelperPillarDate(K103,Trigger),"--")</f>
        <v>46090</v>
      </c>
      <c r="T103" s="4" t="str">
        <f t="shared" si="11"/>
        <v/>
      </c>
      <c r="U103" s="4" t="e">
        <v>#N/A</v>
      </c>
      <c r="V103" s="4" t="str">
        <f>IFERROR(_xll.qlRateHelperQuoteName(U103,Trigger),"")</f>
        <v/>
      </c>
      <c r="W103" s="76" t="str">
        <f>IFERROR(_xll.qlRateHelperRate(U103,Trigger),"")</f>
        <v/>
      </c>
      <c r="X103" s="116" t="str">
        <f>IF(ISERROR(_xll.qlSwapRateHelperSpread($U103)),IF(ISERROR(_xll.qlFuturesRateHelperConvexityAdjustment($U103)),"",_xll.qlFuturesRateHelperConvexityAdjustment($U103)),_xll.qlSwapRateHelperSpread($U103))</f>
        <v/>
      </c>
      <c r="Y103" s="5" t="str">
        <f>IFERROR(_xll.qlRateHelperEarliestDate(U103,Trigger),"")</f>
        <v/>
      </c>
      <c r="Z103" s="5" t="str">
        <f>IFERROR(_xll.qlRateHelperPillarDate(U103,Trigger),"")</f>
        <v/>
      </c>
      <c r="AA103" s="5" t="e">
        <v>#N/A</v>
      </c>
      <c r="AC103" s="199"/>
      <c r="AD103" s="200"/>
    </row>
    <row r="104" spans="1:56" x14ac:dyDescent="0.2">
      <c r="A104" s="64" t="s">
        <v>164</v>
      </c>
      <c r="B104" s="65" t="s">
        <v>86</v>
      </c>
      <c r="C104" s="66">
        <v>2</v>
      </c>
      <c r="D104" s="66" t="s">
        <v>166</v>
      </c>
      <c r="E104" s="67" t="s">
        <v>163</v>
      </c>
      <c r="F104" s="69" t="str">
        <f t="shared" si="26"/>
        <v>USDAM3L7Y_Quote</v>
      </c>
      <c r="G104" s="69" t="str">
        <f t="shared" si="27"/>
        <v>USDFF3L7Y_Quote</v>
      </c>
      <c r="H104" s="70" t="str">
        <f>_xll.qlOISAARateHelper(,C104,B104,F104,E104,G104,D104,TRUE,$G$62,$H$62,,Permanent,Trigger,ObjectOverwrite)</f>
        <v>obj_00278#0110</v>
      </c>
      <c r="J104" s="11" t="str">
        <f t="shared" si="16"/>
        <v>BasOIS</v>
      </c>
      <c r="K104" s="106" t="str">
        <f t="shared" si="17"/>
        <v>--</v>
      </c>
      <c r="L104" s="109" t="str">
        <f>IFERROR(_xll.qlRateHelperQuoteName(K104,Trigger),"--")</f>
        <v>--</v>
      </c>
      <c r="M104" s="110" t="str">
        <f>IFERROR(_xll.qlRateHelperQuoteValue($K104,Trigger),"--")</f>
        <v>--</v>
      </c>
      <c r="N104" s="109" t="b">
        <v>0</v>
      </c>
      <c r="O104" s="106">
        <v>60</v>
      </c>
      <c r="P104" s="106">
        <v>1</v>
      </c>
      <c r="Q104" s="111" t="str">
        <f>IFERROR(_xll.qlRateHelperEarliestDate(K104,Trigger),"--")</f>
        <v>--</v>
      </c>
      <c r="R104" s="111" t="str">
        <f>IFERROR(_xll.qlRateHelperPillarDate(K104,Trigger),"--")</f>
        <v>--</v>
      </c>
      <c r="T104" s="4" t="str">
        <f t="shared" si="11"/>
        <v/>
      </c>
      <c r="U104" s="4" t="e">
        <v>#N/A</v>
      </c>
      <c r="V104" s="4" t="str">
        <f>IFERROR(_xll.qlRateHelperQuoteName(U104,Trigger),"")</f>
        <v/>
      </c>
      <c r="W104" s="76" t="str">
        <f>IFERROR(_xll.qlRateHelperRate(U104,Trigger),"")</f>
        <v/>
      </c>
      <c r="X104" s="116" t="str">
        <f>IF(ISERROR(_xll.qlSwapRateHelperSpread($U104)),IF(ISERROR(_xll.qlFuturesRateHelperConvexityAdjustment($U104)),"",_xll.qlFuturesRateHelperConvexityAdjustment($U104)),_xll.qlSwapRateHelperSpread($U104))</f>
        <v/>
      </c>
      <c r="Y104" s="5" t="str">
        <f>IFERROR(_xll.qlRateHelperEarliestDate(U104,Trigger),"")</f>
        <v/>
      </c>
      <c r="Z104" s="5" t="str">
        <f>IFERROR(_xll.qlRateHelperPillarDate(U104,Trigger),"")</f>
        <v/>
      </c>
      <c r="AA104" s="5" t="e">
        <v>#N/A</v>
      </c>
      <c r="AC104" s="199"/>
      <c r="AD104" s="200"/>
    </row>
    <row r="105" spans="1:56" x14ac:dyDescent="0.2">
      <c r="A105" s="64" t="s">
        <v>164</v>
      </c>
      <c r="B105" s="65" t="s">
        <v>87</v>
      </c>
      <c r="C105" s="66">
        <v>2</v>
      </c>
      <c r="D105" s="66" t="s">
        <v>166</v>
      </c>
      <c r="E105" s="67" t="s">
        <v>163</v>
      </c>
      <c r="F105" s="69" t="str">
        <f t="shared" si="26"/>
        <v>USDAM3L8Y_Quote</v>
      </c>
      <c r="G105" s="69" t="str">
        <f t="shared" si="27"/>
        <v>USDFF3L8Y_Quote</v>
      </c>
      <c r="H105" s="70"/>
      <c r="J105" s="11" t="str">
        <f t="shared" si="16"/>
        <v>BasOIS</v>
      </c>
      <c r="K105" s="106" t="str">
        <f t="shared" si="17"/>
        <v>--</v>
      </c>
      <c r="L105" s="109" t="str">
        <f>IFERROR(_xll.qlRateHelperQuoteName(K105,Trigger),"--")</f>
        <v>--</v>
      </c>
      <c r="M105" s="110" t="str">
        <f>IFERROR(_xll.qlRateHelperQuoteValue($K105,Trigger),"--")</f>
        <v>--</v>
      </c>
      <c r="N105" s="109" t="b">
        <v>0</v>
      </c>
      <c r="O105" s="106">
        <v>60</v>
      </c>
      <c r="P105" s="106">
        <v>1</v>
      </c>
      <c r="Q105" s="111" t="str">
        <f>IFERROR(_xll.qlRateHelperEarliestDate(K105,Trigger),"--")</f>
        <v>--</v>
      </c>
      <c r="R105" s="111" t="str">
        <f>IFERROR(_xll.qlRateHelperPillarDate(K105,Trigger),"--")</f>
        <v>--</v>
      </c>
      <c r="T105" s="4" t="str">
        <f t="shared" si="11"/>
        <v/>
      </c>
      <c r="U105" s="4" t="e">
        <v>#N/A</v>
      </c>
      <c r="V105" s="4" t="str">
        <f>IFERROR(_xll.qlRateHelperQuoteName(U105,Trigger),"")</f>
        <v/>
      </c>
      <c r="W105" s="76" t="str">
        <f>IFERROR(_xll.qlRateHelperRate(U105,Trigger),"")</f>
        <v/>
      </c>
      <c r="X105" s="116" t="str">
        <f>IF(ISERROR(_xll.qlSwapRateHelperSpread($U105)),IF(ISERROR(_xll.qlFuturesRateHelperConvexityAdjustment($U105)),"",_xll.qlFuturesRateHelperConvexityAdjustment($U105)),_xll.qlSwapRateHelperSpread($U105))</f>
        <v/>
      </c>
      <c r="Y105" s="5" t="str">
        <f>IFERROR(_xll.qlRateHelperEarliestDate(U105,Trigger),"")</f>
        <v/>
      </c>
      <c r="Z105" s="5" t="str">
        <f>IFERROR(_xll.qlRateHelperPillarDate(U105,Trigger),"")</f>
        <v/>
      </c>
      <c r="AA105" s="5" t="e">
        <v>#N/A</v>
      </c>
      <c r="AC105" s="199"/>
      <c r="AD105" s="200"/>
    </row>
    <row r="106" spans="1:56" x14ac:dyDescent="0.2">
      <c r="A106" s="64" t="s">
        <v>164</v>
      </c>
      <c r="B106" s="65" t="s">
        <v>88</v>
      </c>
      <c r="C106" s="66">
        <v>2</v>
      </c>
      <c r="D106" s="66" t="s">
        <v>166</v>
      </c>
      <c r="E106" s="67" t="s">
        <v>163</v>
      </c>
      <c r="F106" s="69" t="str">
        <f t="shared" si="26"/>
        <v>USDAM3L9Y_Quote</v>
      </c>
      <c r="G106" s="69" t="str">
        <f t="shared" si="27"/>
        <v>USDFF3L9Y_Quote</v>
      </c>
      <c r="H106" s="70"/>
      <c r="J106" s="11" t="str">
        <f t="shared" si="16"/>
        <v>BasOIS</v>
      </c>
      <c r="K106" s="106" t="str">
        <f t="shared" si="17"/>
        <v>--</v>
      </c>
      <c r="L106" s="109" t="str">
        <f>IFERROR(_xll.qlRateHelperQuoteName(K106,Trigger),"--")</f>
        <v>--</v>
      </c>
      <c r="M106" s="110" t="str">
        <f>IFERROR(_xll.qlRateHelperQuoteValue($K106,Trigger),"--")</f>
        <v>--</v>
      </c>
      <c r="N106" s="109" t="b">
        <v>0</v>
      </c>
      <c r="O106" s="106">
        <v>60</v>
      </c>
      <c r="P106" s="106">
        <v>1</v>
      </c>
      <c r="Q106" s="111" t="str">
        <f>IFERROR(_xll.qlRateHelperEarliestDate(K106,Trigger),"--")</f>
        <v>--</v>
      </c>
      <c r="R106" s="111" t="str">
        <f>IFERROR(_xll.qlRateHelperPillarDate(K106,Trigger),"--")</f>
        <v>--</v>
      </c>
      <c r="T106" s="4" t="str">
        <f t="shared" si="11"/>
        <v/>
      </c>
      <c r="U106" s="4" t="e">
        <v>#N/A</v>
      </c>
      <c r="V106" s="4" t="str">
        <f>IFERROR(_xll.qlRateHelperQuoteName(U106,Trigger),"")</f>
        <v/>
      </c>
      <c r="W106" s="76" t="str">
        <f>IFERROR(_xll.qlRateHelperRate(U106,Trigger),"")</f>
        <v/>
      </c>
      <c r="X106" s="116" t="str">
        <f>IF(ISERROR(_xll.qlSwapRateHelperSpread($U106)),IF(ISERROR(_xll.qlFuturesRateHelperConvexityAdjustment($U106)),"",_xll.qlFuturesRateHelperConvexityAdjustment($U106)),_xll.qlSwapRateHelperSpread($U106))</f>
        <v/>
      </c>
      <c r="Y106" s="5" t="str">
        <f>IFERROR(_xll.qlRateHelperEarliestDate(U106,Trigger),"")</f>
        <v/>
      </c>
      <c r="Z106" s="5" t="str">
        <f>IFERROR(_xll.qlRateHelperPillarDate(U106,Trigger),"")</f>
        <v/>
      </c>
      <c r="AA106" s="5" t="e">
        <v>#N/A</v>
      </c>
      <c r="AC106" s="199"/>
      <c r="AD106" s="200"/>
    </row>
    <row r="107" spans="1:56" x14ac:dyDescent="0.2">
      <c r="A107" s="64" t="s">
        <v>164</v>
      </c>
      <c r="B107" s="65" t="s">
        <v>89</v>
      </c>
      <c r="C107" s="66">
        <v>2</v>
      </c>
      <c r="D107" s="66" t="s">
        <v>166</v>
      </c>
      <c r="E107" s="67" t="s">
        <v>163</v>
      </c>
      <c r="F107" s="69" t="str">
        <f t="shared" si="26"/>
        <v>USDAM3L10Y_Quote</v>
      </c>
      <c r="G107" s="69" t="str">
        <f t="shared" si="27"/>
        <v>USDFF3L10Y_Quote</v>
      </c>
      <c r="H107" s="70" t="str">
        <f>_xll.qlOISAARateHelper(,C107,B107,F107,E107,G107,D107,TRUE,$G$62,$H$62,,Permanent,Trigger,ObjectOverwrite)</f>
        <v>obj_00273#0110</v>
      </c>
      <c r="J107" s="11" t="str">
        <f t="shared" si="16"/>
        <v>BasOIS</v>
      </c>
      <c r="K107" s="106" t="str">
        <f t="shared" si="17"/>
        <v>--</v>
      </c>
      <c r="L107" s="109" t="str">
        <f>IFERROR(_xll.qlRateHelperQuoteName(K107,Trigger),"--")</f>
        <v>--</v>
      </c>
      <c r="M107" s="110" t="str">
        <f>IFERROR(_xll.qlRateHelperQuoteValue($K107,Trigger),"--")</f>
        <v>--</v>
      </c>
      <c r="N107" s="109" t="b">
        <v>0</v>
      </c>
      <c r="O107" s="106">
        <v>60</v>
      </c>
      <c r="P107" s="106">
        <v>1</v>
      </c>
      <c r="Q107" s="111" t="str">
        <f>IFERROR(_xll.qlRateHelperEarliestDate(K107,Trigger),"--")</f>
        <v>--</v>
      </c>
      <c r="R107" s="111" t="str">
        <f>IFERROR(_xll.qlRateHelperPillarDate(K107,Trigger),"--")</f>
        <v>--</v>
      </c>
      <c r="T107" s="4" t="str">
        <f t="shared" si="11"/>
        <v/>
      </c>
      <c r="U107" s="4" t="e">
        <v>#N/A</v>
      </c>
      <c r="V107" s="4" t="str">
        <f>IFERROR(_xll.qlRateHelperQuoteName(U107,Trigger),"")</f>
        <v/>
      </c>
      <c r="W107" s="76" t="str">
        <f>IFERROR(_xll.qlRateHelperRate(U107,Trigger),"")</f>
        <v/>
      </c>
      <c r="X107" s="116" t="str">
        <f>IF(ISERROR(_xll.qlSwapRateHelperSpread($U107)),IF(ISERROR(_xll.qlFuturesRateHelperConvexityAdjustment($U107)),"",_xll.qlFuturesRateHelperConvexityAdjustment($U107)),_xll.qlSwapRateHelperSpread($U107))</f>
        <v/>
      </c>
      <c r="Y107" s="5" t="str">
        <f>IFERROR(_xll.qlRateHelperEarliestDate(U107,Trigger),"")</f>
        <v/>
      </c>
      <c r="Z107" s="5" t="str">
        <f>IFERROR(_xll.qlRateHelperPillarDate(U107,Trigger),"")</f>
        <v/>
      </c>
      <c r="AA107" s="5" t="e">
        <v>#N/A</v>
      </c>
      <c r="AC107" s="199"/>
      <c r="AD107" s="200"/>
    </row>
    <row r="108" spans="1:56" x14ac:dyDescent="0.2">
      <c r="A108" s="64" t="s">
        <v>164</v>
      </c>
      <c r="B108" s="65" t="s">
        <v>90</v>
      </c>
      <c r="C108" s="66">
        <v>2</v>
      </c>
      <c r="D108" s="66" t="s">
        <v>166</v>
      </c>
      <c r="E108" s="67" t="s">
        <v>163</v>
      </c>
      <c r="F108" s="69" t="str">
        <f t="shared" si="26"/>
        <v>USDAM3L12Y_Quote</v>
      </c>
      <c r="G108" s="69" t="str">
        <f t="shared" si="27"/>
        <v>USDFF3L12Y_Quote</v>
      </c>
      <c r="H108" s="70"/>
      <c r="J108" s="11" t="str">
        <f t="shared" si="16"/>
        <v>BasOIS</v>
      </c>
      <c r="K108" s="106" t="str">
        <f t="shared" si="17"/>
        <v>--</v>
      </c>
      <c r="L108" s="109" t="str">
        <f>IFERROR(_xll.qlRateHelperQuoteName(K108,Trigger),"--")</f>
        <v>--</v>
      </c>
      <c r="M108" s="110" t="str">
        <f>IFERROR(_xll.qlRateHelperQuoteValue($K108,Trigger),"--")</f>
        <v>--</v>
      </c>
      <c r="N108" s="109" t="b">
        <v>0</v>
      </c>
      <c r="O108" s="106">
        <v>60</v>
      </c>
      <c r="P108" s="106">
        <v>1</v>
      </c>
      <c r="Q108" s="111" t="str">
        <f>IFERROR(_xll.qlRateHelperEarliestDate(K108,Trigger),"--")</f>
        <v>--</v>
      </c>
      <c r="R108" s="111" t="str">
        <f>IFERROR(_xll.qlRateHelperPillarDate(K108,Trigger),"--")</f>
        <v>--</v>
      </c>
      <c r="T108" s="4" t="str">
        <f t="shared" si="11"/>
        <v/>
      </c>
      <c r="U108" s="4" t="e">
        <v>#N/A</v>
      </c>
      <c r="V108" s="4" t="str">
        <f>IFERROR(_xll.qlRateHelperQuoteName(U108,Trigger),"")</f>
        <v/>
      </c>
      <c r="W108" s="76" t="str">
        <f>IFERROR(_xll.qlRateHelperRate(U108,Trigger),"")</f>
        <v/>
      </c>
      <c r="X108" s="116" t="str">
        <f>IF(ISERROR(_xll.qlSwapRateHelperSpread($U108)),IF(ISERROR(_xll.qlFuturesRateHelperConvexityAdjustment($U108)),"",_xll.qlFuturesRateHelperConvexityAdjustment($U108)),_xll.qlSwapRateHelperSpread($U108))</f>
        <v/>
      </c>
      <c r="Y108" s="5" t="str">
        <f>IFERROR(_xll.qlRateHelperEarliestDate(U108,Trigger),"")</f>
        <v/>
      </c>
      <c r="Z108" s="5" t="str">
        <f>IFERROR(_xll.qlRateHelperPillarDate(U108,Trigger),"")</f>
        <v/>
      </c>
      <c r="AA108" s="5" t="e">
        <v>#N/A</v>
      </c>
      <c r="AC108" s="191"/>
      <c r="AD108" s="192"/>
    </row>
    <row r="109" spans="1:56" x14ac:dyDescent="0.2">
      <c r="A109" s="64" t="s">
        <v>164</v>
      </c>
      <c r="B109" s="65" t="s">
        <v>91</v>
      </c>
      <c r="C109" s="66">
        <v>2</v>
      </c>
      <c r="D109" s="66" t="s">
        <v>166</v>
      </c>
      <c r="E109" s="67" t="s">
        <v>163</v>
      </c>
      <c r="F109" s="69" t="str">
        <f t="shared" si="26"/>
        <v>USDAM3L15Y_Quote</v>
      </c>
      <c r="G109" s="69" t="str">
        <f t="shared" si="27"/>
        <v>USDFF3L15Y_Quote</v>
      </c>
      <c r="H109" s="70"/>
      <c r="J109" s="11" t="str">
        <f t="shared" si="16"/>
        <v>BasOIS</v>
      </c>
      <c r="K109" s="106" t="str">
        <f t="shared" si="17"/>
        <v>--</v>
      </c>
      <c r="L109" s="109" t="str">
        <f>IFERROR(_xll.qlRateHelperQuoteName(K109,Trigger),"--")</f>
        <v>--</v>
      </c>
      <c r="M109" s="110" t="str">
        <f>IFERROR(_xll.qlRateHelperQuoteValue($K109,Trigger),"--")</f>
        <v>--</v>
      </c>
      <c r="N109" s="109" t="b">
        <v>0</v>
      </c>
      <c r="O109" s="106">
        <v>60</v>
      </c>
      <c r="P109" s="106">
        <v>1</v>
      </c>
      <c r="Q109" s="111" t="str">
        <f>IFERROR(_xll.qlRateHelperEarliestDate(K109,Trigger),"--")</f>
        <v>--</v>
      </c>
      <c r="R109" s="111" t="str">
        <f>IFERROR(_xll.qlRateHelperPillarDate(K109,Trigger),"--")</f>
        <v>--</v>
      </c>
      <c r="T109" s="4" t="str">
        <f t="shared" si="11"/>
        <v/>
      </c>
      <c r="U109" s="4" t="e">
        <v>#N/A</v>
      </c>
      <c r="V109" s="4" t="str">
        <f>IFERROR(_xll.qlRateHelperQuoteName(U109,Trigger),"")</f>
        <v/>
      </c>
      <c r="W109" s="76" t="str">
        <f>IFERROR(_xll.qlRateHelperRate(U109,Trigger),"")</f>
        <v/>
      </c>
      <c r="X109" s="116" t="str">
        <f>IF(ISERROR(_xll.qlSwapRateHelperSpread($U109)),IF(ISERROR(_xll.qlFuturesRateHelperConvexityAdjustment($U109)),"",_xll.qlFuturesRateHelperConvexityAdjustment($U109)),_xll.qlSwapRateHelperSpread($U109))</f>
        <v/>
      </c>
      <c r="Y109" s="5" t="str">
        <f>IFERROR(_xll.qlRateHelperEarliestDate(U109,Trigger),"")</f>
        <v/>
      </c>
      <c r="Z109" s="5" t="str">
        <f>IFERROR(_xll.qlRateHelperPillarDate(U109,Trigger),"")</f>
        <v/>
      </c>
      <c r="AA109" s="5" t="e">
        <v>#N/A</v>
      </c>
    </row>
    <row r="110" spans="1:56" x14ac:dyDescent="0.2">
      <c r="A110" s="64" t="s">
        <v>164</v>
      </c>
      <c r="B110" s="65" t="s">
        <v>92</v>
      </c>
      <c r="C110" s="66">
        <v>2</v>
      </c>
      <c r="D110" s="66" t="s">
        <v>166</v>
      </c>
      <c r="E110" s="67" t="s">
        <v>163</v>
      </c>
      <c r="F110" s="69" t="str">
        <f t="shared" si="26"/>
        <v>USDAM3L20Y_Quote</v>
      </c>
      <c r="G110" s="69" t="str">
        <f t="shared" si="27"/>
        <v>USDFF3L20Y_Quote</v>
      </c>
      <c r="H110" s="70"/>
      <c r="J110" s="11" t="str">
        <f t="shared" si="16"/>
        <v>BasOIS</v>
      </c>
      <c r="K110" s="106" t="str">
        <f t="shared" si="17"/>
        <v>--</v>
      </c>
      <c r="L110" s="109" t="str">
        <f>IFERROR(_xll.qlRateHelperQuoteName(K110,Trigger),"--")</f>
        <v>--</v>
      </c>
      <c r="M110" s="110" t="str">
        <f>IFERROR(_xll.qlRateHelperQuoteValue($K110,Trigger),"--")</f>
        <v>--</v>
      </c>
      <c r="N110" s="109" t="b">
        <v>0</v>
      </c>
      <c r="O110" s="106">
        <v>60</v>
      </c>
      <c r="P110" s="106">
        <v>1</v>
      </c>
      <c r="Q110" s="111" t="str">
        <f>IFERROR(_xll.qlRateHelperEarliestDate(K110,Trigger),"--")</f>
        <v>--</v>
      </c>
      <c r="R110" s="111" t="str">
        <f>IFERROR(_xll.qlRateHelperPillarDate(K110,Trigger),"--")</f>
        <v>--</v>
      </c>
      <c r="T110" s="4" t="str">
        <f t="shared" si="11"/>
        <v/>
      </c>
      <c r="U110" s="4" t="e">
        <v>#N/A</v>
      </c>
      <c r="V110" s="4" t="str">
        <f>IFERROR(_xll.qlRateHelperQuoteName(U110,Trigger),"")</f>
        <v/>
      </c>
      <c r="W110" s="76" t="str">
        <f>IFERROR(_xll.qlRateHelperRate(U110,Trigger),"")</f>
        <v/>
      </c>
      <c r="X110" s="116" t="str">
        <f>IF(ISERROR(_xll.qlSwapRateHelperSpread($U110)),IF(ISERROR(_xll.qlFuturesRateHelperConvexityAdjustment($U110)),"",_xll.qlFuturesRateHelperConvexityAdjustment($U110)),_xll.qlSwapRateHelperSpread($U110))</f>
        <v/>
      </c>
      <c r="Y110" s="5" t="str">
        <f>IFERROR(_xll.qlRateHelperEarliestDate(U110,Trigger),"")</f>
        <v/>
      </c>
      <c r="Z110" s="5" t="str">
        <f>IFERROR(_xll.qlRateHelperPillarDate(U110,Trigger),"")</f>
        <v/>
      </c>
      <c r="AA110" s="5" t="e">
        <v>#N/A</v>
      </c>
    </row>
    <row r="111" spans="1:56" x14ac:dyDescent="0.2">
      <c r="A111" s="64" t="s">
        <v>164</v>
      </c>
      <c r="B111" s="65" t="s">
        <v>93</v>
      </c>
      <c r="C111" s="66">
        <v>2</v>
      </c>
      <c r="D111" s="66" t="s">
        <v>166</v>
      </c>
      <c r="E111" s="67" t="s">
        <v>163</v>
      </c>
      <c r="F111" s="69" t="str">
        <f t="shared" si="26"/>
        <v>USDAM3L25Y_Quote</v>
      </c>
      <c r="G111" s="69" t="str">
        <f t="shared" si="27"/>
        <v>USDFF3L25Y_Quote</v>
      </c>
      <c r="H111" s="70"/>
      <c r="J111" s="11" t="str">
        <f t="shared" si="16"/>
        <v>BasOIS</v>
      </c>
      <c r="K111" s="106" t="str">
        <f t="shared" si="17"/>
        <v>--</v>
      </c>
      <c r="L111" s="109" t="str">
        <f>IFERROR(_xll.qlRateHelperQuoteName(K111,Trigger),"--")</f>
        <v>--</v>
      </c>
      <c r="M111" s="110" t="str">
        <f>IFERROR(_xll.qlRateHelperQuoteValue($K111,Trigger),"--")</f>
        <v>--</v>
      </c>
      <c r="N111" s="109" t="b">
        <v>0</v>
      </c>
      <c r="O111" s="106">
        <v>60</v>
      </c>
      <c r="P111" s="106">
        <v>1</v>
      </c>
      <c r="Q111" s="111" t="str">
        <f>IFERROR(_xll.qlRateHelperEarliestDate(K111,Trigger),"--")</f>
        <v>--</v>
      </c>
      <c r="R111" s="111" t="str">
        <f>IFERROR(_xll.qlRateHelperPillarDate(K111,Trigger),"--")</f>
        <v>--</v>
      </c>
      <c r="T111" s="4" t="str">
        <f t="shared" si="11"/>
        <v/>
      </c>
      <c r="U111" s="4" t="e">
        <v>#N/A</v>
      </c>
      <c r="V111" s="4" t="str">
        <f>IFERROR(_xll.qlRateHelperQuoteName(U111,Trigger),"")</f>
        <v/>
      </c>
      <c r="W111" s="76" t="str">
        <f>IFERROR(_xll.qlRateHelperRate(U111,Trigger),"")</f>
        <v/>
      </c>
      <c r="X111" s="116" t="str">
        <f>IF(ISERROR(_xll.qlSwapRateHelperSpread($U111)),IF(ISERROR(_xll.qlFuturesRateHelperConvexityAdjustment($U111)),"",_xll.qlFuturesRateHelperConvexityAdjustment($U111)),_xll.qlSwapRateHelperSpread($U111))</f>
        <v/>
      </c>
      <c r="Y111" s="5" t="str">
        <f>IFERROR(_xll.qlRateHelperEarliestDate(U111,Trigger),"")</f>
        <v/>
      </c>
      <c r="Z111" s="5" t="str">
        <f>IFERROR(_xll.qlRateHelperPillarDate(U111,Trigger),"")</f>
        <v/>
      </c>
      <c r="AA111" s="5" t="e">
        <v>#N/A</v>
      </c>
    </row>
    <row r="112" spans="1:56" x14ac:dyDescent="0.2">
      <c r="A112" s="64" t="s">
        <v>164</v>
      </c>
      <c r="B112" s="65" t="s">
        <v>94</v>
      </c>
      <c r="C112" s="66">
        <v>2</v>
      </c>
      <c r="D112" s="66" t="s">
        <v>166</v>
      </c>
      <c r="E112" s="67" t="s">
        <v>163</v>
      </c>
      <c r="F112" s="69" t="str">
        <f t="shared" si="26"/>
        <v>USDAM3L27Y_Quote</v>
      </c>
      <c r="G112" s="69" t="str">
        <f t="shared" si="27"/>
        <v>USDFF3L27Y_Quote</v>
      </c>
      <c r="H112" s="70"/>
      <c r="J112" s="11" t="str">
        <f t="shared" si="16"/>
        <v>BasOIS</v>
      </c>
      <c r="K112" s="106" t="str">
        <f t="shared" si="17"/>
        <v>--</v>
      </c>
      <c r="L112" s="109" t="str">
        <f>IFERROR(_xll.qlRateHelperQuoteName(K112,Trigger),"--")</f>
        <v>--</v>
      </c>
      <c r="M112" s="110" t="str">
        <f>IFERROR(_xll.qlRateHelperQuoteValue($K112,Trigger),"--")</f>
        <v>--</v>
      </c>
      <c r="N112" s="109" t="b">
        <v>0</v>
      </c>
      <c r="O112" s="106">
        <v>60</v>
      </c>
      <c r="P112" s="106">
        <v>1</v>
      </c>
      <c r="Q112" s="111" t="str">
        <f>IFERROR(_xll.qlRateHelperEarliestDate(K112,Trigger),"--")</f>
        <v>--</v>
      </c>
      <c r="R112" s="111" t="str">
        <f>IFERROR(_xll.qlRateHelperPillarDate(K112,Trigger),"--")</f>
        <v>--</v>
      </c>
      <c r="T112" s="4" t="str">
        <f t="shared" ref="T112:T113" si="28">IFERROR(INDEX($J$3:$J$113,MATCH(V112,$L$3:$L$113,0),1),"")</f>
        <v/>
      </c>
      <c r="U112" s="4" t="e">
        <v>#N/A</v>
      </c>
      <c r="V112" s="4" t="str">
        <f>IFERROR(_xll.qlRateHelperQuoteName(U112,Trigger),"")</f>
        <v/>
      </c>
      <c r="W112" s="76" t="str">
        <f>IFERROR(_xll.qlRateHelperRate(U112,Trigger),"")</f>
        <v/>
      </c>
      <c r="X112" s="116" t="str">
        <f>IF(ISERROR(_xll.qlSwapRateHelperSpread($U112)),IF(ISERROR(_xll.qlFuturesRateHelperConvexityAdjustment($U112)),"",_xll.qlFuturesRateHelperConvexityAdjustment($U112)),_xll.qlSwapRateHelperSpread($U112))</f>
        <v/>
      </c>
      <c r="Y112" s="5" t="str">
        <f>IFERROR(_xll.qlRateHelperEarliestDate(U112,Trigger),"")</f>
        <v/>
      </c>
      <c r="Z112" s="5" t="str">
        <f>IFERROR(_xll.qlRateHelperPillarDate(U112,Trigger),"")</f>
        <v/>
      </c>
      <c r="AA112" s="5" t="e">
        <v>#N/A</v>
      </c>
    </row>
    <row r="113" spans="1:27" x14ac:dyDescent="0.2">
      <c r="A113" s="64" t="s">
        <v>164</v>
      </c>
      <c r="B113" s="65" t="s">
        <v>95</v>
      </c>
      <c r="C113" s="66">
        <v>2</v>
      </c>
      <c r="D113" s="66" t="s">
        <v>166</v>
      </c>
      <c r="E113" s="67" t="s">
        <v>163</v>
      </c>
      <c r="F113" s="69" t="str">
        <f t="shared" si="26"/>
        <v>USDAM3L30Y_Quote</v>
      </c>
      <c r="G113" s="69" t="str">
        <f t="shared" si="27"/>
        <v>USDFF3L30Y_Quote</v>
      </c>
      <c r="H113" s="70"/>
      <c r="J113" s="12" t="str">
        <f t="shared" si="16"/>
        <v>BasOIS</v>
      </c>
      <c r="K113" s="107" t="str">
        <f t="shared" si="17"/>
        <v>--</v>
      </c>
      <c r="L113" s="112" t="str">
        <f>IFERROR(_xll.qlRateHelperQuoteName(K113,Trigger),"--")</f>
        <v>--</v>
      </c>
      <c r="M113" s="113" t="str">
        <f>IFERROR(_xll.qlRateHelperQuoteValue($K113,Trigger),"--")</f>
        <v>--</v>
      </c>
      <c r="N113" s="112" t="b">
        <v>0</v>
      </c>
      <c r="O113" s="107">
        <v>60</v>
      </c>
      <c r="P113" s="107">
        <v>1</v>
      </c>
      <c r="Q113" s="114" t="str">
        <f>IFERROR(_xll.qlRateHelperEarliestDate(K113,Trigger),"--")</f>
        <v>--</v>
      </c>
      <c r="R113" s="114" t="str">
        <f>IFERROR(_xll.qlRateHelperPillarDate(K113,Trigger),"--")</f>
        <v>--</v>
      </c>
      <c r="T113" s="6" t="str">
        <f t="shared" si="28"/>
        <v/>
      </c>
      <c r="U113" s="6" t="e">
        <v>#N/A</v>
      </c>
      <c r="V113" s="6" t="str">
        <f>IFERROR(_xll.qlRateHelperQuoteName(U113,Trigger),"")</f>
        <v/>
      </c>
      <c r="W113" s="86" t="str">
        <f>IFERROR(_xll.qlRateHelperRate(U113,Trigger),"")</f>
        <v/>
      </c>
      <c r="X113" s="117" t="str">
        <f>IF(ISERROR(_xll.qlSwapRateHelperSpread($U113)),IF(ISERROR(_xll.qlFuturesRateHelperConvexityAdjustment($U113)),"",_xll.qlFuturesRateHelperConvexityAdjustment($U113)),_xll.qlSwapRateHelperSpread($U113))</f>
        <v/>
      </c>
      <c r="Y113" s="13" t="str">
        <f>IFERROR(_xll.qlRateHelperEarliestDate(U113,Trigger),"")</f>
        <v/>
      </c>
      <c r="Z113" s="13" t="str">
        <f>IFERROR(_xll.qlRateHelperPillarDate(U113,Trigger),"")</f>
        <v/>
      </c>
      <c r="AA113" s="13" t="e">
        <v>#N/A</v>
      </c>
    </row>
    <row r="114" spans="1:27" x14ac:dyDescent="0.2">
      <c r="A114" s="64" t="s">
        <v>164</v>
      </c>
      <c r="B114" s="65" t="s">
        <v>96</v>
      </c>
      <c r="C114" s="66">
        <v>2</v>
      </c>
      <c r="D114" s="66" t="s">
        <v>166</v>
      </c>
      <c r="E114" s="67" t="s">
        <v>163</v>
      </c>
      <c r="F114" s="69" t="str">
        <f t="shared" si="26"/>
        <v>USDAM3L35Y_Quote</v>
      </c>
      <c r="G114" s="69" t="str">
        <f t="shared" si="27"/>
        <v>USDFF3L35Y_Quote</v>
      </c>
      <c r="H114" s="70"/>
    </row>
    <row r="115" spans="1:27" x14ac:dyDescent="0.2">
      <c r="A115" s="64" t="s">
        <v>164</v>
      </c>
      <c r="B115" s="65" t="s">
        <v>97</v>
      </c>
      <c r="C115" s="66">
        <v>2</v>
      </c>
      <c r="D115" s="66" t="s">
        <v>166</v>
      </c>
      <c r="E115" s="67" t="s">
        <v>163</v>
      </c>
      <c r="F115" s="69" t="str">
        <f t="shared" si="26"/>
        <v>USDAM3L40Y_Quote</v>
      </c>
      <c r="G115" s="69" t="str">
        <f t="shared" si="27"/>
        <v>USDFF3L40Y_Quote</v>
      </c>
      <c r="H115" s="70"/>
    </row>
    <row r="116" spans="1:27" x14ac:dyDescent="0.2">
      <c r="A116" s="64" t="s">
        <v>164</v>
      </c>
      <c r="B116" s="65" t="s">
        <v>98</v>
      </c>
      <c r="C116" s="66">
        <v>2</v>
      </c>
      <c r="D116" s="66" t="s">
        <v>166</v>
      </c>
      <c r="E116" s="67" t="s">
        <v>163</v>
      </c>
      <c r="F116" s="69" t="str">
        <f t="shared" si="26"/>
        <v>USDAM3L45Y_Quote</v>
      </c>
      <c r="G116" s="69" t="str">
        <f t="shared" si="27"/>
        <v>USDFF3L45Y_Quote</v>
      </c>
      <c r="H116" s="70"/>
    </row>
    <row r="117" spans="1:27" x14ac:dyDescent="0.2">
      <c r="A117" s="1" t="s">
        <v>164</v>
      </c>
      <c r="B117" s="9" t="s">
        <v>99</v>
      </c>
      <c r="C117" s="7">
        <v>2</v>
      </c>
      <c r="D117" s="7" t="s">
        <v>166</v>
      </c>
      <c r="E117" s="8" t="s">
        <v>163</v>
      </c>
      <c r="F117" s="2" t="str">
        <f t="shared" si="26"/>
        <v>USDAM3L50Y_Quote</v>
      </c>
      <c r="G117" s="2" t="str">
        <f t="shared" si="27"/>
        <v>USDFF3L50Y_Quote</v>
      </c>
      <c r="H117" s="3"/>
    </row>
  </sheetData>
  <dataValidations count="2">
    <dataValidation type="list" allowBlank="1" showInputMessage="1" showErrorMessage="1" sqref="D64:D117 AD11">
      <formula1>"Annual,Semiannual,EveryFourthMonth,Quarterly,Bimonthly,Monthly,Biweekly,Weekly,Daily,Once,NoFrequency"</formula1>
    </dataValidation>
    <dataValidation type="list" allowBlank="1" showInputMessage="1" showErrorMessage="1" sqref="AD10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1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0</v>
      </c>
      <c r="H1" s="55" t="str">
        <f>"_SYNTH"&amp;Tenor</f>
        <v>_SYNTH3M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USD3M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88">_xll.qlPiecewiseYieldCurveData(YieldCurve_3M,Trigger)</f>
        <v>1</v>
      </c>
      <c r="AE2" s="222" t="s">
        <v>118</v>
      </c>
      <c r="AF2" s="22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9" si="0">Currency&amp;$B3&amp;"D"&amp;$H$1&amp;QuoteSuffix</f>
        <v>USDSND_SYNTH3M_Quote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88">_xll.qlRateHelperSelection(_xll.ohFilter(RateHelpers,IncludeFlag),_xll.ohFilter(Priority,IncludeFlag),$AF$3,$AF$4,$AF$5,$AF$6,_xll.ohFilter(MinDistance,IncludeFlag),Trigger)</f>
        <v>obj_002f5</v>
      </c>
      <c r="X3" s="4" t="str">
        <f>IFERROR(_xll.qlRateHelperQuoteName(W3,Trigger),"")</f>
        <v>USD1MD_SYNTH3M_Quote</v>
      </c>
      <c r="Y3" s="76">
        <f>IFERROR(_xll.qlRateHelperRate(W3,Trigger),"")</f>
        <v>5.79E-3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42436</v>
      </c>
      <c r="AB3" s="5">
        <f>IFERROR(_xll.qlRateHelperPillarDate(W3,Trigger),"")</f>
        <v>42467</v>
      </c>
      <c r="AC3" s="84">
        <v>0.99950166512812832</v>
      </c>
      <c r="AE3" s="119" t="s">
        <v>119</v>
      </c>
      <c r="AF3" s="120">
        <v>8</v>
      </c>
    </row>
    <row r="4" spans="1:32" ht="11.25" customHeight="1" x14ac:dyDescent="0.2">
      <c r="A4" s="64" t="s">
        <v>27</v>
      </c>
      <c r="B4" s="65" t="s">
        <v>124</v>
      </c>
      <c r="C4" s="68" t="s">
        <v>50</v>
      </c>
      <c r="D4" s="137"/>
      <c r="E4" s="137"/>
      <c r="F4" s="137"/>
      <c r="G4" s="66" t="str">
        <f>PROPER(Currency)&amp;FamilyName&amp;B4</f>
        <v>UsdLiborSW</v>
      </c>
      <c r="H4" s="134" t="str">
        <f t="shared" si="0"/>
        <v>USDSWD_SYNTH3M_Quote</v>
      </c>
      <c r="I4" s="137"/>
      <c r="J4" s="70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obj_002cf</v>
      </c>
      <c r="X4" s="4" t="str">
        <f>IFERROR(_xll.qlRateHelperQuoteName(W4,Trigger),"")</f>
        <v>USD2MD_SYNTH3M_Quote</v>
      </c>
      <c r="Y4" s="76">
        <f>IFERROR(_xll.qlRateHelperRate(W4,Trigger),"")</f>
        <v>6.1050000000000002E-3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42436</v>
      </c>
      <c r="AB4" s="5">
        <f>IFERROR(_xll.qlRateHelperPillarDate(W4,Trigger),"")</f>
        <v>42499</v>
      </c>
      <c r="AC4" s="84">
        <v>0.99893276520697216</v>
      </c>
      <c r="AE4" s="119" t="s">
        <v>120</v>
      </c>
      <c r="AF4" s="120">
        <v>1</v>
      </c>
    </row>
    <row r="5" spans="1:32" ht="11.25" customHeight="1" x14ac:dyDescent="0.2">
      <c r="A5" s="176" t="s">
        <v>27</v>
      </c>
      <c r="B5" s="177" t="s">
        <v>51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obj_002c8#0044</v>
      </c>
      <c r="H5" s="181" t="str">
        <f t="shared" si="0"/>
        <v>USD2WD_SYNTH3M_Quote</v>
      </c>
      <c r="I5" s="179"/>
      <c r="J5" s="182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obj_002f8</v>
      </c>
      <c r="X5" s="4" t="str">
        <f>IFERROR(_xll.qlRateHelperQuoteName(W5,Trigger),"")</f>
        <v>USD3MD_SYNTH3M_Quote</v>
      </c>
      <c r="Y5" s="76">
        <f>IFERROR(_xll.qlRateHelperRate(W5,Trigger),"")</f>
        <v>6.3559999999999997E-3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42436</v>
      </c>
      <c r="AB5" s="5">
        <f>IFERROR(_xll.qlRateHelperPillarDate(W5,Trigger),"")</f>
        <v>42528</v>
      </c>
      <c r="AC5" s="84">
        <v>0.9983783229968638</v>
      </c>
      <c r="AD5" s="87"/>
      <c r="AE5" s="119" t="s">
        <v>121</v>
      </c>
      <c r="AF5" s="120">
        <v>2</v>
      </c>
    </row>
    <row r="6" spans="1:32" ht="11.25" customHeight="1" x14ac:dyDescent="0.2">
      <c r="A6" s="183" t="s">
        <v>27</v>
      </c>
      <c r="B6" s="184" t="s">
        <v>52</v>
      </c>
      <c r="C6" s="185" t="str">
        <f t="shared" ref="C6:C9" si="4">B6</f>
        <v>3W</v>
      </c>
      <c r="D6" s="186"/>
      <c r="E6" s="186"/>
      <c r="F6" s="186"/>
      <c r="G6" s="187" t="str">
        <f>_xll.qlLibor(,Currency,C6,,Permanent,Trigger,ObjectOverwrite)</f>
        <v>obj_002e5#0044</v>
      </c>
      <c r="H6" s="188" t="str">
        <f t="shared" si="0"/>
        <v>USD3WD_SYNTH3M_Quote</v>
      </c>
      <c r="I6" s="186"/>
      <c r="J6" s="189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FUT</v>
      </c>
      <c r="W6" s="4" t="str">
        <v>obj_00323</v>
      </c>
      <c r="X6" s="4" t="str">
        <f>IFERROR(_xll.qlRateHelperQuoteName(W6,Trigger),"")</f>
        <v>USDFUT3MH6_Quote</v>
      </c>
      <c r="Y6" s="76">
        <f>IFERROR(_xll.qlRateHelperRate(W6,Trigger),"")</f>
        <v>6.5869503338276186E-3</v>
      </c>
      <c r="Z6" s="116">
        <f>IF(ISERROR(_xll.qlSwapRateHelperSpread($W6)),IF(ISERROR(_xll.qlFuturesRateHelperConvexityAdjustment($W6)),"",_xll.qlFuturesRateHelperConvexityAdjustment($W6)),_xll.qlSwapRateHelperSpread($W6))</f>
        <v>5.4966617235004273E-7</v>
      </c>
      <c r="AA6" s="5">
        <f>IFERROR(_xll.qlRateHelperEarliestDate(W6,Trigger),"")</f>
        <v>42445</v>
      </c>
      <c r="AB6" s="5">
        <f>IFERROR(_xll.qlRateHelperPillarDate(W6,Trigger),"")</f>
        <v>42537</v>
      </c>
      <c r="AC6" s="84">
        <v>0.99817877073996852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USD1MD_SYNTH3M_Quote</v>
      </c>
      <c r="I7" s="137"/>
      <c r="J7" s="70" t="str">
        <f>_xll.qlDepositRateHelper(,H7,G7,Permanent,Trigger,ObjectOverwrite)</f>
        <v>obj_002f5#0044</v>
      </c>
      <c r="K7" s="53"/>
      <c r="L7" s="11" t="str">
        <f t="shared" si="1"/>
        <v>Dp</v>
      </c>
      <c r="M7" s="106" t="str">
        <f t="shared" si="2"/>
        <v>obj_002f5#0044</v>
      </c>
      <c r="N7" s="160" t="str">
        <f>IFERROR(_xll.qlRateHelperQuoteName(M7,Trigger),"--")</f>
        <v>USD1MD_SYNTH3M_Quote</v>
      </c>
      <c r="O7" s="110">
        <f>IFERROR(_xll.qlRateHelperQuoteValue($M7,Trigger),"--")</f>
        <v>5.79E-3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42436</v>
      </c>
      <c r="T7" s="111">
        <f>IFERROR(_xll.qlRateHelperPillarDate(M7,Trigger),"--")</f>
        <v>42467</v>
      </c>
      <c r="V7" s="4" t="str">
        <f t="shared" si="3"/>
        <v>FUT</v>
      </c>
      <c r="W7" s="4" t="str">
        <v>obj_00324</v>
      </c>
      <c r="X7" s="4" t="str">
        <f>IFERROR(_xll.qlRateHelperQuoteName(W7,Trigger),"")</f>
        <v>USDFUT3MJ6_Quote</v>
      </c>
      <c r="Y7" s="76">
        <f>IFERROR(_xll.qlRateHelperRate(W7,Trigger),"")</f>
        <v>6.9226357584853317E-3</v>
      </c>
      <c r="Z7" s="116">
        <f>IF(ISERROR(_xll.qlSwapRateHelperSpread($W7)),IF(ISERROR(_xll.qlFuturesRateHelperConvexityAdjustment($W7)),"",_xll.qlFuturesRateHelperConvexityAdjustment($W7)),_xll.qlSwapRateHelperSpread($W7))</f>
        <v>2.3642415146269414E-6</v>
      </c>
      <c r="AA7" s="5">
        <f>IFERROR(_xll.qlRateHelperEarliestDate(W7,Trigger),"")</f>
        <v>42480</v>
      </c>
      <c r="AB7" s="5">
        <f>IFERROR(_xll.qlRateHelperPillarDate(W7,Trigger),"")</f>
        <v>42571</v>
      </c>
      <c r="AC7" s="84">
        <v>0.99752927181970263</v>
      </c>
    </row>
    <row r="8" spans="1:32" ht="11.25" customHeight="1" x14ac:dyDescent="0.2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USD2MD_SYNTH3M_Quote</v>
      </c>
      <c r="I8" s="137"/>
      <c r="J8" s="70" t="str">
        <f>_xll.qlDepositRateHelper(,H8,G8,Permanent,Trigger,ObjectOverwrite)</f>
        <v>obj_002cf#0044</v>
      </c>
      <c r="K8" s="53"/>
      <c r="L8" s="11" t="str">
        <f t="shared" si="1"/>
        <v>Dp</v>
      </c>
      <c r="M8" s="106" t="str">
        <f t="shared" si="2"/>
        <v>obj_002cf#0044</v>
      </c>
      <c r="N8" s="160" t="str">
        <f>IFERROR(_xll.qlRateHelperQuoteName(M8,Trigger),"--")</f>
        <v>USD2MD_SYNTH3M_Quote</v>
      </c>
      <c r="O8" s="110">
        <f>IFERROR(_xll.qlRateHelperQuoteValue($M8,Trigger),"--")</f>
        <v>6.1050000000000002E-3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42436</v>
      </c>
      <c r="T8" s="111">
        <f>IFERROR(_xll.qlRateHelperPillarDate(M8,Trigger),"--")</f>
        <v>42499</v>
      </c>
      <c r="V8" s="4" t="str">
        <f t="shared" si="3"/>
        <v>FUT</v>
      </c>
      <c r="W8" s="4" t="str">
        <v>obj_00326</v>
      </c>
      <c r="X8" s="4" t="str">
        <f>IFERROR(_xll.qlRateHelperQuoteName(W8,Trigger),"")</f>
        <v>USDFUT3MM6_Quote</v>
      </c>
      <c r="Y8" s="76">
        <f>IFERROR(_xll.qlRateHelperRate(W8,Trigger),"")</f>
        <v>7.4686112518015796E-3</v>
      </c>
      <c r="Z8" s="116">
        <f>IF(ISERROR(_xll.qlSwapRateHelperSpread($W8)),IF(ISERROR(_xll.qlFuturesRateHelperConvexityAdjustment($W8)),"",_xll.qlFuturesRateHelperConvexityAdjustment($W8)),_xll.qlSwapRateHelperSpread($W8))</f>
        <v>6.3887481984295127E-6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84">
        <v>0.99629902940423176</v>
      </c>
    </row>
    <row r="9" spans="1:32" ht="11.25" customHeight="1" x14ac:dyDescent="0.2">
      <c r="A9" s="1" t="s">
        <v>27</v>
      </c>
      <c r="B9" s="9" t="s">
        <v>0</v>
      </c>
      <c r="C9" s="10" t="str">
        <f t="shared" si="4"/>
        <v>3M</v>
      </c>
      <c r="D9" s="138"/>
      <c r="E9" s="138"/>
      <c r="F9" s="138"/>
      <c r="G9" s="7" t="str">
        <f>PROPER(Currency)&amp;FamilyName&amp;B9</f>
        <v>UsdLibor3M</v>
      </c>
      <c r="H9" s="135" t="str">
        <f t="shared" si="0"/>
        <v>USD3MD_SYNTH3M_Quote</v>
      </c>
      <c r="I9" s="138"/>
      <c r="J9" s="3" t="str">
        <f>_xll.qlDepositRateHelper(,H9,G9,Permanent,Trigger,ObjectOverwrite)</f>
        <v>obj_002f8#0044</v>
      </c>
      <c r="K9" s="53"/>
      <c r="L9" s="12" t="str">
        <f t="shared" si="1"/>
        <v>Dp</v>
      </c>
      <c r="M9" s="107" t="str">
        <f t="shared" si="2"/>
        <v>obj_002f8#0044</v>
      </c>
      <c r="N9" s="161" t="str">
        <f>IFERROR(_xll.qlRateHelperQuoteName(M9,Trigger),"--")</f>
        <v>USD3MD_SYNTH3M_Quote</v>
      </c>
      <c r="O9" s="113">
        <f>IFERROR(_xll.qlRateHelperQuoteValue($M9,Trigger),"--")</f>
        <v>6.3559999999999997E-3</v>
      </c>
      <c r="P9" s="112" t="b">
        <v>1</v>
      </c>
      <c r="Q9" s="107">
        <v>10</v>
      </c>
      <c r="R9" s="107">
        <v>1</v>
      </c>
      <c r="S9" s="114">
        <f>IFERROR(_xll.qlRateHelperEarliestDate(M9,Trigger),"--")</f>
        <v>42436</v>
      </c>
      <c r="T9" s="114">
        <f>IFERROR(_xll.qlRateHelperPillarDate(M9,Trigger),"--")</f>
        <v>42528</v>
      </c>
      <c r="V9" s="4" t="str">
        <f t="shared" si="3"/>
        <v>FUT</v>
      </c>
      <c r="W9" s="4" t="str">
        <v>obj_00328</v>
      </c>
      <c r="X9" s="4" t="str">
        <f>IFERROR(_xll.qlRateHelperQuoteName(W9,Trigger),"")</f>
        <v>USDFUT3MU6_Quote</v>
      </c>
      <c r="Y9" s="76">
        <f>IFERROR(_xll.qlRateHelperRate(W9,Trigger),"")</f>
        <v>8.2585746120207165E-3</v>
      </c>
      <c r="Z9" s="116">
        <f>IF(ISERROR(_xll.qlSwapRateHelperSpread($W9)),IF(ISERROR(_xll.qlFuturesRateHelperConvexityAdjustment($W9)),"",_xll.qlFuturesRateHelperConvexityAdjustment($W9)),_xll.qlSwapRateHelperSpread($W9))</f>
        <v>1.6425387979315372E-5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84">
        <v>0.99408788698692407</v>
      </c>
    </row>
    <row r="10" spans="1:32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5" t="str">
        <f>IF(ISBLANK(J12),"--",J12)</f>
        <v>qlFraRateHelper(,H12,B12&amp;"M",G12,PillarDate,,Permanent,Trigger,ObjectOverwrite)</v>
      </c>
      <c r="N10" s="159" t="str">
        <f>IFERROR(_xll.qlRateHelperQuoteName(M10,Trigger),"--")</f>
        <v>--</v>
      </c>
      <c r="O10" s="147" t="str">
        <f>IFERROR(_xll.qlRateHelperQuoteValue($M10,Trigger),"--")</f>
        <v>--</v>
      </c>
      <c r="P10" s="146" t="b">
        <v>0</v>
      </c>
      <c r="Q10" s="145">
        <v>20</v>
      </c>
      <c r="R10" s="145">
        <v>1</v>
      </c>
      <c r="S10" s="148" t="str">
        <f>IFERROR(_xll.qlRateHelperEarliestDate(M10,Trigger),"--")</f>
        <v>--</v>
      </c>
      <c r="T10" s="148" t="str">
        <f>IFERROR(_xll.qlRateHelperPillarDate(M10,Trigger),"--")</f>
        <v>--</v>
      </c>
      <c r="V10" s="4" t="str">
        <f t="shared" si="3"/>
        <v>FUT</v>
      </c>
      <c r="W10" s="4" t="str">
        <v>obj_00329</v>
      </c>
      <c r="X10" s="4" t="str">
        <f>IFERROR(_xll.qlRateHelperQuoteName(W10,Trigger),"")</f>
        <v>USDFUT3MZ6_Quote</v>
      </c>
      <c r="Y10" s="76">
        <f>IFERROR(_xll.qlRateHelperRate(W10,Trigger),"")</f>
        <v>8.9958571319243095E-3</v>
      </c>
      <c r="Z10" s="116">
        <f>IF(ISERROR(_xll.qlSwapRateHelperSpread($W10)),IF(ISERROR(_xll.qlFuturesRateHelperConvexityAdjustment($W10)),"",_xll.qlFuturesRateHelperConvexityAdjustment($W10)),_xll.qlSwapRateHelperSpread($W10))</f>
        <v>2.9142868075751299E-5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84">
        <v>0.99185723549080107</v>
      </c>
    </row>
    <row r="11" spans="1:32" ht="11.25" customHeight="1" x14ac:dyDescent="0.2">
      <c r="A11" s="71" t="s">
        <v>9</v>
      </c>
      <c r="B11" s="71" t="s">
        <v>126</v>
      </c>
      <c r="C11" s="71" t="s">
        <v>127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25</v>
      </c>
      <c r="K11" s="53"/>
      <c r="L11" s="11" t="str">
        <f t="shared" ref="L11:L21" si="5">A13</f>
        <v>FRA</v>
      </c>
      <c r="M11" s="106" t="str">
        <f t="shared" ref="M11:M21" si="6">IF(ISBLANK(J13),"--",J13)</f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20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FUT</v>
      </c>
      <c r="W11" s="4" t="str">
        <v>obj_0032a</v>
      </c>
      <c r="X11" s="4" t="str">
        <f>IFERROR(_xll.qlRateHelperQuoteName(W11,Trigger),"")</f>
        <v>USDFUT3MH7_Quote</v>
      </c>
      <c r="Y11" s="76">
        <f>IFERROR(_xll.qlRateHelperRate(W11,Trigger),"")</f>
        <v>9.530822146673704E-3</v>
      </c>
      <c r="Z11" s="116">
        <f>IF(ISERROR(_xll.qlSwapRateHelperSpread($W11)),IF(ISERROR(_xll.qlFuturesRateHelperConvexityAdjustment($W11)),"",_xll.qlFuturesRateHelperConvexityAdjustment($W11)),_xll.qlSwapRateHelperSpread($W11))</f>
        <v>4.4177853326296845E-5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84">
        <v>0.98960047435053466</v>
      </c>
    </row>
    <row r="12" spans="1:32" ht="11.25" customHeight="1" x14ac:dyDescent="0.2">
      <c r="A12" s="58" t="s">
        <v>128</v>
      </c>
      <c r="B12" s="127">
        <v>1</v>
      </c>
      <c r="C12" s="61" t="str">
        <f t="shared" ref="C12:C23" si="7">"x"&amp;B12+SUBSTITUTE(Tenor,"M","")&amp;"F"</f>
        <v>x4F</v>
      </c>
      <c r="D12" s="137"/>
      <c r="E12" s="137"/>
      <c r="F12" s="137"/>
      <c r="G12" s="60" t="str">
        <f t="shared" ref="G12:G23" si="8">PROPER(Currency)&amp;FamilyName&amp;Tenor</f>
        <v>UsdLibor3M</v>
      </c>
      <c r="H12" s="130" t="str">
        <f t="shared" ref="H12:H23" si="9">Currency&amp;B12&amp;C12&amp;QuoteSuffix</f>
        <v>USD1x4F_Quote</v>
      </c>
      <c r="I12" s="137"/>
      <c r="J12" s="63" t="s">
        <v>153</v>
      </c>
      <c r="K12" s="53" t="s">
        <v>47</v>
      </c>
      <c r="L12" s="11" t="str">
        <f t="shared" si="5"/>
        <v>FRA</v>
      </c>
      <c r="M12" s="106" t="str">
        <f t="shared" si="6"/>
        <v>--</v>
      </c>
      <c r="N12" s="160" t="str">
        <f>IFERROR(_xll.qlRateHelperQuoteName(M12,Trigger),"--")</f>
        <v>--</v>
      </c>
      <c r="O12" s="110" t="str">
        <f>IFERROR(_xll.qlRateHelperQuoteValue($M12,Trigger),"--")</f>
        <v>--</v>
      </c>
      <c r="P12" s="109" t="b">
        <v>0</v>
      </c>
      <c r="Q12" s="106">
        <v>20</v>
      </c>
      <c r="R12" s="106">
        <v>1</v>
      </c>
      <c r="S12" s="111" t="str">
        <f>IFERROR(_xll.qlRateHelperEarliestDate(M12,Trigger),"--")</f>
        <v>--</v>
      </c>
      <c r="T12" s="111" t="str">
        <f>IFERROR(_xll.qlRateHelperPillarDate(M12,Trigger),"--")</f>
        <v>--</v>
      </c>
      <c r="V12" s="4" t="str">
        <f t="shared" si="3"/>
        <v>FUT</v>
      </c>
      <c r="W12" s="4" t="str">
        <v>obj_0032c</v>
      </c>
      <c r="X12" s="4" t="str">
        <f>IFERROR(_xll.qlRateHelperQuoteName(W12,Trigger),"")</f>
        <v>USDFUT3MM7_Quote</v>
      </c>
      <c r="Y12" s="76">
        <f>IFERROR(_xll.qlRateHelperRate(W12,Trigger),"")</f>
        <v>1.0160120174718427E-2</v>
      </c>
      <c r="Z12" s="116">
        <f>IF(ISERROR(_xll.qlSwapRateHelperSpread($W12)),IF(ISERROR(_xll.qlFuturesRateHelperConvexityAdjustment($W12)),"",_xll.qlFuturesRateHelperConvexityAdjustment($W12)),_xll.qlSwapRateHelperSpread($W12))</f>
        <v>6.4879825281613081E-5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84">
        <v>0.98687609518252972</v>
      </c>
    </row>
    <row r="13" spans="1:32" ht="11.25" customHeight="1" x14ac:dyDescent="0.2">
      <c r="A13" s="64" t="s">
        <v>128</v>
      </c>
      <c r="B13" s="128">
        <v>2</v>
      </c>
      <c r="C13" s="68" t="str">
        <f t="shared" si="7"/>
        <v>x5F</v>
      </c>
      <c r="D13" s="137"/>
      <c r="E13" s="137"/>
      <c r="F13" s="137"/>
      <c r="G13" s="66" t="str">
        <f t="shared" si="8"/>
        <v>UsdLibor3M</v>
      </c>
      <c r="H13" s="131" t="str">
        <f t="shared" si="9"/>
        <v>USD2x5F_Quote</v>
      </c>
      <c r="I13" s="137"/>
      <c r="J13" s="70"/>
      <c r="K13" s="53"/>
      <c r="L13" s="11" t="str">
        <f t="shared" si="5"/>
        <v>FRA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FUT</v>
      </c>
      <c r="W13" s="4" t="str">
        <v>obj_0032b</v>
      </c>
      <c r="X13" s="4" t="str">
        <f>IFERROR(_xll.qlRateHelperQuoteName(W13,Trigger),"")</f>
        <v>USDFUT3MU7_Quote</v>
      </c>
      <c r="Y13" s="76">
        <f>IFERROR(_xll.qlRateHelperRate(W13,Trigger),"")</f>
        <v>1.078787904285386E-2</v>
      </c>
      <c r="Z13" s="116">
        <f>IF(ISERROR(_xll.qlSwapRateHelperSpread($W13)),IF(ISERROR(_xll.qlFuturesRateHelperConvexityAdjustment($W13)),"",_xll.qlFuturesRateHelperConvexityAdjustment($W13)),_xll.qlSwapRateHelperSpread($W13))</f>
        <v>8.7120957146218829E-5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84">
        <v>0.98422079548639785</v>
      </c>
    </row>
    <row r="14" spans="1:32" ht="11.25" customHeight="1" x14ac:dyDescent="0.2">
      <c r="A14" s="64" t="s">
        <v>128</v>
      </c>
      <c r="B14" s="128">
        <v>3</v>
      </c>
      <c r="C14" s="68" t="str">
        <f t="shared" si="7"/>
        <v>x6F</v>
      </c>
      <c r="D14" s="137"/>
      <c r="E14" s="137"/>
      <c r="F14" s="137"/>
      <c r="G14" s="66" t="str">
        <f t="shared" si="8"/>
        <v>UsdLibor3M</v>
      </c>
      <c r="H14" s="131" t="str">
        <f t="shared" si="9"/>
        <v>USD3x6F_Quote</v>
      </c>
      <c r="I14" s="137"/>
      <c r="J14" s="70"/>
      <c r="K14" s="53"/>
      <c r="L14" s="11" t="str">
        <f t="shared" si="5"/>
        <v>FRA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FUT</v>
      </c>
      <c r="W14" s="4" t="str">
        <v>obj_00330</v>
      </c>
      <c r="X14" s="4" t="str">
        <f>IFERROR(_xll.qlRateHelperQuoteName(W14,Trigger),"")</f>
        <v>USDFUT3MZ7_Quote</v>
      </c>
      <c r="Y14" s="76">
        <f>IFERROR(_xll.qlRateHelperRate(W14,Trigger),"")</f>
        <v>1.15626496676262E-2</v>
      </c>
      <c r="Z14" s="116">
        <f>IF(ISERROR(_xll.qlSwapRateHelperSpread($W14)),IF(ISERROR(_xll.qlFuturesRateHelperConvexityAdjustment($W14)),"",_xll.qlFuturesRateHelperConvexityAdjustment($W14)),_xll.qlSwapRateHelperSpread($W14))</f>
        <v>1.1235033237379112E-4</v>
      </c>
      <c r="AA14" s="5">
        <f>IFERROR(_xll.qlRateHelperEarliestDate(W14,Trigger),"")</f>
        <v>43089</v>
      </c>
      <c r="AB14" s="5">
        <f>IFERROR(_xll.qlRateHelperPillarDate(W14,Trigger),"")</f>
        <v>43179</v>
      </c>
      <c r="AC14" s="84">
        <v>0.98138394579738164</v>
      </c>
    </row>
    <row r="15" spans="1:32" ht="11.25" customHeight="1" x14ac:dyDescent="0.2">
      <c r="A15" s="64" t="s">
        <v>128</v>
      </c>
      <c r="B15" s="128">
        <v>4</v>
      </c>
      <c r="C15" s="68" t="str">
        <f t="shared" si="7"/>
        <v>x7F</v>
      </c>
      <c r="D15" s="137"/>
      <c r="E15" s="137"/>
      <c r="F15" s="137"/>
      <c r="G15" s="66" t="str">
        <f t="shared" si="8"/>
        <v>UsdLibor3M</v>
      </c>
      <c r="H15" s="131" t="str">
        <f t="shared" si="9"/>
        <v>USD4x7F_Quote</v>
      </c>
      <c r="I15" s="137"/>
      <c r="J15" s="70"/>
      <c r="K15" s="53"/>
      <c r="L15" s="11" t="str">
        <f t="shared" si="5"/>
        <v>FRA</v>
      </c>
      <c r="M15" s="106" t="str">
        <f t="shared" si="6"/>
        <v>--</v>
      </c>
      <c r="N15" s="160" t="str">
        <f>IFERROR(_xll.qlRateHelperQuoteName(M15,Trigger),"--")</f>
        <v>--</v>
      </c>
      <c r="O15" s="110" t="str">
        <f>IFERROR(_xll.qlRateHelperQuoteValue($M15,Trigger),"--")</f>
        <v>--</v>
      </c>
      <c r="P15" s="109" t="b">
        <v>0</v>
      </c>
      <c r="Q15" s="106">
        <v>20</v>
      </c>
      <c r="R15" s="106">
        <v>1</v>
      </c>
      <c r="S15" s="111" t="str">
        <f>IFERROR(_xll.qlRateHelperEarliestDate(M15,Trigger),"--")</f>
        <v>--</v>
      </c>
      <c r="T15" s="111" t="str">
        <f>IFERROR(_xll.qlRateHelperPillarDate(M15,Trigger),"--")</f>
        <v>--</v>
      </c>
      <c r="V15" s="4" t="str">
        <f t="shared" si="3"/>
        <v>Sw</v>
      </c>
      <c r="W15" s="4" t="str">
        <v>obj_002be</v>
      </c>
      <c r="X15" s="4" t="str">
        <f>IFERROR(_xll.qlRateHelperQuoteName(W15,Trigger),"")</f>
        <v>USDAM3L3Y_Quote</v>
      </c>
      <c r="Y15" s="76">
        <f>IFERROR(_xll.qlRateHelperRate(W15,Trigger),"")</f>
        <v>1.0289999999999999E-2</v>
      </c>
      <c r="Z15" s="116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42436</v>
      </c>
      <c r="AB15" s="5">
        <f>IFERROR(_xll.qlRateHelperPillarDate(W15,Trigger),"")</f>
        <v>43531</v>
      </c>
      <c r="AC15" s="84">
        <v>0.96927556161977124</v>
      </c>
    </row>
    <row r="16" spans="1:32" ht="11.25" customHeight="1" x14ac:dyDescent="0.2">
      <c r="A16" s="64" t="s">
        <v>128</v>
      </c>
      <c r="B16" s="128">
        <v>5</v>
      </c>
      <c r="C16" s="68" t="str">
        <f t="shared" si="7"/>
        <v>x8F</v>
      </c>
      <c r="D16" s="137"/>
      <c r="E16" s="137"/>
      <c r="F16" s="137"/>
      <c r="G16" s="66" t="str">
        <f t="shared" si="8"/>
        <v>UsdLibor3M</v>
      </c>
      <c r="H16" s="131" t="str">
        <f t="shared" si="9"/>
        <v>USD5x8F_Quote</v>
      </c>
      <c r="I16" s="137"/>
      <c r="J16" s="70"/>
      <c r="K16" s="53"/>
      <c r="L16" s="11" t="str">
        <f t="shared" si="5"/>
        <v>FRA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Sw</v>
      </c>
      <c r="W16" s="4" t="str">
        <v>obj_00289</v>
      </c>
      <c r="X16" s="4" t="str">
        <f>IFERROR(_xll.qlRateHelperQuoteName(W16,Trigger),"")</f>
        <v>USDAM3L4Y_Quote</v>
      </c>
      <c r="Y16" s="76">
        <f>IFERROR(_xll.qlRateHelperRate(W16,Trigger),"")</f>
        <v>1.153E-2</v>
      </c>
      <c r="Z16" s="116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42436</v>
      </c>
      <c r="AB16" s="5">
        <f>IFERROR(_xll.qlRateHelperPillarDate(W16,Trigger),"")</f>
        <v>43899</v>
      </c>
      <c r="AC16" s="84">
        <v>0.95433208988407836</v>
      </c>
    </row>
    <row r="17" spans="1:29" ht="11.25" customHeight="1" x14ac:dyDescent="0.2">
      <c r="A17" s="64" t="s">
        <v>128</v>
      </c>
      <c r="B17" s="128">
        <v>6</v>
      </c>
      <c r="C17" s="68" t="str">
        <f t="shared" si="7"/>
        <v>x9F</v>
      </c>
      <c r="D17" s="137"/>
      <c r="E17" s="137"/>
      <c r="F17" s="137"/>
      <c r="G17" s="66" t="str">
        <f t="shared" si="8"/>
        <v>UsdLibor3M</v>
      </c>
      <c r="H17" s="131" t="str">
        <f t="shared" si="9"/>
        <v>USD6x9F_Quote</v>
      </c>
      <c r="I17" s="137"/>
      <c r="J17" s="70"/>
      <c r="K17" s="53"/>
      <c r="L17" s="11" t="str">
        <f t="shared" si="5"/>
        <v>FRA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Sw</v>
      </c>
      <c r="W17" s="4" t="str">
        <v>obj_002c7</v>
      </c>
      <c r="X17" s="4" t="str">
        <f>IFERROR(_xll.qlRateHelperQuoteName(W17,Trigger),"")</f>
        <v>USDAM3L5Y_Quote</v>
      </c>
      <c r="Y17" s="76">
        <f>IFERROR(_xll.qlRateHelperRate(W17,Trigger),"")</f>
        <v>1.2669999999999999E-2</v>
      </c>
      <c r="Z17" s="116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42436</v>
      </c>
      <c r="AB17" s="5">
        <f>IFERROR(_xll.qlRateHelperPillarDate(W17,Trigger),"")</f>
        <v>44263</v>
      </c>
      <c r="AC17" s="84">
        <v>0.93781992691833105</v>
      </c>
    </row>
    <row r="18" spans="1:29" ht="11.25" customHeight="1" x14ac:dyDescent="0.2">
      <c r="A18" s="64" t="s">
        <v>128</v>
      </c>
      <c r="B18" s="128">
        <v>7</v>
      </c>
      <c r="C18" s="68" t="str">
        <f t="shared" si="7"/>
        <v>x10F</v>
      </c>
      <c r="D18" s="137"/>
      <c r="E18" s="137"/>
      <c r="F18" s="137"/>
      <c r="G18" s="66" t="str">
        <f t="shared" si="8"/>
        <v>UsdLibor3M</v>
      </c>
      <c r="H18" s="131" t="str">
        <f t="shared" si="9"/>
        <v>USD7x10F_Quote</v>
      </c>
      <c r="I18" s="137"/>
      <c r="J18" s="70"/>
      <c r="K18" s="53"/>
      <c r="L18" s="11" t="str">
        <f t="shared" si="5"/>
        <v>FRA</v>
      </c>
      <c r="M18" s="106" t="str">
        <f t="shared" si="6"/>
        <v>--</v>
      </c>
      <c r="N18" s="160" t="str">
        <f>IFERROR(_xll.qlRateHelperQuoteName(M18,Trigger),"--")</f>
        <v>--</v>
      </c>
      <c r="O18" s="110" t="str">
        <f>IFERROR(_xll.qlRateHelperQuoteValue($M18,Trigger),"--")</f>
        <v>--</v>
      </c>
      <c r="P18" s="109" t="b">
        <v>0</v>
      </c>
      <c r="Q18" s="106">
        <v>20</v>
      </c>
      <c r="R18" s="106">
        <v>1</v>
      </c>
      <c r="S18" s="111" t="str">
        <f>IFERROR(_xll.qlRateHelperEarliestDate(M18,Trigger),"--")</f>
        <v>--</v>
      </c>
      <c r="T18" s="111" t="str">
        <f>IFERROR(_xll.qlRateHelperPillarDate(M18,Trigger),"--")</f>
        <v>--</v>
      </c>
      <c r="V18" s="4" t="str">
        <f t="shared" si="3"/>
        <v>Sw</v>
      </c>
      <c r="W18" s="4" t="str">
        <v>obj_002b9</v>
      </c>
      <c r="X18" s="4" t="str">
        <f>IFERROR(_xll.qlRateHelperQuoteName(W18,Trigger),"")</f>
        <v>USDAM3L6Y_Quote</v>
      </c>
      <c r="Y18" s="76">
        <f>IFERROR(_xll.qlRateHelperRate(W18,Trigger),"")</f>
        <v>1.3729999999999999E-2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42436</v>
      </c>
      <c r="AB18" s="5">
        <f>IFERROR(_xll.qlRateHelperPillarDate(W18,Trigger),"")</f>
        <v>44627</v>
      </c>
      <c r="AC18" s="84">
        <v>0.919875823024776</v>
      </c>
    </row>
    <row r="19" spans="1:29" ht="11.25" customHeight="1" x14ac:dyDescent="0.2">
      <c r="A19" s="64" t="s">
        <v>128</v>
      </c>
      <c r="B19" s="128">
        <v>8</v>
      </c>
      <c r="C19" s="68" t="str">
        <f t="shared" si="7"/>
        <v>x11F</v>
      </c>
      <c r="D19" s="137"/>
      <c r="E19" s="137"/>
      <c r="F19" s="137"/>
      <c r="G19" s="66" t="str">
        <f t="shared" si="8"/>
        <v>UsdLibor3M</v>
      </c>
      <c r="H19" s="131" t="str">
        <f t="shared" si="9"/>
        <v>USD8x11F_Quote</v>
      </c>
      <c r="I19" s="137"/>
      <c r="J19" s="70"/>
      <c r="K19" s="53"/>
      <c r="L19" s="11" t="str">
        <f t="shared" si="5"/>
        <v>FRA</v>
      </c>
      <c r="M19" s="106" t="str">
        <f t="shared" si="6"/>
        <v>--</v>
      </c>
      <c r="N19" s="160" t="str">
        <f>IFERROR(_xll.qlRateHelperQuoteName(M19,Trigger),"--")</f>
        <v>--</v>
      </c>
      <c r="O19" s="110" t="str">
        <f>IFERROR(_xll.qlRateHelperQuoteValue($M19,Trigger),"--")</f>
        <v>--</v>
      </c>
      <c r="P19" s="109" t="b">
        <v>0</v>
      </c>
      <c r="Q19" s="106">
        <v>20</v>
      </c>
      <c r="R19" s="106">
        <v>1</v>
      </c>
      <c r="S19" s="111" t="str">
        <f>IFERROR(_xll.qlRateHelperEarliestDate(M19,Trigger),"--")</f>
        <v>--</v>
      </c>
      <c r="T19" s="111" t="str">
        <f>IFERROR(_xll.qlRateHelperPillarDate(M19,Trigger),"--")</f>
        <v>--</v>
      </c>
      <c r="V19" s="4" t="str">
        <f t="shared" si="3"/>
        <v>Sw</v>
      </c>
      <c r="W19" s="4" t="str">
        <v>obj_002a6</v>
      </c>
      <c r="X19" s="4" t="str">
        <f>IFERROR(_xll.qlRateHelperQuoteName(W19,Trigger),"")</f>
        <v>USDAM3L7Y_Quote</v>
      </c>
      <c r="Y19" s="76">
        <f>IFERROR(_xll.qlRateHelperRate(W19,Trigger),"")</f>
        <v>1.4659999999999999E-2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42436</v>
      </c>
      <c r="AB19" s="5">
        <f>IFERROR(_xll.qlRateHelperPillarDate(W19,Trigger),"")</f>
        <v>44992</v>
      </c>
      <c r="AC19" s="84">
        <v>0.90109294331643852</v>
      </c>
    </row>
    <row r="20" spans="1:29" ht="11.25" customHeight="1" x14ac:dyDescent="0.2">
      <c r="A20" s="64" t="s">
        <v>128</v>
      </c>
      <c r="B20" s="128">
        <v>9</v>
      </c>
      <c r="C20" s="68" t="str">
        <f t="shared" si="7"/>
        <v>x12F</v>
      </c>
      <c r="D20" s="137"/>
      <c r="E20" s="137"/>
      <c r="F20" s="137"/>
      <c r="G20" s="66" t="str">
        <f t="shared" si="8"/>
        <v>UsdLibor3M</v>
      </c>
      <c r="H20" s="131" t="str">
        <f t="shared" si="9"/>
        <v>USD9x12F_Quote</v>
      </c>
      <c r="I20" s="137"/>
      <c r="J20" s="70"/>
      <c r="K20" s="53"/>
      <c r="L20" s="11" t="str">
        <f t="shared" si="5"/>
        <v>FRA</v>
      </c>
      <c r="M20" s="106" t="str">
        <f t="shared" si="6"/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Sw</v>
      </c>
      <c r="W20" s="4" t="str">
        <v>obj_002ef</v>
      </c>
      <c r="X20" s="4" t="str">
        <f>IFERROR(_xll.qlRateHelperQuoteName(W20,Trigger),"")</f>
        <v>USDAM3L8Y_Quote</v>
      </c>
      <c r="Y20" s="76">
        <f>IFERROR(_xll.qlRateHelperRate(W20,Trigger),"")</f>
        <v>1.5469999999999999E-2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42436</v>
      </c>
      <c r="AB20" s="5">
        <f>IFERROR(_xll.qlRateHelperPillarDate(W20,Trigger),"")</f>
        <v>45358</v>
      </c>
      <c r="AC20" s="84">
        <v>0.88180464108299927</v>
      </c>
    </row>
    <row r="21" spans="1:29" ht="11.25" customHeight="1" x14ac:dyDescent="0.2">
      <c r="A21" s="64" t="s">
        <v>128</v>
      </c>
      <c r="B21" s="128">
        <v>10</v>
      </c>
      <c r="C21" s="68" t="str">
        <f t="shared" si="7"/>
        <v>x13F</v>
      </c>
      <c r="D21" s="137"/>
      <c r="E21" s="137"/>
      <c r="F21" s="137"/>
      <c r="G21" s="66" t="str">
        <f t="shared" si="8"/>
        <v>UsdLibor3M</v>
      </c>
      <c r="H21" s="131" t="str">
        <f t="shared" si="9"/>
        <v>USD10x13F_Quote</v>
      </c>
      <c r="I21" s="137"/>
      <c r="J21" s="70"/>
      <c r="K21" s="53"/>
      <c r="L21" s="12" t="str">
        <f t="shared" si="5"/>
        <v>FRA</v>
      </c>
      <c r="M21" s="107" t="str">
        <f t="shared" si="6"/>
        <v>--</v>
      </c>
      <c r="N21" s="161" t="str">
        <f>IFERROR(_xll.qlRateHelperQuoteName(M21,Trigger),"--")</f>
        <v>--</v>
      </c>
      <c r="O21" s="113" t="str">
        <f>IFERROR(_xll.qlRateHelperQuoteValue($M21,Trigger),"--")</f>
        <v>--</v>
      </c>
      <c r="P21" s="112" t="b">
        <v>0</v>
      </c>
      <c r="Q21" s="107">
        <v>20</v>
      </c>
      <c r="R21" s="107">
        <v>1</v>
      </c>
      <c r="S21" s="114" t="str">
        <f>IFERROR(_xll.qlRateHelperEarliestDate(M21,Trigger),"--")</f>
        <v>--</v>
      </c>
      <c r="T21" s="114" t="str">
        <f>IFERROR(_xll.qlRateHelperPillarDate(M21,Trigger),"--")</f>
        <v>--</v>
      </c>
      <c r="V21" s="4" t="str">
        <f t="shared" si="3"/>
        <v>Sw</v>
      </c>
      <c r="W21" s="4" t="str">
        <v>obj_002e6</v>
      </c>
      <c r="X21" s="4" t="str">
        <f>IFERROR(_xll.qlRateHelperQuoteName(W21,Trigger),"")</f>
        <v>USDAM3L9Y_Quote</v>
      </c>
      <c r="Y21" s="76">
        <f>IFERROR(_xll.qlRateHelperRate(W21,Trigger),"")</f>
        <v>1.6200000000000003E-2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42436</v>
      </c>
      <c r="AB21" s="5">
        <f>IFERROR(_xll.qlRateHelperPillarDate(W21,Trigger),"")</f>
        <v>45723</v>
      </c>
      <c r="AC21" s="84">
        <v>0.86212078864814801</v>
      </c>
    </row>
    <row r="22" spans="1:29" ht="11.25" customHeight="1" x14ac:dyDescent="0.2">
      <c r="A22" s="64" t="s">
        <v>128</v>
      </c>
      <c r="B22" s="128">
        <v>11</v>
      </c>
      <c r="C22" s="68" t="str">
        <f t="shared" si="7"/>
        <v>x14F</v>
      </c>
      <c r="D22" s="137"/>
      <c r="E22" s="137"/>
      <c r="F22" s="137"/>
      <c r="G22" s="66" t="str">
        <f t="shared" si="8"/>
        <v>UsdLibor3M</v>
      </c>
      <c r="H22" s="131" t="str">
        <f t="shared" si="9"/>
        <v>USD11x14F_Quote</v>
      </c>
      <c r="I22" s="137"/>
      <c r="J22" s="70"/>
      <c r="K22" s="53"/>
      <c r="L22" s="74" t="str">
        <f>A26</f>
        <v>FUT</v>
      </c>
      <c r="M22" s="145" t="str">
        <f>IF(ISBLANK(J26),"--",J26)</f>
        <v>obj_00323#0043</v>
      </c>
      <c r="N22" s="159" t="str">
        <f>IFERROR(_xll.qlRateHelperQuoteName(M22,Trigger),"--")</f>
        <v>USDFUT3MH6_Quote</v>
      </c>
      <c r="O22" s="164">
        <f>IFERROR(_xll.qlRateHelperQuoteValue($M22,Trigger),"--")</f>
        <v>99.341250000000002</v>
      </c>
      <c r="P22" s="146" t="b">
        <v>1</v>
      </c>
      <c r="Q22" s="145">
        <v>60</v>
      </c>
      <c r="R22" s="145">
        <v>7</v>
      </c>
      <c r="S22" s="148">
        <f>IFERROR(_xll.qlRateHelperEarliestDate(M22,Trigger),"--")</f>
        <v>42445</v>
      </c>
      <c r="T22" s="148">
        <f>IFERROR(_xll.qlRateHelperPillarDate(M22,Trigger),"--")</f>
        <v>42537</v>
      </c>
      <c r="V22" s="4" t="str">
        <f t="shared" si="3"/>
        <v>Sw</v>
      </c>
      <c r="W22" s="4" t="str">
        <v>obj_002d3</v>
      </c>
      <c r="X22" s="4" t="str">
        <f>IFERROR(_xll.qlRateHelperQuoteName(W22,Trigger),"")</f>
        <v>USDAM3L10Y_Quote</v>
      </c>
      <c r="Y22" s="76">
        <f>IFERROR(_xll.qlRateHelperRate(W22,Trigger),"")</f>
        <v>1.6890000000000002E-2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42436</v>
      </c>
      <c r="AB22" s="5">
        <f>IFERROR(_xll.qlRateHelperPillarDate(W22,Trigger),"")</f>
        <v>46090</v>
      </c>
      <c r="AC22" s="84">
        <v>0.84181918583439885</v>
      </c>
    </row>
    <row r="23" spans="1:29" ht="11.25" customHeight="1" x14ac:dyDescent="0.2">
      <c r="A23" s="1" t="s">
        <v>128</v>
      </c>
      <c r="B23" s="129">
        <v>12</v>
      </c>
      <c r="C23" s="10" t="str">
        <f t="shared" si="7"/>
        <v>x15F</v>
      </c>
      <c r="D23" s="138"/>
      <c r="E23" s="138"/>
      <c r="F23" s="138"/>
      <c r="G23" s="7" t="str">
        <f t="shared" si="8"/>
        <v>UsdLibor3M</v>
      </c>
      <c r="H23" s="132" t="str">
        <f t="shared" si="9"/>
        <v>USD12x15F_Quote</v>
      </c>
      <c r="I23" s="138"/>
      <c r="J23" s="3"/>
      <c r="K23" s="53"/>
      <c r="L23" s="11" t="str">
        <f t="shared" ref="L23:L43" si="10">A27</f>
        <v>FUT</v>
      </c>
      <c r="M23" s="106" t="str">
        <f t="shared" ref="M23:M43" si="11">IF(ISBLANK(J27),"--",J27)</f>
        <v>obj_00324#0043</v>
      </c>
      <c r="N23" s="160" t="str">
        <f>IFERROR(_xll.qlRateHelperQuoteName(M23,Trigger),"--")</f>
        <v>USDFUT3MJ6_Quote</v>
      </c>
      <c r="O23" s="165">
        <f>IFERROR(_xll.qlRateHelperQuoteValue($M23,Trigger),"--")</f>
        <v>99.307500000000005</v>
      </c>
      <c r="P23" s="109" t="b">
        <v>1</v>
      </c>
      <c r="Q23" s="106">
        <v>60</v>
      </c>
      <c r="R23" s="106">
        <v>1</v>
      </c>
      <c r="S23" s="111">
        <f>IFERROR(_xll.qlRateHelperEarliestDate(M23,Trigger),"--")</f>
        <v>42480</v>
      </c>
      <c r="T23" s="111">
        <f>IFERROR(_xll.qlRateHelperPillarDate(M23,Trigger),"--")</f>
        <v>42571</v>
      </c>
      <c r="V23" s="4" t="str">
        <f t="shared" si="3"/>
        <v>Sw</v>
      </c>
      <c r="W23" s="4" t="str">
        <v>obj_0028a</v>
      </c>
      <c r="X23" s="4" t="str">
        <f>IFERROR(_xll.qlRateHelperQuoteName(W23,Trigger),"")</f>
        <v>USDAM3L12Y_Quote</v>
      </c>
      <c r="Y23" s="76">
        <f>IFERROR(_xll.qlRateHelperRate(W23,Trigger),"")</f>
        <v>1.804E-2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42436</v>
      </c>
      <c r="AB23" s="5">
        <f>IFERROR(_xll.qlRateHelperPillarDate(W23,Trigger),"")</f>
        <v>46819</v>
      </c>
      <c r="AC23" s="84">
        <v>0.80155501090441061</v>
      </c>
    </row>
    <row r="24" spans="1:29" ht="11.25" customHeight="1" x14ac:dyDescent="0.2">
      <c r="B24" s="51"/>
      <c r="C24" s="51"/>
      <c r="D24" s="51"/>
      <c r="E24" s="51"/>
      <c r="F24" s="51"/>
      <c r="G24" s="51"/>
      <c r="H24" s="51" t="s">
        <v>130</v>
      </c>
      <c r="K24" s="53"/>
      <c r="L24" s="11" t="str">
        <f t="shared" si="10"/>
        <v>FUT</v>
      </c>
      <c r="M24" s="106" t="str">
        <f t="shared" si="11"/>
        <v>obj_00325#0043</v>
      </c>
      <c r="N24" s="160" t="str">
        <f>IFERROR(_xll.qlRateHelperQuoteName(M24,Trigger),"--")</f>
        <v>USDFUT3MK6_Quote</v>
      </c>
      <c r="O24" s="165">
        <f>IFERROR(_xll.qlRateHelperQuoteValue($M24,Trigger),"--")</f>
        <v>99.282499999999999</v>
      </c>
      <c r="P24" s="109" t="b">
        <v>1</v>
      </c>
      <c r="Q24" s="106">
        <v>60</v>
      </c>
      <c r="R24" s="106">
        <v>1</v>
      </c>
      <c r="S24" s="111">
        <f>IFERROR(_xll.qlRateHelperEarliestDate(M24,Trigger),"--")</f>
        <v>42508</v>
      </c>
      <c r="T24" s="111">
        <f>IFERROR(_xll.qlRateHelperPillarDate(M24,Trigger),"--")</f>
        <v>42600</v>
      </c>
      <c r="V24" s="4" t="str">
        <f t="shared" si="3"/>
        <v>Sw</v>
      </c>
      <c r="W24" s="4" t="str">
        <v>obj_002e4</v>
      </c>
      <c r="X24" s="4" t="str">
        <f>IFERROR(_xll.qlRateHelperQuoteName(W24,Trigger),"")</f>
        <v>USDAM3L15Y_Quote</v>
      </c>
      <c r="Y24" s="76">
        <f>IFERROR(_xll.qlRateHelperRate(W24,Trigger),"")</f>
        <v>1.9260000000000003E-2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42436</v>
      </c>
      <c r="AB24" s="5">
        <f>IFERROR(_xll.qlRateHelperPillarDate(W24,Trigger),"")</f>
        <v>47914</v>
      </c>
      <c r="AC24" s="84">
        <v>0.74369728559170267</v>
      </c>
    </row>
    <row r="25" spans="1:29" ht="11.25" customHeight="1" x14ac:dyDescent="0.2">
      <c r="A25" s="71" t="s">
        <v>9</v>
      </c>
      <c r="B25" s="71" t="s">
        <v>132</v>
      </c>
      <c r="C25" s="71" t="s">
        <v>34</v>
      </c>
      <c r="D25" s="71"/>
      <c r="E25" s="71"/>
      <c r="F25" s="71"/>
      <c r="G25" s="71" t="s">
        <v>4</v>
      </c>
      <c r="H25" s="71" t="s">
        <v>1</v>
      </c>
      <c r="I25" s="71" t="s">
        <v>131</v>
      </c>
      <c r="J25" s="71" t="s">
        <v>25</v>
      </c>
      <c r="K25" s="53"/>
      <c r="L25" s="11" t="str">
        <f t="shared" si="10"/>
        <v>FUT</v>
      </c>
      <c r="M25" s="106" t="str">
        <f t="shared" si="11"/>
        <v>obj_00326#0043</v>
      </c>
      <c r="N25" s="160" t="str">
        <f>IFERROR(_xll.qlRateHelperQuoteName(M25,Trigger),"--")</f>
        <v>USDFUT3MM6_Quote</v>
      </c>
      <c r="O25" s="165">
        <f>IFERROR(_xll.qlRateHelperQuoteValue($M25,Trigger),"--")</f>
        <v>99.252499999999998</v>
      </c>
      <c r="P25" s="109" t="b">
        <v>1</v>
      </c>
      <c r="Q25" s="106">
        <v>60</v>
      </c>
      <c r="R25" s="106">
        <v>21</v>
      </c>
      <c r="S25" s="111">
        <f>IFERROR(_xll.qlRateHelperEarliestDate(M25,Trigger),"--")</f>
        <v>42536</v>
      </c>
      <c r="T25" s="111">
        <f>IFERROR(_xll.qlRateHelperPillarDate(M25,Trigger),"--")</f>
        <v>42628</v>
      </c>
      <c r="V25" s="4" t="str">
        <f t="shared" si="3"/>
        <v>Sw</v>
      </c>
      <c r="W25" s="4" t="str">
        <v>obj_002aa</v>
      </c>
      <c r="X25" s="4" t="str">
        <f>IFERROR(_xll.qlRateHelperQuoteName(W25,Trigger),"")</f>
        <v>USDAM3L20Y_Quote</v>
      </c>
      <c r="Y25" s="76">
        <f>IFERROR(_xll.qlRateHelperRate(W25,Trigger),"")</f>
        <v>2.053E-2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42436</v>
      </c>
      <c r="AB25" s="5">
        <f>IFERROR(_xll.qlRateHelperPillarDate(W25,Trigger),"")</f>
        <v>49741</v>
      </c>
      <c r="AC25" s="84">
        <v>0.65537271288108623</v>
      </c>
    </row>
    <row r="26" spans="1:29" ht="11.25" customHeight="1" x14ac:dyDescent="0.2">
      <c r="A26" s="58" t="s">
        <v>129</v>
      </c>
      <c r="B26" s="127" t="b">
        <v>0</v>
      </c>
      <c r="C26" s="61" t="str">
        <f>_xll.qlIMMNextCode(Evaluationdate-1,B26,Trigger)</f>
        <v>H6</v>
      </c>
      <c r="D26" s="143"/>
      <c r="E26" s="143"/>
      <c r="F26" s="143"/>
      <c r="G26" s="60" t="str">
        <f t="shared" ref="G26:G47" si="12">PROPER(Currency)&amp;FamilyName&amp;Tenor</f>
        <v>UsdLibor3M</v>
      </c>
      <c r="H26" s="130" t="str">
        <f t="shared" ref="H26:H47" si="13">Currency&amp;"FUT"&amp;Tenor&amp;$C26&amp;QuoteSuffix</f>
        <v>USDFUT3MH6_Quote</v>
      </c>
      <c r="I26" s="130" t="str">
        <f t="shared" ref="I26:I47" si="14">Currency&amp;"FUT"&amp;Tenor&amp;$C26&amp;"ConvAdj"&amp;QuoteSuffix</f>
        <v>USDFUT3MH6ConvAdj_Quote</v>
      </c>
      <c r="J26" s="63" t="str">
        <f>_xll.qlFuturesRateHelper(,H26,$H$24,C26,G26,I26,Permanent,Trigger,ObjectOverwrite)</f>
        <v>obj_00323#0043</v>
      </c>
      <c r="K26" s="53"/>
      <c r="L26" s="11" t="str">
        <f t="shared" si="10"/>
        <v>FUT</v>
      </c>
      <c r="M26" s="106" t="str">
        <f t="shared" si="11"/>
        <v>obj_00327#0043</v>
      </c>
      <c r="N26" s="160" t="str">
        <f>IFERROR(_xll.qlRateHelperQuoteName(M26,Trigger),"--")</f>
        <v>USDFUT3MN6_Quote</v>
      </c>
      <c r="O26" s="165">
        <f>IFERROR(_xll.qlRateHelperQuoteValue($M26,Trigger),"--")</f>
        <v>99.222499999999997</v>
      </c>
      <c r="P26" s="109" t="b">
        <v>1</v>
      </c>
      <c r="Q26" s="106">
        <v>60</v>
      </c>
      <c r="R26" s="106">
        <v>21</v>
      </c>
      <c r="S26" s="111">
        <f>IFERROR(_xll.qlRateHelperEarliestDate(M26,Trigger),"--")</f>
        <v>42571</v>
      </c>
      <c r="T26" s="111">
        <f>IFERROR(_xll.qlRateHelperPillarDate(M26,Trigger),"--")</f>
        <v>42663</v>
      </c>
      <c r="V26" s="4" t="str">
        <f t="shared" si="3"/>
        <v>Sw</v>
      </c>
      <c r="W26" s="4" t="str">
        <v>obj_002ca</v>
      </c>
      <c r="X26" s="4" t="str">
        <f>IFERROR(_xll.qlRateHelperQuoteName(W26,Trigger),"")</f>
        <v>USDAM3L25Y_Quote</v>
      </c>
      <c r="Y26" s="76">
        <f>IFERROR(_xll.qlRateHelperRate(W26,Trigger),"")</f>
        <v>2.1129999999999999E-2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42436</v>
      </c>
      <c r="AB26" s="5">
        <f>IFERROR(_xll.qlRateHelperPillarDate(W26,Trigger),"")</f>
        <v>51567</v>
      </c>
      <c r="AC26" s="84">
        <v>0.58030546512234427</v>
      </c>
    </row>
    <row r="27" spans="1:29" ht="11.25" customHeight="1" x14ac:dyDescent="0.2">
      <c r="A27" s="64" t="s">
        <v>129</v>
      </c>
      <c r="B27" s="128" t="b">
        <v>0</v>
      </c>
      <c r="C27" s="68" t="str">
        <f>_xll.qlIMMNextCode(C26,B27,Trigger)</f>
        <v>J6</v>
      </c>
      <c r="D27" s="137"/>
      <c r="E27" s="137"/>
      <c r="F27" s="137"/>
      <c r="G27" s="66" t="str">
        <f t="shared" si="12"/>
        <v>UsdLibor3M</v>
      </c>
      <c r="H27" s="131" t="str">
        <f t="shared" si="13"/>
        <v>USDFUT3MJ6_Quote</v>
      </c>
      <c r="I27" s="131" t="str">
        <f t="shared" si="14"/>
        <v>USDFUT3MJ6ConvAdj_Quote</v>
      </c>
      <c r="J27" s="70" t="str">
        <f>_xll.qlFuturesRateHelper(,H27,$H$24,C27,G27,I27,Permanent,Trigger,ObjectOverwrite)</f>
        <v>obj_00324#0043</v>
      </c>
      <c r="K27" s="53"/>
      <c r="L27" s="11" t="str">
        <f t="shared" si="10"/>
        <v>FUT</v>
      </c>
      <c r="M27" s="106" t="str">
        <f t="shared" si="11"/>
        <v>obj_00328#0043</v>
      </c>
      <c r="N27" s="160" t="str">
        <f>IFERROR(_xll.qlRateHelperQuoteName(M27,Trigger),"--")</f>
        <v>USDFUT3MU6_Quote</v>
      </c>
      <c r="O27" s="165">
        <f>IFERROR(_xll.qlRateHelperQuoteValue($M27,Trigger),"--")</f>
        <v>99.172499999999999</v>
      </c>
      <c r="P27" s="109" t="b">
        <v>1</v>
      </c>
      <c r="Q27" s="106">
        <v>60</v>
      </c>
      <c r="R27" s="106">
        <v>21</v>
      </c>
      <c r="S27" s="111">
        <f>IFERROR(_xll.qlRateHelperEarliestDate(M27,Trigger),"--")</f>
        <v>42634</v>
      </c>
      <c r="T27" s="111">
        <f>IFERROR(_xll.qlRateHelperPillarDate(M27,Trigger),"--")</f>
        <v>42725</v>
      </c>
      <c r="V27" s="4" t="str">
        <f t="shared" si="3"/>
        <v>Sw</v>
      </c>
      <c r="W27" s="4" t="str">
        <v>obj_002f0</v>
      </c>
      <c r="X27" s="4" t="str">
        <f>IFERROR(_xll.qlRateHelperQuoteName(W27,Trigger),"")</f>
        <v>USDAM3L30Y_Quote</v>
      </c>
      <c r="Y27" s="76">
        <f>IFERROR(_xll.qlRateHelperRate(W27,Trigger),"")</f>
        <v>2.145E-2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42436</v>
      </c>
      <c r="AB27" s="5">
        <f>IFERROR(_xll.qlRateHelperPillarDate(W27,Trigger),"")</f>
        <v>53393</v>
      </c>
      <c r="AC27" s="84">
        <v>0.51538034791878096</v>
      </c>
    </row>
    <row r="28" spans="1:29" ht="11.25" customHeight="1" x14ac:dyDescent="0.2">
      <c r="A28" s="64" t="s">
        <v>129</v>
      </c>
      <c r="B28" s="128" t="b">
        <v>0</v>
      </c>
      <c r="C28" s="68" t="str">
        <f>_xll.qlIMMNextCode(C27,B28,Trigger)</f>
        <v>K6</v>
      </c>
      <c r="D28" s="137"/>
      <c r="E28" s="137"/>
      <c r="F28" s="137"/>
      <c r="G28" s="66" t="str">
        <f t="shared" si="12"/>
        <v>UsdLibor3M</v>
      </c>
      <c r="H28" s="131" t="str">
        <f t="shared" si="13"/>
        <v>USDFUT3MK6_Quote</v>
      </c>
      <c r="I28" s="131" t="str">
        <f t="shared" si="14"/>
        <v>USDFUT3MK6ConvAdj_Quote</v>
      </c>
      <c r="J28" s="70" t="str">
        <f>_xll.qlFuturesRateHelper(,H28,$H$24,C28,G28,I28,Permanent,Trigger,ObjectOverwrite)</f>
        <v>obj_00325#0043</v>
      </c>
      <c r="K28" s="53"/>
      <c r="L28" s="11" t="str">
        <f t="shared" si="10"/>
        <v>FUT</v>
      </c>
      <c r="M28" s="106" t="str">
        <f t="shared" si="11"/>
        <v>obj_00329#0043</v>
      </c>
      <c r="N28" s="160" t="str">
        <f>IFERROR(_xll.qlRateHelperQuoteName(M28,Trigger),"--")</f>
        <v>USDFUT3MZ6_Quote</v>
      </c>
      <c r="O28" s="165">
        <f>IFERROR(_xll.qlRateHelperQuoteValue($M28,Trigger),"--")</f>
        <v>99.097499999999997</v>
      </c>
      <c r="P28" s="109" t="b">
        <v>1</v>
      </c>
      <c r="Q28" s="106">
        <v>60</v>
      </c>
      <c r="R28" s="106">
        <v>21</v>
      </c>
      <c r="S28" s="111">
        <f>IFERROR(_xll.qlRateHelperEarliestDate(M28,Trigger),"--")</f>
        <v>42725</v>
      </c>
      <c r="T28" s="111">
        <f>IFERROR(_xll.qlRateHelperPillarDate(M28,Trigger),"--")</f>
        <v>42815</v>
      </c>
      <c r="V28" s="4" t="str">
        <f t="shared" si="3"/>
        <v>Sw</v>
      </c>
      <c r="W28" s="4" t="str">
        <v>obj_002e8</v>
      </c>
      <c r="X28" s="4" t="str">
        <f>IFERROR(_xll.qlRateHelperQuoteName(W28,Trigger),"")</f>
        <v>USDAM3L40Y_Quote</v>
      </c>
      <c r="Y28" s="76">
        <f>IFERROR(_xll.qlRateHelperRate(W28,Trigger),"")</f>
        <v>2.162E-2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42436</v>
      </c>
      <c r="AB28" s="5">
        <f>IFERROR(_xll.qlRateHelperPillarDate(W28,Trigger),"")</f>
        <v>57046</v>
      </c>
      <c r="AC28" s="84">
        <v>0.41166538155642535</v>
      </c>
    </row>
    <row r="29" spans="1:29" ht="11.25" customHeight="1" x14ac:dyDescent="0.2">
      <c r="A29" s="64" t="s">
        <v>129</v>
      </c>
      <c r="B29" s="128" t="b">
        <v>0</v>
      </c>
      <c r="C29" s="68" t="str">
        <f>_xll.qlIMMNextCode(C28,B29,Trigger)</f>
        <v>M6</v>
      </c>
      <c r="D29" s="137"/>
      <c r="E29" s="137"/>
      <c r="F29" s="137"/>
      <c r="G29" s="66" t="str">
        <f t="shared" si="12"/>
        <v>UsdLibor3M</v>
      </c>
      <c r="H29" s="131" t="str">
        <f t="shared" si="13"/>
        <v>USDFUT3MM6_Quote</v>
      </c>
      <c r="I29" s="131" t="str">
        <f t="shared" si="14"/>
        <v>USDFUT3MM6ConvAdj_Quote</v>
      </c>
      <c r="J29" s="70" t="str">
        <f>_xll.qlFuturesRateHelper(,H29,$H$24,C29,G29,I29,Permanent,Trigger,ObjectOverwrite)</f>
        <v>obj_00326#0043</v>
      </c>
      <c r="K29" s="53"/>
      <c r="L29" s="11" t="str">
        <f t="shared" si="10"/>
        <v>FUT</v>
      </c>
      <c r="M29" s="106" t="str">
        <f t="shared" si="11"/>
        <v>obj_0032a#0043</v>
      </c>
      <c r="N29" s="160" t="str">
        <f>IFERROR(_xll.qlRateHelperQuoteName(M29,Trigger),"--")</f>
        <v>USDFUT3MH7_Quote</v>
      </c>
      <c r="O29" s="165">
        <f>IFERROR(_xll.qlRateHelperQuoteValue($M29,Trigger),"--")</f>
        <v>99.042500000000004</v>
      </c>
      <c r="P29" s="109" t="b">
        <v>1</v>
      </c>
      <c r="Q29" s="106">
        <v>60</v>
      </c>
      <c r="R29" s="106">
        <v>21</v>
      </c>
      <c r="S29" s="111">
        <f>IFERROR(_xll.qlRateHelperEarliestDate(M29,Trigger),"--")</f>
        <v>42809</v>
      </c>
      <c r="T29" s="111">
        <f>IFERROR(_xll.qlRateHelperPillarDate(M29,Trigger),"--")</f>
        <v>42901</v>
      </c>
      <c r="V29" s="4" t="str">
        <f t="shared" si="3"/>
        <v>Sw</v>
      </c>
      <c r="W29" s="4" t="str">
        <v>obj_00285</v>
      </c>
      <c r="X29" s="4" t="str">
        <f>IFERROR(_xll.qlRateHelperQuoteName(W29,Trigger),"")</f>
        <v>USDAM3L50Y_Quote</v>
      </c>
      <c r="Y29" s="76">
        <f>IFERROR(_xll.qlRateHelperRate(W29,Trigger),"")</f>
        <v>2.1499999999999998E-2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42436</v>
      </c>
      <c r="AB29" s="5">
        <f>IFERROR(_xll.qlRateHelperPillarDate(W29,Trigger),"")</f>
        <v>60699</v>
      </c>
      <c r="AC29" s="84">
        <v>0.33432952296736484</v>
      </c>
    </row>
    <row r="30" spans="1:29" ht="11.25" customHeight="1" x14ac:dyDescent="0.2">
      <c r="A30" s="1" t="s">
        <v>129</v>
      </c>
      <c r="B30" s="129" t="b">
        <v>0</v>
      </c>
      <c r="C30" s="10" t="str">
        <f>_xll.qlIMMNextCode(C29,B30,Trigger)</f>
        <v>N6</v>
      </c>
      <c r="D30" s="138"/>
      <c r="E30" s="138"/>
      <c r="F30" s="138"/>
      <c r="G30" s="7" t="str">
        <f t="shared" si="12"/>
        <v>UsdLibor3M</v>
      </c>
      <c r="H30" s="132" t="str">
        <f t="shared" si="13"/>
        <v>USDFUT3MN6_Quote</v>
      </c>
      <c r="I30" s="132" t="str">
        <f t="shared" si="14"/>
        <v>USDFUT3MN6ConvAdj_Quote</v>
      </c>
      <c r="J30" s="3" t="str">
        <f>_xll.qlFuturesRateHelper(,H30,$H$24,C30,G30,I30,Permanent,Trigger,ObjectOverwrite)</f>
        <v>obj_00327#0043</v>
      </c>
      <c r="K30" s="53"/>
      <c r="L30" s="11" t="str">
        <f t="shared" si="10"/>
        <v>FUT</v>
      </c>
      <c r="M30" s="106" t="str">
        <f t="shared" si="11"/>
        <v>obj_0032c#0043</v>
      </c>
      <c r="N30" s="160" t="str">
        <f>IFERROR(_xll.qlRateHelperQuoteName(M30,Trigger),"--")</f>
        <v>USDFUT3MM7_Quote</v>
      </c>
      <c r="O30" s="165">
        <f>IFERROR(_xll.qlRateHelperQuoteValue($M30,Trigger),"--")</f>
        <v>98.977499999999992</v>
      </c>
      <c r="P30" s="109" t="b">
        <v>1</v>
      </c>
      <c r="Q30" s="106">
        <v>60</v>
      </c>
      <c r="R30" s="106">
        <v>21</v>
      </c>
      <c r="S30" s="111">
        <f>IFERROR(_xll.qlRateHelperEarliestDate(M30,Trigger),"--")</f>
        <v>42907</v>
      </c>
      <c r="T30" s="111">
        <f>IFERROR(_xll.qlRateHelperPillarDate(M30,Trigger),"--")</f>
        <v>42999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129</v>
      </c>
      <c r="B31" s="128" t="b">
        <v>1</v>
      </c>
      <c r="C31" s="68" t="str">
        <f>_xll.qlIMMNextCode(C30,B31,Trigger)</f>
        <v>U6</v>
      </c>
      <c r="D31" s="137"/>
      <c r="E31" s="137"/>
      <c r="F31" s="137"/>
      <c r="G31" s="66" t="str">
        <f t="shared" si="12"/>
        <v>UsdLibor3M</v>
      </c>
      <c r="H31" s="131" t="str">
        <f t="shared" si="13"/>
        <v>USDFUT3MU6_Quote</v>
      </c>
      <c r="I31" s="131" t="str">
        <f t="shared" si="14"/>
        <v>USDFUT3MU6ConvAdj_Quote</v>
      </c>
      <c r="J31" s="70" t="str">
        <f>_xll.qlFuturesRateHelper(,H31,$H$24,C31,G31,I31,Permanent,Trigger,ObjectOverwrite)</f>
        <v>obj_00328#0043</v>
      </c>
      <c r="K31" s="53"/>
      <c r="L31" s="11" t="str">
        <f t="shared" si="10"/>
        <v>FUT</v>
      </c>
      <c r="M31" s="106" t="str">
        <f t="shared" si="11"/>
        <v>obj_0032b#0043</v>
      </c>
      <c r="N31" s="160" t="str">
        <f>IFERROR(_xll.qlRateHelperQuoteName(M31,Trigger),"--")</f>
        <v>USDFUT3MU7_Quote</v>
      </c>
      <c r="O31" s="165">
        <f>IFERROR(_xll.qlRateHelperQuoteValue($M31,Trigger),"--")</f>
        <v>98.912499999999994</v>
      </c>
      <c r="P31" s="109" t="b">
        <v>1</v>
      </c>
      <c r="Q31" s="106">
        <v>60</v>
      </c>
      <c r="R31" s="106">
        <v>21</v>
      </c>
      <c r="S31" s="111">
        <f>IFERROR(_xll.qlRateHelperEarliestDate(M31,Trigger),"--")</f>
        <v>42998</v>
      </c>
      <c r="T31" s="111">
        <f>IFERROR(_xll.qlRateHelperPillarDate(M31,Trigger),"--")</f>
        <v>43089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129</v>
      </c>
      <c r="B32" s="128" t="b">
        <v>1</v>
      </c>
      <c r="C32" s="68" t="str">
        <f>_xll.qlIMMNextCode(C31,B32,Trigger)</f>
        <v>Z6</v>
      </c>
      <c r="D32" s="137"/>
      <c r="E32" s="137"/>
      <c r="F32" s="137"/>
      <c r="G32" s="66" t="str">
        <f t="shared" si="12"/>
        <v>UsdLibor3M</v>
      </c>
      <c r="H32" s="131" t="str">
        <f t="shared" si="13"/>
        <v>USDFUT3MZ6_Quote</v>
      </c>
      <c r="I32" s="131" t="str">
        <f t="shared" si="14"/>
        <v>USDFUT3MZ6ConvAdj_Quote</v>
      </c>
      <c r="J32" s="70" t="str">
        <f>_xll.qlFuturesRateHelper(,H32,$H$24,C32,G32,I32,Permanent,Trigger,ObjectOverwrite)</f>
        <v>obj_00329#0043</v>
      </c>
      <c r="K32" s="53"/>
      <c r="L32" s="11" t="str">
        <f t="shared" si="10"/>
        <v>FUT</v>
      </c>
      <c r="M32" s="106" t="str">
        <f t="shared" si="11"/>
        <v>obj_00330#0043</v>
      </c>
      <c r="N32" s="160" t="str">
        <f>IFERROR(_xll.qlRateHelperQuoteName(M32,Trigger),"--")</f>
        <v>USDFUT3MZ7_Quote</v>
      </c>
      <c r="O32" s="165">
        <f>IFERROR(_xll.qlRateHelperQuoteValue($M32,Trigger),"--")</f>
        <v>98.832499999999996</v>
      </c>
      <c r="P32" s="109" t="b">
        <v>1</v>
      </c>
      <c r="Q32" s="106">
        <v>60</v>
      </c>
      <c r="R32" s="106">
        <v>21</v>
      </c>
      <c r="S32" s="111">
        <f>IFERROR(_xll.qlRateHelperEarliestDate(M32,Trigger),"--")</f>
        <v>43089</v>
      </c>
      <c r="T32" s="111">
        <f>IFERROR(_xll.qlRateHelperPillarDate(M32,Trigger),"--")</f>
        <v>43179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129</v>
      </c>
      <c r="B33" s="128" t="b">
        <v>1</v>
      </c>
      <c r="C33" s="68" t="str">
        <f>_xll.qlIMMNextCode(C32,B33,Trigger)</f>
        <v>H7</v>
      </c>
      <c r="D33" s="137"/>
      <c r="E33" s="137"/>
      <c r="F33" s="137"/>
      <c r="G33" s="66" t="str">
        <f t="shared" si="12"/>
        <v>UsdLibor3M</v>
      </c>
      <c r="H33" s="131" t="str">
        <f t="shared" si="13"/>
        <v>USDFUT3MH7_Quote</v>
      </c>
      <c r="I33" s="131" t="str">
        <f t="shared" si="14"/>
        <v>USDFUT3MH7ConvAdj_Quote</v>
      </c>
      <c r="J33" s="70" t="str">
        <f>_xll.qlFuturesRateHelper(,H33,$H$24,C33,G33,I33,Permanent,Trigger,ObjectOverwrite)</f>
        <v>obj_0032a#0043</v>
      </c>
      <c r="K33" s="53"/>
      <c r="L33" s="11" t="str">
        <f t="shared" si="10"/>
        <v>FUT</v>
      </c>
      <c r="M33" s="106" t="str">
        <f t="shared" si="11"/>
        <v>obj_0032f#0043</v>
      </c>
      <c r="N33" s="160" t="str">
        <f>IFERROR(_xll.qlRateHelperQuoteName(M33,Trigger),"--")</f>
        <v>USDFUT3MH8_Quote</v>
      </c>
      <c r="O33" s="165">
        <f>IFERROR(_xll.qlRateHelperQuoteValue($M33,Trigger),"--")</f>
        <v>98.772500000000008</v>
      </c>
      <c r="P33" s="109" t="b">
        <v>1</v>
      </c>
      <c r="Q33" s="106">
        <v>60</v>
      </c>
      <c r="R33" s="106">
        <v>21</v>
      </c>
      <c r="S33" s="111">
        <f>IFERROR(_xll.qlRateHelperEarliestDate(M33,Trigger),"--")</f>
        <v>43180</v>
      </c>
      <c r="T33" s="111">
        <f>IFERROR(_xll.qlRateHelperPillarDate(M33,Trigger),"--")</f>
        <v>43272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129</v>
      </c>
      <c r="B34" s="128" t="b">
        <v>1</v>
      </c>
      <c r="C34" s="68" t="str">
        <f>_xll.qlIMMNextCode(C33,B34,Trigger)</f>
        <v>M7</v>
      </c>
      <c r="D34" s="137"/>
      <c r="E34" s="137"/>
      <c r="F34" s="137"/>
      <c r="G34" s="66" t="str">
        <f t="shared" si="12"/>
        <v>UsdLibor3M</v>
      </c>
      <c r="H34" s="131" t="str">
        <f t="shared" si="13"/>
        <v>USDFUT3MM7_Quote</v>
      </c>
      <c r="I34" s="131" t="str">
        <f t="shared" si="14"/>
        <v>USDFUT3MM7ConvAdj_Quote</v>
      </c>
      <c r="J34" s="70" t="str">
        <f>_xll.qlFuturesRateHelper(,H34,$H$24,C34,G34,I34,Permanent,Trigger,ObjectOverwrite)</f>
        <v>obj_0032c#0043</v>
      </c>
      <c r="K34" s="53"/>
      <c r="L34" s="11" t="str">
        <f t="shared" si="10"/>
        <v>FUT</v>
      </c>
      <c r="M34" s="106" t="str">
        <f t="shared" si="11"/>
        <v>obj_00331#0043</v>
      </c>
      <c r="N34" s="160" t="str">
        <f>IFERROR(_xll.qlRateHelperQuoteName(M34,Trigger),"--")</f>
        <v>USDFUT3MM8_Quote</v>
      </c>
      <c r="O34" s="165">
        <f>IFERROR(_xll.qlRateHelperQuoteValue($M34,Trigger),"--")</f>
        <v>98.697499999999991</v>
      </c>
      <c r="P34" s="109" t="b">
        <v>1</v>
      </c>
      <c r="Q34" s="106">
        <v>60</v>
      </c>
      <c r="R34" s="106">
        <v>21</v>
      </c>
      <c r="S34" s="111">
        <f>IFERROR(_xll.qlRateHelperEarliestDate(M34,Trigger),"--")</f>
        <v>43271</v>
      </c>
      <c r="T34" s="111">
        <f>IFERROR(_xll.qlRateHelperPillarDate(M34,Trigger),"--")</f>
        <v>43363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129</v>
      </c>
      <c r="B35" s="128" t="b">
        <v>1</v>
      </c>
      <c r="C35" s="68" t="str">
        <f>_xll.qlIMMNextCode(C34,B35,Trigger)</f>
        <v>U7</v>
      </c>
      <c r="D35" s="137"/>
      <c r="E35" s="137"/>
      <c r="F35" s="137"/>
      <c r="G35" s="66" t="str">
        <f t="shared" si="12"/>
        <v>UsdLibor3M</v>
      </c>
      <c r="H35" s="131" t="str">
        <f t="shared" si="13"/>
        <v>USDFUT3MU7_Quote</v>
      </c>
      <c r="I35" s="131" t="str">
        <f t="shared" si="14"/>
        <v>USDFUT3MU7ConvAdj_Quote</v>
      </c>
      <c r="J35" s="70" t="str">
        <f>_xll.qlFuturesRateHelper(,H35,$H$24,C35,G35,I35,Permanent,Trigger,ObjectOverwrite)</f>
        <v>obj_0032b#0043</v>
      </c>
      <c r="K35" s="53"/>
      <c r="L35" s="11" t="str">
        <f t="shared" si="10"/>
        <v>FUT</v>
      </c>
      <c r="M35" s="106" t="str">
        <f t="shared" si="11"/>
        <v>obj_00332#0043</v>
      </c>
      <c r="N35" s="160" t="str">
        <f>IFERROR(_xll.qlRateHelperQuoteName(M35,Trigger),"--")</f>
        <v>USDFUT3MU8_Quote</v>
      </c>
      <c r="O35" s="165">
        <f>IFERROR(_xll.qlRateHelperQuoteValue($M35,Trigger),"--")</f>
        <v>98.632499999999993</v>
      </c>
      <c r="P35" s="109" t="b">
        <v>1</v>
      </c>
      <c r="Q35" s="106">
        <v>30</v>
      </c>
      <c r="R35" s="106">
        <v>21</v>
      </c>
      <c r="S35" s="111">
        <f>IFERROR(_xll.qlRateHelperEarliestDate(M35,Trigger),"--")</f>
        <v>43362</v>
      </c>
      <c r="T35" s="111">
        <f>IFERROR(_xll.qlRateHelperPillarDate(M35,Trigger),"--")</f>
        <v>43453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129</v>
      </c>
      <c r="B36" s="128" t="b">
        <v>1</v>
      </c>
      <c r="C36" s="68" t="str">
        <f>_xll.qlIMMNextCode(C35,B36,Trigger)</f>
        <v>Z7</v>
      </c>
      <c r="D36" s="137"/>
      <c r="E36" s="137"/>
      <c r="F36" s="137"/>
      <c r="G36" s="66" t="str">
        <f t="shared" si="12"/>
        <v>UsdLibor3M</v>
      </c>
      <c r="H36" s="131" t="str">
        <f t="shared" si="13"/>
        <v>USDFUT3MZ7_Quote</v>
      </c>
      <c r="I36" s="131" t="str">
        <f t="shared" si="14"/>
        <v>USDFUT3MZ7ConvAdj_Quote</v>
      </c>
      <c r="J36" s="70" t="str">
        <f>_xll.qlFuturesRateHelper(,H36,$H$24,C36,G36,I36,Permanent,Trigger,ObjectOverwrite)</f>
        <v>obj_00330#0043</v>
      </c>
      <c r="K36" s="53"/>
      <c r="L36" s="11" t="str">
        <f t="shared" si="10"/>
        <v>FUT</v>
      </c>
      <c r="M36" s="106" t="str">
        <f t="shared" si="11"/>
        <v>obj_00333#0043</v>
      </c>
      <c r="N36" s="160" t="str">
        <f>IFERROR(_xll.qlRateHelperQuoteName(M36,Trigger),"--")</f>
        <v>USDFUT3MZ8_Quote</v>
      </c>
      <c r="O36" s="165">
        <f>IFERROR(_xll.qlRateHelperQuoteValue($M36,Trigger),"--")</f>
        <v>98.557500000000005</v>
      </c>
      <c r="P36" s="109" t="b">
        <v>1</v>
      </c>
      <c r="Q36" s="106">
        <v>30</v>
      </c>
      <c r="R36" s="106">
        <v>21</v>
      </c>
      <c r="S36" s="111">
        <f>IFERROR(_xll.qlRateHelperEarliestDate(M36,Trigger),"--")</f>
        <v>43453</v>
      </c>
      <c r="T36" s="111">
        <f>IFERROR(_xll.qlRateHelperPillarDate(M36,Trigger),"--")</f>
        <v>43543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129</v>
      </c>
      <c r="B37" s="128" t="b">
        <v>1</v>
      </c>
      <c r="C37" s="68" t="str">
        <f>_xll.qlIMMNextCode(C36,B37,Trigger)</f>
        <v>H8</v>
      </c>
      <c r="D37" s="137"/>
      <c r="E37" s="137"/>
      <c r="F37" s="137"/>
      <c r="G37" s="66" t="str">
        <f t="shared" si="12"/>
        <v>UsdLibor3M</v>
      </c>
      <c r="H37" s="131" t="str">
        <f t="shared" si="13"/>
        <v>USDFUT3MH8_Quote</v>
      </c>
      <c r="I37" s="131" t="str">
        <f t="shared" si="14"/>
        <v>USDFUT3MH8ConvAdj_Quote</v>
      </c>
      <c r="J37" s="70" t="str">
        <f>_xll.qlFuturesRateHelper(,H37,$H$24,C37,G37,I37,Permanent,Trigger,ObjectOverwrite)</f>
        <v>obj_0032f#0043</v>
      </c>
      <c r="K37" s="53"/>
      <c r="L37" s="11" t="str">
        <f t="shared" si="10"/>
        <v>FUT</v>
      </c>
      <c r="M37" s="106" t="str">
        <f t="shared" si="11"/>
        <v>obj_00334#0043</v>
      </c>
      <c r="N37" s="160" t="str">
        <f>IFERROR(_xll.qlRateHelperQuoteName(M37,Trigger),"--")</f>
        <v>USDFUT3MH9_Quote</v>
      </c>
      <c r="O37" s="165">
        <f>IFERROR(_xll.qlRateHelperQuoteValue($M37,Trigger),"--")</f>
        <v>98.497500000000002</v>
      </c>
      <c r="P37" s="109" t="b">
        <v>1</v>
      </c>
      <c r="Q37" s="106">
        <v>30</v>
      </c>
      <c r="R37" s="106">
        <v>21</v>
      </c>
      <c r="S37" s="111">
        <f>IFERROR(_xll.qlRateHelperEarliestDate(M37,Trigger),"--")</f>
        <v>43544</v>
      </c>
      <c r="T37" s="111">
        <f>IFERROR(_xll.qlRateHelperPillarDate(M37,Trigger),"--")</f>
        <v>43636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129</v>
      </c>
      <c r="B38" s="128" t="b">
        <v>1</v>
      </c>
      <c r="C38" s="68" t="str">
        <f>_xll.qlIMMNextCode(C37,B38,Trigger)</f>
        <v>M8</v>
      </c>
      <c r="D38" s="137"/>
      <c r="E38" s="137"/>
      <c r="F38" s="137"/>
      <c r="G38" s="66" t="str">
        <f t="shared" si="12"/>
        <v>UsdLibor3M</v>
      </c>
      <c r="H38" s="131" t="str">
        <f t="shared" si="13"/>
        <v>USDFUT3MM8_Quote</v>
      </c>
      <c r="I38" s="131" t="str">
        <f t="shared" si="14"/>
        <v>USDFUT3MM8ConvAdj_Quote</v>
      </c>
      <c r="J38" s="70" t="str">
        <f>_xll.qlFuturesRateHelper(,H38,$H$24,C38,G38,I38,Permanent,Trigger,ObjectOverwrite)</f>
        <v>obj_00331#0043</v>
      </c>
      <c r="K38" s="53"/>
      <c r="L38" s="11" t="str">
        <f t="shared" si="10"/>
        <v>FUT</v>
      </c>
      <c r="M38" s="106" t="str">
        <f t="shared" si="11"/>
        <v>obj_00335#0043</v>
      </c>
      <c r="N38" s="160" t="str">
        <f>IFERROR(_xll.qlRateHelperQuoteName(M38,Trigger),"--")</f>
        <v>USDFUT3MM9_Quote</v>
      </c>
      <c r="O38" s="165">
        <f>IFERROR(_xll.qlRateHelperQuoteValue($M38,Trigger),"--")</f>
        <v>98.432500000000005</v>
      </c>
      <c r="P38" s="109" t="b">
        <v>1</v>
      </c>
      <c r="Q38" s="106">
        <v>30</v>
      </c>
      <c r="R38" s="106">
        <v>21</v>
      </c>
      <c r="S38" s="111">
        <f>IFERROR(_xll.qlRateHelperEarliestDate(M38,Trigger),"--")</f>
        <v>43635</v>
      </c>
      <c r="T38" s="111">
        <f>IFERROR(_xll.qlRateHelperPillarDate(M38,Trigger),"--")</f>
        <v>43727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129</v>
      </c>
      <c r="B39" s="128" t="b">
        <v>1</v>
      </c>
      <c r="C39" s="68" t="str">
        <f>_xll.qlIMMNextCode(C38,B39,Trigger)</f>
        <v>U8</v>
      </c>
      <c r="D39" s="137"/>
      <c r="E39" s="137"/>
      <c r="F39" s="137"/>
      <c r="G39" s="66" t="str">
        <f t="shared" si="12"/>
        <v>UsdLibor3M</v>
      </c>
      <c r="H39" s="131" t="str">
        <f t="shared" si="13"/>
        <v>USDFUT3MU8_Quote</v>
      </c>
      <c r="I39" s="131" t="str">
        <f t="shared" si="14"/>
        <v>USDFUT3MU8ConvAdj_Quote</v>
      </c>
      <c r="J39" s="70" t="str">
        <f>_xll.qlFuturesRateHelper(,H39,$H$24,C39,G39,I39,Permanent,Trigger,ObjectOverwrite)</f>
        <v>obj_00332#0043</v>
      </c>
      <c r="K39" s="53"/>
      <c r="L39" s="11" t="str">
        <f t="shared" si="10"/>
        <v>FUT</v>
      </c>
      <c r="M39" s="106" t="str">
        <f t="shared" si="11"/>
        <v>obj_00336#0043</v>
      </c>
      <c r="N39" s="160" t="str">
        <f>IFERROR(_xll.qlRateHelperQuoteName(M39,Trigger),"--")</f>
        <v>USDFUT3MU9_Quote</v>
      </c>
      <c r="O39" s="165">
        <f>IFERROR(_xll.qlRateHelperQuoteValue($M39,Trigger),"--")</f>
        <v>98.362499999999997</v>
      </c>
      <c r="P39" s="109" t="b">
        <v>1</v>
      </c>
      <c r="Q39" s="106">
        <v>30</v>
      </c>
      <c r="R39" s="106">
        <v>21</v>
      </c>
      <c r="S39" s="111">
        <f>IFERROR(_xll.qlRateHelperEarliestDate(M39,Trigger),"--")</f>
        <v>43726</v>
      </c>
      <c r="T39" s="111">
        <f>IFERROR(_xll.qlRateHelperPillarDate(M39,Trigger),"--")</f>
        <v>43817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129</v>
      </c>
      <c r="B40" s="128" t="b">
        <v>1</v>
      </c>
      <c r="C40" s="68" t="str">
        <f>_xll.qlIMMNextCode(C39,B40,Trigger)</f>
        <v>Z8</v>
      </c>
      <c r="D40" s="137"/>
      <c r="E40" s="137"/>
      <c r="F40" s="137"/>
      <c r="G40" s="66" t="str">
        <f t="shared" si="12"/>
        <v>UsdLibor3M</v>
      </c>
      <c r="H40" s="131" t="str">
        <f t="shared" si="13"/>
        <v>USDFUT3MZ8_Quote</v>
      </c>
      <c r="I40" s="131" t="str">
        <f t="shared" si="14"/>
        <v>USDFUT3MZ8ConvAdj_Quote</v>
      </c>
      <c r="J40" s="70" t="str">
        <f>_xll.qlFuturesRateHelper(,H40,$H$24,C40,G40,I40,Permanent,Trigger,ObjectOverwrite)</f>
        <v>obj_00333#0043</v>
      </c>
      <c r="K40" s="53"/>
      <c r="L40" s="11" t="str">
        <f t="shared" si="10"/>
        <v>FUT</v>
      </c>
      <c r="M40" s="106" t="str">
        <f t="shared" si="11"/>
        <v>obj_00337#0043</v>
      </c>
      <c r="N40" s="160" t="str">
        <f>IFERROR(_xll.qlRateHelperQuoteName(M40,Trigger),"--")</f>
        <v>USDFUT3MZ9_Quote</v>
      </c>
      <c r="O40" s="165">
        <f>IFERROR(_xll.qlRateHelperQuoteValue($M40,Trigger),"--")</f>
        <v>98.292500000000004</v>
      </c>
      <c r="P40" s="109" t="b">
        <v>1</v>
      </c>
      <c r="Q40" s="106">
        <v>30</v>
      </c>
      <c r="R40" s="106">
        <v>21</v>
      </c>
      <c r="S40" s="111">
        <f>IFERROR(_xll.qlRateHelperEarliestDate(M40,Trigger),"--")</f>
        <v>43817</v>
      </c>
      <c r="T40" s="111">
        <f>IFERROR(_xll.qlRateHelperPillarDate(M40,Trigger),"--")</f>
        <v>43908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129</v>
      </c>
      <c r="B41" s="128" t="b">
        <v>1</v>
      </c>
      <c r="C41" s="68" t="str">
        <f>_xll.qlIMMNextCode(C40,B41,Trigger)</f>
        <v>H9</v>
      </c>
      <c r="D41" s="137"/>
      <c r="E41" s="137"/>
      <c r="F41" s="137"/>
      <c r="G41" s="66" t="str">
        <f t="shared" si="12"/>
        <v>UsdLibor3M</v>
      </c>
      <c r="H41" s="131" t="str">
        <f t="shared" si="13"/>
        <v>USDFUT3MH9_Quote</v>
      </c>
      <c r="I41" s="131" t="str">
        <f t="shared" si="14"/>
        <v>USDFUT3MH9ConvAdj_Quote</v>
      </c>
      <c r="J41" s="70" t="str">
        <f>_xll.qlFuturesRateHelper(,H41,$H$24,C41,G41,I41,Permanent,Trigger,ObjectOverwrite)</f>
        <v>obj_00334#0043</v>
      </c>
      <c r="L41" s="11" t="str">
        <f t="shared" si="10"/>
        <v>FUT</v>
      </c>
      <c r="M41" s="106" t="str">
        <f t="shared" si="11"/>
        <v>obj_00338#0043</v>
      </c>
      <c r="N41" s="160" t="str">
        <f>IFERROR(_xll.qlRateHelperQuoteName(M41,Trigger),"--")</f>
        <v>USDFUT3MH0_Quote</v>
      </c>
      <c r="O41" s="165">
        <f>IFERROR(_xll.qlRateHelperQuoteValue($M41,Trigger),"--")</f>
        <v>98.237499999999997</v>
      </c>
      <c r="P41" s="109" t="b">
        <v>1</v>
      </c>
      <c r="Q41" s="106">
        <v>30</v>
      </c>
      <c r="R41" s="106">
        <v>21</v>
      </c>
      <c r="S41" s="111">
        <f>IFERROR(_xll.qlRateHelperEarliestDate(M41,Trigger),"--")</f>
        <v>43908</v>
      </c>
      <c r="T41" s="111">
        <f>IFERROR(_xll.qlRateHelperPillarDate(M41,Trigger),"--")</f>
        <v>44000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129</v>
      </c>
      <c r="B42" s="128" t="b">
        <v>1</v>
      </c>
      <c r="C42" s="68" t="str">
        <f>_xll.qlIMMNextCode(C41,B42,Trigger)</f>
        <v>M9</v>
      </c>
      <c r="D42" s="137"/>
      <c r="E42" s="137"/>
      <c r="F42" s="137"/>
      <c r="G42" s="66" t="str">
        <f t="shared" si="12"/>
        <v>UsdLibor3M</v>
      </c>
      <c r="H42" s="131" t="str">
        <f t="shared" si="13"/>
        <v>USDFUT3MM9_Quote</v>
      </c>
      <c r="I42" s="131" t="str">
        <f t="shared" si="14"/>
        <v>USDFUT3MM9ConvAdj_Quote</v>
      </c>
      <c r="J42" s="70" t="str">
        <f>_xll.qlFuturesRateHelper(,H42,$H$24,C42,G42,I42,Permanent,Trigger,ObjectOverwrite)</f>
        <v>obj_00335#0043</v>
      </c>
      <c r="L42" s="11" t="str">
        <f t="shared" si="10"/>
        <v>FUT</v>
      </c>
      <c r="M42" s="106" t="str">
        <f t="shared" si="11"/>
        <v>obj_00339#0043</v>
      </c>
      <c r="N42" s="160" t="str">
        <f>IFERROR(_xll.qlRateHelperQuoteName(M42,Trigger),"--")</f>
        <v>USDFUT3MM0_Quote</v>
      </c>
      <c r="O42" s="165">
        <f>IFERROR(_xll.qlRateHelperQuoteValue($M42,Trigger),"--")</f>
        <v>98.177500000000009</v>
      </c>
      <c r="P42" s="109" t="b">
        <v>1</v>
      </c>
      <c r="Q42" s="106">
        <v>30</v>
      </c>
      <c r="R42" s="106">
        <v>21</v>
      </c>
      <c r="S42" s="111">
        <f>IFERROR(_xll.qlRateHelperEarliestDate(M42,Trigger),"--")</f>
        <v>43999</v>
      </c>
      <c r="T42" s="111">
        <f>IFERROR(_xll.qlRateHelperPillarDate(M42,Trigger),"--")</f>
        <v>44091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129</v>
      </c>
      <c r="B43" s="128" t="b">
        <v>1</v>
      </c>
      <c r="C43" s="68" t="str">
        <f>_xll.qlIMMNextCode(C42,B43,Trigger)</f>
        <v>U9</v>
      </c>
      <c r="D43" s="137"/>
      <c r="E43" s="137"/>
      <c r="F43" s="137"/>
      <c r="G43" s="66" t="str">
        <f t="shared" si="12"/>
        <v>UsdLibor3M</v>
      </c>
      <c r="H43" s="131" t="str">
        <f t="shared" si="13"/>
        <v>USDFUT3MU9_Quote</v>
      </c>
      <c r="I43" s="131" t="str">
        <f t="shared" si="14"/>
        <v>USDFUT3MU9ConvAdj_Quote</v>
      </c>
      <c r="J43" s="70" t="str">
        <f>_xll.qlFuturesRateHelper(,H43,$H$24,C43,G43,I43,Permanent,Trigger,ObjectOverwrite)</f>
        <v>obj_00336#0043</v>
      </c>
      <c r="L43" s="12" t="str">
        <f t="shared" si="10"/>
        <v>FUT</v>
      </c>
      <c r="M43" s="107" t="str">
        <f t="shared" si="11"/>
        <v>obj_0033a#0043</v>
      </c>
      <c r="N43" s="161" t="str">
        <f>IFERROR(_xll.qlRateHelperQuoteName(M43,Trigger),"--")</f>
        <v>USDFUT3MU0_Quote</v>
      </c>
      <c r="O43" s="166">
        <f>IFERROR(_xll.qlRateHelperQuoteValue($M43,Trigger),"--")</f>
        <v>98.117500000000007</v>
      </c>
      <c r="P43" s="112" t="b">
        <v>1</v>
      </c>
      <c r="Q43" s="107">
        <v>30</v>
      </c>
      <c r="R43" s="107">
        <v>21</v>
      </c>
      <c r="S43" s="114">
        <f>IFERROR(_xll.qlRateHelperEarliestDate(M43,Trigger),"--")</f>
        <v>44090</v>
      </c>
      <c r="T43" s="114">
        <f>IFERROR(_xll.qlRateHelperPillarDate(M43,Trigger),"--")</f>
        <v>44181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129</v>
      </c>
      <c r="B44" s="128" t="b">
        <v>1</v>
      </c>
      <c r="C44" s="68" t="str">
        <f>_xll.qlIMMNextCode(C43,B44,Trigger)</f>
        <v>Z9</v>
      </c>
      <c r="D44" s="137"/>
      <c r="E44" s="137"/>
      <c r="F44" s="137"/>
      <c r="G44" s="66" t="str">
        <f t="shared" si="12"/>
        <v>UsdLibor3M</v>
      </c>
      <c r="H44" s="131" t="str">
        <f t="shared" si="13"/>
        <v>USDFUT3MZ9_Quote</v>
      </c>
      <c r="I44" s="131" t="str">
        <f t="shared" si="14"/>
        <v>USDFUT3MZ9ConvAdj_Quote</v>
      </c>
      <c r="J44" s="70" t="str">
        <f>_xll.qlFuturesRateHelper(,H44,$H$24,C44,G44,I44,Permanent,Trigger,ObjectOverwrite)</f>
        <v>obj_00337#0043</v>
      </c>
      <c r="L44" s="149" t="str">
        <f>A50</f>
        <v>Sw</v>
      </c>
      <c r="M44" s="150" t="str">
        <f>IF(ISBLANK(J50),"--",J50)</f>
        <v>--</v>
      </c>
      <c r="N44" s="162" t="str">
        <f>IFERROR(_xll.qlRateHelperQuoteName(M44,Trigger),"--")</f>
        <v>--</v>
      </c>
      <c r="O44" s="152" t="str">
        <f>IFERROR(_xll.qlRateHelperQuoteValue($M44,Trigger),"--")</f>
        <v>--</v>
      </c>
      <c r="P44" s="151" t="b">
        <v>0</v>
      </c>
      <c r="Q44" s="150">
        <v>50</v>
      </c>
      <c r="R44" s="150">
        <v>1</v>
      </c>
      <c r="S44" s="153" t="str">
        <f>IFERROR(_xll.qlRateHelperEarliestDate(M44,Trigger),"--")</f>
        <v>--</v>
      </c>
      <c r="T44" s="15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129</v>
      </c>
      <c r="B45" s="128" t="b">
        <v>1</v>
      </c>
      <c r="C45" s="68" t="str">
        <f>_xll.qlIMMNextCode(C44,B45,Trigger)</f>
        <v>H0</v>
      </c>
      <c r="D45" s="137"/>
      <c r="E45" s="137"/>
      <c r="F45" s="137"/>
      <c r="G45" s="66" t="str">
        <f t="shared" si="12"/>
        <v>UsdLibor3M</v>
      </c>
      <c r="H45" s="131" t="str">
        <f t="shared" si="13"/>
        <v>USDFUT3MH0_Quote</v>
      </c>
      <c r="I45" s="131" t="str">
        <f t="shared" si="14"/>
        <v>USDFUT3MH0ConvAdj_Quote</v>
      </c>
      <c r="J45" s="70" t="str">
        <f>_xll.qlFuturesRateHelper(,H45,$H$24,C45,G45,I45,Permanent,Trigger,ObjectOverwrite)</f>
        <v>obj_00338#0043</v>
      </c>
      <c r="L45" s="77" t="str">
        <f t="shared" ref="L45:L81" si="15">A51</f>
        <v>Sw</v>
      </c>
      <c r="M45" s="154" t="str">
        <f t="shared" ref="M45:M81" si="16">IF(ISBLANK(J51),"--",J51)</f>
        <v>--</v>
      </c>
      <c r="N45" s="163" t="str">
        <f>IFERROR(_xll.qlRateHelperQuoteName(M45,Trigger),"--")</f>
        <v>--</v>
      </c>
      <c r="O45" s="156" t="str">
        <f>IFERROR(_xll.qlRateHelperQuoteValue($M45,Trigger),"--")</f>
        <v>--</v>
      </c>
      <c r="P45" s="155" t="b">
        <v>0</v>
      </c>
      <c r="Q45" s="154">
        <v>50</v>
      </c>
      <c r="R45" s="154">
        <v>1</v>
      </c>
      <c r="S45" s="157" t="str">
        <f>IFERROR(_xll.qlRateHelperEarliestDate(M45,Trigger),"--")</f>
        <v>--</v>
      </c>
      <c r="T45" s="157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129</v>
      </c>
      <c r="B46" s="128" t="b">
        <v>1</v>
      </c>
      <c r="C46" s="68" t="str">
        <f>_xll.qlIMMNextCode(C45,B46,Trigger)</f>
        <v>M0</v>
      </c>
      <c r="D46" s="137"/>
      <c r="E46" s="137"/>
      <c r="F46" s="137"/>
      <c r="G46" s="66" t="str">
        <f t="shared" si="12"/>
        <v>UsdLibor3M</v>
      </c>
      <c r="H46" s="131" t="str">
        <f t="shared" si="13"/>
        <v>USDFUT3MM0_Quote</v>
      </c>
      <c r="I46" s="131" t="str">
        <f t="shared" si="14"/>
        <v>USDFUT3MM0ConvAdj_Quote</v>
      </c>
      <c r="J46" s="70" t="str">
        <f>_xll.qlFuturesRateHelper(,H46,$H$24,C46,G46,I46,Permanent,Trigger,ObjectOverwrite)</f>
        <v>obj_00339#0043</v>
      </c>
      <c r="L46" s="77" t="str">
        <f t="shared" si="15"/>
        <v>Sw</v>
      </c>
      <c r="M46" s="154" t="str">
        <f t="shared" si="16"/>
        <v>--</v>
      </c>
      <c r="N46" s="163" t="str">
        <f>IFERROR(_xll.qlRateHelperQuoteName(M46,Trigger),"--")</f>
        <v>--</v>
      </c>
      <c r="O46" s="156" t="str">
        <f>IFERROR(_xll.qlRateHelperQuoteValue($M46,Trigger),"--")</f>
        <v>--</v>
      </c>
      <c r="P46" s="155" t="b">
        <v>0</v>
      </c>
      <c r="Q46" s="154">
        <v>50</v>
      </c>
      <c r="R46" s="154">
        <v>1</v>
      </c>
      <c r="S46" s="157" t="str">
        <f>IFERROR(_xll.qlRateHelperEarliestDate(M46,Trigger),"--")</f>
        <v>--</v>
      </c>
      <c r="T46" s="157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1" t="s">
        <v>129</v>
      </c>
      <c r="B47" s="129" t="b">
        <v>1</v>
      </c>
      <c r="C47" s="10" t="str">
        <f>_xll.qlIMMNextCode(C46,B47,Trigger)</f>
        <v>U0</v>
      </c>
      <c r="D47" s="138"/>
      <c r="E47" s="138"/>
      <c r="F47" s="138"/>
      <c r="G47" s="7" t="str">
        <f t="shared" si="12"/>
        <v>UsdLibor3M</v>
      </c>
      <c r="H47" s="132" t="str">
        <f t="shared" si="13"/>
        <v>USDFUT3MU0_Quote</v>
      </c>
      <c r="I47" s="132" t="str">
        <f t="shared" si="14"/>
        <v>USDFUT3MU0ConvAdj_Quote</v>
      </c>
      <c r="J47" s="3" t="str">
        <f>_xll.qlFuturesRateHelper(,H47,$H$24,C47,G47,I47,Permanent,Trigger,ObjectOverwrite)</f>
        <v>obj_0033a#0043</v>
      </c>
      <c r="L47" s="77" t="str">
        <f t="shared" si="15"/>
        <v>Sw</v>
      </c>
      <c r="M47" s="154" t="str">
        <f t="shared" si="16"/>
        <v>--</v>
      </c>
      <c r="N47" s="163" t="str">
        <f>IFERROR(_xll.qlRateHelperQuoteName(M47,Trigger),"--")</f>
        <v>--</v>
      </c>
      <c r="O47" s="156" t="str">
        <f>IFERROR(_xll.qlRateHelperQuoteValue($M47,Trigger),"--")</f>
        <v>--</v>
      </c>
      <c r="P47" s="155" t="b">
        <v>0</v>
      </c>
      <c r="Q47" s="154">
        <v>50</v>
      </c>
      <c r="R47" s="154">
        <v>1</v>
      </c>
      <c r="S47" s="157" t="str">
        <f>IFERROR(_xll.qlRateHelperEarliestDate(M47,Trigger),"--")</f>
        <v>--</v>
      </c>
      <c r="T47" s="157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G48" s="55" t="s">
        <v>149</v>
      </c>
      <c r="H48" s="55" t="s">
        <v>150</v>
      </c>
      <c r="L48" s="77" t="str">
        <f t="shared" si="15"/>
        <v>Sw</v>
      </c>
      <c r="M48" s="154" t="str">
        <f t="shared" si="16"/>
        <v>--</v>
      </c>
      <c r="N48" s="163" t="str">
        <f>IFERROR(_xll.qlRateHelperQuoteName(M48,Trigger),"--")</f>
        <v>--</v>
      </c>
      <c r="O48" s="156" t="str">
        <f>IFERROR(_xll.qlRateHelperQuoteValue($M48,Trigger),"--")</f>
        <v>--</v>
      </c>
      <c r="P48" s="155" t="b">
        <v>0</v>
      </c>
      <c r="Q48" s="154">
        <v>50</v>
      </c>
      <c r="R48" s="154">
        <v>1</v>
      </c>
      <c r="S48" s="157" t="str">
        <f>IFERROR(_xll.qlRateHelperEarliestDate(M48,Trigger),"--")</f>
        <v>--</v>
      </c>
      <c r="T48" s="157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71" t="s">
        <v>9</v>
      </c>
      <c r="B49" s="71" t="s">
        <v>30</v>
      </c>
      <c r="C49" s="71" t="s">
        <v>151</v>
      </c>
      <c r="D49" s="71" t="s">
        <v>5</v>
      </c>
      <c r="E49" s="71" t="s">
        <v>35</v>
      </c>
      <c r="F49" s="71" t="s">
        <v>152</v>
      </c>
      <c r="G49" s="71" t="s">
        <v>4</v>
      </c>
      <c r="H49" s="71" t="s">
        <v>1</v>
      </c>
      <c r="I49" s="71" t="s">
        <v>148</v>
      </c>
      <c r="J49" s="71" t="s">
        <v>25</v>
      </c>
      <c r="L49" s="77" t="str">
        <f t="shared" si="15"/>
        <v>Sw</v>
      </c>
      <c r="M49" s="154" t="str">
        <f t="shared" si="16"/>
        <v>obj_002be#0044</v>
      </c>
      <c r="N49" s="163" t="str">
        <f>IFERROR(_xll.qlRateHelperQuoteName(M49,Trigger),"--")</f>
        <v>USDAM3L3Y_Quote</v>
      </c>
      <c r="O49" s="156">
        <f>IFERROR(_xll.qlRateHelperQuoteValue($M49,Trigger),"--")</f>
        <v>1.0289999999999999E-2</v>
      </c>
      <c r="P49" s="155" t="b">
        <v>1</v>
      </c>
      <c r="Q49" s="154">
        <v>50</v>
      </c>
      <c r="R49" s="154">
        <v>1</v>
      </c>
      <c r="S49" s="157">
        <f>IFERROR(_xll.qlRateHelperEarliestDate(M49,Trigger),"--")</f>
        <v>42436</v>
      </c>
      <c r="T49" s="157">
        <f>IFERROR(_xll.qlRateHelperPillarDate(M49,Trigger),"--")</f>
        <v>43531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58" t="s">
        <v>26</v>
      </c>
      <c r="B50" s="59" t="s">
        <v>29</v>
      </c>
      <c r="C50" s="60" t="s">
        <v>6</v>
      </c>
      <c r="D50" s="66" t="s">
        <v>8</v>
      </c>
      <c r="E50" s="66" t="s">
        <v>7</v>
      </c>
      <c r="F50" s="66" t="s">
        <v>28</v>
      </c>
      <c r="G50" s="66" t="str">
        <f t="shared" ref="G50:G87" si="17">PROPER(Currency)&amp;FamilyName&amp;Tenor</f>
        <v>UsdLibor3M</v>
      </c>
      <c r="H50" s="64" t="str">
        <f t="shared" ref="H50:H87" si="18">Currency&amp;$G$48&amp;$H$48&amp;$B50&amp;"_Quote"</f>
        <v>USDAM3L1Y_Quote</v>
      </c>
      <c r="I50" s="140">
        <v>0</v>
      </c>
      <c r="J50" s="63"/>
      <c r="L50" s="77" t="str">
        <f t="shared" si="15"/>
        <v>Sw</v>
      </c>
      <c r="M50" s="154" t="str">
        <f t="shared" si="16"/>
        <v>obj_00289#0044</v>
      </c>
      <c r="N50" s="163" t="str">
        <f>IFERROR(_xll.qlRateHelperQuoteName(M50,Trigger),"--")</f>
        <v>USDAM3L4Y_Quote</v>
      </c>
      <c r="O50" s="156">
        <f>IFERROR(_xll.qlRateHelperQuoteValue($M50,Trigger),"--")</f>
        <v>1.153E-2</v>
      </c>
      <c r="P50" s="155" t="b">
        <v>1</v>
      </c>
      <c r="Q50" s="154">
        <v>50</v>
      </c>
      <c r="R50" s="154">
        <v>1</v>
      </c>
      <c r="S50" s="157">
        <f>IFERROR(_xll.qlRateHelperEarliestDate(M50,Trigger),"--")</f>
        <v>42436</v>
      </c>
      <c r="T50" s="157">
        <f>IFERROR(_xll.qlRateHelperPillarDate(M50,Trigger),"--")</f>
        <v>43899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26</v>
      </c>
      <c r="B51" s="65" t="s">
        <v>63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7"/>
        <v>UsdLibor3M</v>
      </c>
      <c r="H51" s="64" t="str">
        <f t="shared" si="18"/>
        <v>USDAM3L15M_Quote</v>
      </c>
      <c r="I51" s="141">
        <v>0</v>
      </c>
      <c r="J51" s="70"/>
      <c r="L51" s="77" t="str">
        <f t="shared" si="15"/>
        <v>Sw</v>
      </c>
      <c r="M51" s="154" t="str">
        <f t="shared" si="16"/>
        <v>obj_002c7#0044</v>
      </c>
      <c r="N51" s="163" t="str">
        <f>IFERROR(_xll.qlRateHelperQuoteName(M51,Trigger),"--")</f>
        <v>USDAM3L5Y_Quote</v>
      </c>
      <c r="O51" s="156">
        <f>IFERROR(_xll.qlRateHelperQuoteValue($M51,Trigger),"--")</f>
        <v>1.2669999999999999E-2</v>
      </c>
      <c r="P51" s="155" t="b">
        <v>1</v>
      </c>
      <c r="Q51" s="154">
        <v>50</v>
      </c>
      <c r="R51" s="154">
        <v>1</v>
      </c>
      <c r="S51" s="157">
        <f>IFERROR(_xll.qlRateHelperEarliestDate(M51,Trigger),"--")</f>
        <v>42436</v>
      </c>
      <c r="T51" s="157">
        <f>IFERROR(_xll.qlRateHelperPillarDate(M51,Trigger),"--")</f>
        <v>44263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26</v>
      </c>
      <c r="B52" s="65" t="s">
        <v>66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7"/>
        <v>UsdLibor3M</v>
      </c>
      <c r="H52" s="64" t="str">
        <f t="shared" si="18"/>
        <v>USDAM3L18M_Quote</v>
      </c>
      <c r="I52" s="141">
        <v>0</v>
      </c>
      <c r="J52" s="70"/>
      <c r="L52" s="77" t="str">
        <f t="shared" si="15"/>
        <v>Sw</v>
      </c>
      <c r="M52" s="154" t="str">
        <f t="shared" si="16"/>
        <v>obj_002b9#0044</v>
      </c>
      <c r="N52" s="163" t="str">
        <f>IFERROR(_xll.qlRateHelperQuoteName(M52,Trigger),"--")</f>
        <v>USDAM3L6Y_Quote</v>
      </c>
      <c r="O52" s="156">
        <f>IFERROR(_xll.qlRateHelperQuoteValue($M52,Trigger),"--")</f>
        <v>1.3729999999999999E-2</v>
      </c>
      <c r="P52" s="155" t="b">
        <v>1</v>
      </c>
      <c r="Q52" s="154">
        <v>50</v>
      </c>
      <c r="R52" s="154">
        <v>1</v>
      </c>
      <c r="S52" s="157">
        <f>IFERROR(_xll.qlRateHelperEarliestDate(M52,Trigger),"--")</f>
        <v>42436</v>
      </c>
      <c r="T52" s="157">
        <f>IFERROR(_xll.qlRateHelperPillarDate(M52,Trigger),"--")</f>
        <v>44627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26</v>
      </c>
      <c r="B53" s="65" t="s">
        <v>69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7"/>
        <v>UsdLibor3M</v>
      </c>
      <c r="H53" s="64" t="str">
        <f t="shared" si="18"/>
        <v>USDAM3L21M_Quote</v>
      </c>
      <c r="I53" s="141">
        <v>0</v>
      </c>
      <c r="J53" s="70"/>
      <c r="L53" s="77" t="str">
        <f t="shared" si="15"/>
        <v>Sw</v>
      </c>
      <c r="M53" s="154" t="str">
        <f t="shared" si="16"/>
        <v>obj_002a6#0044</v>
      </c>
      <c r="N53" s="163" t="str">
        <f>IFERROR(_xll.qlRateHelperQuoteName(M53,Trigger),"--")</f>
        <v>USDAM3L7Y_Quote</v>
      </c>
      <c r="O53" s="156">
        <f>IFERROR(_xll.qlRateHelperQuoteValue($M53,Trigger),"--")</f>
        <v>1.4659999999999999E-2</v>
      </c>
      <c r="P53" s="155" t="b">
        <v>1</v>
      </c>
      <c r="Q53" s="154">
        <v>50</v>
      </c>
      <c r="R53" s="154">
        <v>1</v>
      </c>
      <c r="S53" s="157">
        <f>IFERROR(_xll.qlRateHelperEarliestDate(M53,Trigger),"--")</f>
        <v>42436</v>
      </c>
      <c r="T53" s="157">
        <f>IFERROR(_xll.qlRateHelperPillarDate(M53,Trigger),"--")</f>
        <v>44992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26</v>
      </c>
      <c r="B54" s="65" t="s">
        <v>72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7"/>
        <v>UsdLibor3M</v>
      </c>
      <c r="H54" s="64" t="str">
        <f t="shared" si="18"/>
        <v>USDAM3L2Y_Quote</v>
      </c>
      <c r="I54" s="141">
        <v>0</v>
      </c>
      <c r="J54" s="70"/>
      <c r="L54" s="77" t="str">
        <f t="shared" si="15"/>
        <v>Sw</v>
      </c>
      <c r="M54" s="154" t="str">
        <f t="shared" si="16"/>
        <v>obj_002ef#0044</v>
      </c>
      <c r="N54" s="163" t="str">
        <f>IFERROR(_xll.qlRateHelperQuoteName(M54,Trigger),"--")</f>
        <v>USDAM3L8Y_Quote</v>
      </c>
      <c r="O54" s="156">
        <f>IFERROR(_xll.qlRateHelperQuoteValue($M54,Trigger),"--")</f>
        <v>1.5469999999999999E-2</v>
      </c>
      <c r="P54" s="155" t="b">
        <v>1</v>
      </c>
      <c r="Q54" s="154">
        <v>50</v>
      </c>
      <c r="R54" s="154">
        <v>1</v>
      </c>
      <c r="S54" s="157">
        <f>IFERROR(_xll.qlRateHelperEarliestDate(M54,Trigger),"--")</f>
        <v>42436</v>
      </c>
      <c r="T54" s="157">
        <f>IFERROR(_xll.qlRateHelperPillarDate(M54,Trigger),"--")</f>
        <v>45358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26</v>
      </c>
      <c r="B55" s="65" t="s">
        <v>76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7"/>
        <v>UsdLibor3M</v>
      </c>
      <c r="H55" s="64" t="str">
        <f t="shared" si="18"/>
        <v>USDAM3L3Y_Quote</v>
      </c>
      <c r="I55" s="141">
        <v>0</v>
      </c>
      <c r="J55" s="70" t="str">
        <f>_xll.qlSwapRateHelper2(,H55,,B55,JoinCalendar,USD3M!D55,USD3M!E55,USD3M!F55,USD3M!G55,USD3M!I55,USD3M!C55,Discounting,PillarDate,,Permanent,Trigger,ObjectOverwrite)</f>
        <v>obj_002be#0044</v>
      </c>
      <c r="L55" s="77" t="str">
        <f t="shared" si="15"/>
        <v>Sw</v>
      </c>
      <c r="M55" s="154" t="str">
        <f t="shared" si="16"/>
        <v>obj_002e6#0044</v>
      </c>
      <c r="N55" s="163" t="str">
        <f>IFERROR(_xll.qlRateHelperQuoteName(M55,Trigger),"--")</f>
        <v>USDAM3L9Y_Quote</v>
      </c>
      <c r="O55" s="156">
        <f>IFERROR(_xll.qlRateHelperQuoteValue($M55,Trigger),"--")</f>
        <v>1.6200000000000003E-2</v>
      </c>
      <c r="P55" s="155" t="b">
        <v>1</v>
      </c>
      <c r="Q55" s="154">
        <v>50</v>
      </c>
      <c r="R55" s="154">
        <v>1</v>
      </c>
      <c r="S55" s="157">
        <f>IFERROR(_xll.qlRateHelperEarliestDate(M55,Trigger),"--")</f>
        <v>42436</v>
      </c>
      <c r="T55" s="157">
        <f>IFERROR(_xll.qlRateHelperPillarDate(M55,Trigger),"--")</f>
        <v>45723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26</v>
      </c>
      <c r="B56" s="65" t="s">
        <v>80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7"/>
        <v>UsdLibor3M</v>
      </c>
      <c r="H56" s="64" t="str">
        <f t="shared" si="18"/>
        <v>USDAM3L4Y_Quote</v>
      </c>
      <c r="I56" s="141">
        <v>0</v>
      </c>
      <c r="J56" s="70" t="str">
        <f>_xll.qlSwapRateHelper2(,H56,,B56,JoinCalendar,USD3M!D56,USD3M!E56,USD3M!F56,USD3M!G56,USD3M!I56,USD3M!C56,Discounting,PillarDate,,Permanent,Trigger,ObjectOverwrite)</f>
        <v>obj_00289#0044</v>
      </c>
      <c r="L56" s="77" t="str">
        <f t="shared" si="15"/>
        <v>Sw</v>
      </c>
      <c r="M56" s="154" t="str">
        <f t="shared" si="16"/>
        <v>obj_002d3#0044</v>
      </c>
      <c r="N56" s="163" t="str">
        <f>IFERROR(_xll.qlRateHelperQuoteName(M56,Trigger),"--")</f>
        <v>USDAM3L10Y_Quote</v>
      </c>
      <c r="O56" s="156">
        <f>IFERROR(_xll.qlRateHelperQuoteValue($M56,Trigger),"--")</f>
        <v>1.6890000000000002E-2</v>
      </c>
      <c r="P56" s="155" t="b">
        <v>1</v>
      </c>
      <c r="Q56" s="154">
        <v>50</v>
      </c>
      <c r="R56" s="154">
        <v>1</v>
      </c>
      <c r="S56" s="157">
        <f>IFERROR(_xll.qlRateHelperEarliestDate(M56,Trigger),"--")</f>
        <v>42436</v>
      </c>
      <c r="T56" s="157">
        <f>IFERROR(_xll.qlRateHelperPillarDate(M56,Trigger),"--")</f>
        <v>46090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26</v>
      </c>
      <c r="B57" s="65" t="s">
        <v>84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7"/>
        <v>UsdLibor3M</v>
      </c>
      <c r="H57" s="64" t="str">
        <f t="shared" si="18"/>
        <v>USDAM3L5Y_Quote</v>
      </c>
      <c r="I57" s="141">
        <v>0</v>
      </c>
      <c r="J57" s="70" t="str">
        <f>_xll.qlSwapRateHelper2(,H57,,B57,JoinCalendar,USD3M!D57,USD3M!E57,USD3M!F57,USD3M!G57,USD3M!I57,USD3M!C57,Discounting,PillarDate,,Permanent,Trigger,ObjectOverwrite)</f>
        <v>obj_002c7#0044</v>
      </c>
      <c r="L57" s="77" t="str">
        <f t="shared" si="15"/>
        <v>Sw</v>
      </c>
      <c r="M57" s="155" t="str">
        <f t="shared" si="16"/>
        <v>--</v>
      </c>
      <c r="N57" s="163" t="str">
        <f>IFERROR(_xll.qlRateHelperQuoteName(M57,Trigger),"--")</f>
        <v>--</v>
      </c>
      <c r="O57" s="156" t="str">
        <f>IFERROR(_xll.qlRateHelperQuoteValue($M57,Trigger),"--")</f>
        <v>--</v>
      </c>
      <c r="P57" s="155" t="b">
        <v>0</v>
      </c>
      <c r="Q57" s="155">
        <v>50</v>
      </c>
      <c r="R57" s="155">
        <v>1</v>
      </c>
      <c r="S57" s="157" t="str">
        <f>IFERROR(_xll.qlRateHelperEarliestDate(M57,Trigger),"--")</f>
        <v>--</v>
      </c>
      <c r="T57" s="157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26</v>
      </c>
      <c r="B58" s="65" t="s">
        <v>85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7"/>
        <v>UsdLibor3M</v>
      </c>
      <c r="H58" s="64" t="str">
        <f t="shared" si="18"/>
        <v>USDAM3L6Y_Quote</v>
      </c>
      <c r="I58" s="141">
        <v>0</v>
      </c>
      <c r="J58" s="70" t="str">
        <f>_xll.qlSwapRateHelper2(,H58,,B58,JoinCalendar,USD3M!D58,USD3M!E58,USD3M!F58,USD3M!G58,USD3M!I58,USD3M!C58,Discounting,PillarDate,,Permanent,Trigger,ObjectOverwrite)</f>
        <v>obj_002b9#0044</v>
      </c>
      <c r="L58" s="77" t="str">
        <f t="shared" si="15"/>
        <v>Sw</v>
      </c>
      <c r="M58" s="155" t="str">
        <f t="shared" si="16"/>
        <v>obj_0028a#0044</v>
      </c>
      <c r="N58" s="163" t="str">
        <f>IFERROR(_xll.qlRateHelperQuoteName(M58,Trigger),"--")</f>
        <v>USDAM3L12Y_Quote</v>
      </c>
      <c r="O58" s="156">
        <f>IFERROR(_xll.qlRateHelperQuoteValue($M58,Trigger),"--")</f>
        <v>1.804E-2</v>
      </c>
      <c r="P58" s="155" t="b">
        <v>1</v>
      </c>
      <c r="Q58" s="155">
        <v>50</v>
      </c>
      <c r="R58" s="155">
        <v>1</v>
      </c>
      <c r="S58" s="157">
        <f>IFERROR(_xll.qlRateHelperEarliestDate(M58,Trigger),"--")</f>
        <v>42436</v>
      </c>
      <c r="T58" s="157">
        <f>IFERROR(_xll.qlRateHelperPillarDate(M58,Trigger),"--")</f>
        <v>46819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26</v>
      </c>
      <c r="B59" s="65" t="s">
        <v>86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7"/>
        <v>UsdLibor3M</v>
      </c>
      <c r="H59" s="64" t="str">
        <f t="shared" si="18"/>
        <v>USDAM3L7Y_Quote</v>
      </c>
      <c r="I59" s="141">
        <v>0</v>
      </c>
      <c r="J59" s="70" t="str">
        <f>_xll.qlSwapRateHelper2(,H59,,B59,JoinCalendar,USD3M!D59,USD3M!E59,USD3M!F59,USD3M!G59,USD3M!I59,USD3M!C59,Discounting,PillarDate,,Permanent,Trigger,ObjectOverwrite)</f>
        <v>obj_002a6#0044</v>
      </c>
      <c r="L59" s="77" t="str">
        <f t="shared" si="15"/>
        <v>Sw</v>
      </c>
      <c r="M59" s="155" t="str">
        <f t="shared" si="16"/>
        <v>--</v>
      </c>
      <c r="N59" s="163" t="str">
        <f>IFERROR(_xll.qlRateHelperQuoteName(M59,Trigger),"--")</f>
        <v>--</v>
      </c>
      <c r="O59" s="156" t="str">
        <f>IFERROR(_xll.qlRateHelperQuoteValue($M59,Trigger),"--")</f>
        <v>--</v>
      </c>
      <c r="P59" s="155" t="b">
        <v>0</v>
      </c>
      <c r="Q59" s="155">
        <v>50</v>
      </c>
      <c r="R59" s="155">
        <v>1</v>
      </c>
      <c r="S59" s="157" t="str">
        <f>IFERROR(_xll.qlRateHelperEarliestDate(M59,Trigger),"--")</f>
        <v>--</v>
      </c>
      <c r="T59" s="157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26</v>
      </c>
      <c r="B60" s="65" t="s">
        <v>87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7"/>
        <v>UsdLibor3M</v>
      </c>
      <c r="H60" s="64" t="str">
        <f t="shared" si="18"/>
        <v>USDAM3L8Y_Quote</v>
      </c>
      <c r="I60" s="141">
        <v>0</v>
      </c>
      <c r="J60" s="70" t="str">
        <f>_xll.qlSwapRateHelper2(,H60,,B60,JoinCalendar,USD3M!D60,USD3M!E60,USD3M!F60,USD3M!G60,USD3M!I60,USD3M!C60,Discounting,PillarDate,,Permanent,Trigger,ObjectOverwrite)</f>
        <v>obj_002ef#0044</v>
      </c>
      <c r="L60" s="77" t="str">
        <f t="shared" si="15"/>
        <v>Sw</v>
      </c>
      <c r="M60" s="155" t="str">
        <f t="shared" si="16"/>
        <v>--</v>
      </c>
      <c r="N60" s="163" t="str">
        <f>IFERROR(_xll.qlRateHelperQuoteName(M60,Trigger),"--")</f>
        <v>--</v>
      </c>
      <c r="O60" s="156" t="str">
        <f>IFERROR(_xll.qlRateHelperQuoteValue($M60,Trigger),"--")</f>
        <v>--</v>
      </c>
      <c r="P60" s="155" t="b">
        <v>0</v>
      </c>
      <c r="Q60" s="155">
        <v>50</v>
      </c>
      <c r="R60" s="155">
        <v>1</v>
      </c>
      <c r="S60" s="157" t="str">
        <f>IFERROR(_xll.qlRateHelperEarliestDate(M60,Trigger),"--")</f>
        <v>--</v>
      </c>
      <c r="T60" s="157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26</v>
      </c>
      <c r="B61" s="65" t="s">
        <v>88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7"/>
        <v>UsdLibor3M</v>
      </c>
      <c r="H61" s="64" t="str">
        <f t="shared" si="18"/>
        <v>USDAM3L9Y_Quote</v>
      </c>
      <c r="I61" s="141">
        <v>0</v>
      </c>
      <c r="J61" s="70" t="str">
        <f>_xll.qlSwapRateHelper2(,H61,,B61,JoinCalendar,USD3M!D61,USD3M!E61,USD3M!F61,USD3M!G61,USD3M!I61,USD3M!C61,Discounting,PillarDate,,Permanent,Trigger,ObjectOverwrite)</f>
        <v>obj_002e6#0044</v>
      </c>
      <c r="L61" s="77" t="str">
        <f t="shared" si="15"/>
        <v>Sw</v>
      </c>
      <c r="M61" s="155" t="str">
        <f t="shared" si="16"/>
        <v>obj_002e4#0044</v>
      </c>
      <c r="N61" s="163" t="str">
        <f>IFERROR(_xll.qlRateHelperQuoteName(M61,Trigger),"--")</f>
        <v>USDAM3L15Y_Quote</v>
      </c>
      <c r="O61" s="156">
        <f>IFERROR(_xll.qlRateHelperQuoteValue($M61,Trigger),"--")</f>
        <v>1.9260000000000003E-2</v>
      </c>
      <c r="P61" s="155" t="b">
        <v>1</v>
      </c>
      <c r="Q61" s="155">
        <v>50</v>
      </c>
      <c r="R61" s="155">
        <v>1</v>
      </c>
      <c r="S61" s="157">
        <f>IFERROR(_xll.qlRateHelperEarliestDate(M61,Trigger),"--")</f>
        <v>42436</v>
      </c>
      <c r="T61" s="157">
        <f>IFERROR(_xll.qlRateHelperPillarDate(M61,Trigger),"--")</f>
        <v>47914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26</v>
      </c>
      <c r="B62" s="65" t="s">
        <v>89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7"/>
        <v>UsdLibor3M</v>
      </c>
      <c r="H62" s="64" t="str">
        <f t="shared" si="18"/>
        <v>USDAM3L10Y_Quote</v>
      </c>
      <c r="I62" s="141">
        <v>0</v>
      </c>
      <c r="J62" s="70" t="str">
        <f>_xll.qlSwapRateHelper2(,H62,,B62,JoinCalendar,USD3M!D62,USD3M!E62,USD3M!F62,USD3M!G62,USD3M!I62,USD3M!C62,Discounting,PillarDate,,Permanent,Trigger,ObjectOverwrite)</f>
        <v>obj_002d3#0044</v>
      </c>
      <c r="L62" s="77" t="str">
        <f t="shared" si="15"/>
        <v>Sw</v>
      </c>
      <c r="M62" s="155" t="str">
        <f t="shared" si="16"/>
        <v>--</v>
      </c>
      <c r="N62" s="163" t="str">
        <f>IFERROR(_xll.qlRateHelperQuoteName(M62,Trigger),"--")</f>
        <v>--</v>
      </c>
      <c r="O62" s="156" t="str">
        <f>IFERROR(_xll.qlRateHelperQuoteValue($M62,Trigger),"--")</f>
        <v>--</v>
      </c>
      <c r="P62" s="155" t="b">
        <v>0</v>
      </c>
      <c r="Q62" s="155">
        <v>50</v>
      </c>
      <c r="R62" s="155">
        <v>1</v>
      </c>
      <c r="S62" s="157" t="str">
        <f>IFERROR(_xll.qlRateHelperEarliestDate(M62,Trigger),"--")</f>
        <v>--</v>
      </c>
      <c r="T62" s="157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26</v>
      </c>
      <c r="B63" s="65" t="s">
        <v>133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7"/>
        <v>UsdLibor3M</v>
      </c>
      <c r="H63" s="64" t="str">
        <f t="shared" si="18"/>
        <v>USDAM3L11Y_Quote</v>
      </c>
      <c r="I63" s="141">
        <v>0</v>
      </c>
      <c r="J63" s="70"/>
      <c r="L63" s="77" t="str">
        <f t="shared" si="15"/>
        <v>Sw</v>
      </c>
      <c r="M63" s="155" t="str">
        <f t="shared" si="16"/>
        <v>--</v>
      </c>
      <c r="N63" s="163" t="str">
        <f>IFERROR(_xll.qlRateHelperQuoteName(M63,Trigger),"--")</f>
        <v>--</v>
      </c>
      <c r="O63" s="156" t="str">
        <f>IFERROR(_xll.qlRateHelperQuoteValue($M63,Trigger),"--")</f>
        <v>--</v>
      </c>
      <c r="P63" s="155" t="b">
        <v>0</v>
      </c>
      <c r="Q63" s="155">
        <v>50</v>
      </c>
      <c r="R63" s="155">
        <v>1</v>
      </c>
      <c r="S63" s="157" t="str">
        <f>IFERROR(_xll.qlRateHelperEarliestDate(M63,Trigger),"--")</f>
        <v>--</v>
      </c>
      <c r="T63" s="157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26</v>
      </c>
      <c r="B64" s="65" t="s">
        <v>90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7"/>
        <v>UsdLibor3M</v>
      </c>
      <c r="H64" s="64" t="str">
        <f t="shared" si="18"/>
        <v>USDAM3L12Y_Quote</v>
      </c>
      <c r="I64" s="141">
        <v>0</v>
      </c>
      <c r="J64" s="70" t="str">
        <f>_xll.qlSwapRateHelper2(,H64,,B64,JoinCalendar,USD3M!D64,USD3M!E64,USD3M!F64,USD3M!G64,USD3M!I64,USD3M!C64,Discounting,PillarDate,,Permanent,Trigger,ObjectOverwrite)</f>
        <v>obj_0028a#0044</v>
      </c>
      <c r="L64" s="77" t="str">
        <f t="shared" si="15"/>
        <v>Sw</v>
      </c>
      <c r="M64" s="155" t="str">
        <f t="shared" si="16"/>
        <v>--</v>
      </c>
      <c r="N64" s="163" t="str">
        <f>IFERROR(_xll.qlRateHelperQuoteName(M64,Trigger),"--")</f>
        <v>--</v>
      </c>
      <c r="O64" s="156" t="str">
        <f>IFERROR(_xll.qlRateHelperQuoteValue($M64,Trigger),"--")</f>
        <v>--</v>
      </c>
      <c r="P64" s="155" t="b">
        <v>0</v>
      </c>
      <c r="Q64" s="155">
        <v>50</v>
      </c>
      <c r="R64" s="155">
        <v>1</v>
      </c>
      <c r="S64" s="157" t="str">
        <f>IFERROR(_xll.qlRateHelperEarliestDate(M64,Trigger),"--")</f>
        <v>--</v>
      </c>
      <c r="T64" s="157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26</v>
      </c>
      <c r="B65" s="65" t="s">
        <v>134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7"/>
        <v>UsdLibor3M</v>
      </c>
      <c r="H65" s="64" t="str">
        <f t="shared" si="18"/>
        <v>USDAM3L13Y_Quote</v>
      </c>
      <c r="I65" s="141">
        <v>0</v>
      </c>
      <c r="J65" s="70"/>
      <c r="L65" s="77" t="str">
        <f t="shared" si="15"/>
        <v>Sw</v>
      </c>
      <c r="M65" s="155" t="str">
        <f t="shared" si="16"/>
        <v>--</v>
      </c>
      <c r="N65" s="163" t="str">
        <f>IFERROR(_xll.qlRateHelperQuoteName(M65,Trigger),"--")</f>
        <v>--</v>
      </c>
      <c r="O65" s="156" t="str">
        <f>IFERROR(_xll.qlRateHelperQuoteValue($M65,Trigger),"--")</f>
        <v>--</v>
      </c>
      <c r="P65" s="155" t="b">
        <v>0</v>
      </c>
      <c r="Q65" s="155">
        <v>50</v>
      </c>
      <c r="R65" s="155">
        <v>1</v>
      </c>
      <c r="S65" s="157" t="str">
        <f>IFERROR(_xll.qlRateHelperEarliestDate(M65,Trigger),"--")</f>
        <v>--</v>
      </c>
      <c r="T65" s="157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26</v>
      </c>
      <c r="B66" s="65" t="s">
        <v>135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7"/>
        <v>UsdLibor3M</v>
      </c>
      <c r="H66" s="64" t="str">
        <f t="shared" si="18"/>
        <v>USDAM3L14Y_Quote</v>
      </c>
      <c r="I66" s="141">
        <v>0</v>
      </c>
      <c r="J66" s="70"/>
      <c r="L66" s="77" t="str">
        <f t="shared" si="15"/>
        <v>Sw</v>
      </c>
      <c r="M66" s="155" t="str">
        <f t="shared" si="16"/>
        <v>obj_002aa#0044</v>
      </c>
      <c r="N66" s="163" t="str">
        <f>IFERROR(_xll.qlRateHelperQuoteName(M66,Trigger),"--")</f>
        <v>USDAM3L20Y_Quote</v>
      </c>
      <c r="O66" s="156">
        <f>IFERROR(_xll.qlRateHelperQuoteValue($M66,Trigger),"--")</f>
        <v>2.053E-2</v>
      </c>
      <c r="P66" s="155" t="b">
        <v>1</v>
      </c>
      <c r="Q66" s="155">
        <v>50</v>
      </c>
      <c r="R66" s="155">
        <v>1</v>
      </c>
      <c r="S66" s="157">
        <f>IFERROR(_xll.qlRateHelperEarliestDate(M66,Trigger),"--")</f>
        <v>42436</v>
      </c>
      <c r="T66" s="157">
        <f>IFERROR(_xll.qlRateHelperPillarDate(M66,Trigger),"--")</f>
        <v>49741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26</v>
      </c>
      <c r="B67" s="65" t="s">
        <v>91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7"/>
        <v>UsdLibor3M</v>
      </c>
      <c r="H67" s="64" t="str">
        <f t="shared" si="18"/>
        <v>USDAM3L15Y_Quote</v>
      </c>
      <c r="I67" s="141">
        <v>0</v>
      </c>
      <c r="J67" s="70" t="str">
        <f>_xll.qlSwapRateHelper2(,H67,,B67,JoinCalendar,USD3M!D67,USD3M!E67,USD3M!F67,USD3M!G67,USD3M!I67,USD3M!C67,Discounting,PillarDate,,Permanent,Trigger,ObjectOverwrite)</f>
        <v>obj_002e4#0044</v>
      </c>
      <c r="L67" s="77" t="str">
        <f t="shared" si="15"/>
        <v>Sw</v>
      </c>
      <c r="M67" s="155" t="str">
        <f t="shared" si="16"/>
        <v>--</v>
      </c>
      <c r="N67" s="163" t="str">
        <f>IFERROR(_xll.qlRateHelperQuoteName(M67,Trigger),"--")</f>
        <v>--</v>
      </c>
      <c r="O67" s="156" t="str">
        <f>IFERROR(_xll.qlRateHelperQuoteValue($M67,Trigger),"--")</f>
        <v>--</v>
      </c>
      <c r="P67" s="155" t="b">
        <v>0</v>
      </c>
      <c r="Q67" s="155">
        <v>50</v>
      </c>
      <c r="R67" s="155">
        <v>1</v>
      </c>
      <c r="S67" s="157" t="str">
        <f>IFERROR(_xll.qlRateHelperEarliestDate(M67,Trigger),"--")</f>
        <v>--</v>
      </c>
      <c r="T67" s="157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26</v>
      </c>
      <c r="B68" s="65" t="s">
        <v>136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7"/>
        <v>UsdLibor3M</v>
      </c>
      <c r="H68" s="64" t="str">
        <f t="shared" si="18"/>
        <v>USDAM3L16Y_Quote</v>
      </c>
      <c r="I68" s="141">
        <v>0</v>
      </c>
      <c r="J68" s="70"/>
      <c r="L68" s="77" t="str">
        <f t="shared" si="15"/>
        <v>Sw</v>
      </c>
      <c r="M68" s="155" t="str">
        <f t="shared" si="16"/>
        <v>--</v>
      </c>
      <c r="N68" s="163" t="str">
        <f>IFERROR(_xll.qlRateHelperQuoteName(M68,Trigger),"--")</f>
        <v>--</v>
      </c>
      <c r="O68" s="156" t="str">
        <f>IFERROR(_xll.qlRateHelperQuoteValue($M68,Trigger),"--")</f>
        <v>--</v>
      </c>
      <c r="P68" s="155" t="b">
        <v>0</v>
      </c>
      <c r="Q68" s="155">
        <v>50</v>
      </c>
      <c r="R68" s="155">
        <v>1</v>
      </c>
      <c r="S68" s="157" t="str">
        <f>IFERROR(_xll.qlRateHelperEarliestDate(M68,Trigger),"--")</f>
        <v>--</v>
      </c>
      <c r="T68" s="157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26</v>
      </c>
      <c r="B69" s="65" t="s">
        <v>137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7"/>
        <v>UsdLibor3M</v>
      </c>
      <c r="H69" s="64" t="str">
        <f t="shared" si="18"/>
        <v>USDAM3L17Y_Quote</v>
      </c>
      <c r="I69" s="141">
        <v>0</v>
      </c>
      <c r="J69" s="70"/>
      <c r="L69" s="77" t="str">
        <f t="shared" si="15"/>
        <v>Sw</v>
      </c>
      <c r="M69" s="155" t="str">
        <f t="shared" si="16"/>
        <v>--</v>
      </c>
      <c r="N69" s="163" t="str">
        <f>IFERROR(_xll.qlRateHelperQuoteName(M69,Trigger),"--")</f>
        <v>--</v>
      </c>
      <c r="O69" s="156" t="str">
        <f>IFERROR(_xll.qlRateHelperQuoteValue($M69,Trigger),"--")</f>
        <v>--</v>
      </c>
      <c r="P69" s="155" t="b">
        <v>0</v>
      </c>
      <c r="Q69" s="155">
        <v>50</v>
      </c>
      <c r="R69" s="155">
        <v>1</v>
      </c>
      <c r="S69" s="157" t="str">
        <f>IFERROR(_xll.qlRateHelperEarliestDate(M69,Trigger),"--")</f>
        <v>--</v>
      </c>
      <c r="T69" s="157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26</v>
      </c>
      <c r="B70" s="65" t="s">
        <v>138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7"/>
        <v>UsdLibor3M</v>
      </c>
      <c r="H70" s="64" t="str">
        <f t="shared" si="18"/>
        <v>USDAM3L18Y_Quote</v>
      </c>
      <c r="I70" s="141">
        <v>0</v>
      </c>
      <c r="J70" s="70"/>
      <c r="L70" s="77" t="str">
        <f t="shared" si="15"/>
        <v>Sw</v>
      </c>
      <c r="M70" s="155" t="str">
        <f t="shared" si="16"/>
        <v>--</v>
      </c>
      <c r="N70" s="163" t="str">
        <f>IFERROR(_xll.qlRateHelperQuoteName(M70,Trigger),"--")</f>
        <v>--</v>
      </c>
      <c r="O70" s="156" t="str">
        <f>IFERROR(_xll.qlRateHelperQuoteValue($M70,Trigger),"--")</f>
        <v>--</v>
      </c>
      <c r="P70" s="155" t="b">
        <v>0</v>
      </c>
      <c r="Q70" s="155">
        <v>50</v>
      </c>
      <c r="R70" s="155">
        <v>1</v>
      </c>
      <c r="S70" s="157" t="str">
        <f>IFERROR(_xll.qlRateHelperEarliestDate(M70,Trigger),"--")</f>
        <v>--</v>
      </c>
      <c r="T70" s="157" t="str">
        <f>IFERROR(_xll.qlRateHelperPillarDate(M70,Trigger),"--")</f>
        <v>--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26</v>
      </c>
      <c r="B71" s="65" t="s">
        <v>139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7"/>
        <v>UsdLibor3M</v>
      </c>
      <c r="H71" s="64" t="str">
        <f t="shared" si="18"/>
        <v>USDAM3L19Y_Quote</v>
      </c>
      <c r="I71" s="141">
        <v>0</v>
      </c>
      <c r="J71" s="70"/>
      <c r="L71" s="77" t="str">
        <f t="shared" si="15"/>
        <v>Sw</v>
      </c>
      <c r="M71" s="155" t="str">
        <f t="shared" si="16"/>
        <v>obj_002ca#0044</v>
      </c>
      <c r="N71" s="163" t="str">
        <f>IFERROR(_xll.qlRateHelperQuoteName(M71,Trigger),"--")</f>
        <v>USDAM3L25Y_Quote</v>
      </c>
      <c r="O71" s="156">
        <f>IFERROR(_xll.qlRateHelperQuoteValue($M71,Trigger),"--")</f>
        <v>2.1129999999999999E-2</v>
      </c>
      <c r="P71" s="155" t="b">
        <v>1</v>
      </c>
      <c r="Q71" s="155">
        <v>50</v>
      </c>
      <c r="R71" s="155">
        <v>1</v>
      </c>
      <c r="S71" s="157">
        <f>IFERROR(_xll.qlRateHelperEarliestDate(M71,Trigger),"--")</f>
        <v>42436</v>
      </c>
      <c r="T71" s="157">
        <f>IFERROR(_xll.qlRateHelperPillarDate(M71,Trigger),"--")</f>
        <v>51567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26</v>
      </c>
      <c r="B72" s="65" t="s">
        <v>92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7"/>
        <v>UsdLibor3M</v>
      </c>
      <c r="H72" s="64" t="str">
        <f t="shared" si="18"/>
        <v>USDAM3L20Y_Quote</v>
      </c>
      <c r="I72" s="141">
        <v>0</v>
      </c>
      <c r="J72" s="70" t="str">
        <f>_xll.qlSwapRateHelper2(,H72,,B72,JoinCalendar,USD3M!D72,USD3M!E72,USD3M!F72,USD3M!G72,USD3M!I72,USD3M!C72,Discounting,PillarDate,,Permanent,Trigger,ObjectOverwrite)</f>
        <v>obj_002aa#0044</v>
      </c>
      <c r="L72" s="77" t="str">
        <f t="shared" si="15"/>
        <v>Sw</v>
      </c>
      <c r="M72" s="155" t="str">
        <f t="shared" si="16"/>
        <v>--</v>
      </c>
      <c r="N72" s="163" t="str">
        <f>IFERROR(_xll.qlRateHelperQuoteName(M72,Trigger),"--")</f>
        <v>--</v>
      </c>
      <c r="O72" s="156" t="str">
        <f>IFERROR(_xll.qlRateHelperQuoteValue($M72,Trigger),"--")</f>
        <v>--</v>
      </c>
      <c r="P72" s="155" t="b">
        <v>0</v>
      </c>
      <c r="Q72" s="155">
        <v>50</v>
      </c>
      <c r="R72" s="155">
        <v>1</v>
      </c>
      <c r="S72" s="157" t="str">
        <f>IFERROR(_xll.qlRateHelperEarliestDate(M72,Trigger),"--")</f>
        <v>--</v>
      </c>
      <c r="T72" s="157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26</v>
      </c>
      <c r="B73" s="65" t="s">
        <v>140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7"/>
        <v>UsdLibor3M</v>
      </c>
      <c r="H73" s="64" t="str">
        <f t="shared" si="18"/>
        <v>USDAM3L21Y_Quote</v>
      </c>
      <c r="I73" s="141">
        <v>0</v>
      </c>
      <c r="J73" s="70"/>
      <c r="L73" s="77" t="str">
        <f t="shared" si="15"/>
        <v>Sw</v>
      </c>
      <c r="M73" s="155" t="str">
        <f t="shared" si="16"/>
        <v>--</v>
      </c>
      <c r="N73" s="163" t="str">
        <f>IFERROR(_xll.qlRateHelperQuoteName(M73,Trigger),"--")</f>
        <v>--</v>
      </c>
      <c r="O73" s="156" t="str">
        <f>IFERROR(_xll.qlRateHelperQuoteValue($M73,Trigger),"--")</f>
        <v>--</v>
      </c>
      <c r="P73" s="155" t="b">
        <v>0</v>
      </c>
      <c r="Q73" s="155">
        <v>50</v>
      </c>
      <c r="R73" s="155">
        <v>1</v>
      </c>
      <c r="S73" s="157" t="str">
        <f>IFERROR(_xll.qlRateHelperEarliestDate(M73,Trigger),"--")</f>
        <v>--</v>
      </c>
      <c r="T73" s="157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26</v>
      </c>
      <c r="B74" s="65" t="s">
        <v>141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7"/>
        <v>UsdLibor3M</v>
      </c>
      <c r="H74" s="64" t="str">
        <f t="shared" si="18"/>
        <v>USDAM3L22Y_Quote</v>
      </c>
      <c r="I74" s="141">
        <v>0</v>
      </c>
      <c r="J74" s="70"/>
      <c r="L74" s="77" t="str">
        <f t="shared" si="15"/>
        <v>Sw</v>
      </c>
      <c r="M74" s="155" t="str">
        <f t="shared" si="16"/>
        <v>--</v>
      </c>
      <c r="N74" s="163" t="str">
        <f>IFERROR(_xll.qlRateHelperQuoteName(M74,Trigger),"--")</f>
        <v>--</v>
      </c>
      <c r="O74" s="156" t="str">
        <f>IFERROR(_xll.qlRateHelperQuoteValue($M74,Trigger),"--")</f>
        <v>--</v>
      </c>
      <c r="P74" s="155" t="b">
        <v>0</v>
      </c>
      <c r="Q74" s="155">
        <v>50</v>
      </c>
      <c r="R74" s="155">
        <v>1</v>
      </c>
      <c r="S74" s="157" t="str">
        <f>IFERROR(_xll.qlRateHelperEarliestDate(M74,Trigger),"--")</f>
        <v>--</v>
      </c>
      <c r="T74" s="157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26</v>
      </c>
      <c r="B75" s="65" t="s">
        <v>142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7"/>
        <v>UsdLibor3M</v>
      </c>
      <c r="H75" s="64" t="str">
        <f t="shared" si="18"/>
        <v>USDAM3L23Y_Quote</v>
      </c>
      <c r="I75" s="141">
        <v>0</v>
      </c>
      <c r="J75" s="70"/>
      <c r="L75" s="77" t="str">
        <f t="shared" si="15"/>
        <v>Sw</v>
      </c>
      <c r="M75" s="155" t="str">
        <f t="shared" si="16"/>
        <v>--</v>
      </c>
      <c r="N75" s="163" t="str">
        <f>IFERROR(_xll.qlRateHelperQuoteName(M75,Trigger),"--")</f>
        <v>--</v>
      </c>
      <c r="O75" s="156" t="str">
        <f>IFERROR(_xll.qlRateHelperQuoteValue($M75,Trigger),"--")</f>
        <v>--</v>
      </c>
      <c r="P75" s="155" t="b">
        <v>0</v>
      </c>
      <c r="Q75" s="155">
        <v>50</v>
      </c>
      <c r="R75" s="155">
        <v>1</v>
      </c>
      <c r="S75" s="157" t="str">
        <f>IFERROR(_xll.qlRateHelperEarliestDate(M75,Trigger),"--")</f>
        <v>--</v>
      </c>
      <c r="T75" s="157" t="str">
        <f>IFERROR(_xll.qlRateHelperPillarDate(M75,Trigger),"--")</f>
        <v>--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26</v>
      </c>
      <c r="B76" s="65" t="s">
        <v>143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7"/>
        <v>UsdLibor3M</v>
      </c>
      <c r="H76" s="64" t="str">
        <f t="shared" si="18"/>
        <v>USDAM3L24Y_Quote</v>
      </c>
      <c r="I76" s="141">
        <v>0</v>
      </c>
      <c r="J76" s="70"/>
      <c r="L76" s="77" t="str">
        <f t="shared" si="15"/>
        <v>Sw</v>
      </c>
      <c r="M76" s="155" t="str">
        <f t="shared" si="16"/>
        <v>obj_002f0#0044</v>
      </c>
      <c r="N76" s="163" t="str">
        <f>IFERROR(_xll.qlRateHelperQuoteName(M76,Trigger),"--")</f>
        <v>USDAM3L30Y_Quote</v>
      </c>
      <c r="O76" s="156">
        <f>IFERROR(_xll.qlRateHelperQuoteValue($M76,Trigger),"--")</f>
        <v>2.145E-2</v>
      </c>
      <c r="P76" s="155" t="b">
        <v>1</v>
      </c>
      <c r="Q76" s="155">
        <v>50</v>
      </c>
      <c r="R76" s="155">
        <v>1</v>
      </c>
      <c r="S76" s="157">
        <f>IFERROR(_xll.qlRateHelperEarliestDate(M76,Trigger),"--")</f>
        <v>42436</v>
      </c>
      <c r="T76" s="157">
        <f>IFERROR(_xll.qlRateHelperPillarDate(M76,Trigger),"--")</f>
        <v>53393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26</v>
      </c>
      <c r="B77" s="65" t="s">
        <v>93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7"/>
        <v>UsdLibor3M</v>
      </c>
      <c r="H77" s="64" t="str">
        <f t="shared" si="18"/>
        <v>USDAM3L25Y_Quote</v>
      </c>
      <c r="I77" s="141">
        <v>0</v>
      </c>
      <c r="J77" s="70" t="str">
        <f>_xll.qlSwapRateHelper2(,H77,,B77,JoinCalendar,USD3M!D77,USD3M!E77,USD3M!F77,USD3M!G77,USD3M!I77,USD3M!C77,Discounting,PillarDate,,Permanent,Trigger,ObjectOverwrite)</f>
        <v>obj_002ca#0044</v>
      </c>
      <c r="L77" s="77" t="str">
        <f t="shared" si="15"/>
        <v>Sw</v>
      </c>
      <c r="M77" s="155" t="str">
        <f t="shared" si="16"/>
        <v>--</v>
      </c>
      <c r="N77" s="163" t="str">
        <f>IFERROR(_xll.qlRateHelperQuoteName(M77,Trigger),"--")</f>
        <v>--</v>
      </c>
      <c r="O77" s="156" t="str">
        <f>IFERROR(_xll.qlRateHelperQuoteValue($M77,Trigger),"--")</f>
        <v>--</v>
      </c>
      <c r="P77" s="155" t="b">
        <v>0</v>
      </c>
      <c r="Q77" s="155">
        <v>50</v>
      </c>
      <c r="R77" s="155">
        <v>1</v>
      </c>
      <c r="S77" s="157" t="str">
        <f>IFERROR(_xll.qlRateHelperEarliestDate(M77,Trigger),"--")</f>
        <v>--</v>
      </c>
      <c r="T77" s="157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26</v>
      </c>
      <c r="B78" s="65" t="s">
        <v>144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7"/>
        <v>UsdLibor3M</v>
      </c>
      <c r="H78" s="64" t="str">
        <f t="shared" si="18"/>
        <v>USDAM3L26Y_Quote</v>
      </c>
      <c r="I78" s="141">
        <v>0</v>
      </c>
      <c r="J78" s="70"/>
      <c r="L78" s="77" t="str">
        <f t="shared" si="15"/>
        <v>Sw</v>
      </c>
      <c r="M78" s="155" t="str">
        <f t="shared" si="16"/>
        <v>obj_002e8#0044</v>
      </c>
      <c r="N78" s="163" t="str">
        <f>IFERROR(_xll.qlRateHelperQuoteName(M78,Trigger),"--")</f>
        <v>USDAM3L40Y_Quote</v>
      </c>
      <c r="O78" s="156">
        <f>IFERROR(_xll.qlRateHelperQuoteValue($M78,Trigger),"--")</f>
        <v>2.162E-2</v>
      </c>
      <c r="P78" s="175" t="b">
        <f>NOT(ISERROR(_xll.qlQuoteValue(N78)))</f>
        <v>1</v>
      </c>
      <c r="Q78" s="155">
        <v>50</v>
      </c>
      <c r="R78" s="155">
        <v>1</v>
      </c>
      <c r="S78" s="157">
        <f>IFERROR(_xll.qlRateHelperEarliestDate(M78,Trigger),"--")</f>
        <v>42436</v>
      </c>
      <c r="T78" s="157">
        <f>IFERROR(_xll.qlRateHelperPillarDate(M78,Trigger),"--")</f>
        <v>57046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#N/A</v>
      </c>
    </row>
    <row r="79" spans="1:29" ht="11.25" customHeight="1" x14ac:dyDescent="0.2">
      <c r="A79" s="64" t="s">
        <v>26</v>
      </c>
      <c r="B79" s="65" t="s">
        <v>94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7"/>
        <v>UsdLibor3M</v>
      </c>
      <c r="H79" s="64" t="str">
        <f t="shared" si="18"/>
        <v>USDAM3L27Y_Quote</v>
      </c>
      <c r="I79" s="141">
        <v>0</v>
      </c>
      <c r="J79" s="70"/>
      <c r="L79" s="77" t="str">
        <f t="shared" si="15"/>
        <v>Sw</v>
      </c>
      <c r="M79" s="155" t="str">
        <f t="shared" si="16"/>
        <v>--</v>
      </c>
      <c r="N79" s="163" t="str">
        <f>IFERROR(_xll.qlRateHelperQuoteName(M79,Trigger),"--")</f>
        <v>--</v>
      </c>
      <c r="O79" s="156" t="str">
        <f>IFERROR(_xll.qlRateHelperQuoteValue($M79,Trigger),"--")</f>
        <v>--</v>
      </c>
      <c r="P79" s="155" t="b">
        <v>0</v>
      </c>
      <c r="Q79" s="155">
        <v>50</v>
      </c>
      <c r="R79" s="155">
        <v>1</v>
      </c>
      <c r="S79" s="157" t="str">
        <f>IFERROR(_xll.qlRateHelperEarliestDate(M79,Trigger),"--")</f>
        <v>--</v>
      </c>
      <c r="T79" s="157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4" t="e">
        <v>#N/A</v>
      </c>
    </row>
    <row r="80" spans="1:29" ht="11.25" customHeight="1" x14ac:dyDescent="0.2">
      <c r="A80" s="64" t="s">
        <v>26</v>
      </c>
      <c r="B80" s="65" t="s">
        <v>145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7"/>
        <v>UsdLibor3M</v>
      </c>
      <c r="H80" s="64" t="str">
        <f t="shared" si="18"/>
        <v>USDAM3L28Y_Quote</v>
      </c>
      <c r="I80" s="141">
        <v>0</v>
      </c>
      <c r="J80" s="70"/>
      <c r="L80" s="77" t="str">
        <f t="shared" si="15"/>
        <v>Sw</v>
      </c>
      <c r="M80" s="155" t="str">
        <f t="shared" si="16"/>
        <v>obj_00285#0044</v>
      </c>
      <c r="N80" s="163" t="str">
        <f>IFERROR(_xll.qlRateHelperQuoteName(M80,Trigger),"--")</f>
        <v>USDAM3L50Y_Quote</v>
      </c>
      <c r="O80" s="156">
        <f>IFERROR(_xll.qlRateHelperQuoteValue($M80,Trigger),"--")</f>
        <v>2.1499999999999998E-2</v>
      </c>
      <c r="P80" s="175" t="b">
        <f>NOT(ISERROR(_xll.qlQuoteValue(N80)))</f>
        <v>1</v>
      </c>
      <c r="Q80" s="155">
        <v>50</v>
      </c>
      <c r="R80" s="155">
        <v>1</v>
      </c>
      <c r="S80" s="157">
        <f>IFERROR(_xll.qlRateHelperEarliestDate(M80,Trigger),"--")</f>
        <v>42436</v>
      </c>
      <c r="T80" s="157">
        <f>IFERROR(_xll.qlRateHelperPillarDate(M80,Trigger),"--")</f>
        <v>60699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6" t="str">
        <f>IFERROR(_xll.qlRateHelperRate(W80,Trigger),"")</f>
        <v/>
      </c>
      <c r="Z80" s="116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4" t="e">
        <v>#N/A</v>
      </c>
    </row>
    <row r="81" spans="1:29" x14ac:dyDescent="0.2">
      <c r="A81" s="64" t="s">
        <v>26</v>
      </c>
      <c r="B81" s="65" t="s">
        <v>146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7"/>
        <v>UsdLibor3M</v>
      </c>
      <c r="H81" s="64" t="str">
        <f t="shared" si="18"/>
        <v>USDAM3L29Y_Quote</v>
      </c>
      <c r="I81" s="141">
        <v>0</v>
      </c>
      <c r="J81" s="70"/>
      <c r="L81" s="78" t="str">
        <f t="shared" si="15"/>
        <v>Sw</v>
      </c>
      <c r="M81" s="158" t="str">
        <f t="shared" si="16"/>
        <v>obj_002d8#0044</v>
      </c>
      <c r="N81" s="163" t="str">
        <f>IFERROR(_xll.qlRateHelperQuoteName(M81,Trigger),"--")</f>
        <v>USDAM3L60Y_Quote</v>
      </c>
      <c r="O81" s="169" t="str">
        <f>IFERROR(_xll.qlRateHelperQuoteValue($M81,Trigger),"--")</f>
        <v>--</v>
      </c>
      <c r="P81" s="158" t="b">
        <v>0</v>
      </c>
      <c r="Q81" s="158">
        <v>50</v>
      </c>
      <c r="R81" s="158">
        <v>1</v>
      </c>
      <c r="S81" s="157">
        <f>IFERROR(_xll.qlRateHelperEarliestDate(M81,Trigger),"--")</f>
        <v>42436</v>
      </c>
      <c r="T81" s="157">
        <f>IFERROR(_xll.qlRateHelperPillarDate(M81,Trigger),"--")</f>
        <v>64353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6" t="str">
        <f>IFERROR(_xll.qlRateHelperRate(W81,Trigger),"")</f>
        <v/>
      </c>
      <c r="Z81" s="116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4" t="e">
        <v>#N/A</v>
      </c>
    </row>
    <row r="82" spans="1:29" x14ac:dyDescent="0.2">
      <c r="A82" s="64" t="s">
        <v>26</v>
      </c>
      <c r="B82" s="65" t="s">
        <v>95</v>
      </c>
      <c r="C82" s="66" t="s">
        <v>6</v>
      </c>
      <c r="D82" s="66" t="s">
        <v>8</v>
      </c>
      <c r="E82" s="66" t="s">
        <v>7</v>
      </c>
      <c r="F82" s="66" t="s">
        <v>28</v>
      </c>
      <c r="G82" s="66" t="str">
        <f t="shared" si="17"/>
        <v>UsdLibor3M</v>
      </c>
      <c r="H82" s="64" t="str">
        <f t="shared" si="18"/>
        <v>USDAM3L30Y_Quote</v>
      </c>
      <c r="I82" s="141">
        <v>0</v>
      </c>
      <c r="J82" s="70" t="str">
        <f>_xll.qlSwapRateHelper2(,H82,,B82,JoinCalendar,USD3M!D82,USD3M!E82,USD3M!F82,USD3M!G82,USD3M!I82,USD3M!C82,Discounting,PillarDate,,Permanent,Trigger,ObjectOverwrite)</f>
        <v>obj_002f0#0044</v>
      </c>
      <c r="L82" s="149" t="str">
        <f>A90</f>
        <v>Sw</v>
      </c>
      <c r="M82" s="151" t="str">
        <f>IF(ISBLANK(J90),"--",J90)</f>
        <v>qlSwapRateHelper2(,H90,,B90&amp;"M",JoinCalendar,USD3M!D90,USD3M!E90,USD3M!F90,USD3M!G90,USD3M!I90,USD3M!C90,Discounting,PillarDate,,Permanent,Trigger,ObjectOverwrite)</v>
      </c>
      <c r="N82" s="162" t="str">
        <f>IFERROR(_xll.qlRateHelperQuoteName(M82,Trigger),"--")</f>
        <v>--</v>
      </c>
      <c r="O82" s="152" t="str">
        <f>IFERROR(_xll.qlRateHelperQuoteValue($M82,Trigger),"--")</f>
        <v>--</v>
      </c>
      <c r="P82" s="151" t="b">
        <v>0</v>
      </c>
      <c r="Q82" s="151">
        <v>40</v>
      </c>
      <c r="R82" s="151">
        <v>1</v>
      </c>
      <c r="S82" s="153" t="str">
        <f>IFERROR(_xll.qlRateHelperEarliestDate(M82,Trigger),"--")</f>
        <v>--</v>
      </c>
      <c r="T82" s="15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6" t="str">
        <f>IFERROR(_xll.qlRateHelperRate(W82,Trigger),"")</f>
        <v/>
      </c>
      <c r="Z82" s="116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4" t="e">
        <v>#N/A</v>
      </c>
    </row>
    <row r="83" spans="1:29" x14ac:dyDescent="0.2">
      <c r="A83" s="64" t="s">
        <v>26</v>
      </c>
      <c r="B83" s="65" t="s">
        <v>96</v>
      </c>
      <c r="C83" s="66" t="s">
        <v>6</v>
      </c>
      <c r="D83" s="66" t="s">
        <v>8</v>
      </c>
      <c r="E83" s="66" t="s">
        <v>7</v>
      </c>
      <c r="F83" s="66" t="s">
        <v>28</v>
      </c>
      <c r="G83" s="66" t="str">
        <f t="shared" si="17"/>
        <v>UsdLibor3M</v>
      </c>
      <c r="H83" s="64" t="str">
        <f t="shared" si="18"/>
        <v>USDAM3L35Y_Quote</v>
      </c>
      <c r="I83" s="141">
        <v>0</v>
      </c>
      <c r="J83" s="70"/>
      <c r="L83" s="77" t="str">
        <f t="shared" ref="L83:L88" si="20">A91</f>
        <v>Sw</v>
      </c>
      <c r="M83" s="155" t="str">
        <f t="shared" ref="M83:M88" si="21">IF(ISBLANK(J91),"--",J91)</f>
        <v>--</v>
      </c>
      <c r="N83" s="163" t="str">
        <f>IFERROR(_xll.qlRateHelperQuoteName(M83,Trigger),"--")</f>
        <v>--</v>
      </c>
      <c r="O83" s="156" t="str">
        <f>IFERROR(_xll.qlRateHelperQuoteValue($M83,Trigger),"--")</f>
        <v>--</v>
      </c>
      <c r="P83" s="155" t="b">
        <v>0</v>
      </c>
      <c r="Q83" s="155">
        <v>40</v>
      </c>
      <c r="R83" s="155">
        <v>1</v>
      </c>
      <c r="S83" s="157" t="str">
        <f>IFERROR(_xll.qlRateHelperEarliestDate(M83,Trigger),"--")</f>
        <v>--</v>
      </c>
      <c r="T83" s="157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6" t="str">
        <f>IFERROR(_xll.qlRateHelperRate(W83,Trigger),"")</f>
        <v/>
      </c>
      <c r="Z83" s="116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4" t="e">
        <v>#N/A</v>
      </c>
    </row>
    <row r="84" spans="1:29" x14ac:dyDescent="0.2">
      <c r="A84" s="64" t="s">
        <v>26</v>
      </c>
      <c r="B84" s="65" t="s">
        <v>97</v>
      </c>
      <c r="C84" s="66" t="s">
        <v>6</v>
      </c>
      <c r="D84" s="66" t="s">
        <v>8</v>
      </c>
      <c r="E84" s="66" t="s">
        <v>7</v>
      </c>
      <c r="F84" s="66" t="s">
        <v>28</v>
      </c>
      <c r="G84" s="66" t="str">
        <f t="shared" si="17"/>
        <v>UsdLibor3M</v>
      </c>
      <c r="H84" s="64" t="str">
        <f t="shared" si="18"/>
        <v>USDAM3L40Y_Quote</v>
      </c>
      <c r="I84" s="139">
        <v>0</v>
      </c>
      <c r="J84" s="70" t="str">
        <f>_xll.qlSwapRateHelper2(,H84,,B84,JoinCalendar,USD3M!D84,USD3M!E84,USD3M!F84,USD3M!G84,USD3M!I84,USD3M!C84,Discounting,PillarDate,,Permanent,Trigger,ObjectOverwrite)</f>
        <v>obj_002e8#0044</v>
      </c>
      <c r="L84" s="77" t="str">
        <f t="shared" si="20"/>
        <v>Sw</v>
      </c>
      <c r="M84" s="155" t="str">
        <f t="shared" si="21"/>
        <v>--</v>
      </c>
      <c r="N84" s="163" t="str">
        <f>IFERROR(_xll.qlRateHelperQuoteName(M84,Trigger),"--")</f>
        <v>--</v>
      </c>
      <c r="O84" s="156" t="str">
        <f>IFERROR(_xll.qlRateHelperQuoteValue($M84,Trigger),"--")</f>
        <v>--</v>
      </c>
      <c r="P84" s="155" t="b">
        <v>0</v>
      </c>
      <c r="Q84" s="155">
        <v>40</v>
      </c>
      <c r="R84" s="155">
        <v>1</v>
      </c>
      <c r="S84" s="157" t="str">
        <f>IFERROR(_xll.qlRateHelperEarliestDate(M84,Trigger),"--")</f>
        <v>--</v>
      </c>
      <c r="T84" s="157" t="str">
        <f>IFERROR(_xll.qlRateHelperPillarDate(M84,Trigger),"--")</f>
        <v>--</v>
      </c>
      <c r="V84" s="4" t="str">
        <f t="shared" si="19"/>
        <v/>
      </c>
      <c r="W84" s="4" t="e">
        <v>#N/A</v>
      </c>
      <c r="X84" s="4" t="str">
        <f>IFERROR(_xll.qlRateHelperQuoteName(W84,Trigger),"")</f>
        <v/>
      </c>
      <c r="Y84" s="76" t="str">
        <f>IFERROR(_xll.qlRateHelperRate(W84,Trigger),"")</f>
        <v/>
      </c>
      <c r="Z84" s="116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4" t="e">
        <v>#N/A</v>
      </c>
    </row>
    <row r="85" spans="1:29" x14ac:dyDescent="0.2">
      <c r="A85" s="64" t="s">
        <v>26</v>
      </c>
      <c r="B85" s="65" t="s">
        <v>98</v>
      </c>
      <c r="C85" s="66" t="s">
        <v>6</v>
      </c>
      <c r="D85" s="66" t="s">
        <v>8</v>
      </c>
      <c r="E85" s="66" t="s">
        <v>7</v>
      </c>
      <c r="F85" s="66" t="s">
        <v>28</v>
      </c>
      <c r="G85" s="66" t="str">
        <f t="shared" si="17"/>
        <v>UsdLibor3M</v>
      </c>
      <c r="H85" s="64" t="str">
        <f t="shared" si="18"/>
        <v>USDAM3L45Y_Quote</v>
      </c>
      <c r="I85" s="139">
        <v>0</v>
      </c>
      <c r="J85" s="70"/>
      <c r="L85" s="77" t="str">
        <f t="shared" si="20"/>
        <v>Sw</v>
      </c>
      <c r="M85" s="155" t="str">
        <f t="shared" si="21"/>
        <v>--</v>
      </c>
      <c r="N85" s="163" t="str">
        <f>IFERROR(_xll.qlRateHelperQuoteName(M85,Trigger),"--")</f>
        <v>--</v>
      </c>
      <c r="O85" s="156" t="str">
        <f>IFERROR(_xll.qlRateHelperQuoteValue($M85,Trigger),"--")</f>
        <v>--</v>
      </c>
      <c r="P85" s="155" t="b">
        <v>0</v>
      </c>
      <c r="Q85" s="155">
        <v>40</v>
      </c>
      <c r="R85" s="155">
        <v>1</v>
      </c>
      <c r="S85" s="157" t="str">
        <f>IFERROR(_xll.qlRateHelperEarliestDate(M85,Trigger),"--")</f>
        <v>--</v>
      </c>
      <c r="T85" s="157" t="str">
        <f>IFERROR(_xll.qlRateHelperPillarDate(M85,Trigger),"--")</f>
        <v>--</v>
      </c>
      <c r="V85" s="4" t="str">
        <f t="shared" si="19"/>
        <v/>
      </c>
      <c r="W85" s="4" t="e">
        <v>#N/A</v>
      </c>
      <c r="X85" s="4" t="str">
        <f>IFERROR(_xll.qlRateHelperQuoteName(W85,Trigger),"")</f>
        <v/>
      </c>
      <c r="Y85" s="76" t="str">
        <f>IFERROR(_xll.qlRateHelperRate(W85,Trigger),"")</f>
        <v/>
      </c>
      <c r="Z85" s="116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4" t="e">
        <v>#N/A</v>
      </c>
    </row>
    <row r="86" spans="1:29" x14ac:dyDescent="0.2">
      <c r="A86" s="64" t="s">
        <v>26</v>
      </c>
      <c r="B86" s="65" t="s">
        <v>99</v>
      </c>
      <c r="C86" s="66" t="s">
        <v>6</v>
      </c>
      <c r="D86" s="66" t="s">
        <v>8</v>
      </c>
      <c r="E86" s="66" t="s">
        <v>7</v>
      </c>
      <c r="F86" s="66" t="s">
        <v>28</v>
      </c>
      <c r="G86" s="66" t="str">
        <f t="shared" si="17"/>
        <v>UsdLibor3M</v>
      </c>
      <c r="H86" s="64" t="str">
        <f t="shared" si="18"/>
        <v>USDAM3L50Y_Quote</v>
      </c>
      <c r="I86" s="139">
        <v>0</v>
      </c>
      <c r="J86" s="70" t="str">
        <f>_xll.qlSwapRateHelper2(,H86,,B86,JoinCalendar,USD3M!D86,USD3M!E86,USD3M!F86,USD3M!G86,USD3M!I86,USD3M!C86,Discounting,PillarDate,,Permanent,Trigger,ObjectOverwrite)</f>
        <v>obj_00285#0044</v>
      </c>
      <c r="L86" s="77" t="str">
        <f t="shared" si="20"/>
        <v>Sw</v>
      </c>
      <c r="M86" s="155" t="str">
        <f t="shared" si="21"/>
        <v>--</v>
      </c>
      <c r="N86" s="163" t="str">
        <f>IFERROR(_xll.qlRateHelperQuoteName(M86,Trigger),"--")</f>
        <v>--</v>
      </c>
      <c r="O86" s="156" t="str">
        <f>IFERROR(_xll.qlRateHelperQuoteValue($M86,Trigger),"--")</f>
        <v>--</v>
      </c>
      <c r="P86" s="155" t="b">
        <v>0</v>
      </c>
      <c r="Q86" s="155">
        <v>40</v>
      </c>
      <c r="R86" s="155">
        <v>1</v>
      </c>
      <c r="S86" s="157" t="str">
        <f>IFERROR(_xll.qlRateHelperEarliestDate(M86,Trigger),"--")</f>
        <v>--</v>
      </c>
      <c r="T86" s="157" t="str">
        <f>IFERROR(_xll.qlRateHelperPillarDate(M86,Trigger),"--")</f>
        <v>--</v>
      </c>
      <c r="V86" s="4" t="str">
        <f t="shared" si="19"/>
        <v/>
      </c>
      <c r="W86" s="4" t="e">
        <v>#N/A</v>
      </c>
      <c r="X86" s="4" t="str">
        <f>IFERROR(_xll.qlRateHelperQuoteName(W86,Trigger),"")</f>
        <v/>
      </c>
      <c r="Y86" s="76" t="str">
        <f>IFERROR(_xll.qlRateHelperRate(W86,Trigger),"")</f>
        <v/>
      </c>
      <c r="Z86" s="116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4" t="e">
        <v>#N/A</v>
      </c>
    </row>
    <row r="87" spans="1:29" x14ac:dyDescent="0.2">
      <c r="A87" s="1" t="s">
        <v>26</v>
      </c>
      <c r="B87" s="9" t="s">
        <v>147</v>
      </c>
      <c r="C87" s="7" t="s">
        <v>6</v>
      </c>
      <c r="D87" s="7" t="s">
        <v>8</v>
      </c>
      <c r="E87" s="7" t="s">
        <v>7</v>
      </c>
      <c r="F87" s="7" t="s">
        <v>28</v>
      </c>
      <c r="G87" s="7" t="str">
        <f t="shared" si="17"/>
        <v>UsdLibor3M</v>
      </c>
      <c r="H87" s="1" t="str">
        <f t="shared" si="18"/>
        <v>USDAM3L60Y_Quote</v>
      </c>
      <c r="I87" s="142">
        <v>0</v>
      </c>
      <c r="J87" s="3" t="str">
        <f>_xll.qlSwapRateHelper2(,H87,,B87,JoinCalendar,USD3M!D87,USD3M!E87,USD3M!F87,USD3M!G87,USD3M!I87,USD3M!C87,Discounting,PillarDate,,Permanent,Trigger,ObjectOverwrite)</f>
        <v>obj_002d8#0044</v>
      </c>
      <c r="L87" s="77" t="str">
        <f t="shared" si="20"/>
        <v>Sw</v>
      </c>
      <c r="M87" s="155" t="str">
        <f t="shared" si="21"/>
        <v>--</v>
      </c>
      <c r="N87" s="163" t="str">
        <f>IFERROR(_xll.qlRateHelperQuoteName(M87,Trigger),"--")</f>
        <v>--</v>
      </c>
      <c r="O87" s="156" t="str">
        <f>IFERROR(_xll.qlRateHelperQuoteValue($M87,Trigger),"--")</f>
        <v>--</v>
      </c>
      <c r="P87" s="155" t="b">
        <v>0</v>
      </c>
      <c r="Q87" s="155">
        <v>40</v>
      </c>
      <c r="R87" s="155">
        <v>1</v>
      </c>
      <c r="S87" s="157" t="str">
        <f>IFERROR(_xll.qlRateHelperEarliestDate(M87,Trigger),"--")</f>
        <v>--</v>
      </c>
      <c r="T87" s="157" t="str">
        <f>IFERROR(_xll.qlRateHelperPillarDate(M87,Trigger),"--")</f>
        <v>--</v>
      </c>
      <c r="V87" s="4" t="str">
        <f t="shared" si="19"/>
        <v/>
      </c>
      <c r="W87" s="4" t="e">
        <v>#N/A</v>
      </c>
      <c r="X87" s="4" t="str">
        <f>IFERROR(_xll.qlRateHelperQuoteName(W87,Trigger),"")</f>
        <v/>
      </c>
      <c r="Y87" s="76" t="str">
        <f>IFERROR(_xll.qlRateHelperRate(W87,Trigger),"")</f>
        <v/>
      </c>
      <c r="Z87" s="116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4" t="e">
        <v>#N/A</v>
      </c>
    </row>
    <row r="88" spans="1:29" x14ac:dyDescent="0.2">
      <c r="L88" s="78" t="str">
        <f t="shared" si="20"/>
        <v>Sw</v>
      </c>
      <c r="M88" s="158" t="str">
        <f t="shared" si="21"/>
        <v>--</v>
      </c>
      <c r="N88" s="168" t="str">
        <f>IFERROR(_xll.qlRateHelperQuoteName(M88,Trigger),"--")</f>
        <v>--</v>
      </c>
      <c r="O88" s="169" t="str">
        <f>IFERROR(_xll.qlRateHelperQuoteValue($M88,Trigger),"--")</f>
        <v>--</v>
      </c>
      <c r="P88" s="158" t="b">
        <v>0</v>
      </c>
      <c r="Q88" s="158">
        <v>40</v>
      </c>
      <c r="R88" s="158">
        <v>1</v>
      </c>
      <c r="S88" s="167" t="str">
        <f>IFERROR(_xll.qlRateHelperEarliestDate(M88,Trigger),"--")</f>
        <v>--</v>
      </c>
      <c r="T88" s="167" t="str">
        <f>IFERROR(_xll.qlRateHelperPillarDate(M88,Trigger),"--")</f>
        <v>--</v>
      </c>
      <c r="V88" s="6" t="str">
        <f t="shared" si="19"/>
        <v/>
      </c>
      <c r="W88" s="6" t="e">
        <v>#N/A</v>
      </c>
      <c r="X88" s="6" t="str">
        <f>IFERROR(_xll.qlRateHelperQuoteName(W88,Trigger),"")</f>
        <v/>
      </c>
      <c r="Y88" s="86" t="str">
        <f>IFERROR(_xll.qlRateHelperRate(W88,Trigger),"")</f>
        <v/>
      </c>
      <c r="Z88" s="117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5" t="e">
        <v>#N/A</v>
      </c>
    </row>
    <row r="89" spans="1:29" x14ac:dyDescent="0.2">
      <c r="A89" s="71" t="s">
        <v>9</v>
      </c>
      <c r="B89" s="71" t="s">
        <v>30</v>
      </c>
      <c r="C89" s="71" t="s">
        <v>151</v>
      </c>
      <c r="D89" s="71" t="s">
        <v>5</v>
      </c>
      <c r="E89" s="71" t="s">
        <v>35</v>
      </c>
      <c r="F89" s="71" t="s">
        <v>152</v>
      </c>
      <c r="G89" s="71" t="s">
        <v>4</v>
      </c>
      <c r="H89" s="71" t="s">
        <v>1</v>
      </c>
      <c r="I89" s="71" t="s">
        <v>148</v>
      </c>
      <c r="J89" s="71" t="s">
        <v>25</v>
      </c>
    </row>
    <row r="90" spans="1:29" x14ac:dyDescent="0.2">
      <c r="A90" s="58" t="s">
        <v>26</v>
      </c>
      <c r="B90" s="127">
        <v>12</v>
      </c>
      <c r="C90" s="60" t="s">
        <v>6</v>
      </c>
      <c r="D90" s="66" t="s">
        <v>8</v>
      </c>
      <c r="E90" s="66" t="s">
        <v>7</v>
      </c>
      <c r="F90" s="66" t="s">
        <v>28</v>
      </c>
      <c r="G90" s="66" t="str">
        <f t="shared" ref="G90:G96" si="22">PROPER(Currency)&amp;FamilyName&amp;Tenor</f>
        <v>UsdLibor3M</v>
      </c>
      <c r="H90" s="64" t="str">
        <f>Currency&amp;"1S"&amp;$B90&amp;"_Quote"</f>
        <v>USD1S12_Quote</v>
      </c>
      <c r="I90" s="140">
        <v>0</v>
      </c>
      <c r="J90" s="63" t="s">
        <v>154</v>
      </c>
      <c r="K90" s="51" t="s">
        <v>47</v>
      </c>
    </row>
    <row r="91" spans="1:29" x14ac:dyDescent="0.2">
      <c r="A91" s="64" t="s">
        <v>26</v>
      </c>
      <c r="B91" s="128">
        <v>12</v>
      </c>
      <c r="C91" s="66" t="s">
        <v>6</v>
      </c>
      <c r="D91" s="66" t="s">
        <v>8</v>
      </c>
      <c r="E91" s="66" t="s">
        <v>7</v>
      </c>
      <c r="F91" s="66" t="s">
        <v>28</v>
      </c>
      <c r="G91" s="66" t="str">
        <f t="shared" si="22"/>
        <v>UsdLibor3M</v>
      </c>
      <c r="H91" s="64" t="str">
        <f>Currency&amp;"2S"&amp;$B91&amp;"_Quote"</f>
        <v>USD2S12_Quote</v>
      </c>
      <c r="I91" s="141">
        <v>0</v>
      </c>
      <c r="J91" s="70"/>
    </row>
    <row r="92" spans="1:29" x14ac:dyDescent="0.2">
      <c r="A92" s="64" t="s">
        <v>26</v>
      </c>
      <c r="B92" s="128">
        <v>12</v>
      </c>
      <c r="C92" s="66" t="s">
        <v>6</v>
      </c>
      <c r="D92" s="66" t="s">
        <v>8</v>
      </c>
      <c r="E92" s="66" t="s">
        <v>7</v>
      </c>
      <c r="F92" s="66" t="s">
        <v>28</v>
      </c>
      <c r="G92" s="66" t="str">
        <f t="shared" si="22"/>
        <v>UsdLibor3M</v>
      </c>
      <c r="H92" s="64" t="str">
        <f>Currency&amp;"3S"&amp;$B92&amp;"_Quote"</f>
        <v>USD3S12_Quote</v>
      </c>
      <c r="I92" s="141">
        <v>0</v>
      </c>
      <c r="J92" s="70"/>
    </row>
    <row r="93" spans="1:29" x14ac:dyDescent="0.2">
      <c r="A93" s="64" t="s">
        <v>26</v>
      </c>
      <c r="B93" s="128">
        <v>12</v>
      </c>
      <c r="C93" s="66" t="s">
        <v>6</v>
      </c>
      <c r="D93" s="66" t="s">
        <v>8</v>
      </c>
      <c r="E93" s="66" t="s">
        <v>7</v>
      </c>
      <c r="F93" s="66" t="s">
        <v>28</v>
      </c>
      <c r="G93" s="66" t="str">
        <f t="shared" si="22"/>
        <v>UsdLibor3M</v>
      </c>
      <c r="H93" s="64" t="str">
        <f>Currency&amp;"4S"&amp;$B93&amp;"_Quote"</f>
        <v>USD4S12_Quote</v>
      </c>
      <c r="I93" s="141">
        <v>0</v>
      </c>
      <c r="J93" s="70"/>
    </row>
    <row r="94" spans="1:29" x14ac:dyDescent="0.2">
      <c r="A94" s="64" t="s">
        <v>26</v>
      </c>
      <c r="B94" s="128">
        <v>24</v>
      </c>
      <c r="C94" s="66" t="s">
        <v>6</v>
      </c>
      <c r="D94" s="66" t="s">
        <v>8</v>
      </c>
      <c r="E94" s="66" t="s">
        <v>7</v>
      </c>
      <c r="F94" s="66" t="s">
        <v>28</v>
      </c>
      <c r="G94" s="66" t="str">
        <f t="shared" si="22"/>
        <v>UsdLibor3M</v>
      </c>
      <c r="H94" s="64" t="str">
        <f>Currency&amp;"1S"&amp;$B94&amp;"_Quote"</f>
        <v>USD1S24_Quote</v>
      </c>
      <c r="I94" s="141">
        <v>0</v>
      </c>
      <c r="J94" s="70"/>
    </row>
    <row r="95" spans="1:29" x14ac:dyDescent="0.2">
      <c r="A95" s="64" t="s">
        <v>26</v>
      </c>
      <c r="B95" s="128">
        <v>24</v>
      </c>
      <c r="C95" s="66" t="s">
        <v>6</v>
      </c>
      <c r="D95" s="66" t="s">
        <v>8</v>
      </c>
      <c r="E95" s="66" t="s">
        <v>7</v>
      </c>
      <c r="F95" s="66" t="s">
        <v>28</v>
      </c>
      <c r="G95" s="66" t="str">
        <f t="shared" si="22"/>
        <v>UsdLibor3M</v>
      </c>
      <c r="H95" s="64" t="str">
        <f>Currency&amp;"2S"&amp;$B95&amp;"_Quote"</f>
        <v>USD2S24_Quote</v>
      </c>
      <c r="I95" s="141">
        <v>0</v>
      </c>
      <c r="J95" s="70"/>
    </row>
    <row r="96" spans="1:29" x14ac:dyDescent="0.2">
      <c r="A96" s="1" t="s">
        <v>26</v>
      </c>
      <c r="B96" s="129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2"/>
        <v>UsdLibor3M</v>
      </c>
      <c r="H96" s="1" t="str">
        <f>Currency&amp;"1S"&amp;$B96&amp;"_Quote"</f>
        <v>USD1S36_Quote</v>
      </c>
      <c r="I96" s="144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3</v>
      </c>
      <c r="H1" s="55" t="str">
        <f>"_SYNTH"&amp;Tenor</f>
        <v>_SYNTH6M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USD6M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66">_xll.qlPiecewiseYieldCurveData(YieldCurve_6M,Trigger)</f>
        <v>1</v>
      </c>
      <c r="AE2" s="222" t="s">
        <v>118</v>
      </c>
      <c r="AF2" s="22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2" si="0">Currency&amp;$B3&amp;"D"&amp;$H$1&amp;QuoteSuffix</f>
        <v>USDSND_SYNTH6M_Quote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obj_002dc</v>
      </c>
      <c r="X3" s="4" t="str">
        <f>IFERROR(_xll.qlRateHelperQuoteName(W3,Trigger),"")</f>
        <v>USD1MD_SYNTH6M_Quote</v>
      </c>
      <c r="Y3" s="76">
        <f>IFERROR(_xll.qlRateHelperRate(W3,Trigger),"")</f>
        <v>7.3020000000000003E-3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42436</v>
      </c>
      <c r="AB3" s="5">
        <f>IFERROR(_xll.qlRateHelperPillarDate(W3,Trigger),"")</f>
        <v>42467</v>
      </c>
      <c r="AC3" s="84">
        <v>0.99937161178670197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USDSWD_SYNTH6M_Quote</v>
      </c>
      <c r="I4" s="143"/>
      <c r="J4" s="63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obj_0028b</v>
      </c>
      <c r="X4" s="4" t="str">
        <f>IFERROR(_xll.qlRateHelperQuoteName(W4,Trigger),"")</f>
        <v>USD2MD_SYNTH6M_Quote</v>
      </c>
      <c r="Y4" s="76">
        <f>IFERROR(_xll.qlRateHelperRate(W4,Trigger),"")</f>
        <v>7.7819999999999999E-3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42436</v>
      </c>
      <c r="AB4" s="5">
        <f>IFERROR(_xll.qlRateHelperPillarDate(W4,Trigger),"")</f>
        <v>42499</v>
      </c>
      <c r="AC4" s="84">
        <v>0.99864000211312254</v>
      </c>
      <c r="AE4" s="119" t="s">
        <v>120</v>
      </c>
      <c r="AF4" s="120">
        <v>0</v>
      </c>
    </row>
    <row r="5" spans="1:32" ht="11.25" customHeight="1" x14ac:dyDescent="0.2">
      <c r="A5" s="176" t="s">
        <v>27</v>
      </c>
      <c r="B5" s="177" t="s">
        <v>51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obj_002cb#0044</v>
      </c>
      <c r="H5" s="181" t="str">
        <f t="shared" si="0"/>
        <v>USD2WD_SYNTH6M_Quote</v>
      </c>
      <c r="I5" s="179"/>
      <c r="J5" s="182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obj_002f1</v>
      </c>
      <c r="X5" s="4" t="str">
        <f>IFERROR(_xll.qlRateHelperQuoteName(W5,Trigger),"")</f>
        <v>USD3MD_SYNTH6M_Quote</v>
      </c>
      <c r="Y5" s="76">
        <f>IFERROR(_xll.qlRateHelperRate(W5,Trigger),"")</f>
        <v>8.1659999999999996E-3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42436</v>
      </c>
      <c r="AB5" s="5">
        <f>IFERROR(_xll.qlRateHelperPillarDate(W5,Trigger),"")</f>
        <v>42528</v>
      </c>
      <c r="AC5" s="84">
        <v>0.9979174792764145</v>
      </c>
      <c r="AD5" s="87"/>
      <c r="AE5" s="119" t="s">
        <v>121</v>
      </c>
      <c r="AF5" s="120">
        <v>0</v>
      </c>
    </row>
    <row r="6" spans="1:32" ht="11.25" customHeight="1" x14ac:dyDescent="0.2">
      <c r="A6" s="183" t="s">
        <v>27</v>
      </c>
      <c r="B6" s="184" t="s">
        <v>52</v>
      </c>
      <c r="C6" s="185" t="str">
        <f t="shared" ref="C6:C9" si="4">B6</f>
        <v>3W</v>
      </c>
      <c r="D6" s="186"/>
      <c r="E6" s="186"/>
      <c r="F6" s="186"/>
      <c r="G6" s="187" t="str">
        <f>_xll.qlLibor(,Currency,C6,,Permanent,Trigger,ObjectOverwrite)</f>
        <v>obj_0028f#0044</v>
      </c>
      <c r="H6" s="188" t="str">
        <f t="shared" si="0"/>
        <v>USD3WD_SYNTH6M_Quote</v>
      </c>
      <c r="I6" s="186"/>
      <c r="J6" s="189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obj_002da</v>
      </c>
      <c r="X6" s="4" t="str">
        <f>IFERROR(_xll.qlRateHelperQuoteName(W6,Trigger),"")</f>
        <v>USD4MD_SYNTH6M_Quote</v>
      </c>
      <c r="Y6" s="76">
        <f>IFERROR(_xll.qlRateHelperRate(W6,Trigger),"")</f>
        <v>8.5070000000000007E-3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42436</v>
      </c>
      <c r="AB6" s="5">
        <f>IFERROR(_xll.qlRateHelperPillarDate(W6,Trigger),"")</f>
        <v>42558</v>
      </c>
      <c r="AC6" s="84">
        <v>0.99712535960287496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USD1MD_SYNTH6M_Quote</v>
      </c>
      <c r="I7" s="137"/>
      <c r="J7" s="70" t="str">
        <f>_xll.qlDepositRateHelper(,H7,G7,Permanent,Trigger,ObjectOverwrite)</f>
        <v>obj_002dc#0044</v>
      </c>
      <c r="K7" s="53"/>
      <c r="L7" s="11" t="str">
        <f t="shared" si="1"/>
        <v>Dp</v>
      </c>
      <c r="M7" s="106" t="str">
        <f t="shared" si="2"/>
        <v>obj_002dc#0044</v>
      </c>
      <c r="N7" s="160" t="str">
        <f>IFERROR(_xll.qlRateHelperQuoteName(M7,Trigger),"--")</f>
        <v>USD1MD_SYNTH6M_Quote</v>
      </c>
      <c r="O7" s="110">
        <f>IFERROR(_xll.qlRateHelperQuoteValue($M7,Trigger),"--")</f>
        <v>7.3020000000000003E-3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42436</v>
      </c>
      <c r="T7" s="111">
        <f>IFERROR(_xll.qlRateHelperPillarDate(M7,Trigger),"--")</f>
        <v>42467</v>
      </c>
      <c r="V7" s="4" t="str">
        <f t="shared" si="3"/>
        <v>Dp</v>
      </c>
      <c r="W7" s="4" t="str">
        <v>obj_00310</v>
      </c>
      <c r="X7" s="4" t="str">
        <f>IFERROR(_xll.qlRateHelperQuoteName(W7,Trigger),"")</f>
        <v>USD5MD_SYNTH6M_Quote</v>
      </c>
      <c r="Y7" s="76">
        <f>IFERROR(_xll.qlRateHelperRate(W7,Trigger),"")</f>
        <v>8.7899999999999992E-3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42436</v>
      </c>
      <c r="AB7" s="5">
        <f>IFERROR(_xll.qlRateHelperPillarDate(W7,Trigger),"")</f>
        <v>42590</v>
      </c>
      <c r="AC7" s="84">
        <v>0.99625391922140849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USD2MD_SYNTH6M_Quote</v>
      </c>
      <c r="I8" s="137"/>
      <c r="J8" s="70" t="str">
        <f>_xll.qlDepositRateHelper(,H8,G8,Permanent,Trigger,ObjectOverwrite)</f>
        <v>obj_0028b#0044</v>
      </c>
      <c r="K8" s="53"/>
      <c r="L8" s="11" t="str">
        <f t="shared" si="1"/>
        <v>Dp</v>
      </c>
      <c r="M8" s="106" t="str">
        <f t="shared" si="2"/>
        <v>obj_0028b#0044</v>
      </c>
      <c r="N8" s="160" t="str">
        <f>IFERROR(_xll.qlRateHelperQuoteName(M8,Trigger),"--")</f>
        <v>USD2MD_SYNTH6M_Quote</v>
      </c>
      <c r="O8" s="110">
        <f>IFERROR(_xll.qlRateHelperQuoteValue($M8,Trigger),"--")</f>
        <v>7.7819999999999999E-3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42436</v>
      </c>
      <c r="T8" s="111">
        <f>IFERROR(_xll.qlRateHelperPillarDate(M8,Trigger),"--")</f>
        <v>42499</v>
      </c>
      <c r="V8" s="4" t="str">
        <f t="shared" si="3"/>
        <v>Dp</v>
      </c>
      <c r="W8" s="4" t="str">
        <v>obj_002e1</v>
      </c>
      <c r="X8" s="4" t="str">
        <f>IFERROR(_xll.qlRateHelperQuoteName(W8,Trigger),"")</f>
        <v>USD6MD_SYNTH6M_Quote</v>
      </c>
      <c r="Y8" s="76">
        <f>IFERROR(_xll.qlRateHelperRate(W8,Trigger),"")</f>
        <v>8.9490000000000004E-3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42436</v>
      </c>
      <c r="AB8" s="5">
        <f>IFERROR(_xll.qlRateHelperPillarDate(W8,Trigger),"")</f>
        <v>42620</v>
      </c>
      <c r="AC8" s="84">
        <v>0.99544689227784744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PROPER(Currency)&amp;FamilyName&amp;B9</f>
        <v>UsdLibor3M</v>
      </c>
      <c r="H9" s="134" t="str">
        <f t="shared" si="0"/>
        <v>USD3MD_SYNTH6M_Quote</v>
      </c>
      <c r="I9" s="137"/>
      <c r="J9" s="70" t="str">
        <f>_xll.qlDepositRateHelper(,H9,G9,Permanent,Trigger,ObjectOverwrite)</f>
        <v>obj_002f1#0044</v>
      </c>
      <c r="K9" s="53"/>
      <c r="L9" s="11" t="str">
        <f t="shared" si="1"/>
        <v>Dp</v>
      </c>
      <c r="M9" s="106" t="str">
        <f t="shared" si="2"/>
        <v>obj_002f1#0044</v>
      </c>
      <c r="N9" s="160" t="str">
        <f>IFERROR(_xll.qlRateHelperQuoteName(M9,Trigger),"--")</f>
        <v>USD3MD_SYNTH6M_Quote</v>
      </c>
      <c r="O9" s="110">
        <f>IFERROR(_xll.qlRateHelperQuoteValue($M9,Trigger),"--")</f>
        <v>8.1659999999999996E-3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42436</v>
      </c>
      <c r="T9" s="111">
        <f>IFERROR(_xll.qlRateHelperPillarDate(M9,Trigger),"--")</f>
        <v>42528</v>
      </c>
      <c r="V9" s="4" t="str">
        <f t="shared" si="3"/>
        <v>FRA</v>
      </c>
      <c r="W9" s="4" t="str">
        <v>obj_002b3</v>
      </c>
      <c r="X9" s="4" t="str">
        <f>IFERROR(_xll.qlRateHelperQuoteName(W9,Trigger),"")</f>
        <v>USD1x7F_Quote</v>
      </c>
      <c r="Y9" s="76">
        <f>IFERROR(_xll.qlRateHelperRate(W9,Trigger),"")</f>
        <v>9.3099999999999988E-3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42467</v>
      </c>
      <c r="AB9" s="5">
        <f>IFERROR(_xll.qlRateHelperPillarDate(W9,Trigger),"")</f>
        <v>42650</v>
      </c>
      <c r="AC9" s="84">
        <v>0.99466428019200337</v>
      </c>
    </row>
    <row r="10" spans="1:32" ht="11.25" customHeight="1" x14ac:dyDescent="0.2">
      <c r="A10" s="176" t="s">
        <v>27</v>
      </c>
      <c r="B10" s="177" t="s">
        <v>54</v>
      </c>
      <c r="C10" s="178" t="str">
        <f t="shared" ref="C10:C12" si="5">B10</f>
        <v>4M</v>
      </c>
      <c r="D10" s="179"/>
      <c r="E10" s="179"/>
      <c r="F10" s="179"/>
      <c r="G10" s="180" t="str">
        <f>_xll.qlLibor(,Currency,C10,,Permanent,Trigger,ObjectOverwrite)</f>
        <v>obj_0027a#0044</v>
      </c>
      <c r="H10" s="181" t="str">
        <f t="shared" si="0"/>
        <v>USD4MD_SYNTH6M_Quote</v>
      </c>
      <c r="I10" s="179"/>
      <c r="J10" s="182" t="str">
        <f>_xll.qlDepositRateHelper(,H10,G10,Permanent,Trigger,ObjectOverwrite)</f>
        <v>obj_002da#0044</v>
      </c>
      <c r="K10" s="53"/>
      <c r="L10" s="11" t="str">
        <f t="shared" ref="L10:L12" si="6">A10</f>
        <v>Dp</v>
      </c>
      <c r="M10" s="106" t="str">
        <f t="shared" ref="M10:M12" si="7">IF(ISBLANK(J10),"--",J10)</f>
        <v>obj_002da#0044</v>
      </c>
      <c r="N10" s="160" t="str">
        <f>IFERROR(_xll.qlRateHelperQuoteName(M10,Trigger),"--")</f>
        <v>USD4MD_SYNTH6M_Quote</v>
      </c>
      <c r="O10" s="110">
        <f>IFERROR(_xll.qlRateHelperQuoteValue($M10,Trigger),"--")</f>
        <v>8.5070000000000007E-3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42436</v>
      </c>
      <c r="T10" s="111">
        <f>IFERROR(_xll.qlRateHelperPillarDate(M10,Trigger),"--")</f>
        <v>42558</v>
      </c>
      <c r="V10" s="4" t="str">
        <f t="shared" si="3"/>
        <v>FRA</v>
      </c>
      <c r="W10" s="4" t="str">
        <v>obj_002f6</v>
      </c>
      <c r="X10" s="4" t="str">
        <f>IFERROR(_xll.qlRateHelperQuoteName(W10,Trigger),"")</f>
        <v>USD2x8F_Quote</v>
      </c>
      <c r="Y10" s="76">
        <f>IFERROR(_xll.qlRateHelperRate(W10,Trigger),"")</f>
        <v>9.4699999999999993E-3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42499</v>
      </c>
      <c r="AB10" s="5">
        <f>IFERROR(_xll.qlRateHelperPillarDate(W10,Trigger),"")</f>
        <v>42681</v>
      </c>
      <c r="AC10" s="84">
        <v>0.993882744183061</v>
      </c>
    </row>
    <row r="11" spans="1:32" ht="11.25" customHeight="1" x14ac:dyDescent="0.2">
      <c r="A11" s="183" t="s">
        <v>27</v>
      </c>
      <c r="B11" s="184" t="s">
        <v>55</v>
      </c>
      <c r="C11" s="185" t="str">
        <f t="shared" si="5"/>
        <v>5M</v>
      </c>
      <c r="D11" s="186"/>
      <c r="E11" s="186"/>
      <c r="F11" s="186"/>
      <c r="G11" s="187" t="str">
        <f>_xll.qlLibor(,Currency,C11,,Permanent,Trigger,ObjectOverwrite)</f>
        <v>obj_002d7#0044</v>
      </c>
      <c r="H11" s="188" t="str">
        <f t="shared" si="0"/>
        <v>USD5MD_SYNTH6M_Quote</v>
      </c>
      <c r="I11" s="186"/>
      <c r="J11" s="189" t="str">
        <f>_xll.qlDepositRateHelper(,H11,G11,Permanent,Trigger,ObjectOverwrite)</f>
        <v>obj_00310#0043</v>
      </c>
      <c r="K11" s="53"/>
      <c r="L11" s="11" t="str">
        <f t="shared" si="6"/>
        <v>Dp</v>
      </c>
      <c r="M11" s="106" t="str">
        <f t="shared" si="7"/>
        <v>obj_00310#0043</v>
      </c>
      <c r="N11" s="160" t="str">
        <f>IFERROR(_xll.qlRateHelperQuoteName(M11,Trigger),"--")</f>
        <v>USD5MD_SYNTH6M_Quote</v>
      </c>
      <c r="O11" s="110">
        <f>IFERROR(_xll.qlRateHelperQuoteValue($M11,Trigger),"--")</f>
        <v>8.7899999999999992E-3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42436</v>
      </c>
      <c r="T11" s="111">
        <f>IFERROR(_xll.qlRateHelperPillarDate(M11,Trigger),"--")</f>
        <v>42590</v>
      </c>
      <c r="V11" s="4" t="str">
        <f t="shared" si="3"/>
        <v>FRA</v>
      </c>
      <c r="W11" s="4" t="str">
        <v>obj_002c2</v>
      </c>
      <c r="X11" s="4" t="str">
        <f>IFERROR(_xll.qlRateHelperQuoteName(W11,Trigger),"")</f>
        <v>USD3x9F_Quote</v>
      </c>
      <c r="Y11" s="76">
        <f>IFERROR(_xll.qlRateHelperRate(W11,Trigger),"")</f>
        <v>9.6600000000000002E-3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42528</v>
      </c>
      <c r="AB11" s="5">
        <f>IFERROR(_xll.qlRateHelperPillarDate(W11,Trigger),"")</f>
        <v>42711</v>
      </c>
      <c r="AC11" s="84">
        <v>0.99304115070587362</v>
      </c>
    </row>
    <row r="12" spans="1:32" ht="11.25" customHeight="1" x14ac:dyDescent="0.2">
      <c r="A12" s="1" t="s">
        <v>27</v>
      </c>
      <c r="B12" s="9" t="s">
        <v>3</v>
      </c>
      <c r="C12" s="10" t="str">
        <f t="shared" si="5"/>
        <v>6M</v>
      </c>
      <c r="D12" s="138"/>
      <c r="E12" s="138"/>
      <c r="F12" s="138"/>
      <c r="G12" s="7" t="str">
        <f>PROPER(Currency)&amp;FamilyName&amp;B12</f>
        <v>UsdLibor6M</v>
      </c>
      <c r="H12" s="135" t="str">
        <f t="shared" si="0"/>
        <v>USD6MD_SYNTH6M_Quote</v>
      </c>
      <c r="I12" s="138"/>
      <c r="J12" s="3" t="str">
        <f>_xll.qlDepositRateHelper(,H12,G12,Permanent,Trigger,ObjectOverwrite)</f>
        <v>obj_002e1#0044</v>
      </c>
      <c r="K12" s="53" t="s">
        <v>47</v>
      </c>
      <c r="L12" s="12" t="str">
        <f t="shared" si="6"/>
        <v>Dp</v>
      </c>
      <c r="M12" s="107" t="str">
        <f t="shared" si="7"/>
        <v>obj_002e1#0044</v>
      </c>
      <c r="N12" s="161" t="str">
        <f>IFERROR(_xll.qlRateHelperQuoteName(M12,Trigger),"--")</f>
        <v>USD6MD_SYNTH6M_Quote</v>
      </c>
      <c r="O12" s="113">
        <f>IFERROR(_xll.qlRateHelperQuoteValue($M12,Trigger),"--")</f>
        <v>8.9490000000000004E-3</v>
      </c>
      <c r="P12" s="112" t="b">
        <v>1</v>
      </c>
      <c r="Q12" s="107">
        <v>70</v>
      </c>
      <c r="R12" s="107">
        <v>1</v>
      </c>
      <c r="S12" s="114">
        <f>IFERROR(_xll.qlRateHelperEarliestDate(M12,Trigger),"--")</f>
        <v>42436</v>
      </c>
      <c r="T12" s="114">
        <f>IFERROR(_xll.qlRateHelperPillarDate(M12,Trigger),"--")</f>
        <v>42620</v>
      </c>
      <c r="V12" s="4" t="str">
        <f t="shared" si="3"/>
        <v>FRA</v>
      </c>
      <c r="W12" s="4" t="str">
        <v>obj_002b6</v>
      </c>
      <c r="X12" s="4" t="str">
        <f>IFERROR(_xll.qlRateHelperQuoteName(W12,Trigger),"")</f>
        <v>USD4x10F_Quote</v>
      </c>
      <c r="Y12" s="76">
        <f>IFERROR(_xll.qlRateHelperRate(W12,Trigger),"")</f>
        <v>9.8699999999999986E-3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42558</v>
      </c>
      <c r="AB12" s="5">
        <f>IFERROR(_xll.qlRateHelperPillarDate(W12,Trigger),"")</f>
        <v>42744</v>
      </c>
      <c r="AC12" s="84">
        <v>0.99206631741720785</v>
      </c>
    </row>
    <row r="13" spans="1:32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5" t="str">
        <f>IF(ISBLANK(J15),"--",J15)</f>
        <v>obj_002b3#0044</v>
      </c>
      <c r="N13" s="159" t="str">
        <f>IFERROR(_xll.qlRateHelperQuoteName(M13,Trigger),"--")</f>
        <v>USD1x7F_Quote</v>
      </c>
      <c r="O13" s="147">
        <f>IFERROR(_xll.qlRateHelperQuoteValue($M13,Trigger),"--")</f>
        <v>9.3099999999999988E-3</v>
      </c>
      <c r="P13" s="146" t="b">
        <v>1</v>
      </c>
      <c r="Q13" s="145">
        <v>20</v>
      </c>
      <c r="R13" s="145">
        <v>1</v>
      </c>
      <c r="S13" s="148">
        <f>IFERROR(_xll.qlRateHelperEarliestDate(M13,Trigger),"--")</f>
        <v>42467</v>
      </c>
      <c r="T13" s="148">
        <f>IFERROR(_xll.qlRateHelperPillarDate(M13,Trigger),"--")</f>
        <v>42650</v>
      </c>
      <c r="V13" s="4" t="str">
        <f t="shared" si="3"/>
        <v>FRA</v>
      </c>
      <c r="W13" s="4" t="str">
        <v>obj_0028e</v>
      </c>
      <c r="X13" s="4" t="str">
        <f>IFERROR(_xll.qlRateHelperQuoteName(W13,Trigger),"")</f>
        <v>USD5x11F_Quote</v>
      </c>
      <c r="Y13" s="76">
        <f>IFERROR(_xll.qlRateHelperRate(W13,Trigger),"")</f>
        <v>1.0059999999999999E-2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42590</v>
      </c>
      <c r="AB13" s="5">
        <f>IFERROR(_xll.qlRateHelperPillarDate(W13,Trigger),"")</f>
        <v>42773</v>
      </c>
      <c r="AC13" s="84">
        <v>0.99118761092446916</v>
      </c>
    </row>
    <row r="14" spans="1:32" ht="11.25" customHeight="1" x14ac:dyDescent="0.2">
      <c r="A14" s="71" t="s">
        <v>9</v>
      </c>
      <c r="B14" s="71" t="s">
        <v>126</v>
      </c>
      <c r="C14" s="71" t="s">
        <v>127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25</v>
      </c>
      <c r="K14" s="53"/>
      <c r="L14" s="11" t="str">
        <f t="shared" ref="L14:L26" si="8">A16</f>
        <v>FRA</v>
      </c>
      <c r="M14" s="106" t="str">
        <f t="shared" ref="M14:M26" si="9">IF(ISBLANK(J16),"--",J16)</f>
        <v>obj_002f6#0044</v>
      </c>
      <c r="N14" s="160" t="str">
        <f>IFERROR(_xll.qlRateHelperQuoteName(M14,Trigger),"--")</f>
        <v>USD2x8F_Quote</v>
      </c>
      <c r="O14" s="110">
        <f>IFERROR(_xll.qlRateHelperQuoteValue($M14,Trigger),"--")</f>
        <v>9.4699999999999993E-3</v>
      </c>
      <c r="P14" s="109" t="b">
        <v>1</v>
      </c>
      <c r="Q14" s="106">
        <v>20</v>
      </c>
      <c r="R14" s="106">
        <v>1</v>
      </c>
      <c r="S14" s="111">
        <f>IFERROR(_xll.qlRateHelperEarliestDate(M14,Trigger),"--")</f>
        <v>42499</v>
      </c>
      <c r="T14" s="111">
        <f>IFERROR(_xll.qlRateHelperPillarDate(M14,Trigger),"--")</f>
        <v>42681</v>
      </c>
      <c r="V14" s="4" t="str">
        <f t="shared" si="3"/>
        <v>FRA</v>
      </c>
      <c r="W14" s="4" t="str">
        <v>obj_002a2</v>
      </c>
      <c r="X14" s="4" t="str">
        <f>IFERROR(_xll.qlRateHelperQuoteName(W14,Trigger),"")</f>
        <v>USD6x12F_Quote</v>
      </c>
      <c r="Y14" s="76">
        <f>IFERROR(_xll.qlRateHelperRate(W14,Trigger),"")</f>
        <v>1.022E-2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42620</v>
      </c>
      <c r="AB14" s="5">
        <f>IFERROR(_xll.qlRateHelperPillarDate(W14,Trigger),"")</f>
        <v>42801</v>
      </c>
      <c r="AC14" s="84">
        <v>0.99035804749060052</v>
      </c>
    </row>
    <row r="15" spans="1:32" ht="11.25" customHeight="1" x14ac:dyDescent="0.2">
      <c r="A15" s="58" t="s">
        <v>128</v>
      </c>
      <c r="B15" s="127">
        <v>1</v>
      </c>
      <c r="C15" s="61" t="str">
        <f t="shared" ref="C15:C32" si="10">"x"&amp;B15+SUBSTITUTE(Tenor,"M","")&amp;"F"</f>
        <v>x7F</v>
      </c>
      <c r="D15" s="143"/>
      <c r="E15" s="143"/>
      <c r="F15" s="143"/>
      <c r="G15" s="60" t="str">
        <f t="shared" ref="G15:G32" si="11">PROPER(Currency)&amp;FamilyName&amp;Tenor</f>
        <v>UsdLibor6M</v>
      </c>
      <c r="H15" s="130" t="str">
        <f t="shared" ref="H15:H24" si="12">Currency&amp;B15&amp;C15&amp;QuoteSuffix</f>
        <v>USD1x7F_Quote</v>
      </c>
      <c r="I15" s="143"/>
      <c r="J15" s="63" t="str">
        <f>_xll.qlFraRateHelper(,H15,B15&amp;"M",G15,PillarDate,,Permanent,Trigger,ObjectOverwrite)</f>
        <v>obj_002b3#0044</v>
      </c>
      <c r="K15" s="53"/>
      <c r="L15" s="11" t="str">
        <f t="shared" si="8"/>
        <v>FRA</v>
      </c>
      <c r="M15" s="106" t="str">
        <f t="shared" si="9"/>
        <v>obj_002c2#0044</v>
      </c>
      <c r="N15" s="160" t="str">
        <f>IFERROR(_xll.qlRateHelperQuoteName(M15,Trigger),"--")</f>
        <v>USD3x9F_Quote</v>
      </c>
      <c r="O15" s="110">
        <f>IFERROR(_xll.qlRateHelperQuoteValue($M15,Trigger),"--")</f>
        <v>9.6600000000000002E-3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42528</v>
      </c>
      <c r="T15" s="111">
        <f>IFERROR(_xll.qlRateHelperPillarDate(M15,Trigger),"--")</f>
        <v>42711</v>
      </c>
      <c r="V15" s="4" t="str">
        <f t="shared" si="3"/>
        <v>FRA</v>
      </c>
      <c r="W15" s="4" t="str">
        <v>obj_00281</v>
      </c>
      <c r="X15" s="4" t="str">
        <f>IFERROR(_xll.qlRateHelperQuoteName(W15,Trigger),"")</f>
        <v>USD7x13F_Quote</v>
      </c>
      <c r="Y15" s="76">
        <f>IFERROR(_xll.qlRateHelperRate(W15,Trigger),"")</f>
        <v>1.042E-2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42650</v>
      </c>
      <c r="AB15" s="5">
        <f>IFERROR(_xll.qlRateHelperPillarDate(W15,Trigger),"")</f>
        <v>42832</v>
      </c>
      <c r="AC15" s="84">
        <v>0.98945195722047274</v>
      </c>
    </row>
    <row r="16" spans="1:32" ht="11.25" customHeight="1" x14ac:dyDescent="0.2">
      <c r="A16" s="64" t="s">
        <v>128</v>
      </c>
      <c r="B16" s="128">
        <v>2</v>
      </c>
      <c r="C16" s="68" t="str">
        <f t="shared" si="10"/>
        <v>x8F</v>
      </c>
      <c r="D16" s="137"/>
      <c r="E16" s="137"/>
      <c r="F16" s="137"/>
      <c r="G16" s="66" t="str">
        <f t="shared" si="11"/>
        <v>UsdLibor6M</v>
      </c>
      <c r="H16" s="131" t="str">
        <f t="shared" si="12"/>
        <v>USD2x8F_Quote</v>
      </c>
      <c r="I16" s="137"/>
      <c r="J16" s="70" t="str">
        <f>_xll.qlFraRateHelper(,H16,B16&amp;"M",G16,PillarDate,,Permanent,Trigger,ObjectOverwrite)</f>
        <v>obj_002f6#0044</v>
      </c>
      <c r="K16" s="53"/>
      <c r="L16" s="11" t="str">
        <f t="shared" si="8"/>
        <v>FRA</v>
      </c>
      <c r="M16" s="106" t="str">
        <f t="shared" si="9"/>
        <v>obj_002b6#0044</v>
      </c>
      <c r="N16" s="160" t="str">
        <f>IFERROR(_xll.qlRateHelperQuoteName(M16,Trigger),"--")</f>
        <v>USD4x10F_Quote</v>
      </c>
      <c r="O16" s="110">
        <f>IFERROR(_xll.qlRateHelperQuoteValue($M16,Trigger),"--")</f>
        <v>9.8699999999999986E-3</v>
      </c>
      <c r="P16" s="109" t="b">
        <v>1</v>
      </c>
      <c r="Q16" s="106">
        <v>20</v>
      </c>
      <c r="R16" s="106">
        <v>1</v>
      </c>
      <c r="S16" s="111">
        <f>IFERROR(_xll.qlRateHelperEarliestDate(M16,Trigger),"--")</f>
        <v>42558</v>
      </c>
      <c r="T16" s="111">
        <f>IFERROR(_xll.qlRateHelperPillarDate(M16,Trigger),"--")</f>
        <v>42744</v>
      </c>
      <c r="V16" s="4" t="str">
        <f t="shared" si="3"/>
        <v>FRA</v>
      </c>
      <c r="W16" s="4" t="str">
        <v>obj_00284</v>
      </c>
      <c r="X16" s="4" t="str">
        <f>IFERROR(_xll.qlRateHelperQuoteName(W16,Trigger),"")</f>
        <v>USD8x14F_Quote</v>
      </c>
      <c r="Y16" s="76">
        <f>IFERROR(_xll.qlRateHelperRate(W16,Trigger),"")</f>
        <v>1.0629999999999999E-2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42681</v>
      </c>
      <c r="AB16" s="5">
        <f>IFERROR(_xll.qlRateHelperPillarDate(W16,Trigger),"")</f>
        <v>42863</v>
      </c>
      <c r="AC16" s="84">
        <v>0.98857011347269674</v>
      </c>
    </row>
    <row r="17" spans="1:29" ht="11.25" customHeight="1" x14ac:dyDescent="0.2">
      <c r="A17" s="64" t="s">
        <v>128</v>
      </c>
      <c r="B17" s="128">
        <v>3</v>
      </c>
      <c r="C17" s="68" t="str">
        <f t="shared" si="10"/>
        <v>x9F</v>
      </c>
      <c r="D17" s="137"/>
      <c r="E17" s="137"/>
      <c r="F17" s="137"/>
      <c r="G17" s="66" t="str">
        <f t="shared" si="11"/>
        <v>UsdLibor6M</v>
      </c>
      <c r="H17" s="131" t="str">
        <f t="shared" si="12"/>
        <v>USD3x9F_Quote</v>
      </c>
      <c r="I17" s="137"/>
      <c r="J17" s="70" t="str">
        <f>_xll.qlFraRateHelper(,H17,B17&amp;"M",G17,PillarDate,,Permanent,Trigger,ObjectOverwrite)</f>
        <v>obj_002c2#0044</v>
      </c>
      <c r="K17" s="53"/>
      <c r="L17" s="11" t="str">
        <f t="shared" si="8"/>
        <v>FRA</v>
      </c>
      <c r="M17" s="106" t="str">
        <f t="shared" si="9"/>
        <v>obj_0028e#0044</v>
      </c>
      <c r="N17" s="160" t="str">
        <f>IFERROR(_xll.qlRateHelperQuoteName(M17,Trigger),"--")</f>
        <v>USD5x11F_Quote</v>
      </c>
      <c r="O17" s="110">
        <f>IFERROR(_xll.qlRateHelperQuoteValue($M17,Trigger),"--")</f>
        <v>1.0059999999999999E-2</v>
      </c>
      <c r="P17" s="109" t="b">
        <v>1</v>
      </c>
      <c r="Q17" s="106">
        <v>20</v>
      </c>
      <c r="R17" s="106">
        <v>1</v>
      </c>
      <c r="S17" s="111">
        <f>IFERROR(_xll.qlRateHelperEarliestDate(M17,Trigger),"--")</f>
        <v>42590</v>
      </c>
      <c r="T17" s="111">
        <f>IFERROR(_xll.qlRateHelperPillarDate(M17,Trigger),"--")</f>
        <v>42773</v>
      </c>
      <c r="V17" s="4" t="str">
        <f t="shared" si="3"/>
        <v>FRA</v>
      </c>
      <c r="W17" s="4" t="str">
        <v>obj_002ec</v>
      </c>
      <c r="X17" s="4" t="str">
        <f>IFERROR(_xll.qlRateHelperQuoteName(W17,Trigger),"")</f>
        <v>USD9x15F_Quote</v>
      </c>
      <c r="Y17" s="76">
        <f>IFERROR(_xll.qlRateHelperRate(W17,Trigger),"")</f>
        <v>1.0829999999999999E-2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42711</v>
      </c>
      <c r="AB17" s="5">
        <f>IFERROR(_xll.qlRateHelperPillarDate(W17,Trigger),"")</f>
        <v>42893</v>
      </c>
      <c r="AC17" s="84">
        <v>0.98763369163853842</v>
      </c>
    </row>
    <row r="18" spans="1:29" ht="11.25" customHeight="1" x14ac:dyDescent="0.2">
      <c r="A18" s="64" t="s">
        <v>128</v>
      </c>
      <c r="B18" s="128">
        <v>4</v>
      </c>
      <c r="C18" s="68" t="str">
        <f t="shared" si="10"/>
        <v>x10F</v>
      </c>
      <c r="D18" s="137"/>
      <c r="E18" s="137"/>
      <c r="F18" s="137"/>
      <c r="G18" s="66" t="str">
        <f t="shared" si="11"/>
        <v>UsdLibor6M</v>
      </c>
      <c r="H18" s="131" t="str">
        <f t="shared" si="12"/>
        <v>USD4x10F_Quote</v>
      </c>
      <c r="I18" s="137"/>
      <c r="J18" s="70" t="str">
        <f>_xll.qlFraRateHelper(,H18,B18&amp;"M",G18,PillarDate,,Permanent,Trigger,ObjectOverwrite)</f>
        <v>obj_002b6#0044</v>
      </c>
      <c r="K18" s="53"/>
      <c r="L18" s="11" t="str">
        <f t="shared" si="8"/>
        <v>FRA</v>
      </c>
      <c r="M18" s="106" t="str">
        <f t="shared" si="9"/>
        <v>obj_002a2#0044</v>
      </c>
      <c r="N18" s="160" t="str">
        <f>IFERROR(_xll.qlRateHelperQuoteName(M18,Trigger),"--")</f>
        <v>USD6x12F_Quote</v>
      </c>
      <c r="O18" s="110">
        <f>IFERROR(_xll.qlRateHelperQuoteValue($M18,Trigger),"--")</f>
        <v>1.022E-2</v>
      </c>
      <c r="P18" s="109" t="b">
        <v>1</v>
      </c>
      <c r="Q18" s="106">
        <v>20</v>
      </c>
      <c r="R18" s="106">
        <v>1</v>
      </c>
      <c r="S18" s="111">
        <f>IFERROR(_xll.qlRateHelperEarliestDate(M18,Trigger),"--")</f>
        <v>42620</v>
      </c>
      <c r="T18" s="111">
        <f>IFERROR(_xll.qlRateHelperPillarDate(M18,Trigger),"--")</f>
        <v>42801</v>
      </c>
      <c r="V18" s="4" t="str">
        <f t="shared" si="3"/>
        <v>FRA</v>
      </c>
      <c r="W18" s="4" t="str">
        <v>obj_002d9</v>
      </c>
      <c r="X18" s="4" t="str">
        <f>IFERROR(_xll.qlRateHelperQuoteName(W18,Trigger),"")</f>
        <v>USD10x16F_Quote</v>
      </c>
      <c r="Y18" s="76">
        <f>IFERROR(_xll.qlRateHelperRate(W18,Trigger),"")</f>
        <v>1.1019999999999999E-2</v>
      </c>
      <c r="Z18" s="116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42744</v>
      </c>
      <c r="AB18" s="5">
        <f>IFERROR(_xll.qlRateHelperPillarDate(W18,Trigger),"")</f>
        <v>42923</v>
      </c>
      <c r="AC18" s="84">
        <v>0.98666761284166804</v>
      </c>
    </row>
    <row r="19" spans="1:29" ht="11.25" customHeight="1" x14ac:dyDescent="0.2">
      <c r="A19" s="64" t="s">
        <v>128</v>
      </c>
      <c r="B19" s="128">
        <v>5</v>
      </c>
      <c r="C19" s="68" t="str">
        <f t="shared" si="10"/>
        <v>x11F</v>
      </c>
      <c r="D19" s="137"/>
      <c r="E19" s="137"/>
      <c r="F19" s="137"/>
      <c r="G19" s="66" t="str">
        <f t="shared" si="11"/>
        <v>UsdLibor6M</v>
      </c>
      <c r="H19" s="131" t="str">
        <f t="shared" si="12"/>
        <v>USD5x11F_Quote</v>
      </c>
      <c r="I19" s="137"/>
      <c r="J19" s="70" t="str">
        <f>_xll.qlFraRateHelper(,H19,B19&amp;"M",G19,PillarDate,,Permanent,Trigger,ObjectOverwrite)</f>
        <v>obj_0028e#0044</v>
      </c>
      <c r="K19" s="53"/>
      <c r="L19" s="11" t="str">
        <f t="shared" si="8"/>
        <v>FRA</v>
      </c>
      <c r="M19" s="106" t="str">
        <f t="shared" si="9"/>
        <v>obj_00281#0044</v>
      </c>
      <c r="N19" s="160" t="str">
        <f>IFERROR(_xll.qlRateHelperQuoteName(M19,Trigger),"--")</f>
        <v>USD7x13F_Quote</v>
      </c>
      <c r="O19" s="110">
        <f>IFERROR(_xll.qlRateHelperQuoteValue($M19,Trigger),"--")</f>
        <v>1.042E-2</v>
      </c>
      <c r="P19" s="175" t="b">
        <f>NOT(ISERROR(_xll.qlQuoteValue(N19)))</f>
        <v>1</v>
      </c>
      <c r="Q19" s="106">
        <v>20</v>
      </c>
      <c r="R19" s="106">
        <v>1</v>
      </c>
      <c r="S19" s="111">
        <f>IFERROR(_xll.qlRateHelperEarliestDate(M19,Trigger),"--")</f>
        <v>42650</v>
      </c>
      <c r="T19" s="111">
        <f>IFERROR(_xll.qlRateHelperPillarDate(M19,Trigger),"--")</f>
        <v>42832</v>
      </c>
      <c r="V19" s="4" t="str">
        <f t="shared" si="3"/>
        <v>FRA</v>
      </c>
      <c r="W19" s="4" t="str">
        <v>obj_00280</v>
      </c>
      <c r="X19" s="4" t="str">
        <f>IFERROR(_xll.qlRateHelperQuoteName(W19,Trigger),"")</f>
        <v>USD12x18F_Quote</v>
      </c>
      <c r="Y19" s="76">
        <f>IFERROR(_xll.qlRateHelperRate(W19,Trigger),"")</f>
        <v>1.1350000000000001E-2</v>
      </c>
      <c r="Z19" s="116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42801</v>
      </c>
      <c r="AB19" s="5">
        <f>IFERROR(_xll.qlRateHelperPillarDate(W19,Trigger),"")</f>
        <v>42985</v>
      </c>
      <c r="AC19" s="84">
        <v>0.98464600660133961</v>
      </c>
    </row>
    <row r="20" spans="1:29" ht="11.25" customHeight="1" x14ac:dyDescent="0.2">
      <c r="A20" s="64" t="s">
        <v>128</v>
      </c>
      <c r="B20" s="128">
        <v>6</v>
      </c>
      <c r="C20" s="68" t="str">
        <f t="shared" si="10"/>
        <v>x12F</v>
      </c>
      <c r="D20" s="137"/>
      <c r="E20" s="137"/>
      <c r="F20" s="137"/>
      <c r="G20" s="66" t="str">
        <f t="shared" si="11"/>
        <v>UsdLibor6M</v>
      </c>
      <c r="H20" s="131" t="str">
        <f t="shared" si="12"/>
        <v>USD6x12F_Quote</v>
      </c>
      <c r="I20" s="137"/>
      <c r="J20" s="70" t="str">
        <f>_xll.qlFraRateHelper(,H20,B20&amp;"M",G20,PillarDate,,Permanent,Trigger,ObjectOverwrite)</f>
        <v>obj_002a2#0044</v>
      </c>
      <c r="K20" s="53"/>
      <c r="L20" s="11" t="str">
        <f t="shared" si="8"/>
        <v>FRA</v>
      </c>
      <c r="M20" s="106" t="str">
        <f t="shared" si="9"/>
        <v>obj_00284#0044</v>
      </c>
      <c r="N20" s="160" t="str">
        <f>IFERROR(_xll.qlRateHelperQuoteName(M20,Trigger),"--")</f>
        <v>USD8x14F_Quote</v>
      </c>
      <c r="O20" s="110">
        <f>IFERROR(_xll.qlRateHelperQuoteValue($M20,Trigger),"--")</f>
        <v>1.0629999999999999E-2</v>
      </c>
      <c r="P20" s="175" t="b">
        <f>NOT(ISERROR(_xll.qlQuoteValue(N20)))</f>
        <v>1</v>
      </c>
      <c r="Q20" s="106">
        <v>20</v>
      </c>
      <c r="R20" s="106">
        <v>1</v>
      </c>
      <c r="S20" s="111">
        <f>IFERROR(_xll.qlRateHelperEarliestDate(M20,Trigger),"--")</f>
        <v>42681</v>
      </c>
      <c r="T20" s="111">
        <f>IFERROR(_xll.qlRateHelperPillarDate(M20,Trigger),"--")</f>
        <v>42863</v>
      </c>
      <c r="V20" s="4" t="str">
        <f t="shared" si="3"/>
        <v>FRA</v>
      </c>
      <c r="W20" s="4" t="str">
        <v>obj_002a9</v>
      </c>
      <c r="X20" s="4" t="str">
        <f>IFERROR(_xll.qlRateHelperQuoteName(W20,Trigger),"")</f>
        <v>USD13x19F_Quote</v>
      </c>
      <c r="Y20" s="76">
        <f>IFERROR(_xll.qlRateHelperRate(W20,Trigger),"")</f>
        <v>1.1509999999999999E-2</v>
      </c>
      <c r="Z20" s="116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42832</v>
      </c>
      <c r="AB20" s="5">
        <f>IFERROR(_xll.qlRateHelperPillarDate(W20,Trigger),"")</f>
        <v>43017</v>
      </c>
      <c r="AC20" s="84">
        <v>0.9836346496410997</v>
      </c>
    </row>
    <row r="21" spans="1:29" ht="11.25" customHeight="1" x14ac:dyDescent="0.2">
      <c r="A21" s="64" t="s">
        <v>128</v>
      </c>
      <c r="B21" s="128">
        <v>7</v>
      </c>
      <c r="C21" s="68" t="str">
        <f t="shared" si="10"/>
        <v>x13F</v>
      </c>
      <c r="D21" s="137"/>
      <c r="E21" s="137"/>
      <c r="F21" s="137"/>
      <c r="G21" s="66" t="str">
        <f t="shared" si="11"/>
        <v>UsdLibor6M</v>
      </c>
      <c r="H21" s="131" t="str">
        <f t="shared" si="12"/>
        <v>USD7x13F_Quote</v>
      </c>
      <c r="I21" s="137"/>
      <c r="J21" s="70" t="str">
        <f>_xll.qlFraRateHelper(,H21,B21&amp;"M",G21,PillarDate,,Permanent,Trigger,ObjectOverwrite)</f>
        <v>obj_00281#0044</v>
      </c>
      <c r="K21" s="53"/>
      <c r="L21" s="11" t="str">
        <f t="shared" si="8"/>
        <v>FRA</v>
      </c>
      <c r="M21" s="106" t="str">
        <f t="shared" si="9"/>
        <v>obj_002ec#0044</v>
      </c>
      <c r="N21" s="160" t="str">
        <f>IFERROR(_xll.qlRateHelperQuoteName(M21,Trigger),"--")</f>
        <v>USD9x15F_Quote</v>
      </c>
      <c r="O21" s="110">
        <f>IFERROR(_xll.qlRateHelperQuoteValue($M21,Trigger),"--")</f>
        <v>1.0829999999999999E-2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42711</v>
      </c>
      <c r="T21" s="111">
        <f>IFERROR(_xll.qlRateHelperPillarDate(M21,Trigger),"--")</f>
        <v>42893</v>
      </c>
      <c r="V21" s="4" t="str">
        <f t="shared" si="3"/>
        <v>BasSw</v>
      </c>
      <c r="W21" s="4" t="str">
        <v>obj_002ee</v>
      </c>
      <c r="X21" s="4" t="str">
        <f>IFERROR(_xll.qlRateHelperQuoteName(W21,Trigger),"")</f>
        <v>USDAM3L2Y_S6L3L_Quote</v>
      </c>
      <c r="Y21" s="76">
        <f>IFERROR(_xll.qlRateHelperRate(W21,Trigger),"")</f>
        <v>1.0799701362558176E-2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42436</v>
      </c>
      <c r="AB21" s="5">
        <f>IFERROR(_xll.qlRateHelperPillarDate(W21,Trigger),"")</f>
        <v>43166</v>
      </c>
      <c r="AC21" s="84">
        <v>0.97842447410934585</v>
      </c>
    </row>
    <row r="22" spans="1:29" ht="11.25" customHeight="1" x14ac:dyDescent="0.2">
      <c r="A22" s="64" t="s">
        <v>128</v>
      </c>
      <c r="B22" s="128">
        <v>8</v>
      </c>
      <c r="C22" s="68" t="str">
        <f t="shared" si="10"/>
        <v>x14F</v>
      </c>
      <c r="D22" s="137"/>
      <c r="E22" s="137"/>
      <c r="F22" s="137"/>
      <c r="G22" s="66" t="str">
        <f t="shared" si="11"/>
        <v>UsdLibor6M</v>
      </c>
      <c r="H22" s="131" t="str">
        <f t="shared" si="12"/>
        <v>USD8x14F_Quote</v>
      </c>
      <c r="I22" s="137"/>
      <c r="J22" s="70" t="str">
        <f>_xll.qlFraRateHelper(,H22,B22&amp;"M",G22,PillarDate,,Permanent,Trigger,ObjectOverwrite)</f>
        <v>obj_00284#0044</v>
      </c>
      <c r="K22" s="53"/>
      <c r="L22" s="11" t="str">
        <f t="shared" si="8"/>
        <v>FRA</v>
      </c>
      <c r="M22" s="106" t="str">
        <f t="shared" si="9"/>
        <v>obj_002d9#0044</v>
      </c>
      <c r="N22" s="160" t="str">
        <f>IFERROR(_xll.qlRateHelperQuoteName(M22,Trigger),"--")</f>
        <v>USD10x16F_Quote</v>
      </c>
      <c r="O22" s="110">
        <f>IFERROR(_xll.qlRateHelperQuoteValue($M22,Trigger),"--")</f>
        <v>1.1019999999999999E-2</v>
      </c>
      <c r="P22" s="175" t="b">
        <f>NOT(ISERROR(_xll.qlQuoteValue(N22)))</f>
        <v>1</v>
      </c>
      <c r="Q22" s="106">
        <v>20</v>
      </c>
      <c r="R22" s="106">
        <v>1</v>
      </c>
      <c r="S22" s="111">
        <f>IFERROR(_xll.qlRateHelperEarliestDate(M22,Trigger),"--")</f>
        <v>42744</v>
      </c>
      <c r="T22" s="111">
        <f>IFERROR(_xll.qlRateHelperPillarDate(M22,Trigger),"--")</f>
        <v>42923</v>
      </c>
      <c r="V22" s="4" t="str">
        <f t="shared" si="3"/>
        <v>BasSw</v>
      </c>
      <c r="W22" s="4" t="str">
        <v>obj_002d5</v>
      </c>
      <c r="X22" s="4" t="str">
        <f>IFERROR(_xll.qlRateHelperQuoteName(W22,Trigger),"")</f>
        <v>USDAM3L3Y_S6L3L_Quote</v>
      </c>
      <c r="Y22" s="76">
        <f>IFERROR(_xll.qlRateHelperRate(W22,Trigger),"")</f>
        <v>1.1844686736453771E-2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42436</v>
      </c>
      <c r="AB22" s="5">
        <f>IFERROR(_xll.qlRateHelperPillarDate(W22,Trigger),"")</f>
        <v>43531</v>
      </c>
      <c r="AC22" s="84">
        <v>0.96475286852522124</v>
      </c>
    </row>
    <row r="23" spans="1:29" ht="11.25" customHeight="1" x14ac:dyDescent="0.2">
      <c r="A23" s="64" t="s">
        <v>128</v>
      </c>
      <c r="B23" s="128">
        <v>9</v>
      </c>
      <c r="C23" s="68" t="str">
        <f t="shared" si="10"/>
        <v>x15F</v>
      </c>
      <c r="D23" s="137"/>
      <c r="E23" s="137"/>
      <c r="F23" s="137"/>
      <c r="G23" s="66" t="str">
        <f t="shared" si="11"/>
        <v>UsdLibor6M</v>
      </c>
      <c r="H23" s="131" t="str">
        <f t="shared" si="12"/>
        <v>USD9x15F_Quote</v>
      </c>
      <c r="I23" s="137"/>
      <c r="J23" s="70" t="str">
        <f>_xll.qlFraRateHelper(,H23,B23&amp;"M",G23,PillarDate,,Permanent,Trigger,ObjectOverwrite)</f>
        <v>obj_002ec#0044</v>
      </c>
      <c r="K23" s="53"/>
      <c r="L23" s="11" t="str">
        <f t="shared" si="8"/>
        <v>FRA</v>
      </c>
      <c r="M23" s="106" t="str">
        <f t="shared" si="9"/>
        <v>--</v>
      </c>
      <c r="N23" s="160" t="str">
        <f>IFERROR(_xll.qlRateHelperQuoteName(M23,Trigger),"--")</f>
        <v>--</v>
      </c>
      <c r="O23" s="110" t="str">
        <f>IFERROR(_xll.qlRateHelperQuoteValue($M23,Trigger),"--")</f>
        <v>--</v>
      </c>
      <c r="P23" s="109" t="b">
        <v>0</v>
      </c>
      <c r="Q23" s="106">
        <v>20</v>
      </c>
      <c r="R23" s="106">
        <v>1</v>
      </c>
      <c r="S23" s="111" t="str">
        <f>IFERROR(_xll.qlRateHelperEarliestDate(M23,Trigger),"--")</f>
        <v>--</v>
      </c>
      <c r="T23" s="111" t="str">
        <f>IFERROR(_xll.qlRateHelperPillarDate(M23,Trigger),"--")</f>
        <v>--</v>
      </c>
      <c r="V23" s="4" t="str">
        <f t="shared" si="3"/>
        <v>BasSw</v>
      </c>
      <c r="W23" s="4" t="str">
        <v>obj_0029f</v>
      </c>
      <c r="X23" s="4" t="str">
        <f>IFERROR(_xll.qlRateHelperQuoteName(W23,Trigger),"")</f>
        <v>USDAM3L4Y_S6L3L_Quote</v>
      </c>
      <c r="Y23" s="76">
        <f>IFERROR(_xll.qlRateHelperRate(W23,Trigger),"")</f>
        <v>1.29950450127521E-2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42436</v>
      </c>
      <c r="AB23" s="5">
        <f>IFERROR(_xll.qlRateHelperPillarDate(W23,Trigger),"")</f>
        <v>43899</v>
      </c>
      <c r="AC23" s="84">
        <v>0.94874081909569252</v>
      </c>
    </row>
    <row r="24" spans="1:29" ht="11.25" customHeight="1" x14ac:dyDescent="0.2">
      <c r="A24" s="64" t="s">
        <v>128</v>
      </c>
      <c r="B24" s="128">
        <v>10</v>
      </c>
      <c r="C24" s="68" t="str">
        <f t="shared" si="10"/>
        <v>x16F</v>
      </c>
      <c r="D24" s="137"/>
      <c r="E24" s="137"/>
      <c r="F24" s="137"/>
      <c r="G24" s="66" t="str">
        <f t="shared" si="11"/>
        <v>UsdLibor6M</v>
      </c>
      <c r="H24" s="131" t="str">
        <f t="shared" si="12"/>
        <v>USD10x16F_Quote</v>
      </c>
      <c r="I24" s="137"/>
      <c r="J24" s="70" t="str">
        <f>_xll.qlFraRateHelper(,H24,B24&amp;"M",G24,PillarDate,,Permanent,Trigger,ObjectOverwrite)</f>
        <v>obj_002d9#0044</v>
      </c>
      <c r="K24" s="53"/>
      <c r="L24" s="11" t="str">
        <f t="shared" si="8"/>
        <v>FRA</v>
      </c>
      <c r="M24" s="106" t="str">
        <f t="shared" si="9"/>
        <v>obj_00280#0044</v>
      </c>
      <c r="N24" s="160" t="str">
        <f>IFERROR(_xll.qlRateHelperQuoteName(M24,Trigger),"--")</f>
        <v>USD12x18F_Quote</v>
      </c>
      <c r="O24" s="110">
        <f>IFERROR(_xll.qlRateHelperQuoteValue($M24,Trigger),"--")</f>
        <v>1.1350000000000001E-2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42801</v>
      </c>
      <c r="T24" s="111">
        <f>IFERROR(_xll.qlRateHelperPillarDate(M24,Trigger),"--")</f>
        <v>42985</v>
      </c>
      <c r="V24" s="4" t="str">
        <f t="shared" si="3"/>
        <v>BasSw</v>
      </c>
      <c r="W24" s="4" t="str">
        <v>obj_0029e</v>
      </c>
      <c r="X24" s="4" t="str">
        <f>IFERROR(_xll.qlRateHelperQuoteName(W24,Trigger),"")</f>
        <v>USDAM3L5Y_S6L3L_Quote</v>
      </c>
      <c r="Y24" s="76">
        <f>IFERROR(_xll.qlRateHelperRate(W24,Trigger),"")</f>
        <v>1.4075386651976326E-2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42436</v>
      </c>
      <c r="AB24" s="5">
        <f>IFERROR(_xll.qlRateHelperPillarDate(W24,Trigger),"")</f>
        <v>44263</v>
      </c>
      <c r="AC24" s="84">
        <v>0.93125455233075549</v>
      </c>
    </row>
    <row r="25" spans="1:29" ht="11.25" customHeight="1" x14ac:dyDescent="0.2">
      <c r="A25" s="64" t="s">
        <v>128</v>
      </c>
      <c r="B25" s="128">
        <v>11</v>
      </c>
      <c r="C25" s="68" t="str">
        <f t="shared" si="10"/>
        <v>x17F</v>
      </c>
      <c r="D25" s="137"/>
      <c r="E25" s="137"/>
      <c r="F25" s="137"/>
      <c r="G25" s="66" t="str">
        <f t="shared" si="11"/>
        <v>UsdLibor6M</v>
      </c>
      <c r="H25" s="131" t="str">
        <f t="shared" ref="H25:H32" si="13">Currency&amp;B25&amp;C25&amp;QuoteSuffix</f>
        <v>USD11x17F_Quote</v>
      </c>
      <c r="I25" s="137"/>
      <c r="J25" s="70"/>
      <c r="K25" s="53"/>
      <c r="L25" s="11" t="str">
        <f t="shared" si="8"/>
        <v>FRA</v>
      </c>
      <c r="M25" s="106" t="str">
        <f t="shared" si="9"/>
        <v>obj_002a9#0044</v>
      </c>
      <c r="N25" s="160" t="str">
        <f>IFERROR(_xll.qlRateHelperQuoteName(M25,Trigger),"--")</f>
        <v>USD13x19F_Quote</v>
      </c>
      <c r="O25" s="110">
        <f>IFERROR(_xll.qlRateHelperQuoteValue($M25,Trigger),"--")</f>
        <v>1.1509999999999999E-2</v>
      </c>
      <c r="P25" s="175" t="b">
        <f>NOT(ISERROR(_xll.qlQuoteValue(N25)))</f>
        <v>1</v>
      </c>
      <c r="Q25" s="106">
        <v>20</v>
      </c>
      <c r="R25" s="106">
        <v>1</v>
      </c>
      <c r="S25" s="111">
        <f>IFERROR(_xll.qlRateHelperEarliestDate(M25,Trigger),"--")</f>
        <v>42832</v>
      </c>
      <c r="T25" s="111">
        <f>IFERROR(_xll.qlRateHelperPillarDate(M25,Trigger),"--")</f>
        <v>43017</v>
      </c>
      <c r="V25" s="4" t="str">
        <f t="shared" si="3"/>
        <v>BasSw</v>
      </c>
      <c r="W25" s="4" t="str">
        <v>obj_002af</v>
      </c>
      <c r="X25" s="4" t="str">
        <f>IFERROR(_xll.qlRateHelperQuoteName(W25,Trigger),"")</f>
        <v>USDAM3L6Y_S6L3L_Quote</v>
      </c>
      <c r="Y25" s="76">
        <f>IFERROR(_xll.qlRateHelperRate(W25,Trigger),"")</f>
        <v>1.5105765519040288E-2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42436</v>
      </c>
      <c r="AB25" s="5">
        <f>IFERROR(_xll.qlRateHelperPillarDate(W25,Trigger),"")</f>
        <v>44627</v>
      </c>
      <c r="AC25" s="84">
        <v>0.91233222031846328</v>
      </c>
    </row>
    <row r="26" spans="1:29" ht="11.25" customHeight="1" x14ac:dyDescent="0.2">
      <c r="A26" s="64" t="s">
        <v>128</v>
      </c>
      <c r="B26" s="128">
        <v>12</v>
      </c>
      <c r="C26" s="68" t="str">
        <f t="shared" si="10"/>
        <v>x18F</v>
      </c>
      <c r="D26" s="137"/>
      <c r="E26" s="137"/>
      <c r="F26" s="137"/>
      <c r="G26" s="66" t="str">
        <f t="shared" si="11"/>
        <v>UsdLibor6M</v>
      </c>
      <c r="H26" s="131" t="str">
        <f t="shared" si="13"/>
        <v>USD12x18F_Quote</v>
      </c>
      <c r="I26" s="137"/>
      <c r="J26" s="70" t="str">
        <f>_xll.qlFraRateHelper(,H26,B26&amp;"M",G26,PillarDate,,Permanent,Trigger,ObjectOverwrite)</f>
        <v>obj_00280#0044</v>
      </c>
      <c r="K26" s="53"/>
      <c r="L26" s="11" t="str">
        <f t="shared" si="8"/>
        <v>FRA</v>
      </c>
      <c r="M26" s="106" t="str">
        <f t="shared" si="9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obj_002e7</v>
      </c>
      <c r="X26" s="4" t="str">
        <f>IFERROR(_xll.qlRateHelperQuoteName(W26,Trigger),"")</f>
        <v>USDAM3L7Y_S6L3L_Quote</v>
      </c>
      <c r="Y26" s="76">
        <f>IFERROR(_xll.qlRateHelperRate(W26,Trigger),"")</f>
        <v>1.6026165949147211E-2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42436</v>
      </c>
      <c r="AB26" s="5">
        <f>IFERROR(_xll.qlRateHelperPillarDate(W26,Trigger),"")</f>
        <v>44992</v>
      </c>
      <c r="AC26" s="84">
        <v>0.89254639478240438</v>
      </c>
    </row>
    <row r="27" spans="1:29" ht="11.25" customHeight="1" x14ac:dyDescent="0.2">
      <c r="A27" s="64" t="s">
        <v>128</v>
      </c>
      <c r="B27" s="128">
        <v>13</v>
      </c>
      <c r="C27" s="68" t="str">
        <f t="shared" si="10"/>
        <v>x19F</v>
      </c>
      <c r="D27" s="137"/>
      <c r="E27" s="137"/>
      <c r="F27" s="137"/>
      <c r="G27" s="66" t="str">
        <f t="shared" si="11"/>
        <v>UsdLibor6M</v>
      </c>
      <c r="H27" s="131" t="str">
        <f t="shared" si="13"/>
        <v>USD13x19F_Quote</v>
      </c>
      <c r="I27" s="137"/>
      <c r="J27" s="70" t="str">
        <f>_xll.qlFraRateHelper(,H27,B27&amp;"M",G27,PillarDate,,Permanent,Trigger,ObjectOverwrite)</f>
        <v>obj_002a9#0044</v>
      </c>
      <c r="K27" s="53"/>
      <c r="L27" s="11" t="str">
        <f>A29</f>
        <v>FRA</v>
      </c>
      <c r="M27" s="106" t="str">
        <f>IF(ISBLANK(J29),"--",J29)</f>
        <v>--</v>
      </c>
      <c r="N27" s="160" t="str">
        <f>IFERROR(_xll.qlRateHelperQuoteName(M27,Trigger),"--")</f>
        <v>--</v>
      </c>
      <c r="O27" s="110" t="str">
        <f>IFERROR(_xll.qlRateHelperQuoteValue($M27,Trigger),"--")</f>
        <v>--</v>
      </c>
      <c r="P27" s="109" t="b">
        <v>0</v>
      </c>
      <c r="Q27" s="106">
        <v>20</v>
      </c>
      <c r="R27" s="106">
        <v>1</v>
      </c>
      <c r="S27" s="111" t="str">
        <f>IFERROR(_xll.qlRateHelperEarliestDate(M27,Trigger),"--")</f>
        <v>--</v>
      </c>
      <c r="T27" s="111" t="str">
        <f>IFERROR(_xll.qlRateHelperPillarDate(M27,Trigger),"--")</f>
        <v>--</v>
      </c>
      <c r="V27" s="4" t="str">
        <f t="shared" si="3"/>
        <v>BasSw</v>
      </c>
      <c r="W27" s="4" t="str">
        <v>obj_002b0</v>
      </c>
      <c r="X27" s="4" t="str">
        <f>IFERROR(_xll.qlRateHelperQuoteName(W27,Trigger),"")</f>
        <v>USDAM3L8Y_S6L3L_Quote</v>
      </c>
      <c r="Y27" s="76">
        <f>IFERROR(_xll.qlRateHelperRate(W27,Trigger),"")</f>
        <v>1.6846608656564819E-2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42436</v>
      </c>
      <c r="AB27" s="5">
        <f>IFERROR(_xll.qlRateHelperPillarDate(W27,Trigger),"")</f>
        <v>45358</v>
      </c>
      <c r="AC27" s="84">
        <v>0.87217850983570888</v>
      </c>
    </row>
    <row r="28" spans="1:29" ht="11.25" customHeight="1" x14ac:dyDescent="0.2">
      <c r="A28" s="64" t="s">
        <v>128</v>
      </c>
      <c r="B28" s="128">
        <v>14</v>
      </c>
      <c r="C28" s="68" t="str">
        <f t="shared" si="10"/>
        <v>x20F</v>
      </c>
      <c r="D28" s="137"/>
      <c r="E28" s="137"/>
      <c r="F28" s="137"/>
      <c r="G28" s="66" t="str">
        <f t="shared" si="11"/>
        <v>UsdLibor6M</v>
      </c>
      <c r="H28" s="131" t="str">
        <f t="shared" si="13"/>
        <v>USD14x20F_Quote</v>
      </c>
      <c r="I28" s="137"/>
      <c r="J28" s="70"/>
      <c r="K28" s="53"/>
      <c r="L28" s="11" t="str">
        <f t="shared" ref="L28:L29" si="14">A30</f>
        <v>FRA</v>
      </c>
      <c r="M28" s="106" t="str">
        <f t="shared" ref="M28:M29" si="15">IF(ISBLANK(J30),"--",J30)</f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obj_00287</v>
      </c>
      <c r="X28" s="4" t="str">
        <f>IFERROR(_xll.qlRateHelperQuoteName(W28,Trigger),"")</f>
        <v>USDAM3L9Y_S6L3L_Quote</v>
      </c>
      <c r="Y28" s="76">
        <f>IFERROR(_xll.qlRateHelperRate(W28,Trigger),"")</f>
        <v>1.7597065348682148E-2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42436</v>
      </c>
      <c r="AB28" s="5">
        <f>IFERROR(_xll.qlRateHelperPillarDate(W28,Trigger),"")</f>
        <v>45723</v>
      </c>
      <c r="AC28" s="84">
        <v>0.85138073932020442</v>
      </c>
    </row>
    <row r="29" spans="1:29" ht="11.25" customHeight="1" x14ac:dyDescent="0.2">
      <c r="A29" s="64" t="s">
        <v>128</v>
      </c>
      <c r="B29" s="128">
        <v>15</v>
      </c>
      <c r="C29" s="68" t="str">
        <f t="shared" si="10"/>
        <v>x21F</v>
      </c>
      <c r="D29" s="137"/>
      <c r="E29" s="137"/>
      <c r="F29" s="137"/>
      <c r="G29" s="66" t="str">
        <f t="shared" si="11"/>
        <v>UsdLibor6M</v>
      </c>
      <c r="H29" s="131" t="str">
        <f t="shared" si="13"/>
        <v>USD15x21F_Quote</v>
      </c>
      <c r="I29" s="137"/>
      <c r="J29" s="70"/>
      <c r="K29" s="53"/>
      <c r="L29" s="11" t="str">
        <f t="shared" si="14"/>
        <v>FRA</v>
      </c>
      <c r="M29" s="106" t="str">
        <f t="shared" si="15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obj_002c9</v>
      </c>
      <c r="X29" s="4" t="str">
        <f>IFERROR(_xll.qlRateHelperQuoteName(W29,Trigger),"")</f>
        <v>USDAM3L10Y_S6L3L_Quote</v>
      </c>
      <c r="Y29" s="76">
        <f>IFERROR(_xll.qlRateHelperRate(W29,Trigger),"")</f>
        <v>1.8297458373600816E-2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42436</v>
      </c>
      <c r="AB29" s="5">
        <f>IFERROR(_xll.qlRateHelperPillarDate(W29,Trigger),"")</f>
        <v>46090</v>
      </c>
      <c r="AC29" s="84">
        <v>0.83008509078434378</v>
      </c>
    </row>
    <row r="30" spans="1:29" ht="11.25" customHeight="1" x14ac:dyDescent="0.2">
      <c r="A30" s="64" t="s">
        <v>128</v>
      </c>
      <c r="B30" s="128">
        <v>16</v>
      </c>
      <c r="C30" s="68" t="str">
        <f t="shared" si="10"/>
        <v>x22F</v>
      </c>
      <c r="D30" s="137"/>
      <c r="E30" s="137"/>
      <c r="F30" s="137"/>
      <c r="G30" s="66" t="str">
        <f t="shared" si="11"/>
        <v>UsdLibor6M</v>
      </c>
      <c r="H30" s="131" t="str">
        <f t="shared" si="13"/>
        <v>USD16x22F_Quote</v>
      </c>
      <c r="I30" s="137"/>
      <c r="J30" s="70"/>
      <c r="K30" s="53"/>
      <c r="L30" s="12" t="str">
        <f>A32</f>
        <v>FRA</v>
      </c>
      <c r="M30" s="107" t="str">
        <f>IF(ISBLANK(J32),"--",J32)</f>
        <v>--</v>
      </c>
      <c r="N30" s="161" t="str">
        <f>IFERROR(_xll.qlRateHelperQuoteName(M30,Trigger),"--")</f>
        <v>--</v>
      </c>
      <c r="O30" s="113" t="str">
        <f>IFERROR(_xll.qlRateHelperQuoteValue($M30,Trigger),"--")</f>
        <v>--</v>
      </c>
      <c r="P30" s="112" t="b">
        <v>0</v>
      </c>
      <c r="Q30" s="107">
        <v>20</v>
      </c>
      <c r="R30" s="107">
        <v>1</v>
      </c>
      <c r="S30" s="114" t="str">
        <f>IFERROR(_xll.qlRateHelperEarliestDate(M30,Trigger),"--")</f>
        <v>--</v>
      </c>
      <c r="T30" s="114" t="str">
        <f>IFERROR(_xll.qlRateHelperPillarDate(M30,Trigger),"--")</f>
        <v>--</v>
      </c>
      <c r="V30" s="4" t="str">
        <f t="shared" si="3"/>
        <v>BasSw</v>
      </c>
      <c r="W30" s="4" t="str">
        <v>obj_00298</v>
      </c>
      <c r="X30" s="4" t="str">
        <f>IFERROR(_xll.qlRateHelperQuoteName(W30,Trigger),"")</f>
        <v>USDAM3L12Y_S6L3L_Quote</v>
      </c>
      <c r="Y30" s="76">
        <f>IFERROR(_xll.qlRateHelperRate(W30,Trigger),"")</f>
        <v>1.9478195669771877E-2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42436</v>
      </c>
      <c r="AB30" s="5">
        <f>IFERROR(_xll.qlRateHelperPillarDate(W30,Trigger),"")</f>
        <v>46819</v>
      </c>
      <c r="AC30" s="84">
        <v>0.78787104343825853</v>
      </c>
    </row>
    <row r="31" spans="1:29" ht="11.25" customHeight="1" x14ac:dyDescent="0.2">
      <c r="A31" s="64" t="s">
        <v>128</v>
      </c>
      <c r="B31" s="128">
        <v>17</v>
      </c>
      <c r="C31" s="68" t="str">
        <f t="shared" si="10"/>
        <v>x23F</v>
      </c>
      <c r="D31" s="137"/>
      <c r="E31" s="137"/>
      <c r="F31" s="137"/>
      <c r="G31" s="66" t="str">
        <f t="shared" si="11"/>
        <v>UsdLibor6M</v>
      </c>
      <c r="H31" s="131" t="str">
        <f t="shared" si="13"/>
        <v>USD17x23F_Quote</v>
      </c>
      <c r="I31" s="137"/>
      <c r="J31" s="70"/>
      <c r="K31" s="53"/>
      <c r="L31" s="11" t="str">
        <f>A35</f>
        <v>BasSw</v>
      </c>
      <c r="M31" s="106" t="str">
        <f>IF(ISBLANK(J35),"--",J35)</f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obj_0029a</v>
      </c>
      <c r="X31" s="4" t="str">
        <f>IFERROR(_xll.qlRateHelperQuoteName(W31,Trigger),"")</f>
        <v>USDAM3L15Y_S6L3L_Quote</v>
      </c>
      <c r="Y31" s="76">
        <f>IFERROR(_xll.qlRateHelperRate(W31,Trigger),"")</f>
        <v>2.0718899797997743E-2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42436</v>
      </c>
      <c r="AB31" s="5">
        <f>IFERROR(_xll.qlRateHelperPillarDate(W31,Trigger),"")</f>
        <v>47914</v>
      </c>
      <c r="AC31" s="84">
        <v>0.72764098211634776</v>
      </c>
    </row>
    <row r="32" spans="1:29" ht="11.25" customHeight="1" x14ac:dyDescent="0.2">
      <c r="A32" s="1" t="s">
        <v>128</v>
      </c>
      <c r="B32" s="129">
        <v>18</v>
      </c>
      <c r="C32" s="10" t="str">
        <f t="shared" si="10"/>
        <v>x24F</v>
      </c>
      <c r="D32" s="138"/>
      <c r="E32" s="138"/>
      <c r="F32" s="138"/>
      <c r="G32" s="7" t="str">
        <f t="shared" si="11"/>
        <v>UsdLibor6M</v>
      </c>
      <c r="H32" s="132" t="str">
        <f t="shared" si="13"/>
        <v>USD18x24F_Quote</v>
      </c>
      <c r="I32" s="138"/>
      <c r="J32" s="3"/>
      <c r="K32" s="53"/>
      <c r="L32" s="11" t="str">
        <f t="shared" ref="L32:L66" si="16">A36</f>
        <v>BasSw</v>
      </c>
      <c r="M32" s="106" t="str">
        <f t="shared" ref="M32:M66" si="17">IF(ISBLANK(J36),"--",J36)</f>
        <v>obj_002ee#0044</v>
      </c>
      <c r="N32" s="160" t="str">
        <f>IFERROR(_xll.qlRateHelperQuoteName(M32,Trigger),"--")</f>
        <v>USDAM3L2Y_S6L3L_Quote</v>
      </c>
      <c r="O32" s="110">
        <f>IFERROR(_xll.qlRateHelperQuoteValue($M32,Trigger),"--")</f>
        <v>1.0799701362558176E-2</v>
      </c>
      <c r="P32" s="109" t="b">
        <v>1</v>
      </c>
      <c r="Q32" s="106">
        <v>40</v>
      </c>
      <c r="R32" s="106">
        <v>1</v>
      </c>
      <c r="S32" s="111">
        <f>IFERROR(_xll.qlRateHelperEarliestDate(M32,Trigger),"--")</f>
        <v>42436</v>
      </c>
      <c r="T32" s="111">
        <f>IFERROR(_xll.qlRateHelperPillarDate(M32,Trigger),"--")</f>
        <v>43166</v>
      </c>
      <c r="V32" s="4" t="str">
        <f t="shared" si="3"/>
        <v>BasSw</v>
      </c>
      <c r="W32" s="4" t="str">
        <v>obj_0027f</v>
      </c>
      <c r="X32" s="4" t="str">
        <f>IFERROR(_xll.qlRateHelperQuoteName(W32,Trigger),"")</f>
        <v>USDAM3L20Y_S6L3L_Quote</v>
      </c>
      <c r="Y32" s="76">
        <f>IFERROR(_xll.qlRateHelperRate(W32,Trigger),"")</f>
        <v>2.1999615035377638E-2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42436</v>
      </c>
      <c r="AB32" s="5">
        <f>IFERROR(_xll.qlRateHelperPillarDate(W32,Trigger),"")</f>
        <v>49741</v>
      </c>
      <c r="AC32" s="84">
        <v>0.63645632188351808</v>
      </c>
    </row>
    <row r="33" spans="1:29" ht="11.25" customHeight="1" x14ac:dyDescent="0.2">
      <c r="B33" s="51"/>
      <c r="C33" s="51"/>
      <c r="D33" s="51"/>
      <c r="E33" s="51"/>
      <c r="F33" s="51" t="s">
        <v>150</v>
      </c>
      <c r="G33" s="51" t="s">
        <v>149</v>
      </c>
      <c r="H33" s="51" t="s">
        <v>156</v>
      </c>
      <c r="K33" s="53"/>
      <c r="L33" s="11" t="str">
        <f t="shared" si="16"/>
        <v>BasSw</v>
      </c>
      <c r="M33" s="106" t="str">
        <f t="shared" si="17"/>
        <v>obj_002d5#0044</v>
      </c>
      <c r="N33" s="160" t="str">
        <f>IFERROR(_xll.qlRateHelperQuoteName(M33,Trigger),"--")</f>
        <v>USDAM3L3Y_S6L3L_Quote</v>
      </c>
      <c r="O33" s="110">
        <f>IFERROR(_xll.qlRateHelperQuoteValue($M33,Trigger),"--")</f>
        <v>1.1844686736453771E-2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42436</v>
      </c>
      <c r="T33" s="111">
        <f>IFERROR(_xll.qlRateHelperPillarDate(M33,Trigger),"--")</f>
        <v>43531</v>
      </c>
      <c r="V33" s="4" t="str">
        <f t="shared" si="3"/>
        <v>BasSw</v>
      </c>
      <c r="W33" s="4" t="str">
        <v>obj_002b1</v>
      </c>
      <c r="X33" s="4" t="str">
        <f>IFERROR(_xll.qlRateHelperQuoteName(W33,Trigger),"")</f>
        <v>USDAM3L25Y_S6L3L_Quote</v>
      </c>
      <c r="Y33" s="76">
        <f>IFERROR(_xll.qlRateHelperRate(W33,Trigger),"")</f>
        <v>2.2599874621432956E-2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42436</v>
      </c>
      <c r="AB33" s="5">
        <f>IFERROR(_xll.qlRateHelperPillarDate(W33,Trigger),"")</f>
        <v>51567</v>
      </c>
      <c r="AC33" s="84">
        <v>0.55947266695807907</v>
      </c>
    </row>
    <row r="34" spans="1:29" ht="11.25" customHeight="1" x14ac:dyDescent="0.2">
      <c r="A34" s="71" t="s">
        <v>9</v>
      </c>
      <c r="B34" s="71" t="s">
        <v>30</v>
      </c>
      <c r="C34" s="71" t="s">
        <v>151</v>
      </c>
      <c r="D34" s="71" t="s">
        <v>5</v>
      </c>
      <c r="E34" s="71" t="s">
        <v>35</v>
      </c>
      <c r="F34" s="71" t="s">
        <v>152</v>
      </c>
      <c r="G34" s="71" t="s">
        <v>4</v>
      </c>
      <c r="H34" s="71" t="s">
        <v>1</v>
      </c>
      <c r="I34" s="71" t="s">
        <v>148</v>
      </c>
      <c r="J34" s="71" t="s">
        <v>25</v>
      </c>
      <c r="K34" s="53"/>
      <c r="L34" s="11" t="str">
        <f t="shared" si="16"/>
        <v>BasSw</v>
      </c>
      <c r="M34" s="106" t="str">
        <f t="shared" si="17"/>
        <v>obj_0029f#0044</v>
      </c>
      <c r="N34" s="160" t="str">
        <f>IFERROR(_xll.qlRateHelperQuoteName(M34,Trigger),"--")</f>
        <v>USDAM3L4Y_S6L3L_Quote</v>
      </c>
      <c r="O34" s="110">
        <f>IFERROR(_xll.qlRateHelperQuoteValue($M34,Trigger),"--")</f>
        <v>1.29950450127521E-2</v>
      </c>
      <c r="P34" s="109" t="b">
        <v>1</v>
      </c>
      <c r="Q34" s="106">
        <v>40</v>
      </c>
      <c r="R34" s="106">
        <v>1</v>
      </c>
      <c r="S34" s="111">
        <f>IFERROR(_xll.qlRateHelperEarliestDate(M34,Trigger),"--")</f>
        <v>42436</v>
      </c>
      <c r="T34" s="111">
        <f>IFERROR(_xll.qlRateHelperPillarDate(M34,Trigger),"--")</f>
        <v>43899</v>
      </c>
      <c r="V34" s="4" t="str">
        <f t="shared" si="3"/>
        <v>BasSw</v>
      </c>
      <c r="W34" s="4" t="str">
        <v>obj_002c1</v>
      </c>
      <c r="X34" s="4" t="str">
        <f>IFERROR(_xll.qlRateHelperQuoteName(W34,Trigger),"")</f>
        <v>USDAM3L30Y_S6L3L_Quote</v>
      </c>
      <c r="Y34" s="76">
        <f>IFERROR(_xll.qlRateHelperRate(W34,Trigger),"")</f>
        <v>2.2920027746892238E-2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42436</v>
      </c>
      <c r="AB34" s="5">
        <f>IFERROR(_xll.qlRateHelperPillarDate(W34,Trigger),"")</f>
        <v>53393</v>
      </c>
      <c r="AC34" s="84">
        <v>0.49327374700468524</v>
      </c>
    </row>
    <row r="35" spans="1:29" ht="11.25" customHeight="1" x14ac:dyDescent="0.2">
      <c r="A35" s="58" t="s">
        <v>160</v>
      </c>
      <c r="B35" s="59" t="s">
        <v>29</v>
      </c>
      <c r="C35" s="60" t="s">
        <v>6</v>
      </c>
      <c r="D35" s="60" t="s">
        <v>8</v>
      </c>
      <c r="E35" s="60" t="s">
        <v>7</v>
      </c>
      <c r="F35" s="60" t="s">
        <v>28</v>
      </c>
      <c r="G35" s="60" t="str">
        <f t="shared" ref="G35:G70" si="18">PROPER(Currency)&amp;FamilyName&amp;Tenor</f>
        <v>UsdLibor6M</v>
      </c>
      <c r="H35" s="58" t="str">
        <f t="shared" ref="H35:H70" si="19">Currency&amp;$G$33&amp;$F$33&amp;$B35&amp;"_S"&amp;$H$33&amp;$F$33&amp;QuoteSuffix</f>
        <v>USDAM3L1Y_S6L3L_Quote</v>
      </c>
      <c r="I35" s="140">
        <v>0</v>
      </c>
      <c r="J35" s="70"/>
      <c r="K35" s="53"/>
      <c r="L35" s="11" t="str">
        <f t="shared" si="16"/>
        <v>BasSw</v>
      </c>
      <c r="M35" s="106" t="str">
        <f t="shared" si="17"/>
        <v>obj_0029e#0044</v>
      </c>
      <c r="N35" s="160" t="str">
        <f>IFERROR(_xll.qlRateHelperQuoteName(M35,Trigger),"--")</f>
        <v>USDAM3L5Y_S6L3L_Quote</v>
      </c>
      <c r="O35" s="110">
        <f>IFERROR(_xll.qlRateHelperQuoteValue($M35,Trigger),"--")</f>
        <v>1.4075386651976326E-2</v>
      </c>
      <c r="P35" s="109" t="b">
        <v>1</v>
      </c>
      <c r="Q35" s="106">
        <v>40</v>
      </c>
      <c r="R35" s="106">
        <v>1</v>
      </c>
      <c r="S35" s="111">
        <f>IFERROR(_xll.qlRateHelperEarliestDate(M35,Trigger),"--")</f>
        <v>42436</v>
      </c>
      <c r="T35" s="111">
        <f>IFERROR(_xll.qlRateHelperPillarDate(M35,Trigger),"--")</f>
        <v>44263</v>
      </c>
      <c r="V35" s="4" t="str">
        <f t="shared" si="3"/>
        <v>BasSw</v>
      </c>
      <c r="W35" s="4" t="str">
        <v>obj_002bb</v>
      </c>
      <c r="X35" s="4" t="str">
        <f>IFERROR(_xll.qlRateHelperQuoteName(W35,Trigger),"")</f>
        <v>USDAM3L35Y_S6L3L_Quote</v>
      </c>
      <c r="Y35" s="76">
        <f>IFERROR(_xll.qlRateHelperRate(W35,Trigger),"")</f>
        <v>2.3064667215507182E-2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42436</v>
      </c>
      <c r="AB35" s="5">
        <f>IFERROR(_xll.qlRateHelperPillarDate(W35,Trigger),"")</f>
        <v>55219</v>
      </c>
      <c r="AC35" s="84">
        <v>0.43663075634499449</v>
      </c>
    </row>
    <row r="36" spans="1:29" ht="11.25" customHeight="1" x14ac:dyDescent="0.2">
      <c r="A36" s="64" t="s">
        <v>160</v>
      </c>
      <c r="B36" s="65" t="s">
        <v>72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8"/>
        <v>UsdLibor6M</v>
      </c>
      <c r="H36" s="64" t="str">
        <f t="shared" si="19"/>
        <v>USDAM3L2Y_S6L3L_Quote</v>
      </c>
      <c r="I36" s="141">
        <v>0</v>
      </c>
      <c r="J36" s="70" t="str">
        <f>_xll.qlSwapRateHelper2(,H36,,B36,JoinCalendar,USD6M!D36,USD6M!E36,USD6M!F36,USD6M!G36,USD6M!I36,USD6M!C36,Discounting,PillarDate,,Permanent,Trigger,ObjectOverwrite)</f>
        <v>obj_002ee#0044</v>
      </c>
      <c r="K36" s="53"/>
      <c r="L36" s="11" t="str">
        <f t="shared" si="16"/>
        <v>BasSw</v>
      </c>
      <c r="M36" s="106" t="str">
        <f t="shared" si="17"/>
        <v>obj_002af#0044</v>
      </c>
      <c r="N36" s="160" t="str">
        <f>IFERROR(_xll.qlRateHelperQuoteName(M36,Trigger),"--")</f>
        <v>USDAM3L6Y_S6L3L_Quote</v>
      </c>
      <c r="O36" s="110">
        <f>IFERROR(_xll.qlRateHelperQuoteValue($M36,Trigger),"--")</f>
        <v>1.5105765519040288E-2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42436</v>
      </c>
      <c r="T36" s="111">
        <f>IFERROR(_xll.qlRateHelperPillarDate(M36,Trigger),"--")</f>
        <v>44627</v>
      </c>
      <c r="V36" s="4" t="str">
        <f t="shared" si="3"/>
        <v>BasSw</v>
      </c>
      <c r="W36" s="4" t="str">
        <v>obj_00286</v>
      </c>
      <c r="X36" s="4" t="str">
        <f>IFERROR(_xll.qlRateHelperQuoteName(W36,Trigger),"")</f>
        <v>USDAM3L40Y_S6L3L_Quote</v>
      </c>
      <c r="Y36" s="76">
        <f>IFERROR(_xll.qlRateHelperRate(W36,Trigger),"")</f>
        <v>2.3090060019174876E-2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42436</v>
      </c>
      <c r="AB36" s="5">
        <f>IFERROR(_xll.qlRateHelperPillarDate(W36,Trigger),"")</f>
        <v>57046</v>
      </c>
      <c r="AC36" s="84">
        <v>0.38830910907702754</v>
      </c>
    </row>
    <row r="37" spans="1:29" ht="11.25" customHeight="1" x14ac:dyDescent="0.2">
      <c r="A37" s="64" t="s">
        <v>160</v>
      </c>
      <c r="B37" s="65" t="s">
        <v>76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8"/>
        <v>UsdLibor6M</v>
      </c>
      <c r="H37" s="64" t="str">
        <f t="shared" si="19"/>
        <v>USDAM3L3Y_S6L3L_Quote</v>
      </c>
      <c r="I37" s="141">
        <v>0</v>
      </c>
      <c r="J37" s="70" t="str">
        <f>_xll.qlSwapRateHelper2(,H37,,B37,JoinCalendar,USD6M!D37,USD6M!E37,USD6M!F37,USD6M!G37,USD6M!I37,USD6M!C37,Discounting,PillarDate,,Permanent,Trigger,ObjectOverwrite)</f>
        <v>obj_002d5#0044</v>
      </c>
      <c r="K37" s="53"/>
      <c r="L37" s="11" t="str">
        <f t="shared" si="16"/>
        <v>BasSw</v>
      </c>
      <c r="M37" s="106" t="str">
        <f t="shared" si="17"/>
        <v>obj_002e7#0044</v>
      </c>
      <c r="N37" s="160" t="str">
        <f>IFERROR(_xll.qlRateHelperQuoteName(M37,Trigger),"--")</f>
        <v>USDAM3L7Y_S6L3L_Quote</v>
      </c>
      <c r="O37" s="110">
        <f>IFERROR(_xll.qlRateHelperQuoteValue($M37,Trigger),"--")</f>
        <v>1.6026165949147211E-2</v>
      </c>
      <c r="P37" s="109" t="b">
        <v>1</v>
      </c>
      <c r="Q37" s="106">
        <v>40</v>
      </c>
      <c r="R37" s="106">
        <v>1</v>
      </c>
      <c r="S37" s="111">
        <f>IFERROR(_xll.qlRateHelperEarliestDate(M37,Trigger),"--")</f>
        <v>42436</v>
      </c>
      <c r="T37" s="111">
        <f>IFERROR(_xll.qlRateHelperPillarDate(M37,Trigger),"--")</f>
        <v>44992</v>
      </c>
      <c r="V37" s="4" t="str">
        <f t="shared" si="3"/>
        <v>BasSw</v>
      </c>
      <c r="W37" s="4" t="str">
        <v>obj_002d4</v>
      </c>
      <c r="X37" s="4" t="str">
        <f>IFERROR(_xll.qlRateHelperQuoteName(W37,Trigger),"")</f>
        <v>USDAM3L50Y_S6L3L_Quote</v>
      </c>
      <c r="Y37" s="76">
        <f>IFERROR(_xll.qlRateHelperRate(W37,Trigger),"")</f>
        <v>2.2969980159347744E-2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42436</v>
      </c>
      <c r="AB37" s="5">
        <f>IFERROR(_xll.qlRateHelperPillarDate(W37,Trigger),"")</f>
        <v>60699</v>
      </c>
      <c r="AC37" s="84">
        <v>0.31079207024413358</v>
      </c>
    </row>
    <row r="38" spans="1:29" ht="11.25" customHeight="1" x14ac:dyDescent="0.2">
      <c r="A38" s="64" t="s">
        <v>160</v>
      </c>
      <c r="B38" s="65" t="s">
        <v>80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8"/>
        <v>UsdLibor6M</v>
      </c>
      <c r="H38" s="64" t="str">
        <f t="shared" si="19"/>
        <v>USDAM3L4Y_S6L3L_Quote</v>
      </c>
      <c r="I38" s="141">
        <v>0</v>
      </c>
      <c r="J38" s="70" t="str">
        <f>_xll.qlSwapRateHelper2(,H38,,B38,JoinCalendar,USD6M!D38,USD6M!E38,USD6M!F38,USD6M!G38,USD6M!I38,USD6M!C38,Discounting,PillarDate,,Permanent,Trigger,ObjectOverwrite)</f>
        <v>obj_0029f#0044</v>
      </c>
      <c r="K38" s="53"/>
      <c r="L38" s="11" t="str">
        <f t="shared" si="16"/>
        <v>BasSw</v>
      </c>
      <c r="M38" s="106" t="str">
        <f t="shared" si="17"/>
        <v>obj_002b0#0044</v>
      </c>
      <c r="N38" s="160" t="str">
        <f>IFERROR(_xll.qlRateHelperQuoteName(M38,Trigger),"--")</f>
        <v>USDAM3L8Y_S6L3L_Quote</v>
      </c>
      <c r="O38" s="110">
        <f>IFERROR(_xll.qlRateHelperQuoteValue($M38,Trigger),"--")</f>
        <v>1.6846608656564819E-2</v>
      </c>
      <c r="P38" s="109" t="b">
        <v>1</v>
      </c>
      <c r="Q38" s="106">
        <v>40</v>
      </c>
      <c r="R38" s="106">
        <v>1</v>
      </c>
      <c r="S38" s="111">
        <f>IFERROR(_xll.qlRateHelperEarliestDate(M38,Trigger),"--")</f>
        <v>42436</v>
      </c>
      <c r="T38" s="111">
        <f>IFERROR(_xll.qlRateHelperPillarDate(M38,Trigger),"--")</f>
        <v>45358</v>
      </c>
      <c r="V38" s="4" t="str">
        <f t="shared" si="3"/>
        <v>BasSw</v>
      </c>
      <c r="W38" s="4" t="str">
        <v>obj_0027e</v>
      </c>
      <c r="X38" s="4" t="str">
        <f>IFERROR(_xll.qlRateHelperQuoteName(W38,Trigger),"")</f>
        <v>USDAM3L60Y_S6L3L_Quote</v>
      </c>
      <c r="Y38" s="76">
        <f>IFERROR(_xll.qlRateHelperRate(W38,Trigger),"")</f>
        <v>2.2855053631724805E-2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42436</v>
      </c>
      <c r="AB38" s="5">
        <f>IFERROR(_xll.qlRateHelperPillarDate(W38,Trigger),"")</f>
        <v>64353</v>
      </c>
      <c r="AC38" s="84">
        <v>0.24958547285100699</v>
      </c>
    </row>
    <row r="39" spans="1:29" ht="11.25" customHeight="1" x14ac:dyDescent="0.2">
      <c r="A39" s="64" t="s">
        <v>160</v>
      </c>
      <c r="B39" s="65" t="s">
        <v>84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8"/>
        <v>UsdLibor6M</v>
      </c>
      <c r="H39" s="64" t="str">
        <f t="shared" si="19"/>
        <v>USDAM3L5Y_S6L3L_Quote</v>
      </c>
      <c r="I39" s="141">
        <v>0</v>
      </c>
      <c r="J39" s="70" t="str">
        <f>_xll.qlSwapRateHelper2(,H39,,B39,JoinCalendar,USD6M!D39,USD6M!E39,USD6M!F39,USD6M!G39,USD6M!I39,USD6M!C39,Discounting,PillarDate,,Permanent,Trigger,ObjectOverwrite)</f>
        <v>obj_0029e#0044</v>
      </c>
      <c r="K39" s="53"/>
      <c r="L39" s="11" t="str">
        <f t="shared" si="16"/>
        <v>BasSw</v>
      </c>
      <c r="M39" s="106" t="str">
        <f t="shared" si="17"/>
        <v>obj_00287#0044</v>
      </c>
      <c r="N39" s="160" t="str">
        <f>IFERROR(_xll.qlRateHelperQuoteName(M39,Trigger),"--")</f>
        <v>USDAM3L9Y_S6L3L_Quote</v>
      </c>
      <c r="O39" s="110">
        <f>IFERROR(_xll.qlRateHelperQuoteValue($M39,Trigger),"--")</f>
        <v>1.7597065348682148E-2</v>
      </c>
      <c r="P39" s="109" t="b">
        <v>1</v>
      </c>
      <c r="Q39" s="106">
        <v>40</v>
      </c>
      <c r="R39" s="106">
        <v>1</v>
      </c>
      <c r="S39" s="111">
        <f>IFERROR(_xll.qlRateHelperEarliestDate(M39,Trigger),"--")</f>
        <v>42436</v>
      </c>
      <c r="T39" s="111">
        <f>IFERROR(_xll.qlRateHelperPillarDate(M39,Trigger),"--")</f>
        <v>45723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85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8"/>
        <v>UsdLibor6M</v>
      </c>
      <c r="H40" s="64" t="str">
        <f t="shared" si="19"/>
        <v>USDAM3L6Y_S6L3L_Quote</v>
      </c>
      <c r="I40" s="141">
        <v>0</v>
      </c>
      <c r="J40" s="70" t="str">
        <f>_xll.qlSwapRateHelper2(,H40,,B40,JoinCalendar,USD6M!D40,USD6M!E40,USD6M!F40,USD6M!G40,USD6M!I40,USD6M!C40,Discounting,PillarDate,,Permanent,Trigger,ObjectOverwrite)</f>
        <v>obj_002af#0044</v>
      </c>
      <c r="K40" s="53"/>
      <c r="L40" s="11" t="str">
        <f t="shared" si="16"/>
        <v>BasSw</v>
      </c>
      <c r="M40" s="106" t="str">
        <f t="shared" si="17"/>
        <v>obj_002c9#0044</v>
      </c>
      <c r="N40" s="160" t="str">
        <f>IFERROR(_xll.qlRateHelperQuoteName(M40,Trigger),"--")</f>
        <v>USDAM3L10Y_S6L3L_Quote</v>
      </c>
      <c r="O40" s="110">
        <f>IFERROR(_xll.qlRateHelperQuoteValue($M40,Trigger),"--")</f>
        <v>1.8297458373600816E-2</v>
      </c>
      <c r="P40" s="109" t="b">
        <v>1</v>
      </c>
      <c r="Q40" s="106">
        <v>40</v>
      </c>
      <c r="R40" s="106">
        <v>1</v>
      </c>
      <c r="S40" s="111">
        <f>IFERROR(_xll.qlRateHelperEarliestDate(M40,Trigger),"--")</f>
        <v>42436</v>
      </c>
      <c r="T40" s="111">
        <f>IFERROR(_xll.qlRateHelperPillarDate(M40,Trigger),"--")</f>
        <v>46090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86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8"/>
        <v>UsdLibor6M</v>
      </c>
      <c r="H41" s="64" t="str">
        <f t="shared" si="19"/>
        <v>USDAM3L7Y_S6L3L_Quote</v>
      </c>
      <c r="I41" s="141">
        <v>0</v>
      </c>
      <c r="J41" s="70" t="str">
        <f>_xll.qlSwapRateHelper2(,H41,,B41,JoinCalendar,USD6M!D41,USD6M!E41,USD6M!F41,USD6M!G41,USD6M!I41,USD6M!C41,Discounting,PillarDate,,Permanent,Trigger,ObjectOverwrite)</f>
        <v>obj_002e7#0044</v>
      </c>
      <c r="L41" s="11" t="str">
        <f t="shared" si="16"/>
        <v>BasSw</v>
      </c>
      <c r="M41" s="106" t="str">
        <f t="shared" si="17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87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8"/>
        <v>UsdLibor6M</v>
      </c>
      <c r="H42" s="64" t="str">
        <f t="shared" si="19"/>
        <v>USDAM3L8Y_S6L3L_Quote</v>
      </c>
      <c r="I42" s="141">
        <v>0</v>
      </c>
      <c r="J42" s="70" t="str">
        <f>_xll.qlSwapRateHelper2(,H42,,B42,JoinCalendar,USD6M!D42,USD6M!E42,USD6M!F42,USD6M!G42,USD6M!I42,USD6M!C42,Discounting,PillarDate,,Permanent,Trigger,ObjectOverwrite)</f>
        <v>obj_002b0#0044</v>
      </c>
      <c r="L42" s="11" t="str">
        <f t="shared" si="16"/>
        <v>BasSw</v>
      </c>
      <c r="M42" s="106" t="str">
        <f t="shared" si="17"/>
        <v>obj_00298#0044</v>
      </c>
      <c r="N42" s="160" t="str">
        <f>IFERROR(_xll.qlRateHelperQuoteName(M42,Trigger),"--")</f>
        <v>USDAM3L12Y_S6L3L_Quote</v>
      </c>
      <c r="O42" s="110">
        <f>IFERROR(_xll.qlRateHelperQuoteValue($M42,Trigger),"--")</f>
        <v>1.9478195669771877E-2</v>
      </c>
      <c r="P42" s="109" t="b">
        <v>1</v>
      </c>
      <c r="Q42" s="106">
        <v>40</v>
      </c>
      <c r="R42" s="106">
        <v>1</v>
      </c>
      <c r="S42" s="111">
        <f>IFERROR(_xll.qlRateHelperEarliestDate(M42,Trigger),"--")</f>
        <v>42436</v>
      </c>
      <c r="T42" s="111">
        <f>IFERROR(_xll.qlRateHelperPillarDate(M42,Trigger),"--")</f>
        <v>46819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88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8"/>
        <v>UsdLibor6M</v>
      </c>
      <c r="H43" s="64" t="str">
        <f t="shared" si="19"/>
        <v>USDAM3L9Y_S6L3L_Quote</v>
      </c>
      <c r="I43" s="141">
        <v>0</v>
      </c>
      <c r="J43" s="70" t="str">
        <f>_xll.qlSwapRateHelper2(,H43,,B43,JoinCalendar,USD6M!D43,USD6M!E43,USD6M!F43,USD6M!G43,USD6M!I43,USD6M!C43,Discounting,PillarDate,,Permanent,Trigger,ObjectOverwrite)</f>
        <v>obj_00287#0044</v>
      </c>
      <c r="L43" s="11" t="str">
        <f t="shared" si="16"/>
        <v>BasSw</v>
      </c>
      <c r="M43" s="106" t="str">
        <f t="shared" si="17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89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8"/>
        <v>UsdLibor6M</v>
      </c>
      <c r="H44" s="64" t="str">
        <f t="shared" si="19"/>
        <v>USDAM3L10Y_S6L3L_Quote</v>
      </c>
      <c r="I44" s="141">
        <v>0</v>
      </c>
      <c r="J44" s="70" t="str">
        <f>_xll.qlSwapRateHelper2(,H44,,B44,JoinCalendar,USD6M!D44,USD6M!E44,USD6M!F44,USD6M!G44,USD6M!I44,USD6M!C44,Discounting,PillarDate,,Permanent,Trigger,ObjectOverwrite)</f>
        <v>obj_002c9#0044</v>
      </c>
      <c r="L44" s="11" t="str">
        <f t="shared" si="16"/>
        <v>BasSw</v>
      </c>
      <c r="M44" s="106" t="str">
        <f t="shared" si="17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133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8"/>
        <v>UsdLibor6M</v>
      </c>
      <c r="H45" s="64" t="str">
        <f t="shared" si="19"/>
        <v>USDAM3L11Y_S6L3L_Quote</v>
      </c>
      <c r="I45" s="141">
        <v>0</v>
      </c>
      <c r="J45" s="70"/>
      <c r="L45" s="11" t="str">
        <f t="shared" si="16"/>
        <v>BasSw</v>
      </c>
      <c r="M45" s="106" t="str">
        <f t="shared" si="17"/>
        <v>obj_0029a#0044</v>
      </c>
      <c r="N45" s="160" t="str">
        <f>IFERROR(_xll.qlRateHelperQuoteName(M45,Trigger),"--")</f>
        <v>USDAM3L15Y_S6L3L_Quote</v>
      </c>
      <c r="O45" s="110">
        <f>IFERROR(_xll.qlRateHelperQuoteValue($M45,Trigger),"--")</f>
        <v>2.0718899797997743E-2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42436</v>
      </c>
      <c r="T45" s="111">
        <f>IFERROR(_xll.qlRateHelperPillarDate(M45,Trigger),"--")</f>
        <v>47914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90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8"/>
        <v>UsdLibor6M</v>
      </c>
      <c r="H46" s="64" t="str">
        <f t="shared" si="19"/>
        <v>USDAM3L12Y_S6L3L_Quote</v>
      </c>
      <c r="I46" s="141">
        <v>0</v>
      </c>
      <c r="J46" s="70" t="str">
        <f>_xll.qlSwapRateHelper2(,H46,,B46,JoinCalendar,USD6M!D46,USD6M!E46,USD6M!F46,USD6M!G46,USD6M!I46,USD6M!C46,Discounting,PillarDate,,Permanent,Trigger,ObjectOverwrite)</f>
        <v>obj_00298#0044</v>
      </c>
      <c r="L46" s="11" t="str">
        <f t="shared" si="16"/>
        <v>BasSw</v>
      </c>
      <c r="M46" s="106" t="str">
        <f t="shared" si="17"/>
        <v>--</v>
      </c>
      <c r="N46" s="160" t="str">
        <f>IFERROR(_xll.qlRateHelperQuoteName(M46,Trigger),"--")</f>
        <v>--</v>
      </c>
      <c r="O46" s="110" t="str">
        <f>IFERROR(_xll.qlRateHelperQuoteValue($M46,Trigger),"--")</f>
        <v>--</v>
      </c>
      <c r="P46" s="109" t="b">
        <v>0</v>
      </c>
      <c r="Q46" s="106">
        <v>40</v>
      </c>
      <c r="R46" s="106">
        <v>1</v>
      </c>
      <c r="S46" s="111" t="str">
        <f>IFERROR(_xll.qlRateHelperEarliestDate(M46,Trigger),"--")</f>
        <v>--</v>
      </c>
      <c r="T46" s="11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134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8"/>
        <v>UsdLibor6M</v>
      </c>
      <c r="H47" s="64" t="str">
        <f t="shared" si="19"/>
        <v>USDAM3L13Y_S6L3L_Quote</v>
      </c>
      <c r="I47" s="141">
        <v>0</v>
      </c>
      <c r="J47" s="70"/>
      <c r="L47" s="11" t="str">
        <f t="shared" si="16"/>
        <v>BasSw</v>
      </c>
      <c r="M47" s="106" t="str">
        <f t="shared" si="17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135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8"/>
        <v>UsdLibor6M</v>
      </c>
      <c r="H48" s="64" t="str">
        <f t="shared" si="19"/>
        <v>USDAM3L14Y_S6L3L_Quote</v>
      </c>
      <c r="I48" s="141">
        <v>0</v>
      </c>
      <c r="J48" s="70"/>
      <c r="L48" s="11" t="str">
        <f t="shared" si="16"/>
        <v>BasSw</v>
      </c>
      <c r="M48" s="106" t="str">
        <f t="shared" si="17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91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8"/>
        <v>UsdLibor6M</v>
      </c>
      <c r="H49" s="64" t="str">
        <f t="shared" si="19"/>
        <v>USDAM3L15Y_S6L3L_Quote</v>
      </c>
      <c r="I49" s="141">
        <v>0</v>
      </c>
      <c r="J49" s="70" t="str">
        <f>_xll.qlSwapRateHelper2(,H49,,B49,JoinCalendar,USD6M!D49,USD6M!E49,USD6M!F49,USD6M!G49,USD6M!I49,USD6M!C49,Discounting,PillarDate,,Permanent,Trigger,ObjectOverwrite)</f>
        <v>obj_0029a#0044</v>
      </c>
      <c r="L49" s="11" t="str">
        <f t="shared" si="16"/>
        <v>BasSw</v>
      </c>
      <c r="M49" s="106" t="str">
        <f t="shared" si="17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136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8"/>
        <v>UsdLibor6M</v>
      </c>
      <c r="H50" s="64" t="str">
        <f t="shared" si="19"/>
        <v>USDAM3L16Y_S6L3L_Quote</v>
      </c>
      <c r="I50" s="141">
        <v>0</v>
      </c>
      <c r="J50" s="70"/>
      <c r="L50" s="11" t="str">
        <f t="shared" si="16"/>
        <v>BasSw</v>
      </c>
      <c r="M50" s="106" t="str">
        <f t="shared" si="17"/>
        <v>obj_0027f#0044</v>
      </c>
      <c r="N50" s="160" t="str">
        <f>IFERROR(_xll.qlRateHelperQuoteName(M50,Trigger),"--")</f>
        <v>USDAM3L20Y_S6L3L_Quote</v>
      </c>
      <c r="O50" s="110">
        <f>IFERROR(_xll.qlRateHelperQuoteValue($M50,Trigger),"--")</f>
        <v>2.1999615035377638E-2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42436</v>
      </c>
      <c r="T50" s="111">
        <f>IFERROR(_xll.qlRateHelperPillarDate(M50,Trigger),"--")</f>
        <v>49741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137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8"/>
        <v>UsdLibor6M</v>
      </c>
      <c r="H51" s="64" t="str">
        <f t="shared" si="19"/>
        <v>USDAM3L17Y_S6L3L_Quote</v>
      </c>
      <c r="I51" s="141">
        <v>0</v>
      </c>
      <c r="J51" s="70"/>
      <c r="L51" s="11" t="str">
        <f t="shared" si="16"/>
        <v>BasSw</v>
      </c>
      <c r="M51" s="106" t="str">
        <f t="shared" si="17"/>
        <v>--</v>
      </c>
      <c r="N51" s="160" t="str">
        <f>IFERROR(_xll.qlRateHelperQuoteName(M51,Trigger),"--")</f>
        <v>--</v>
      </c>
      <c r="O51" s="110" t="str">
        <f>IFERROR(_xll.qlRateHelperQuoteValue($M51,Trigger),"--")</f>
        <v>--</v>
      </c>
      <c r="P51" s="109" t="b">
        <v>0</v>
      </c>
      <c r="Q51" s="106">
        <v>40</v>
      </c>
      <c r="R51" s="106">
        <v>1</v>
      </c>
      <c r="S51" s="111" t="str">
        <f>IFERROR(_xll.qlRateHelperEarliestDate(M51,Trigger),"--")</f>
        <v>--</v>
      </c>
      <c r="T51" s="11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138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8"/>
        <v>UsdLibor6M</v>
      </c>
      <c r="H52" s="64" t="str">
        <f t="shared" si="19"/>
        <v>USDAM3L18Y_S6L3L_Quote</v>
      </c>
      <c r="I52" s="141">
        <v>0</v>
      </c>
      <c r="J52" s="70"/>
      <c r="L52" s="11" t="str">
        <f t="shared" si="16"/>
        <v>BasSw</v>
      </c>
      <c r="M52" s="106" t="str">
        <f t="shared" si="17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139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8"/>
        <v>UsdLibor6M</v>
      </c>
      <c r="H53" s="64" t="str">
        <f t="shared" si="19"/>
        <v>USDAM3L19Y_S6L3L_Quote</v>
      </c>
      <c r="I53" s="141">
        <v>0</v>
      </c>
      <c r="J53" s="70"/>
      <c r="L53" s="11" t="str">
        <f t="shared" si="16"/>
        <v>BasSw</v>
      </c>
      <c r="M53" s="106" t="str">
        <f t="shared" si="17"/>
        <v>--</v>
      </c>
      <c r="N53" s="160" t="str">
        <f>IFERROR(_xll.qlRateHelperQuoteName(M53,Trigger),"--")</f>
        <v>--</v>
      </c>
      <c r="O53" s="110" t="str">
        <f>IFERROR(_xll.qlRateHelperQuoteValue($M53,Trigger),"--")</f>
        <v>--</v>
      </c>
      <c r="P53" s="109" t="b">
        <v>0</v>
      </c>
      <c r="Q53" s="106">
        <v>40</v>
      </c>
      <c r="R53" s="106">
        <v>1</v>
      </c>
      <c r="S53" s="111" t="str">
        <f>IFERROR(_xll.qlRateHelperEarliestDate(M53,Trigger),"--")</f>
        <v>--</v>
      </c>
      <c r="T53" s="11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92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8"/>
        <v>UsdLibor6M</v>
      </c>
      <c r="H54" s="64" t="str">
        <f t="shared" si="19"/>
        <v>USDAM3L20Y_S6L3L_Quote</v>
      </c>
      <c r="I54" s="141">
        <v>0</v>
      </c>
      <c r="J54" s="70" t="str">
        <f>_xll.qlSwapRateHelper2(,H54,,B54,JoinCalendar,USD6M!D54,USD6M!E54,USD6M!F54,USD6M!G54,USD6M!I54,USD6M!C54,Discounting,PillarDate,,Permanent,Trigger,ObjectOverwrite)</f>
        <v>obj_0027f#0044</v>
      </c>
      <c r="L54" s="11" t="str">
        <f t="shared" si="16"/>
        <v>BasSw</v>
      </c>
      <c r="M54" s="106" t="str">
        <f t="shared" si="17"/>
        <v>--</v>
      </c>
      <c r="N54" s="160" t="str">
        <f>IFERROR(_xll.qlRateHelperQuoteName(M54,Trigger),"--")</f>
        <v>--</v>
      </c>
      <c r="O54" s="110" t="str">
        <f>IFERROR(_xll.qlRateHelperQuoteValue($M54,Trigger),"--")</f>
        <v>--</v>
      </c>
      <c r="P54" s="109" t="b">
        <v>0</v>
      </c>
      <c r="Q54" s="106">
        <v>40</v>
      </c>
      <c r="R54" s="106">
        <v>1</v>
      </c>
      <c r="S54" s="111" t="str">
        <f>IFERROR(_xll.qlRateHelperEarliestDate(M54,Trigger),"--")</f>
        <v>--</v>
      </c>
      <c r="T54" s="11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140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8"/>
        <v>UsdLibor6M</v>
      </c>
      <c r="H55" s="64" t="str">
        <f t="shared" si="19"/>
        <v>USDAM3L21Y_S6L3L_Quote</v>
      </c>
      <c r="I55" s="141">
        <v>0</v>
      </c>
      <c r="J55" s="70"/>
      <c r="L55" s="11" t="str">
        <f t="shared" si="16"/>
        <v>BasSw</v>
      </c>
      <c r="M55" s="106" t="str">
        <f t="shared" si="17"/>
        <v>obj_002b1#0044</v>
      </c>
      <c r="N55" s="160" t="str">
        <f>IFERROR(_xll.qlRateHelperQuoteName(M55,Trigger),"--")</f>
        <v>USDAM3L25Y_S6L3L_Quote</v>
      </c>
      <c r="O55" s="110">
        <f>IFERROR(_xll.qlRateHelperQuoteValue($M55,Trigger),"--")</f>
        <v>2.2599874621432956E-2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42436</v>
      </c>
      <c r="T55" s="111">
        <f>IFERROR(_xll.qlRateHelperPillarDate(M55,Trigger),"--")</f>
        <v>51567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141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8"/>
        <v>UsdLibor6M</v>
      </c>
      <c r="H56" s="64" t="str">
        <f t="shared" si="19"/>
        <v>USDAM3L22Y_S6L3L_Quote</v>
      </c>
      <c r="I56" s="141">
        <v>0</v>
      </c>
      <c r="J56" s="70"/>
      <c r="L56" s="11" t="str">
        <f t="shared" si="16"/>
        <v>BasSw</v>
      </c>
      <c r="M56" s="106" t="str">
        <f t="shared" si="17"/>
        <v>--</v>
      </c>
      <c r="N56" s="160" t="str">
        <f>IFERROR(_xll.qlRateHelperQuoteName(M56,Trigger),"--")</f>
        <v>--</v>
      </c>
      <c r="O56" s="110" t="str">
        <f>IFERROR(_xll.qlRateHelperQuoteValue($M56,Trigger),"--")</f>
        <v>--</v>
      </c>
      <c r="P56" s="109" t="b">
        <v>0</v>
      </c>
      <c r="Q56" s="106">
        <v>40</v>
      </c>
      <c r="R56" s="106">
        <v>1</v>
      </c>
      <c r="S56" s="111" t="str">
        <f>IFERROR(_xll.qlRateHelperEarliestDate(M56,Trigger),"--")</f>
        <v>--</v>
      </c>
      <c r="T56" s="11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142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8"/>
        <v>UsdLibor6M</v>
      </c>
      <c r="H57" s="64" t="str">
        <f t="shared" si="19"/>
        <v>USDAM3L23Y_S6L3L_Quote</v>
      </c>
      <c r="I57" s="141">
        <v>0</v>
      </c>
      <c r="J57" s="70"/>
      <c r="L57" s="11" t="str">
        <f t="shared" si="16"/>
        <v>BasSw</v>
      </c>
      <c r="M57" s="106" t="str">
        <f t="shared" si="17"/>
        <v>--</v>
      </c>
      <c r="N57" s="160" t="str">
        <f>IFERROR(_xll.qlRateHelperQuoteName(M57,Trigger),"--")</f>
        <v>--</v>
      </c>
      <c r="O57" s="110" t="str">
        <f>IFERROR(_xll.qlRateHelperQuoteValue($M57,Trigger),"--")</f>
        <v>--</v>
      </c>
      <c r="P57" s="109" t="b">
        <v>0</v>
      </c>
      <c r="Q57" s="106">
        <v>40</v>
      </c>
      <c r="R57" s="106">
        <v>1</v>
      </c>
      <c r="S57" s="111" t="str">
        <f>IFERROR(_xll.qlRateHelperEarliestDate(M57,Trigger),"--")</f>
        <v>--</v>
      </c>
      <c r="T57" s="11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143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8"/>
        <v>UsdLibor6M</v>
      </c>
      <c r="H58" s="64" t="str">
        <f t="shared" si="19"/>
        <v>USDAM3L24Y_S6L3L_Quote</v>
      </c>
      <c r="I58" s="141">
        <v>0</v>
      </c>
      <c r="J58" s="70"/>
      <c r="L58" s="11" t="str">
        <f t="shared" si="16"/>
        <v>BasSw</v>
      </c>
      <c r="M58" s="106" t="str">
        <f t="shared" si="17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93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8"/>
        <v>UsdLibor6M</v>
      </c>
      <c r="H59" s="64" t="str">
        <f t="shared" si="19"/>
        <v>USDAM3L25Y_S6L3L_Quote</v>
      </c>
      <c r="I59" s="141">
        <v>0</v>
      </c>
      <c r="J59" s="70" t="str">
        <f>_xll.qlSwapRateHelper2(,H59,,B59,JoinCalendar,USD6M!D59,USD6M!E59,USD6M!F59,USD6M!G59,USD6M!I59,USD6M!C59,Discounting,PillarDate,,Permanent,Trigger,ObjectOverwrite)</f>
        <v>obj_002b1#0044</v>
      </c>
      <c r="L59" s="11" t="str">
        <f t="shared" si="16"/>
        <v>BasSw</v>
      </c>
      <c r="M59" s="106" t="str">
        <f t="shared" si="17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144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8"/>
        <v>UsdLibor6M</v>
      </c>
      <c r="H60" s="64" t="str">
        <f t="shared" si="19"/>
        <v>USDAM3L26Y_S6L3L_Quote</v>
      </c>
      <c r="I60" s="141">
        <v>0</v>
      </c>
      <c r="J60" s="70"/>
      <c r="L60" s="11" t="str">
        <f t="shared" si="16"/>
        <v>BasSw</v>
      </c>
      <c r="M60" s="106" t="str">
        <f t="shared" si="17"/>
        <v>obj_002c1#0044</v>
      </c>
      <c r="N60" s="160" t="str">
        <f>IFERROR(_xll.qlRateHelperQuoteName(M60,Trigger),"--")</f>
        <v>USDAM3L30Y_S6L3L_Quote</v>
      </c>
      <c r="O60" s="110">
        <f>IFERROR(_xll.qlRateHelperQuoteValue($M60,Trigger),"--")</f>
        <v>2.2920027746892238E-2</v>
      </c>
      <c r="P60" s="109" t="b">
        <v>1</v>
      </c>
      <c r="Q60" s="106">
        <v>40</v>
      </c>
      <c r="R60" s="106">
        <v>1</v>
      </c>
      <c r="S60" s="111">
        <f>IFERROR(_xll.qlRateHelperEarliestDate(M60,Trigger),"--")</f>
        <v>42436</v>
      </c>
      <c r="T60" s="111">
        <f>IFERROR(_xll.qlRateHelperPillarDate(M60,Trigger),"--")</f>
        <v>53393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94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8"/>
        <v>UsdLibor6M</v>
      </c>
      <c r="H61" s="64" t="str">
        <f t="shared" si="19"/>
        <v>USDAM3L27Y_S6L3L_Quote</v>
      </c>
      <c r="I61" s="141">
        <v>0</v>
      </c>
      <c r="J61" s="70"/>
      <c r="L61" s="11" t="str">
        <f t="shared" si="16"/>
        <v>BasSw</v>
      </c>
      <c r="M61" s="106" t="str">
        <f t="shared" si="17"/>
        <v>obj_002bb#0044</v>
      </c>
      <c r="N61" s="160" t="str">
        <f>IFERROR(_xll.qlRateHelperQuoteName(M61,Trigger),"--")</f>
        <v>USDAM3L35Y_S6L3L_Quote</v>
      </c>
      <c r="O61" s="110">
        <f>IFERROR(_xll.qlRateHelperQuoteValue($M61,Trigger),"--")</f>
        <v>2.3064667215507182E-2</v>
      </c>
      <c r="P61" s="109" t="b">
        <v>1</v>
      </c>
      <c r="Q61" s="106">
        <v>40</v>
      </c>
      <c r="R61" s="106">
        <v>1</v>
      </c>
      <c r="S61" s="111">
        <f>IFERROR(_xll.qlRateHelperEarliestDate(M61,Trigger),"--")</f>
        <v>42436</v>
      </c>
      <c r="T61" s="111">
        <f>IFERROR(_xll.qlRateHelperPillarDate(M61,Trigger),"--")</f>
        <v>55219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145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8"/>
        <v>UsdLibor6M</v>
      </c>
      <c r="H62" s="64" t="str">
        <f t="shared" si="19"/>
        <v>USDAM3L28Y_S6L3L_Quote</v>
      </c>
      <c r="I62" s="141">
        <v>0</v>
      </c>
      <c r="J62" s="70"/>
      <c r="L62" s="11" t="str">
        <f t="shared" si="16"/>
        <v>BasSw</v>
      </c>
      <c r="M62" s="106" t="str">
        <f t="shared" si="17"/>
        <v>obj_00286#0044</v>
      </c>
      <c r="N62" s="160" t="str">
        <f>IFERROR(_xll.qlRateHelperQuoteName(M62,Trigger),"--")</f>
        <v>USDAM3L40Y_S6L3L_Quote</v>
      </c>
      <c r="O62" s="110">
        <f>IFERROR(_xll.qlRateHelperQuoteValue($M62,Trigger),"--")</f>
        <v>2.3090060019174876E-2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42436</v>
      </c>
      <c r="T62" s="111">
        <f>IFERROR(_xll.qlRateHelperPillarDate(M62,Trigger),"--")</f>
        <v>57046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146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8"/>
        <v>UsdLibor6M</v>
      </c>
      <c r="H63" s="64" t="str">
        <f t="shared" si="19"/>
        <v>USDAM3L29Y_S6L3L_Quote</v>
      </c>
      <c r="I63" s="141">
        <v>0</v>
      </c>
      <c r="J63" s="70"/>
      <c r="L63" s="11" t="str">
        <f t="shared" si="16"/>
        <v>BasSw</v>
      </c>
      <c r="M63" s="106" t="str">
        <f t="shared" si="17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95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8"/>
        <v>UsdLibor6M</v>
      </c>
      <c r="H64" s="64" t="str">
        <f t="shared" si="19"/>
        <v>USDAM3L30Y_S6L3L_Quote</v>
      </c>
      <c r="I64" s="141">
        <v>0</v>
      </c>
      <c r="J64" s="70" t="str">
        <f>_xll.qlSwapRateHelper2(,H64,,B64,JoinCalendar,USD6M!D64,USD6M!E64,USD6M!F64,USD6M!G64,USD6M!I64,USD6M!C64,Discounting,PillarDate,,Permanent,Trigger,ObjectOverwrite)</f>
        <v>obj_002c1#0044</v>
      </c>
      <c r="L64" s="11" t="str">
        <f t="shared" si="16"/>
        <v>BasSw</v>
      </c>
      <c r="M64" s="106" t="str">
        <f t="shared" si="17"/>
        <v>obj_002d4#0044</v>
      </c>
      <c r="N64" s="160" t="str">
        <f>IFERROR(_xll.qlRateHelperQuoteName(M64,Trigger),"--")</f>
        <v>USDAM3L50Y_S6L3L_Quote</v>
      </c>
      <c r="O64" s="110">
        <f>IFERROR(_xll.qlRateHelperQuoteValue($M64,Trigger),"--")</f>
        <v>2.2969980159347744E-2</v>
      </c>
      <c r="P64" s="109" t="b">
        <v>1</v>
      </c>
      <c r="Q64" s="106">
        <v>40</v>
      </c>
      <c r="R64" s="106">
        <v>1</v>
      </c>
      <c r="S64" s="111">
        <f>IFERROR(_xll.qlRateHelperEarliestDate(M64,Trigger),"--")</f>
        <v>42436</v>
      </c>
      <c r="T64" s="111">
        <f>IFERROR(_xll.qlRateHelperPillarDate(M64,Trigger),"--")</f>
        <v>60699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96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8"/>
        <v>UsdLibor6M</v>
      </c>
      <c r="H65" s="64" t="str">
        <f t="shared" si="19"/>
        <v>USDAM3L35Y_S6L3L_Quote</v>
      </c>
      <c r="I65" s="141">
        <v>0</v>
      </c>
      <c r="J65" s="70" t="str">
        <f>_xll.qlSwapRateHelper2(,H65,,B65,JoinCalendar,USD6M!D65,USD6M!E65,USD6M!F65,USD6M!G65,USD6M!I65,USD6M!C65,Discounting,PillarDate,,Permanent,Trigger,ObjectOverwrite)</f>
        <v>obj_002bb#0044</v>
      </c>
      <c r="L65" s="11" t="str">
        <f t="shared" si="16"/>
        <v>BasSw</v>
      </c>
      <c r="M65" s="106" t="str">
        <f t="shared" si="17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97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8"/>
        <v>UsdLibor6M</v>
      </c>
      <c r="H66" s="64" t="str">
        <f t="shared" si="19"/>
        <v>USDAM3L40Y_S6L3L_Quote</v>
      </c>
      <c r="I66" s="141">
        <v>0</v>
      </c>
      <c r="J66" s="70" t="str">
        <f>_xll.qlSwapRateHelper2(,H66,,B66,JoinCalendar,USD6M!D66,USD6M!E66,USD6M!F66,USD6M!G66,USD6M!I66,USD6M!C66,Discounting,PillarDate,,Permanent,Trigger,ObjectOverwrite)</f>
        <v>obj_00286#0044</v>
      </c>
      <c r="L66" s="12" t="str">
        <f t="shared" si="16"/>
        <v>BasSw</v>
      </c>
      <c r="M66" s="107" t="str">
        <f t="shared" si="17"/>
        <v>obj_0027e#0044</v>
      </c>
      <c r="N66" s="161" t="str">
        <f>IFERROR(_xll.qlRateHelperQuoteName(M66,Trigger),"--")</f>
        <v>USDAM3L60Y_S6L3L_Quote</v>
      </c>
      <c r="O66" s="113">
        <f>IFERROR(_xll.qlRateHelperQuoteValue($M66,Trigger),"--")</f>
        <v>2.2855053631724805E-2</v>
      </c>
      <c r="P66" s="112" t="b">
        <v>1</v>
      </c>
      <c r="Q66" s="107">
        <v>40</v>
      </c>
      <c r="R66" s="107">
        <v>1</v>
      </c>
      <c r="S66" s="114">
        <f>IFERROR(_xll.qlRateHelperEarliestDate(M66,Trigger),"--")</f>
        <v>42436</v>
      </c>
      <c r="T66" s="114">
        <f>IFERROR(_xll.qlRateHelperPillarDate(M66,Trigger),"--")</f>
        <v>64353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1:29" ht="11.25" customHeight="1" x14ac:dyDescent="0.2">
      <c r="A67" s="64" t="s">
        <v>160</v>
      </c>
      <c r="B67" s="65" t="s">
        <v>98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8"/>
        <v>UsdLibor6M</v>
      </c>
      <c r="H67" s="64" t="str">
        <f t="shared" si="19"/>
        <v>USDAM3L45Y_S6L3L_Quote</v>
      </c>
      <c r="I67" s="141">
        <v>0</v>
      </c>
      <c r="J67" s="70"/>
    </row>
    <row r="68" spans="1:29" ht="11.25" customHeight="1" x14ac:dyDescent="0.2">
      <c r="A68" s="64" t="s">
        <v>160</v>
      </c>
      <c r="B68" s="65" t="s">
        <v>99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8"/>
        <v>UsdLibor6M</v>
      </c>
      <c r="H68" s="64" t="str">
        <f t="shared" si="19"/>
        <v>USDAM3L50Y_S6L3L_Quote</v>
      </c>
      <c r="I68" s="141">
        <v>0</v>
      </c>
      <c r="J68" s="70" t="str">
        <f>_xll.qlSwapRateHelper2(,H68,,B68,JoinCalendar,USD6M!D68,USD6M!E68,USD6M!F68,USD6M!G68,USD6M!I68,USD6M!C68,Discounting,PillarDate,,Permanent,Trigger,ObjectOverwrite)</f>
        <v>obj_002d4#0044</v>
      </c>
    </row>
    <row r="69" spans="1:29" ht="11.25" customHeight="1" x14ac:dyDescent="0.2">
      <c r="A69" s="64" t="s">
        <v>160</v>
      </c>
      <c r="B69" s="65" t="s">
        <v>155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8"/>
        <v>UsdLibor6M</v>
      </c>
      <c r="H69" s="64" t="str">
        <f t="shared" si="19"/>
        <v>USDAM3L55Y_S6L3L_Quote</v>
      </c>
      <c r="I69" s="139">
        <v>0</v>
      </c>
      <c r="J69" s="70"/>
    </row>
    <row r="70" spans="1:29" ht="11.25" customHeight="1" x14ac:dyDescent="0.2">
      <c r="A70" s="1" t="s">
        <v>160</v>
      </c>
      <c r="B70" s="9" t="s">
        <v>147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 t="shared" si="18"/>
        <v>UsdLibor6M</v>
      </c>
      <c r="H70" s="1" t="str">
        <f t="shared" si="19"/>
        <v>USDAM3L60Y_S6L3L_Quote</v>
      </c>
      <c r="I70" s="142">
        <v>0</v>
      </c>
      <c r="J70" s="3" t="str">
        <f>_xll.qlSwapRateHelper2(,H70,,B70,JoinCalendar,USD6M!D70,USD6M!E70,USD6M!F70,USD6M!G70,USD6M!I70,USD6M!C70,Discounting,PillarDate,,Permanent,Trigger,ObjectOverwrite)</f>
        <v>obj_0027e#0044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17.285156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</v>
      </c>
      <c r="H1" s="55" t="str">
        <f>"_SYNTH"&amp;Tenor</f>
        <v>_SYNTH1M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USD1M</v>
      </c>
      <c r="W1" s="190"/>
      <c r="X1" s="72"/>
      <c r="Y1" s="75"/>
      <c r="Z1" s="75"/>
      <c r="AA1" s="72"/>
      <c r="AB1" s="190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55">_xll.qlPiecewiseYieldCurveData(YieldCurve_1M,Trigger)</f>
        <v>1</v>
      </c>
      <c r="AE2" s="222" t="s">
        <v>118</v>
      </c>
      <c r="AF2" s="22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7" si="0">Currency&amp;$B3&amp;"D"&amp;$H$1&amp;QuoteSuffix</f>
        <v>USDSND_SYNTH1M_Quote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IFERROR(INDEX($L$3:$L$55,MATCH(X3,$N$3:$N$55,0),1),"")</f>
        <v>Dp</v>
      </c>
      <c r="W3" s="4" t="str">
        <f t="array" ref="W3:W55">_xll.qlRateHelperSelection(_xll.ohFilter(RateHelpers,IncludeFlag),_xll.ohFilter(Priority,IncludeFlag),$AF$3,$AF$4,$AF$5,$AF$6,_xll.ohFilter(MinDistance,IncludeFlag),Trigger)</f>
        <v>obj_0029d</v>
      </c>
      <c r="X3" s="4" t="str">
        <f>IFERROR(_xll.qlRateHelperQuoteName(W3,Trigger),"")</f>
        <v>USDSWD_SYNTH1M_Quote</v>
      </c>
      <c r="Y3" s="76">
        <f>IFERROR(_xll.qlRateHelperRate(W3,Trigger),"")</f>
        <v>4.1700000000000001E-3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42436</v>
      </c>
      <c r="AB3" s="5">
        <f>IFERROR(_xll.qlRateHelperPillarDate(W3,Trigger),"")</f>
        <v>42443</v>
      </c>
      <c r="AC3" s="84">
        <v>0.99991892324064036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USDSWD_SYNTH1M_Quote</v>
      </c>
      <c r="I4" s="143"/>
      <c r="J4" s="70" t="str">
        <f>_xll.qlDepositRateHelper(,H4,G4,Permanent,Trigger,ObjectOverwrite)</f>
        <v>obj_0029d#0044</v>
      </c>
      <c r="K4" s="53"/>
      <c r="L4" s="11" t="str">
        <f t="shared" ref="L4:L7" si="1">A4</f>
        <v>Dp</v>
      </c>
      <c r="M4" s="106" t="str">
        <f t="shared" ref="M4:M7" si="2">IF(ISBLANK(J4),"--",J4)</f>
        <v>obj_0029d#0044</v>
      </c>
      <c r="N4" s="160" t="str">
        <f>IFERROR(_xll.qlRateHelperQuoteName(M4,Trigger),"--")</f>
        <v>USDSWD_SYNTH1M_Quote</v>
      </c>
      <c r="O4" s="110">
        <f>IFERROR(_xll.qlRateHelperQuoteValue($M4,Trigger),"--")</f>
        <v>4.1700000000000001E-3</v>
      </c>
      <c r="P4" s="109" t="b">
        <v>1</v>
      </c>
      <c r="Q4" s="106">
        <v>10</v>
      </c>
      <c r="R4" s="106">
        <v>1</v>
      </c>
      <c r="S4" s="111">
        <f>IFERROR(_xll.qlRateHelperEarliestDate(M4,Trigger),"--")</f>
        <v>42436</v>
      </c>
      <c r="T4" s="111">
        <f>IFERROR(_xll.qlRateHelperPillarDate(M4,Trigger),"--")</f>
        <v>42443</v>
      </c>
      <c r="V4" s="4" t="str">
        <f t="shared" ref="V4:V55" si="3">IFERROR(INDEX($L$3:$L$55,MATCH(X4,$N$3:$N$55,0),1),"")</f>
        <v>Dp</v>
      </c>
      <c r="W4" s="4" t="str">
        <v>obj_002d0</v>
      </c>
      <c r="X4" s="4" t="str">
        <f>IFERROR(_xll.qlRateHelperQuoteName(W4,Trigger),"")</f>
        <v>USD1MD_SYNTH1M_Quote</v>
      </c>
      <c r="Y4" s="76">
        <f>IFERROR(_xll.qlRateHelperRate(W4,Trigger),"")</f>
        <v>4.4050000000000001E-3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42436</v>
      </c>
      <c r="AB4" s="5">
        <f>IFERROR(_xll.qlRateHelperPillarDate(W4,Trigger),"")</f>
        <v>42467</v>
      </c>
      <c r="AC4" s="84">
        <v>0.99962082438423938</v>
      </c>
      <c r="AE4" s="119" t="s">
        <v>120</v>
      </c>
      <c r="AF4" s="120">
        <v>0</v>
      </c>
    </row>
    <row r="5" spans="1:32" ht="11.25" customHeight="1" x14ac:dyDescent="0.2">
      <c r="A5" s="176" t="s">
        <v>27</v>
      </c>
      <c r="B5" s="177" t="s">
        <v>51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obj_002f9#0044</v>
      </c>
      <c r="H5" s="181" t="str">
        <f t="shared" si="0"/>
        <v>USD2WD_SYNTH1M_Quote</v>
      </c>
      <c r="I5" s="179"/>
      <c r="J5" s="182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Sw</v>
      </c>
      <c r="W5" s="4" t="str">
        <v>obj_00291</v>
      </c>
      <c r="X5" s="4" t="str">
        <f>IFERROR(_xll.qlRateHelperQuoteName(W5,Trigger),"")</f>
        <v>USD3X1S_Quote</v>
      </c>
      <c r="Y5" s="76">
        <f>IFERROR(_xll.qlRateHelperRate(W5,Trigger),"")</f>
        <v>4.7799999999999995E-3</v>
      </c>
      <c r="Z5" s="116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42436</v>
      </c>
      <c r="AB5" s="5">
        <f>IFERROR(_xll.qlRateHelperPillarDate(W5,Trigger),"")</f>
        <v>42528</v>
      </c>
      <c r="AC5" s="84">
        <v>0.99877985659901014</v>
      </c>
      <c r="AD5" s="87"/>
      <c r="AE5" s="119" t="s">
        <v>121</v>
      </c>
      <c r="AF5" s="120">
        <v>0</v>
      </c>
    </row>
    <row r="6" spans="1:32" ht="11.25" customHeight="1" x14ac:dyDescent="0.2">
      <c r="A6" s="183" t="s">
        <v>27</v>
      </c>
      <c r="B6" s="184" t="s">
        <v>52</v>
      </c>
      <c r="C6" s="185" t="str">
        <f t="shared" ref="C6:C7" si="4">B6</f>
        <v>3W</v>
      </c>
      <c r="D6" s="186"/>
      <c r="E6" s="186"/>
      <c r="F6" s="186"/>
      <c r="G6" s="187" t="str">
        <f>_xll.qlLibor(,Currency,C6,,Permanent,Trigger,ObjectOverwrite)</f>
        <v>obj_002a7#0044</v>
      </c>
      <c r="H6" s="188" t="str">
        <f t="shared" si="0"/>
        <v>USD3WD_SYNTH1M_Quote</v>
      </c>
      <c r="I6" s="186"/>
      <c r="J6" s="189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Sw</v>
      </c>
      <c r="W6" s="4" t="str">
        <v>obj_002d2</v>
      </c>
      <c r="X6" s="4" t="str">
        <f>IFERROR(_xll.qlRateHelperQuoteName(W6,Trigger),"")</f>
        <v>USD6X1S_Quote</v>
      </c>
      <c r="Y6" s="76">
        <f>IFERROR(_xll.qlRateHelperRate(W6,Trigger),"")</f>
        <v>5.28E-3</v>
      </c>
      <c r="Z6" s="116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42436</v>
      </c>
      <c r="AB6" s="5">
        <f>IFERROR(_xll.qlRateHelperPillarDate(W6,Trigger),"")</f>
        <v>42620</v>
      </c>
      <c r="AC6" s="84">
        <v>0.99730811957547072</v>
      </c>
      <c r="AE6" s="119" t="s">
        <v>122</v>
      </c>
      <c r="AF6" s="121" t="s">
        <v>123</v>
      </c>
    </row>
    <row r="7" spans="1:32" ht="11.25" customHeight="1" x14ac:dyDescent="0.2">
      <c r="A7" s="1" t="s">
        <v>27</v>
      </c>
      <c r="B7" s="9" t="s">
        <v>2</v>
      </c>
      <c r="C7" s="10" t="str">
        <f t="shared" si="4"/>
        <v>1M</v>
      </c>
      <c r="D7" s="138"/>
      <c r="E7" s="138"/>
      <c r="F7" s="138"/>
      <c r="G7" s="7" t="str">
        <f>PROPER(Currency)&amp;FamilyName&amp;B7</f>
        <v>UsdLibor1M</v>
      </c>
      <c r="H7" s="135" t="str">
        <f t="shared" si="0"/>
        <v>USD1MD_SYNTH1M_Quote</v>
      </c>
      <c r="I7" s="138"/>
      <c r="J7" s="3" t="str">
        <f>_xll.qlDepositRateHelper(,H7,G7,Permanent,Trigger,ObjectOverwrite)</f>
        <v>obj_002d0#0044</v>
      </c>
      <c r="K7" s="53"/>
      <c r="L7" s="11" t="str">
        <f t="shared" si="1"/>
        <v>Dp</v>
      </c>
      <c r="M7" s="106" t="str">
        <f t="shared" si="2"/>
        <v>obj_002d0#0044</v>
      </c>
      <c r="N7" s="160" t="str">
        <f>IFERROR(_xll.qlRateHelperQuoteName(M7,Trigger),"--")</f>
        <v>USD1MD_SYNTH1M_Quote</v>
      </c>
      <c r="O7" s="110">
        <f>IFERROR(_xll.qlRateHelperQuoteValue($M7,Trigger),"--")</f>
        <v>4.4050000000000001E-3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42436</v>
      </c>
      <c r="T7" s="111">
        <f>IFERROR(_xll.qlRateHelperPillarDate(M7,Trigger),"--")</f>
        <v>42467</v>
      </c>
      <c r="V7" s="4" t="str">
        <f t="shared" si="3"/>
        <v>Sw</v>
      </c>
      <c r="W7" s="4" t="str">
        <v>obj_002a5</v>
      </c>
      <c r="X7" s="4" t="str">
        <f>IFERROR(_xll.qlRateHelperQuoteName(W7,Trigger),"")</f>
        <v>USD9X1S_Quote</v>
      </c>
      <c r="Y7" s="76">
        <f>IFERROR(_xll.qlRateHelperRate(W7,Trigger),"")</f>
        <v>5.6799999999999993E-3</v>
      </c>
      <c r="Z7" s="116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42436</v>
      </c>
      <c r="AB7" s="5">
        <f>IFERROR(_xll.qlRateHelperPillarDate(W7,Trigger),"")</f>
        <v>42711</v>
      </c>
      <c r="AC7" s="84">
        <v>0.99567857831713069</v>
      </c>
    </row>
    <row r="8" spans="1:32" ht="11.25" customHeight="1" x14ac:dyDescent="0.2">
      <c r="B8" s="51"/>
      <c r="C8" s="51"/>
      <c r="D8" s="51"/>
      <c r="E8" s="51"/>
      <c r="F8" s="51"/>
      <c r="G8" s="51" t="s">
        <v>158</v>
      </c>
      <c r="H8" s="51"/>
      <c r="K8" s="53"/>
      <c r="L8" s="74" t="str">
        <f>A10</f>
        <v>Sw</v>
      </c>
      <c r="M8" s="145" t="str">
        <f>IF(ISBLANK(J10),"--",J10)</f>
        <v>--</v>
      </c>
      <c r="N8" s="159" t="str">
        <f>IFERROR(_xll.qlRateHelperQuoteName(M8,Trigger),"--")</f>
        <v>--</v>
      </c>
      <c r="O8" s="147" t="str">
        <f>IFERROR(_xll.qlRateHelperQuoteValue($M8,Trigger),"--")</f>
        <v>--</v>
      </c>
      <c r="P8" s="146" t="b">
        <v>0</v>
      </c>
      <c r="Q8" s="145">
        <v>10</v>
      </c>
      <c r="R8" s="145">
        <v>1</v>
      </c>
      <c r="S8" s="148" t="str">
        <f>IFERROR(_xll.qlRateHelperEarliestDate(M8,Trigger),"--")</f>
        <v>--</v>
      </c>
      <c r="T8" s="148" t="str">
        <f>IFERROR(_xll.qlRateHelperPillarDate(M8,Trigger),"--")</f>
        <v>--</v>
      </c>
      <c r="V8" s="4" t="str">
        <f t="shared" si="3"/>
        <v>Sw</v>
      </c>
      <c r="W8" s="4" t="str">
        <v>obj_00295</v>
      </c>
      <c r="X8" s="4" t="str">
        <f>IFERROR(_xll.qlRateHelperQuoteName(W8,Trigger),"")</f>
        <v>USD12X1S_Quote</v>
      </c>
      <c r="Y8" s="76">
        <f>IFERROR(_xll.qlRateHelperRate(W8,Trigger),"")</f>
        <v>6.0999999999999995E-3</v>
      </c>
      <c r="Z8" s="116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42436</v>
      </c>
      <c r="AB8" s="5">
        <f>IFERROR(_xll.qlRateHelperPillarDate(W8,Trigger),"")</f>
        <v>42801</v>
      </c>
      <c r="AC8" s="84">
        <v>0.99385084345571417</v>
      </c>
    </row>
    <row r="9" spans="1:32" ht="11.25" customHeight="1" x14ac:dyDescent="0.2">
      <c r="A9" s="71" t="s">
        <v>9</v>
      </c>
      <c r="B9" s="71" t="s">
        <v>30</v>
      </c>
      <c r="C9" s="71" t="s">
        <v>151</v>
      </c>
      <c r="D9" s="71" t="s">
        <v>5</v>
      </c>
      <c r="E9" s="71" t="s">
        <v>35</v>
      </c>
      <c r="F9" s="71" t="s">
        <v>152</v>
      </c>
      <c r="G9" s="71" t="s">
        <v>4</v>
      </c>
      <c r="H9" s="71" t="s">
        <v>1</v>
      </c>
      <c r="I9" s="71" t="s">
        <v>148</v>
      </c>
      <c r="J9" s="71" t="s">
        <v>25</v>
      </c>
      <c r="K9" s="53"/>
      <c r="L9" s="11" t="str">
        <f t="shared" ref="L9:L18" si="5">A11</f>
        <v>Sw</v>
      </c>
      <c r="M9" s="106" t="str">
        <f t="shared" ref="M9:M18" si="6">IF(ISBLANK(J11),"--",J11)</f>
        <v>obj_00291#0044</v>
      </c>
      <c r="N9" s="160" t="str">
        <f>IFERROR(_xll.qlRateHelperQuoteName(M9,Trigger),"--")</f>
        <v>USD3X1S_Quote</v>
      </c>
      <c r="O9" s="110">
        <f>IFERROR(_xll.qlRateHelperQuoteValue($M9,Trigger),"--")</f>
        <v>4.7799999999999995E-3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42436</v>
      </c>
      <c r="T9" s="111">
        <f>IFERROR(_xll.qlRateHelperPillarDate(M9,Trigger),"--")</f>
        <v>42528</v>
      </c>
      <c r="V9" s="4" t="str">
        <f t="shared" si="3"/>
        <v>BasSw</v>
      </c>
      <c r="W9" s="4" t="str">
        <v>obj_00292</v>
      </c>
      <c r="X9" s="4" t="str">
        <f>IFERROR(_xll.qlRateHelperQuoteName(W9,Trigger),"")</f>
        <v>USDAM3L2Y_Quote</v>
      </c>
      <c r="Y9" s="76">
        <f>IFERROR(_xll.qlRateHelperRate(W9,Trigger),"")</f>
        <v>9.0299999999999998E-3</v>
      </c>
      <c r="Z9" s="116">
        <f>IF(ISERROR(_xll.qlSwapRateHelperSpread($W9)),IF(ISERROR(_xll.qlFuturesRateHelperConvexityAdjustment($W9)),"",_xll.qlFuturesRateHelperConvexityAdjustment($W9)),_xll.qlSwapRateHelperSpread($W9))</f>
        <v>1.5400000000000001E-3</v>
      </c>
      <c r="AA9" s="5">
        <f>IFERROR(_xll.qlRateHelperEarliestDate(W9,Trigger),"")</f>
        <v>42436</v>
      </c>
      <c r="AB9" s="5">
        <f>IFERROR(_xll.qlRateHelperPillarDate(W9,Trigger),"")</f>
        <v>43166</v>
      </c>
      <c r="AC9" s="84">
        <v>0.98497579960245918</v>
      </c>
    </row>
    <row r="10" spans="1:32" ht="11.25" customHeight="1" x14ac:dyDescent="0.2">
      <c r="A10" s="58" t="s">
        <v>26</v>
      </c>
      <c r="B10" s="59" t="s">
        <v>53</v>
      </c>
      <c r="C10" s="60" t="s">
        <v>6</v>
      </c>
      <c r="D10" s="60" t="s">
        <v>8</v>
      </c>
      <c r="E10" s="60" t="s">
        <v>7</v>
      </c>
      <c r="F10" s="60" t="s">
        <v>28</v>
      </c>
      <c r="G10" s="60" t="str">
        <f t="shared" ref="G10:G20" si="7">PROPER(Currency)&amp;FamilyName&amp;Tenor</f>
        <v>UsdLibor1M</v>
      </c>
      <c r="H10" s="58" t="str">
        <f t="shared" ref="H10:H20" si="8">Currency&amp;SUBSTITUTE($B10,"M","")&amp;$G$8&amp;QuoteSuffix</f>
        <v>USD2X1S_Quote</v>
      </c>
      <c r="I10" s="140">
        <v>0</v>
      </c>
      <c r="J10" s="70"/>
      <c r="K10" s="53"/>
      <c r="L10" s="11" t="str">
        <f t="shared" si="5"/>
        <v>Sw</v>
      </c>
      <c r="M10" s="106" t="str">
        <f t="shared" si="6"/>
        <v>--</v>
      </c>
      <c r="N10" s="160" t="str">
        <f>IFERROR(_xll.qlRateHelperQuoteName(M10,Trigger),"--")</f>
        <v>--</v>
      </c>
      <c r="O10" s="110" t="str">
        <f>IFERROR(_xll.qlRateHelperQuoteValue($M10,Trigger),"--")</f>
        <v>--</v>
      </c>
      <c r="P10" s="109" t="b">
        <v>0</v>
      </c>
      <c r="Q10" s="106">
        <v>10</v>
      </c>
      <c r="R10" s="106">
        <v>1</v>
      </c>
      <c r="S10" s="111" t="str">
        <f>IFERROR(_xll.qlRateHelperEarliestDate(M10,Trigger),"--")</f>
        <v>--</v>
      </c>
      <c r="T10" s="111" t="str">
        <f>IFERROR(_xll.qlRateHelperPillarDate(M10,Trigger),"--")</f>
        <v>--</v>
      </c>
      <c r="V10" s="4" t="str">
        <f t="shared" si="3"/>
        <v>BasSw</v>
      </c>
      <c r="W10" s="4" t="str">
        <v>obj_002f2</v>
      </c>
      <c r="X10" s="4" t="str">
        <f>IFERROR(_xll.qlRateHelperQuoteName(W10,Trigger),"")</f>
        <v>USDAM3L3Y_Quote</v>
      </c>
      <c r="Y10" s="76">
        <f>IFERROR(_xll.qlRateHelperRate(W10,Trigger),"")</f>
        <v>1.0289999999999999E-2</v>
      </c>
      <c r="Z10" s="116">
        <f>IF(ISERROR(_xll.qlSwapRateHelperSpread($W10)),IF(ISERROR(_xll.qlFuturesRateHelperConvexityAdjustment($W10)),"",_xll.qlFuturesRateHelperConvexityAdjustment($W10)),_xll.qlSwapRateHelperSpread($W10))</f>
        <v>1.47E-3</v>
      </c>
      <c r="AA10" s="5">
        <f>IFERROR(_xll.qlRateHelperEarliestDate(W10,Trigger),"")</f>
        <v>42436</v>
      </c>
      <c r="AB10" s="5">
        <f>IFERROR(_xll.qlRateHelperPillarDate(W10,Trigger),"")</f>
        <v>43531</v>
      </c>
      <c r="AC10" s="84">
        <v>0.97360498841884457</v>
      </c>
    </row>
    <row r="11" spans="1:32" ht="11.25" customHeight="1" x14ac:dyDescent="0.2">
      <c r="A11" s="64" t="s">
        <v>26</v>
      </c>
      <c r="B11" s="65" t="s">
        <v>0</v>
      </c>
      <c r="C11" s="66" t="s">
        <v>6</v>
      </c>
      <c r="D11" s="66" t="s">
        <v>8</v>
      </c>
      <c r="E11" s="66" t="s">
        <v>7</v>
      </c>
      <c r="F11" s="66" t="s">
        <v>28</v>
      </c>
      <c r="G11" s="66" t="str">
        <f t="shared" si="7"/>
        <v>UsdLibor1M</v>
      </c>
      <c r="H11" s="64" t="str">
        <f t="shared" si="8"/>
        <v>USD3X1S_Quote</v>
      </c>
      <c r="I11" s="141">
        <v>0</v>
      </c>
      <c r="J11" s="70" t="str">
        <f>_xll.qlSwapRateHelper2(,H11,,B11,JoinCalendar,USD1M!D11,USD1M!E11,USD1M!F11,USD1M!G11,USD1M!I11,USD1M!C11,Discounting,PillarDate,,Permanent,Trigger,ObjectOverwrite)</f>
        <v>obj_00291#0044</v>
      </c>
      <c r="K11" s="53"/>
      <c r="L11" s="11" t="str">
        <f t="shared" si="5"/>
        <v>Sw</v>
      </c>
      <c r="M11" s="106" t="str">
        <f t="shared" si="6"/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10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BasSw</v>
      </c>
      <c r="W11" s="4" t="str">
        <v>obj_002c4</v>
      </c>
      <c r="X11" s="4" t="str">
        <f>IFERROR(_xll.qlRateHelperQuoteName(W11,Trigger),"")</f>
        <v>USDAM3L4Y_Quote</v>
      </c>
      <c r="Y11" s="76">
        <f>IFERROR(_xll.qlRateHelperRate(W11,Trigger),"")</f>
        <v>1.153E-2</v>
      </c>
      <c r="Z11" s="116">
        <f>IF(ISERROR(_xll.qlSwapRateHelperSpread($W11)),IF(ISERROR(_xll.qlFuturesRateHelperConvexityAdjustment($W11)),"",_xll.qlFuturesRateHelperConvexityAdjustment($W11)),_xll.qlSwapRateHelperSpread($W11))</f>
        <v>1.41E-3</v>
      </c>
      <c r="AA11" s="5">
        <f>IFERROR(_xll.qlRateHelperEarliestDate(W11,Trigger),"")</f>
        <v>42436</v>
      </c>
      <c r="AB11" s="5">
        <f>IFERROR(_xll.qlRateHelperPillarDate(W11,Trigger),"")</f>
        <v>43899</v>
      </c>
      <c r="AC11" s="84">
        <v>0.95979327498093148</v>
      </c>
    </row>
    <row r="12" spans="1:32" ht="11.25" customHeight="1" x14ac:dyDescent="0.2">
      <c r="A12" s="64" t="s">
        <v>26</v>
      </c>
      <c r="B12" s="65" t="s">
        <v>54</v>
      </c>
      <c r="C12" s="66" t="s">
        <v>6</v>
      </c>
      <c r="D12" s="66" t="s">
        <v>8</v>
      </c>
      <c r="E12" s="66" t="s">
        <v>7</v>
      </c>
      <c r="F12" s="66" t="s">
        <v>28</v>
      </c>
      <c r="G12" s="66" t="str">
        <f t="shared" si="7"/>
        <v>UsdLibor1M</v>
      </c>
      <c r="H12" s="64" t="str">
        <f t="shared" si="8"/>
        <v>USD4X1S_Quote</v>
      </c>
      <c r="I12" s="141">
        <v>0</v>
      </c>
      <c r="J12" s="70"/>
      <c r="K12" s="53" t="s">
        <v>47</v>
      </c>
      <c r="L12" s="11" t="str">
        <f t="shared" si="5"/>
        <v>Sw</v>
      </c>
      <c r="M12" s="106" t="str">
        <f t="shared" si="6"/>
        <v>obj_002d2#0044</v>
      </c>
      <c r="N12" s="160" t="str">
        <f>IFERROR(_xll.qlRateHelperQuoteName(M12,Trigger),"--")</f>
        <v>USD6X1S_Quote</v>
      </c>
      <c r="O12" s="110">
        <f>IFERROR(_xll.qlRateHelperQuoteValue($M12,Trigger),"--")</f>
        <v>5.28E-3</v>
      </c>
      <c r="P12" s="109" t="b">
        <v>1</v>
      </c>
      <c r="Q12" s="106">
        <v>70</v>
      </c>
      <c r="R12" s="106">
        <v>1</v>
      </c>
      <c r="S12" s="111">
        <f>IFERROR(_xll.qlRateHelperEarliestDate(M12,Trigger),"--")</f>
        <v>42436</v>
      </c>
      <c r="T12" s="111">
        <f>IFERROR(_xll.qlRateHelperPillarDate(M12,Trigger),"--")</f>
        <v>42620</v>
      </c>
      <c r="V12" s="4" t="str">
        <f t="shared" si="3"/>
        <v>BasSw</v>
      </c>
      <c r="W12" s="4" t="str">
        <v>obj_0029b</v>
      </c>
      <c r="X12" s="4" t="str">
        <f>IFERROR(_xll.qlRateHelperQuoteName(W12,Trigger),"")</f>
        <v>USDAM3L5Y_Quote</v>
      </c>
      <c r="Y12" s="76">
        <f>IFERROR(_xll.qlRateHelperRate(W12,Trigger),"")</f>
        <v>1.2669999999999999E-2</v>
      </c>
      <c r="Z12" s="116">
        <f>IF(ISERROR(_xll.qlSwapRateHelperSpread($W12)),IF(ISERROR(_xll.qlFuturesRateHelperConvexityAdjustment($W12)),"",_xll.qlFuturesRateHelperConvexityAdjustment($W12)),_xll.qlSwapRateHelperSpread($W12))</f>
        <v>1.33E-3</v>
      </c>
      <c r="AA12" s="5">
        <f>IFERROR(_xll.qlRateHelperEarliestDate(W12,Trigger),"")</f>
        <v>42436</v>
      </c>
      <c r="AB12" s="5">
        <f>IFERROR(_xll.qlRateHelperPillarDate(W12,Trigger),"")</f>
        <v>44263</v>
      </c>
      <c r="AC12" s="84">
        <v>0.94413399658494568</v>
      </c>
    </row>
    <row r="13" spans="1:32" ht="11.25" customHeight="1" x14ac:dyDescent="0.2">
      <c r="A13" s="64" t="s">
        <v>26</v>
      </c>
      <c r="B13" s="65" t="s">
        <v>55</v>
      </c>
      <c r="C13" s="66" t="s">
        <v>6</v>
      </c>
      <c r="D13" s="66" t="s">
        <v>8</v>
      </c>
      <c r="E13" s="66" t="s">
        <v>7</v>
      </c>
      <c r="F13" s="66" t="s">
        <v>28</v>
      </c>
      <c r="G13" s="66" t="str">
        <f t="shared" si="7"/>
        <v>UsdLibor1M</v>
      </c>
      <c r="H13" s="64" t="str">
        <f t="shared" si="8"/>
        <v>USD5X1S_Quote</v>
      </c>
      <c r="I13" s="141">
        <v>0</v>
      </c>
      <c r="J13" s="70"/>
      <c r="K13" s="53"/>
      <c r="L13" s="11" t="str">
        <f t="shared" si="5"/>
        <v>Sw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BasSw</v>
      </c>
      <c r="W13" s="4" t="str">
        <v>obj_002c3</v>
      </c>
      <c r="X13" s="4" t="str">
        <f>IFERROR(_xll.qlRateHelperQuoteName(W13,Trigger),"")</f>
        <v>USDAM3L6Y_Quote</v>
      </c>
      <c r="Y13" s="76">
        <f>IFERROR(_xll.qlRateHelperRate(W13,Trigger),"")</f>
        <v>1.3729999999999999E-2</v>
      </c>
      <c r="Z13" s="116">
        <f>IF(ISERROR(_xll.qlSwapRateHelperSpread($W13)),IF(ISERROR(_xll.qlFuturesRateHelperConvexityAdjustment($W13)),"",_xll.qlFuturesRateHelperConvexityAdjustment($W13)),_xll.qlSwapRateHelperSpread($W13))</f>
        <v>1.24E-3</v>
      </c>
      <c r="AA13" s="5">
        <f>IFERROR(_xll.qlRateHelperEarliestDate(W13,Trigger),"")</f>
        <v>42436</v>
      </c>
      <c r="AB13" s="5">
        <f>IFERROR(_xll.qlRateHelperPillarDate(W13,Trigger),"")</f>
        <v>44627</v>
      </c>
      <c r="AC13" s="84">
        <v>0.92678489043073886</v>
      </c>
    </row>
    <row r="14" spans="1:32" ht="11.25" customHeight="1" x14ac:dyDescent="0.2">
      <c r="A14" s="64" t="s">
        <v>26</v>
      </c>
      <c r="B14" s="65" t="s">
        <v>3</v>
      </c>
      <c r="C14" s="66" t="s">
        <v>6</v>
      </c>
      <c r="D14" s="66" t="s">
        <v>8</v>
      </c>
      <c r="E14" s="66" t="s">
        <v>7</v>
      </c>
      <c r="F14" s="66" t="s">
        <v>28</v>
      </c>
      <c r="G14" s="66" t="str">
        <f t="shared" si="7"/>
        <v>UsdLibor1M</v>
      </c>
      <c r="H14" s="64" t="str">
        <f t="shared" si="8"/>
        <v>USD6X1S_Quote</v>
      </c>
      <c r="I14" s="141">
        <v>0</v>
      </c>
      <c r="J14" s="70" t="str">
        <f>_xll.qlSwapRateHelper2(,H14,,B14,JoinCalendar,USD1M!D14,USD1M!E14,USD1M!F14,USD1M!G14,USD1M!I14,USD1M!C14,Discounting,PillarDate,,Permanent,Trigger,ObjectOverwrite)</f>
        <v>obj_002d2#0044</v>
      </c>
      <c r="K14" s="53"/>
      <c r="L14" s="11" t="str">
        <f t="shared" si="5"/>
        <v>Sw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BasSw</v>
      </c>
      <c r="W14" s="4" t="str">
        <v>obj_002c6</v>
      </c>
      <c r="X14" s="4" t="str">
        <f>IFERROR(_xll.qlRateHelperQuoteName(W14,Trigger),"")</f>
        <v>USDAM3L7Y_Quote</v>
      </c>
      <c r="Y14" s="76">
        <f>IFERROR(_xll.qlRateHelperRate(W14,Trigger),"")</f>
        <v>1.4659999999999999E-2</v>
      </c>
      <c r="Z14" s="116">
        <f>IF(ISERROR(_xll.qlSwapRateHelperSpread($W14)),IF(ISERROR(_xll.qlFuturesRateHelperConvexityAdjustment($W14)),"",_xll.qlFuturesRateHelperConvexityAdjustment($W14)),_xll.qlSwapRateHelperSpread($W14))</f>
        <v>1.16E-3</v>
      </c>
      <c r="AA14" s="5">
        <f>IFERROR(_xll.qlRateHelperEarliestDate(W14,Trigger),"")</f>
        <v>42436</v>
      </c>
      <c r="AB14" s="5">
        <f>IFERROR(_xll.qlRateHelperPillarDate(W14,Trigger),"")</f>
        <v>44992</v>
      </c>
      <c r="AC14" s="84">
        <v>0.90845878603585761</v>
      </c>
    </row>
    <row r="15" spans="1:32" ht="11.25" customHeight="1" x14ac:dyDescent="0.2">
      <c r="A15" s="64" t="s">
        <v>26</v>
      </c>
      <c r="B15" s="65" t="s">
        <v>56</v>
      </c>
      <c r="C15" s="66" t="s">
        <v>6</v>
      </c>
      <c r="D15" s="66" t="s">
        <v>8</v>
      </c>
      <c r="E15" s="66" t="s">
        <v>7</v>
      </c>
      <c r="F15" s="66" t="s">
        <v>28</v>
      </c>
      <c r="G15" s="66" t="str">
        <f t="shared" si="7"/>
        <v>UsdLibor1M</v>
      </c>
      <c r="H15" s="64" t="str">
        <f t="shared" si="8"/>
        <v>USD7X1S_Quote</v>
      </c>
      <c r="I15" s="141">
        <v>0</v>
      </c>
      <c r="J15" s="70"/>
      <c r="K15" s="53"/>
      <c r="L15" s="11" t="str">
        <f t="shared" si="5"/>
        <v>Sw</v>
      </c>
      <c r="M15" s="106" t="str">
        <f t="shared" si="6"/>
        <v>obj_002a5#0044</v>
      </c>
      <c r="N15" s="160" t="str">
        <f>IFERROR(_xll.qlRateHelperQuoteName(M15,Trigger),"--")</f>
        <v>USD9X1S_Quote</v>
      </c>
      <c r="O15" s="110">
        <f>IFERROR(_xll.qlRateHelperQuoteValue($M15,Trigger),"--")</f>
        <v>5.6799999999999993E-3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42436</v>
      </c>
      <c r="T15" s="111">
        <f>IFERROR(_xll.qlRateHelperPillarDate(M15,Trigger),"--")</f>
        <v>42711</v>
      </c>
      <c r="V15" s="4" t="str">
        <f t="shared" si="3"/>
        <v>BasSw</v>
      </c>
      <c r="W15" s="4" t="str">
        <v>obj_002ae</v>
      </c>
      <c r="X15" s="4" t="str">
        <f>IFERROR(_xll.qlRateHelperQuoteName(W15,Trigger),"")</f>
        <v>USDAM3L8Y_Quote</v>
      </c>
      <c r="Y15" s="76">
        <f>IFERROR(_xll.qlRateHelperRate(W15,Trigger),"")</f>
        <v>1.5469999999999999E-2</v>
      </c>
      <c r="Z15" s="116">
        <f>IF(ISERROR(_xll.qlSwapRateHelperSpread($W15)),IF(ISERROR(_xll.qlFuturesRateHelperConvexityAdjustment($W15)),"",_xll.qlFuturesRateHelperConvexityAdjustment($W15)),_xll.qlSwapRateHelperSpread($W15))</f>
        <v>1.09E-3</v>
      </c>
      <c r="AA15" s="5">
        <f>IFERROR(_xll.qlRateHelperEarliestDate(W15,Trigger),"")</f>
        <v>42436</v>
      </c>
      <c r="AB15" s="5">
        <f>IFERROR(_xll.qlRateHelperPillarDate(W15,Trigger),"")</f>
        <v>45358</v>
      </c>
      <c r="AC15" s="84">
        <v>0.88952306270033343</v>
      </c>
    </row>
    <row r="16" spans="1:32" ht="11.25" customHeight="1" x14ac:dyDescent="0.2">
      <c r="A16" s="64" t="s">
        <v>26</v>
      </c>
      <c r="B16" s="65" t="s">
        <v>57</v>
      </c>
      <c r="C16" s="66" t="s">
        <v>6</v>
      </c>
      <c r="D16" s="66" t="s">
        <v>8</v>
      </c>
      <c r="E16" s="66" t="s">
        <v>7</v>
      </c>
      <c r="F16" s="66" t="s">
        <v>28</v>
      </c>
      <c r="G16" s="66" t="str">
        <f t="shared" si="7"/>
        <v>UsdLibor1M</v>
      </c>
      <c r="H16" s="64" t="str">
        <f t="shared" si="8"/>
        <v>USD8X1S_Quote</v>
      </c>
      <c r="I16" s="141">
        <v>0</v>
      </c>
      <c r="J16" s="70"/>
      <c r="K16" s="53"/>
      <c r="L16" s="11" t="str">
        <f t="shared" si="5"/>
        <v>Sw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BasSw</v>
      </c>
      <c r="W16" s="4" t="str">
        <v>obj_002d1</v>
      </c>
      <c r="X16" s="4" t="str">
        <f>IFERROR(_xll.qlRateHelperQuoteName(W16,Trigger),"")</f>
        <v>USDAM3L9Y_Quote</v>
      </c>
      <c r="Y16" s="76">
        <f>IFERROR(_xll.qlRateHelperRate(W16,Trigger),"")</f>
        <v>1.6200000000000003E-2</v>
      </c>
      <c r="Z16" s="116">
        <f>IF(ISERROR(_xll.qlSwapRateHelperSpread($W16)),IF(ISERROR(_xll.qlFuturesRateHelperConvexityAdjustment($W16)),"",_xll.qlFuturesRateHelperConvexityAdjustment($W16)),_xll.qlSwapRateHelperSpread($W16))</f>
        <v>1.0300000000000001E-3</v>
      </c>
      <c r="AA16" s="5">
        <f>IFERROR(_xll.qlRateHelperEarliestDate(W16,Trigger),"")</f>
        <v>42436</v>
      </c>
      <c r="AB16" s="5">
        <f>IFERROR(_xll.qlRateHelperPillarDate(W16,Trigger),"")</f>
        <v>45723</v>
      </c>
      <c r="AC16" s="84">
        <v>0.87011450341189434</v>
      </c>
    </row>
    <row r="17" spans="1:29" ht="11.25" customHeight="1" x14ac:dyDescent="0.2">
      <c r="A17" s="64" t="s">
        <v>26</v>
      </c>
      <c r="B17" s="65" t="s">
        <v>58</v>
      </c>
      <c r="C17" s="66" t="s">
        <v>6</v>
      </c>
      <c r="D17" s="66" t="s">
        <v>8</v>
      </c>
      <c r="E17" s="66" t="s">
        <v>7</v>
      </c>
      <c r="F17" s="66" t="s">
        <v>28</v>
      </c>
      <c r="G17" s="66" t="str">
        <f t="shared" si="7"/>
        <v>UsdLibor1M</v>
      </c>
      <c r="H17" s="64" t="str">
        <f t="shared" si="8"/>
        <v>USD9X1S_Quote</v>
      </c>
      <c r="I17" s="141">
        <v>0</v>
      </c>
      <c r="J17" s="70" t="str">
        <f>_xll.qlSwapRateHelper2(,H17,,B17,JoinCalendar,USD1M!D17,USD1M!E17,USD1M!F17,USD1M!G17,USD1M!I17,USD1M!C17,Discounting,PillarDate,,Permanent,Trigger,ObjectOverwrite)</f>
        <v>obj_002a5#0044</v>
      </c>
      <c r="K17" s="53"/>
      <c r="L17" s="11" t="str">
        <f t="shared" si="5"/>
        <v>Sw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BasSw</v>
      </c>
      <c r="W17" s="4" t="str">
        <v>obj_002a1</v>
      </c>
      <c r="X17" s="4" t="str">
        <f>IFERROR(_xll.qlRateHelperQuoteName(W17,Trigger),"")</f>
        <v>USDAM3L10Y_Quote</v>
      </c>
      <c r="Y17" s="76">
        <f>IFERROR(_xll.qlRateHelperRate(W17,Trigger),"")</f>
        <v>1.6890000000000002E-2</v>
      </c>
      <c r="Z17" s="116">
        <f>IF(ISERROR(_xll.qlSwapRateHelperSpread($W17)),IF(ISERROR(_xll.qlFuturesRateHelperConvexityAdjustment($W17)),"",_xll.qlFuturesRateHelperConvexityAdjustment($W17)),_xll.qlSwapRateHelperSpread($W17))</f>
        <v>1E-3</v>
      </c>
      <c r="AA17" s="5">
        <f>IFERROR(_xll.qlRateHelperEarliestDate(W17,Trigger),"")</f>
        <v>42436</v>
      </c>
      <c r="AB17" s="5">
        <f>IFERROR(_xll.qlRateHelperPillarDate(W17,Trigger),"")</f>
        <v>46090</v>
      </c>
      <c r="AC17" s="84">
        <v>0.85023118768453365</v>
      </c>
    </row>
    <row r="18" spans="1:29" ht="11.25" customHeight="1" x14ac:dyDescent="0.2">
      <c r="A18" s="64" t="s">
        <v>26</v>
      </c>
      <c r="B18" s="65" t="s">
        <v>59</v>
      </c>
      <c r="C18" s="66" t="s">
        <v>6</v>
      </c>
      <c r="D18" s="66" t="s">
        <v>8</v>
      </c>
      <c r="E18" s="66" t="s">
        <v>7</v>
      </c>
      <c r="F18" s="66" t="s">
        <v>28</v>
      </c>
      <c r="G18" s="66" t="str">
        <f t="shared" si="7"/>
        <v>UsdLibor1M</v>
      </c>
      <c r="H18" s="64" t="str">
        <f t="shared" si="8"/>
        <v>USD10X1S_Quote</v>
      </c>
      <c r="I18" s="141">
        <v>0</v>
      </c>
      <c r="J18" s="70"/>
      <c r="K18" s="53"/>
      <c r="L18" s="12" t="str">
        <f t="shared" si="5"/>
        <v>Sw</v>
      </c>
      <c r="M18" s="107" t="str">
        <f t="shared" si="6"/>
        <v>obj_00295#0044</v>
      </c>
      <c r="N18" s="161" t="str">
        <f>IFERROR(_xll.qlRateHelperQuoteName(M18,Trigger),"--")</f>
        <v>USD12X1S_Quote</v>
      </c>
      <c r="O18" s="113">
        <f>IFERROR(_xll.qlRateHelperQuoteValue($M18,Trigger),"--")</f>
        <v>6.0999999999999995E-3</v>
      </c>
      <c r="P18" s="174" t="b">
        <f>NOT(ISERROR(_xll.qlQuoteValue(N18)))</f>
        <v>1</v>
      </c>
      <c r="Q18" s="107">
        <v>20</v>
      </c>
      <c r="R18" s="107">
        <v>1</v>
      </c>
      <c r="S18" s="114">
        <f>IFERROR(_xll.qlRateHelperEarliestDate(M18,Trigger),"--")</f>
        <v>42436</v>
      </c>
      <c r="T18" s="114">
        <f>IFERROR(_xll.qlRateHelperPillarDate(M18,Trigger),"--")</f>
        <v>42801</v>
      </c>
      <c r="V18" s="4" t="str">
        <f t="shared" si="3"/>
        <v>BasSw</v>
      </c>
      <c r="W18" s="4" t="str">
        <v>obj_00297</v>
      </c>
      <c r="X18" s="4" t="str">
        <f>IFERROR(_xll.qlRateHelperQuoteName(W18,Trigger),"")</f>
        <v>USDAM3L12Y_Quote</v>
      </c>
      <c r="Y18" s="76">
        <f>IFERROR(_xll.qlRateHelperRate(W18,Trigger),"")</f>
        <v>1.804E-2</v>
      </c>
      <c r="Z18" s="116">
        <f>IF(ISERROR(_xll.qlSwapRateHelperSpread($W18)),IF(ISERROR(_xll.qlFuturesRateHelperConvexityAdjustment($W18)),"",_xll.qlFuturesRateHelperConvexityAdjustment($W18)),_xll.qlSwapRateHelperSpread($W18))</f>
        <v>9.5999999999999992E-4</v>
      </c>
      <c r="AA18" s="5">
        <f>IFERROR(_xll.qlRateHelperEarliestDate(W18,Trigger),"")</f>
        <v>42436</v>
      </c>
      <c r="AB18" s="5">
        <f>IFERROR(_xll.qlRateHelperPillarDate(W18,Trigger),"")</f>
        <v>46819</v>
      </c>
      <c r="AC18" s="84">
        <v>0.8107606585730649</v>
      </c>
    </row>
    <row r="19" spans="1:29" ht="11.25" customHeight="1" x14ac:dyDescent="0.2">
      <c r="A19" s="64" t="s">
        <v>26</v>
      </c>
      <c r="B19" s="65" t="s">
        <v>60</v>
      </c>
      <c r="C19" s="66" t="s">
        <v>6</v>
      </c>
      <c r="D19" s="66" t="s">
        <v>8</v>
      </c>
      <c r="E19" s="66" t="s">
        <v>7</v>
      </c>
      <c r="F19" s="66" t="s">
        <v>28</v>
      </c>
      <c r="G19" s="66" t="str">
        <f t="shared" si="7"/>
        <v>UsdLibor1M</v>
      </c>
      <c r="H19" s="64" t="str">
        <f t="shared" si="8"/>
        <v>USD11X1S_Quote</v>
      </c>
      <c r="I19" s="141">
        <v>0</v>
      </c>
      <c r="J19" s="70"/>
      <c r="K19" s="53"/>
      <c r="L19" s="74" t="str">
        <f>A23</f>
        <v>BasSw</v>
      </c>
      <c r="M19" s="145" t="str">
        <f>IF(ISBLANK(J23),"--",J23)</f>
        <v>--</v>
      </c>
      <c r="N19" s="159" t="str">
        <f>IFERROR(_xll.qlRateHelperQuoteName(M19,Trigger),"--")</f>
        <v>--</v>
      </c>
      <c r="O19" s="147" t="str">
        <f>IFERROR(_xll.qlRateHelperQuoteValue($M19,Trigger),"--")</f>
        <v>--</v>
      </c>
      <c r="P19" s="146" t="b">
        <v>0</v>
      </c>
      <c r="Q19" s="145">
        <v>20</v>
      </c>
      <c r="R19" s="145">
        <v>1</v>
      </c>
      <c r="S19" s="148" t="str">
        <f>IFERROR(_xll.qlRateHelperEarliestDate(M19,Trigger),"--")</f>
        <v>--</v>
      </c>
      <c r="T19" s="148" t="str">
        <f>IFERROR(_xll.qlRateHelperPillarDate(M19,Trigger),"--")</f>
        <v>--</v>
      </c>
      <c r="V19" s="4" t="str">
        <f t="shared" si="3"/>
        <v>BasSw</v>
      </c>
      <c r="W19" s="4" t="str">
        <v>obj_0028d</v>
      </c>
      <c r="X19" s="4" t="str">
        <f>IFERROR(_xll.qlRateHelperQuoteName(W19,Trigger),"")</f>
        <v>USDAM3L15Y_Quote</v>
      </c>
      <c r="Y19" s="76">
        <f>IFERROR(_xll.qlRateHelperRate(W19,Trigger),"")</f>
        <v>1.9260000000000003E-2</v>
      </c>
      <c r="Z19" s="116">
        <f>IF(ISERROR(_xll.qlSwapRateHelperSpread($W19)),IF(ISERROR(_xll.qlFuturesRateHelperConvexityAdjustment($W19)),"",_xll.qlFuturesRateHelperConvexityAdjustment($W19)),_xll.qlSwapRateHelperSpread($W19))</f>
        <v>9.6999999999999994E-4</v>
      </c>
      <c r="AA19" s="5">
        <f>IFERROR(_xll.qlRateHelperEarliestDate(W19,Trigger),"")</f>
        <v>42436</v>
      </c>
      <c r="AB19" s="5">
        <f>IFERROR(_xll.qlRateHelperPillarDate(W19,Trigger),"")</f>
        <v>47914</v>
      </c>
      <c r="AC19" s="84">
        <v>0.75454962839855511</v>
      </c>
    </row>
    <row r="20" spans="1:29" ht="11.25" customHeight="1" x14ac:dyDescent="0.2">
      <c r="A20" s="1" t="s">
        <v>26</v>
      </c>
      <c r="B20" s="9" t="s">
        <v>157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UsdLibor1M</v>
      </c>
      <c r="H20" s="1" t="str">
        <f t="shared" si="8"/>
        <v>USD12X1S_Quote</v>
      </c>
      <c r="I20" s="144">
        <v>0</v>
      </c>
      <c r="J20" s="3" t="str">
        <f>_xll.qlSwapRateHelper2(,H20,,B20,JoinCalendar,USD1M!D20,USD1M!E20,USD1M!F20,USD1M!G20,USD1M!I20,USD1M!C20,Discounting,PillarDate,,Permanent,Trigger,ObjectOverwrite)</f>
        <v>obj_00295#0044</v>
      </c>
      <c r="K20" s="53"/>
      <c r="L20" s="11" t="str">
        <f t="shared" ref="L20:L55" si="9">A24</f>
        <v>BasSw</v>
      </c>
      <c r="M20" s="106" t="str">
        <f t="shared" ref="M20:M55" si="10">IF(ISBLANK(J24),"--",J24)</f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BasSw</v>
      </c>
      <c r="W20" s="4" t="str">
        <v>obj_002dd</v>
      </c>
      <c r="X20" s="4" t="str">
        <f>IFERROR(_xll.qlRateHelperQuoteName(W20,Trigger),"")</f>
        <v>USDAM3L20Y_Quote</v>
      </c>
      <c r="Y20" s="76">
        <f>IFERROR(_xll.qlRateHelperRate(W20,Trigger),"")</f>
        <v>2.053E-2</v>
      </c>
      <c r="Z20" s="116">
        <f>IF(ISERROR(_xll.qlSwapRateHelperSpread($W20)),IF(ISERROR(_xll.qlFuturesRateHelperConvexityAdjustment($W20)),"",_xll.qlFuturesRateHelperConvexityAdjustment($W20)),_xll.qlSwapRateHelperSpread($W20))</f>
        <v>1.07E-3</v>
      </c>
      <c r="AA20" s="5">
        <f>IFERROR(_xll.qlRateHelperEarliestDate(W20,Trigger),"")</f>
        <v>42436</v>
      </c>
      <c r="AB20" s="5">
        <f>IFERROR(_xll.qlRateHelperPillarDate(W20,Trigger),"")</f>
        <v>49741</v>
      </c>
      <c r="AC20" s="84">
        <v>0.66977861559426466</v>
      </c>
    </row>
    <row r="21" spans="1:29" ht="11.25" customHeight="1" x14ac:dyDescent="0.2">
      <c r="F21" s="55" t="s">
        <v>150</v>
      </c>
      <c r="G21" s="55" t="s">
        <v>149</v>
      </c>
      <c r="H21" s="55" t="s">
        <v>159</v>
      </c>
      <c r="K21" s="53"/>
      <c r="L21" s="11" t="str">
        <f t="shared" si="9"/>
        <v>BasSw</v>
      </c>
      <c r="M21" s="106" t="str">
        <f t="shared" si="10"/>
        <v>--</v>
      </c>
      <c r="N21" s="160" t="str">
        <f>IFERROR(_xll.qlRateHelperQuoteName(M21,Trigger),"--")</f>
        <v>--</v>
      </c>
      <c r="O21" s="110" t="str">
        <f>IFERROR(_xll.qlRateHelperQuoteValue($M21,Trigger),"--")</f>
        <v>--</v>
      </c>
      <c r="P21" s="109" t="b">
        <v>0</v>
      </c>
      <c r="Q21" s="106">
        <v>20</v>
      </c>
      <c r="R21" s="106">
        <v>1</v>
      </c>
      <c r="S21" s="111" t="str">
        <f>IFERROR(_xll.qlRateHelperEarliestDate(M21,Trigger),"--")</f>
        <v>--</v>
      </c>
      <c r="T21" s="111" t="str">
        <f>IFERROR(_xll.qlRateHelperPillarDate(M21,Trigger),"--")</f>
        <v>--</v>
      </c>
      <c r="V21" s="4" t="str">
        <f t="shared" si="3"/>
        <v>BasSw</v>
      </c>
      <c r="W21" s="4" t="str">
        <v>obj_002ce</v>
      </c>
      <c r="X21" s="4" t="str">
        <f>IFERROR(_xll.qlRateHelperQuoteName(W21,Trigger),"")</f>
        <v>USDAM3L25Y_Quote</v>
      </c>
      <c r="Y21" s="76">
        <f>IFERROR(_xll.qlRateHelperRate(W21,Trigger),"")</f>
        <v>2.1129999999999999E-2</v>
      </c>
      <c r="Z21" s="116">
        <f>IF(ISERROR(_xll.qlSwapRateHelperSpread($W21)),IF(ISERROR(_xll.qlFuturesRateHelperConvexityAdjustment($W21)),"",_xll.qlFuturesRateHelperConvexityAdjustment($W21)),_xll.qlSwapRateHelperSpread($W21))</f>
        <v>1.15E-3</v>
      </c>
      <c r="AA21" s="5">
        <f>IFERROR(_xll.qlRateHelperEarliestDate(W21,Trigger),"")</f>
        <v>42436</v>
      </c>
      <c r="AB21" s="5">
        <f>IFERROR(_xll.qlRateHelperPillarDate(W21,Trigger),"")</f>
        <v>51567</v>
      </c>
      <c r="AC21" s="84">
        <v>0.59775526926867739</v>
      </c>
    </row>
    <row r="22" spans="1:29" ht="11.25" customHeight="1" x14ac:dyDescent="0.2">
      <c r="A22" s="71" t="s">
        <v>9</v>
      </c>
      <c r="B22" s="71" t="s">
        <v>30</v>
      </c>
      <c r="C22" s="71" t="s">
        <v>151</v>
      </c>
      <c r="D22" s="71" t="s">
        <v>5</v>
      </c>
      <c r="E22" s="71" t="s">
        <v>35</v>
      </c>
      <c r="F22" s="71" t="s">
        <v>152</v>
      </c>
      <c r="G22" s="71" t="s">
        <v>4</v>
      </c>
      <c r="H22" s="71" t="s">
        <v>1</v>
      </c>
      <c r="I22" s="71" t="s">
        <v>148</v>
      </c>
      <c r="J22" s="71" t="s">
        <v>25</v>
      </c>
      <c r="K22" s="53"/>
      <c r="L22" s="11" t="str">
        <f t="shared" si="9"/>
        <v>BasSw</v>
      </c>
      <c r="M22" s="106" t="str">
        <f t="shared" si="10"/>
        <v>--</v>
      </c>
      <c r="N22" s="160" t="str">
        <f>IFERROR(_xll.qlRateHelperQuoteName(M22,Trigger),"--")</f>
        <v>--</v>
      </c>
      <c r="O22" s="110" t="str">
        <f>IFERROR(_xll.qlRateHelperQuoteValue($M22,Trigger),"--")</f>
        <v>--</v>
      </c>
      <c r="P22" s="109" t="b">
        <v>0</v>
      </c>
      <c r="Q22" s="106">
        <v>20</v>
      </c>
      <c r="R22" s="106">
        <v>1</v>
      </c>
      <c r="S22" s="111" t="str">
        <f>IFERROR(_xll.qlRateHelperEarliestDate(M22,Trigger),"--")</f>
        <v>--</v>
      </c>
      <c r="T22" s="111" t="str">
        <f>IFERROR(_xll.qlRateHelperPillarDate(M22,Trigger),"--")</f>
        <v>--</v>
      </c>
      <c r="V22" s="4" t="str">
        <f t="shared" si="3"/>
        <v>BasSw</v>
      </c>
      <c r="W22" s="4" t="str">
        <v>obj_002ea</v>
      </c>
      <c r="X22" s="4" t="str">
        <f>IFERROR(_xll.qlRateHelperQuoteName(W22,Trigger),"")</f>
        <v>USDAM3L30Y_Quote</v>
      </c>
      <c r="Y22" s="76">
        <f>IFERROR(_xll.qlRateHelperRate(W22,Trigger),"")</f>
        <v>2.145E-2</v>
      </c>
      <c r="Z22" s="116">
        <f>IF(ISERROR(_xll.qlSwapRateHelperSpread($W22)),IF(ISERROR(_xll.qlFuturesRateHelperConvexityAdjustment($W22)),"",_xll.qlFuturesRateHelperConvexityAdjustment($W22)),_xll.qlSwapRateHelperSpread($W22))</f>
        <v>1.1900000000000001E-3</v>
      </c>
      <c r="AA22" s="5">
        <f>IFERROR(_xll.qlRateHelperEarliestDate(W22,Trigger),"")</f>
        <v>42436</v>
      </c>
      <c r="AB22" s="5">
        <f>IFERROR(_xll.qlRateHelperPillarDate(W22,Trigger),"")</f>
        <v>53393</v>
      </c>
      <c r="AC22" s="84">
        <v>0.53480378579079391</v>
      </c>
    </row>
    <row r="23" spans="1:29" ht="11.25" customHeight="1" x14ac:dyDescent="0.2">
      <c r="A23" s="64" t="s">
        <v>160</v>
      </c>
      <c r="B23" s="65" t="s">
        <v>29</v>
      </c>
      <c r="C23" s="66" t="s">
        <v>6</v>
      </c>
      <c r="D23" s="66" t="s">
        <v>8</v>
      </c>
      <c r="E23" s="66" t="s">
        <v>7</v>
      </c>
      <c r="F23" s="66" t="s">
        <v>28</v>
      </c>
      <c r="G23" s="66" t="str">
        <f t="shared" ref="G23:G59" si="11">PROPER(Currency)&amp;FamilyName&amp;Tenor</f>
        <v>UsdLibor1M</v>
      </c>
      <c r="H23" s="64" t="str">
        <f t="shared" ref="H23:H59" si="12">Currency&amp;$G$21&amp;$F$21&amp;$B23&amp;QuoteSuffix</f>
        <v>USDAM3L1Y_Quote</v>
      </c>
      <c r="I23" s="171" t="str">
        <f t="shared" ref="I23:I59" si="13">Currency&amp;$F$21&amp;$H$21&amp;$B23&amp;QuoteSuffix</f>
        <v>USD3L1L1Y_Quote</v>
      </c>
      <c r="J23" s="70"/>
      <c r="K23" s="53"/>
      <c r="L23" s="11" t="str">
        <f t="shared" si="9"/>
        <v>BasSw</v>
      </c>
      <c r="M23" s="106" t="str">
        <f t="shared" si="10"/>
        <v>obj_00292#0044</v>
      </c>
      <c r="N23" s="160" t="str">
        <f>IFERROR(_xll.qlRateHelperQuoteName(M23,Trigger),"--")</f>
        <v>USDAM3L2Y_Quote</v>
      </c>
      <c r="O23" s="110">
        <f>IFERROR(_xll.qlRateHelperQuoteValue($M23,Trigger),"--")</f>
        <v>9.0299999999999998E-3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42436</v>
      </c>
      <c r="T23" s="111">
        <f>IFERROR(_xll.qlRateHelperPillarDate(M23,Trigger),"--")</f>
        <v>43166</v>
      </c>
      <c r="V23" s="4" t="str">
        <f t="shared" si="3"/>
        <v>BasSw</v>
      </c>
      <c r="W23" s="4" t="str">
        <v>obj_0027b</v>
      </c>
      <c r="X23" s="4" t="str">
        <f>IFERROR(_xll.qlRateHelperQuoteName(W23,Trigger),"")</f>
        <v>USDAM3L40Y_Quote</v>
      </c>
      <c r="Y23" s="76">
        <f>IFERROR(_xll.qlRateHelperRate(W23,Trigger),"")</f>
        <v>2.162E-2</v>
      </c>
      <c r="Z23" s="116">
        <f>IF(ISERROR(_xll.qlSwapRateHelperSpread($W23)),IF(ISERROR(_xll.qlFuturesRateHelperConvexityAdjustment($W23)),"",_xll.qlFuturesRateHelperConvexityAdjustment($W23)),_xll.qlSwapRateHelperSpread($W23))</f>
        <v>1.1900000000000001E-3</v>
      </c>
      <c r="AA23" s="5">
        <f>IFERROR(_xll.qlRateHelperEarliestDate(W23,Trigger),"")</f>
        <v>42436</v>
      </c>
      <c r="AB23" s="5">
        <f>IFERROR(_xll.qlRateHelperPillarDate(W23,Trigger),"")</f>
        <v>57046</v>
      </c>
      <c r="AC23" s="84">
        <v>0.4323139173417333</v>
      </c>
    </row>
    <row r="24" spans="1:29" ht="11.25" customHeight="1" x14ac:dyDescent="0.2">
      <c r="A24" s="64" t="s">
        <v>160</v>
      </c>
      <c r="B24" s="65" t="s">
        <v>63</v>
      </c>
      <c r="C24" s="66" t="s">
        <v>6</v>
      </c>
      <c r="D24" s="66" t="s">
        <v>8</v>
      </c>
      <c r="E24" s="66" t="s">
        <v>7</v>
      </c>
      <c r="F24" s="66" t="s">
        <v>28</v>
      </c>
      <c r="G24" s="66" t="str">
        <f t="shared" si="11"/>
        <v>UsdLibor1M</v>
      </c>
      <c r="H24" s="64" t="str">
        <f t="shared" si="12"/>
        <v>USDAM3L15M_Quote</v>
      </c>
      <c r="I24" s="171" t="str">
        <f t="shared" si="13"/>
        <v>USD3L1L15M_Quote</v>
      </c>
      <c r="J24" s="70"/>
      <c r="K24" s="53"/>
      <c r="L24" s="11" t="str">
        <f t="shared" si="9"/>
        <v>BasSw</v>
      </c>
      <c r="M24" s="106" t="str">
        <f t="shared" si="10"/>
        <v>obj_002f2#0044</v>
      </c>
      <c r="N24" s="160" t="str">
        <f>IFERROR(_xll.qlRateHelperQuoteName(M24,Trigger),"--")</f>
        <v>USDAM3L3Y_Quote</v>
      </c>
      <c r="O24" s="110">
        <f>IFERROR(_xll.qlRateHelperQuoteValue($M24,Trigger),"--")</f>
        <v>1.0289999999999999E-2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42436</v>
      </c>
      <c r="T24" s="111">
        <f>IFERROR(_xll.qlRateHelperPillarDate(M24,Trigger),"--")</f>
        <v>43531</v>
      </c>
      <c r="V24" s="4" t="str">
        <f t="shared" si="3"/>
        <v>BasSw</v>
      </c>
      <c r="W24" s="4" t="str">
        <v>obj_002fa</v>
      </c>
      <c r="X24" s="4" t="str">
        <f>IFERROR(_xll.qlRateHelperQuoteName(W24,Trigger),"")</f>
        <v>USDAM3L50Y_Quote</v>
      </c>
      <c r="Y24" s="76">
        <f>IFERROR(_xll.qlRateHelperRate(W24,Trigger),"")</f>
        <v>2.1499999999999998E-2</v>
      </c>
      <c r="Z24" s="116">
        <f>IF(ISERROR(_xll.qlSwapRateHelperSpread($W24)),IF(ISERROR(_xll.qlFuturesRateHelperConvexityAdjustment($W24)),"",_xll.qlFuturesRateHelperConvexityAdjustment($W24)),_xll.qlSwapRateHelperSpread($W24))</f>
        <v>1.1900000000000001E-3</v>
      </c>
      <c r="AA24" s="5">
        <f>IFERROR(_xll.qlRateHelperEarliestDate(W24,Trigger),"")</f>
        <v>42436</v>
      </c>
      <c r="AB24" s="5">
        <f>IFERROR(_xll.qlRateHelperPillarDate(W24,Trigger),"")</f>
        <v>60699</v>
      </c>
      <c r="AC24" s="84">
        <v>0.35533860009776191</v>
      </c>
    </row>
    <row r="25" spans="1:29" ht="11.25" customHeight="1" x14ac:dyDescent="0.2">
      <c r="A25" s="64" t="s">
        <v>160</v>
      </c>
      <c r="B25" s="65" t="s">
        <v>66</v>
      </c>
      <c r="C25" s="66" t="s">
        <v>6</v>
      </c>
      <c r="D25" s="66" t="s">
        <v>8</v>
      </c>
      <c r="E25" s="66" t="s">
        <v>7</v>
      </c>
      <c r="F25" s="66" t="s">
        <v>28</v>
      </c>
      <c r="G25" s="66" t="str">
        <f t="shared" si="11"/>
        <v>UsdLibor1M</v>
      </c>
      <c r="H25" s="64" t="str">
        <f t="shared" si="12"/>
        <v>USDAM3L18M_Quote</v>
      </c>
      <c r="I25" s="171" t="str">
        <f t="shared" si="13"/>
        <v>USD3L1L18M_Quote</v>
      </c>
      <c r="J25" s="70"/>
      <c r="K25" s="53"/>
      <c r="L25" s="11" t="str">
        <f t="shared" si="9"/>
        <v>BasSw</v>
      </c>
      <c r="M25" s="106" t="str">
        <f t="shared" si="10"/>
        <v>obj_002c4#0044</v>
      </c>
      <c r="N25" s="160" t="str">
        <f>IFERROR(_xll.qlRateHelperQuoteName(M25,Trigger),"--")</f>
        <v>USDAM3L4Y_Quote</v>
      </c>
      <c r="O25" s="110">
        <f>IFERROR(_xll.qlRateHelperQuoteValue($M25,Trigger),"--")</f>
        <v>1.153E-2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42436</v>
      </c>
      <c r="T25" s="111">
        <f>IFERROR(_xll.qlRateHelperPillarDate(M25,Trigger),"--")</f>
        <v>43899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6" t="str">
        <f>IFERROR(_xll.qlRateHelperRate(W25,Trigger),"")</f>
        <v/>
      </c>
      <c r="Z25" s="116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4" t="e">
        <v>#N/A</v>
      </c>
    </row>
    <row r="26" spans="1:29" ht="11.25" customHeight="1" x14ac:dyDescent="0.2">
      <c r="A26" s="64" t="s">
        <v>160</v>
      </c>
      <c r="B26" s="65" t="s">
        <v>69</v>
      </c>
      <c r="C26" s="66" t="s">
        <v>6</v>
      </c>
      <c r="D26" s="66" t="s">
        <v>8</v>
      </c>
      <c r="E26" s="66" t="s">
        <v>7</v>
      </c>
      <c r="F26" s="66" t="s">
        <v>28</v>
      </c>
      <c r="G26" s="66" t="str">
        <f t="shared" si="11"/>
        <v>UsdLibor1M</v>
      </c>
      <c r="H26" s="64" t="str">
        <f t="shared" si="12"/>
        <v>USDAM3L21M_Quote</v>
      </c>
      <c r="I26" s="171" t="str">
        <f t="shared" si="13"/>
        <v>USD3L1L21M_Quote</v>
      </c>
      <c r="J26" s="70"/>
      <c r="K26" s="53"/>
      <c r="L26" s="11" t="str">
        <f t="shared" si="9"/>
        <v>BasSw</v>
      </c>
      <c r="M26" s="106" t="str">
        <f t="shared" si="10"/>
        <v>obj_0029b#0044</v>
      </c>
      <c r="N26" s="160" t="str">
        <f>IFERROR(_xll.qlRateHelperQuoteName(M26,Trigger),"--")</f>
        <v>USDAM3L5Y_Quote</v>
      </c>
      <c r="O26" s="110">
        <f>IFERROR(_xll.qlRateHelperQuoteValue($M26,Trigger),"--")</f>
        <v>1.2669999999999999E-2</v>
      </c>
      <c r="P26" s="109" t="b">
        <v>1</v>
      </c>
      <c r="Q26" s="106">
        <v>20</v>
      </c>
      <c r="R26" s="106">
        <v>1</v>
      </c>
      <c r="S26" s="111">
        <f>IFERROR(_xll.qlRateHelperEarliestDate(M26,Trigger),"--")</f>
        <v>42436</v>
      </c>
      <c r="T26" s="111">
        <f>IFERROR(_xll.qlRateHelperPillarDate(M26,Trigger),"--")</f>
        <v>44263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6" t="str">
        <f>IFERROR(_xll.qlRateHelperRate(W26,Trigger),"")</f>
        <v/>
      </c>
      <c r="Z26" s="116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4" t="e">
        <v>#N/A</v>
      </c>
    </row>
    <row r="27" spans="1:29" ht="11.25" customHeight="1" x14ac:dyDescent="0.2">
      <c r="A27" s="64" t="s">
        <v>160</v>
      </c>
      <c r="B27" s="65" t="s">
        <v>72</v>
      </c>
      <c r="C27" s="66" t="s">
        <v>6</v>
      </c>
      <c r="D27" s="66" t="s">
        <v>8</v>
      </c>
      <c r="E27" s="66" t="s">
        <v>7</v>
      </c>
      <c r="F27" s="66" t="s">
        <v>28</v>
      </c>
      <c r="G27" s="66" t="str">
        <f t="shared" si="11"/>
        <v>UsdLibor1M</v>
      </c>
      <c r="H27" s="64" t="str">
        <f t="shared" si="12"/>
        <v>USDAM3L2Y_Quote</v>
      </c>
      <c r="I27" s="171" t="str">
        <f t="shared" si="13"/>
        <v>USD3L1L2Y_Quote</v>
      </c>
      <c r="J27" s="70" t="str">
        <f>_xll.qlSwapRateHelper2(,H27,,B27,JoinCalendar,USD1M!D27,USD1M!E27,USD1M!F27,USD1M!G27,USD1M!I27,USD1M!C27,Discounting,PillarDate,,Permanent,Trigger,ObjectOverwrite)</f>
        <v>obj_00292#0044</v>
      </c>
      <c r="K27" s="53"/>
      <c r="L27" s="11" t="str">
        <f t="shared" si="9"/>
        <v>BasSw</v>
      </c>
      <c r="M27" s="106" t="str">
        <f t="shared" si="10"/>
        <v>obj_002c3#0044</v>
      </c>
      <c r="N27" s="160" t="str">
        <f>IFERROR(_xll.qlRateHelperQuoteName(M27,Trigger),"--")</f>
        <v>USDAM3L6Y_Quote</v>
      </c>
      <c r="O27" s="110">
        <f>IFERROR(_xll.qlRateHelperQuoteValue($M27,Trigger),"--")</f>
        <v>1.3729999999999999E-2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42436</v>
      </c>
      <c r="T27" s="111">
        <f>IFERROR(_xll.qlRateHelperPillarDate(M27,Trigger),"--")</f>
        <v>44627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6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</row>
    <row r="28" spans="1:29" ht="11.25" customHeight="1" x14ac:dyDescent="0.2">
      <c r="A28" s="64" t="s">
        <v>160</v>
      </c>
      <c r="B28" s="65" t="s">
        <v>76</v>
      </c>
      <c r="C28" s="66" t="s">
        <v>6</v>
      </c>
      <c r="D28" s="66" t="s">
        <v>8</v>
      </c>
      <c r="E28" s="66" t="s">
        <v>7</v>
      </c>
      <c r="F28" s="66" t="s">
        <v>28</v>
      </c>
      <c r="G28" s="66" t="str">
        <f t="shared" si="11"/>
        <v>UsdLibor1M</v>
      </c>
      <c r="H28" s="64" t="str">
        <f t="shared" si="12"/>
        <v>USDAM3L3Y_Quote</v>
      </c>
      <c r="I28" s="171" t="str">
        <f t="shared" si="13"/>
        <v>USD3L1L3Y_Quote</v>
      </c>
      <c r="J28" s="70" t="str">
        <f>_xll.qlSwapRateHelper2(,H28,,B28,JoinCalendar,USD1M!D28,USD1M!E28,USD1M!F28,USD1M!G28,USD1M!I28,USD1M!C28,Discounting,PillarDate,,Permanent,Trigger,ObjectOverwrite)</f>
        <v>obj_002f2#0044</v>
      </c>
      <c r="K28" s="53"/>
      <c r="L28" s="11" t="str">
        <f t="shared" si="9"/>
        <v>BasSw</v>
      </c>
      <c r="M28" s="106" t="str">
        <f t="shared" si="10"/>
        <v>obj_002c6#0044</v>
      </c>
      <c r="N28" s="160" t="str">
        <f>IFERROR(_xll.qlRateHelperQuoteName(M28,Trigger),"--")</f>
        <v>USDAM3L7Y_Quote</v>
      </c>
      <c r="O28" s="110">
        <f>IFERROR(_xll.qlRateHelperQuoteValue($M28,Trigger),"--")</f>
        <v>1.4659999999999999E-2</v>
      </c>
      <c r="P28" s="109" t="b">
        <v>1</v>
      </c>
      <c r="Q28" s="106">
        <v>20</v>
      </c>
      <c r="R28" s="106">
        <v>1</v>
      </c>
      <c r="S28" s="111">
        <f>IFERROR(_xll.qlRateHelperEarliestDate(M28,Trigger),"--")</f>
        <v>42436</v>
      </c>
      <c r="T28" s="111">
        <f>IFERROR(_xll.qlRateHelperPillarDate(M28,Trigger),"--")</f>
        <v>44992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6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</row>
    <row r="29" spans="1:29" ht="11.25" customHeight="1" x14ac:dyDescent="0.2">
      <c r="A29" s="64" t="s">
        <v>160</v>
      </c>
      <c r="B29" s="65" t="s">
        <v>80</v>
      </c>
      <c r="C29" s="66" t="s">
        <v>6</v>
      </c>
      <c r="D29" s="66" t="s">
        <v>8</v>
      </c>
      <c r="E29" s="66" t="s">
        <v>7</v>
      </c>
      <c r="F29" s="66" t="s">
        <v>28</v>
      </c>
      <c r="G29" s="66" t="str">
        <f t="shared" si="11"/>
        <v>UsdLibor1M</v>
      </c>
      <c r="H29" s="64" t="str">
        <f t="shared" si="12"/>
        <v>USDAM3L4Y_Quote</v>
      </c>
      <c r="I29" s="171" t="str">
        <f t="shared" si="13"/>
        <v>USD3L1L4Y_Quote</v>
      </c>
      <c r="J29" s="70" t="str">
        <f>_xll.qlSwapRateHelper2(,H29,,B29,JoinCalendar,USD1M!D29,USD1M!E29,USD1M!F29,USD1M!G29,USD1M!I29,USD1M!C29,Discounting,PillarDate,,Permanent,Trigger,ObjectOverwrite)</f>
        <v>obj_002c4#0044</v>
      </c>
      <c r="K29" s="53"/>
      <c r="L29" s="11" t="str">
        <f t="shared" si="9"/>
        <v>BasSw</v>
      </c>
      <c r="M29" s="106" t="str">
        <f t="shared" si="10"/>
        <v>obj_002ae#0044</v>
      </c>
      <c r="N29" s="160" t="str">
        <f>IFERROR(_xll.qlRateHelperQuoteName(M29,Trigger),"--")</f>
        <v>USDAM3L8Y_Quote</v>
      </c>
      <c r="O29" s="110">
        <f>IFERROR(_xll.qlRateHelperQuoteValue($M29,Trigger),"--")</f>
        <v>1.5469999999999999E-2</v>
      </c>
      <c r="P29" s="109" t="b">
        <v>1</v>
      </c>
      <c r="Q29" s="106">
        <v>20</v>
      </c>
      <c r="R29" s="106">
        <v>1</v>
      </c>
      <c r="S29" s="111">
        <f>IFERROR(_xll.qlRateHelperEarliestDate(M29,Trigger),"--")</f>
        <v>42436</v>
      </c>
      <c r="T29" s="111">
        <f>IFERROR(_xll.qlRateHelperPillarDate(M29,Trigger),"--")</f>
        <v>45358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29" ht="11.25" customHeight="1" x14ac:dyDescent="0.2">
      <c r="A30" s="64" t="s">
        <v>160</v>
      </c>
      <c r="B30" s="65" t="s">
        <v>84</v>
      </c>
      <c r="C30" s="66" t="s">
        <v>6</v>
      </c>
      <c r="D30" s="66" t="s">
        <v>8</v>
      </c>
      <c r="E30" s="66" t="s">
        <v>7</v>
      </c>
      <c r="F30" s="66" t="s">
        <v>28</v>
      </c>
      <c r="G30" s="66" t="str">
        <f t="shared" si="11"/>
        <v>UsdLibor1M</v>
      </c>
      <c r="H30" s="64" t="str">
        <f t="shared" si="12"/>
        <v>USDAM3L5Y_Quote</v>
      </c>
      <c r="I30" s="171" t="str">
        <f t="shared" si="13"/>
        <v>USD3L1L5Y_Quote</v>
      </c>
      <c r="J30" s="70" t="str">
        <f>_xll.qlSwapRateHelper2(,H30,,B30,JoinCalendar,USD1M!D30,USD1M!E30,USD1M!F30,USD1M!G30,USD1M!I30,USD1M!C30,Discounting,PillarDate,,Permanent,Trigger,ObjectOverwrite)</f>
        <v>obj_0029b#0044</v>
      </c>
      <c r="K30" s="53"/>
      <c r="L30" s="11" t="str">
        <f t="shared" si="9"/>
        <v>BasSw</v>
      </c>
      <c r="M30" s="106" t="str">
        <f t="shared" si="10"/>
        <v>obj_002d1#0044</v>
      </c>
      <c r="N30" s="160" t="str">
        <f>IFERROR(_xll.qlRateHelperQuoteName(M30,Trigger),"--")</f>
        <v>USDAM3L9Y_Quote</v>
      </c>
      <c r="O30" s="110">
        <f>IFERROR(_xll.qlRateHelperQuoteValue($M30,Trigger),"--")</f>
        <v>1.6200000000000003E-2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42436</v>
      </c>
      <c r="T30" s="111">
        <f>IFERROR(_xll.qlRateHelperPillarDate(M30,Trigger),"--")</f>
        <v>45723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160</v>
      </c>
      <c r="B31" s="65" t="s">
        <v>85</v>
      </c>
      <c r="C31" s="66" t="s">
        <v>6</v>
      </c>
      <c r="D31" s="66" t="s">
        <v>8</v>
      </c>
      <c r="E31" s="66" t="s">
        <v>7</v>
      </c>
      <c r="F31" s="66" t="s">
        <v>28</v>
      </c>
      <c r="G31" s="66" t="str">
        <f t="shared" si="11"/>
        <v>UsdLibor1M</v>
      </c>
      <c r="H31" s="64" t="str">
        <f t="shared" si="12"/>
        <v>USDAM3L6Y_Quote</v>
      </c>
      <c r="I31" s="171" t="str">
        <f t="shared" si="13"/>
        <v>USD3L1L6Y_Quote</v>
      </c>
      <c r="J31" s="70" t="str">
        <f>_xll.qlSwapRateHelper2(,H31,,B31,JoinCalendar,USD1M!D31,USD1M!E31,USD1M!F31,USD1M!G31,USD1M!I31,USD1M!C31,Discounting,PillarDate,,Permanent,Trigger,ObjectOverwrite)</f>
        <v>obj_002c3#0044</v>
      </c>
      <c r="K31" s="53"/>
      <c r="L31" s="11" t="str">
        <f t="shared" si="9"/>
        <v>BasSw</v>
      </c>
      <c r="M31" s="106" t="str">
        <f t="shared" si="10"/>
        <v>obj_002a1#0044</v>
      </c>
      <c r="N31" s="160" t="str">
        <f>IFERROR(_xll.qlRateHelperQuoteName(M31,Trigger),"--")</f>
        <v>USDAM3L10Y_Quote</v>
      </c>
      <c r="O31" s="110">
        <f>IFERROR(_xll.qlRateHelperQuoteValue($M31,Trigger),"--")</f>
        <v>1.6890000000000002E-2</v>
      </c>
      <c r="P31" s="109" t="b">
        <v>1</v>
      </c>
      <c r="Q31" s="106">
        <v>40</v>
      </c>
      <c r="R31" s="106">
        <v>1</v>
      </c>
      <c r="S31" s="111">
        <f>IFERROR(_xll.qlRateHelperEarliestDate(M31,Trigger),"--")</f>
        <v>42436</v>
      </c>
      <c r="T31" s="111">
        <f>IFERROR(_xll.qlRateHelperPillarDate(M31,Trigger),"--")</f>
        <v>46090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160</v>
      </c>
      <c r="B32" s="65" t="s">
        <v>86</v>
      </c>
      <c r="C32" s="66" t="s">
        <v>6</v>
      </c>
      <c r="D32" s="66" t="s">
        <v>8</v>
      </c>
      <c r="E32" s="66" t="s">
        <v>7</v>
      </c>
      <c r="F32" s="66" t="s">
        <v>28</v>
      </c>
      <c r="G32" s="66" t="str">
        <f t="shared" si="11"/>
        <v>UsdLibor1M</v>
      </c>
      <c r="H32" s="64" t="str">
        <f t="shared" si="12"/>
        <v>USDAM3L7Y_Quote</v>
      </c>
      <c r="I32" s="171" t="str">
        <f t="shared" si="13"/>
        <v>USD3L1L7Y_Quote</v>
      </c>
      <c r="J32" s="70" t="str">
        <f>_xll.qlSwapRateHelper2(,H32,,B32,JoinCalendar,USD1M!D32,USD1M!E32,USD1M!F32,USD1M!G32,USD1M!I32,USD1M!C32,Discounting,PillarDate,,Permanent,Trigger,ObjectOverwrite)</f>
        <v>obj_002c6#0044</v>
      </c>
      <c r="K32" s="53"/>
      <c r="L32" s="11" t="str">
        <f t="shared" si="9"/>
        <v>BasSw</v>
      </c>
      <c r="M32" s="106" t="str">
        <f t="shared" si="10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160</v>
      </c>
      <c r="B33" s="65" t="s">
        <v>87</v>
      </c>
      <c r="C33" s="66" t="s">
        <v>6</v>
      </c>
      <c r="D33" s="66" t="s">
        <v>8</v>
      </c>
      <c r="E33" s="66" t="s">
        <v>7</v>
      </c>
      <c r="F33" s="66" t="s">
        <v>28</v>
      </c>
      <c r="G33" s="66" t="str">
        <f t="shared" si="11"/>
        <v>UsdLibor1M</v>
      </c>
      <c r="H33" s="64" t="str">
        <f t="shared" si="12"/>
        <v>USDAM3L8Y_Quote</v>
      </c>
      <c r="I33" s="171" t="str">
        <f t="shared" si="13"/>
        <v>USD3L1L8Y_Quote</v>
      </c>
      <c r="J33" s="70" t="str">
        <f>_xll.qlSwapRateHelper2(,H33,,B33,JoinCalendar,USD1M!D33,USD1M!E33,USD1M!F33,USD1M!G33,USD1M!I33,USD1M!C33,Discounting,PillarDate,,Permanent,Trigger,ObjectOverwrite)</f>
        <v>obj_002ae#0044</v>
      </c>
      <c r="K33" s="53"/>
      <c r="L33" s="11" t="str">
        <f t="shared" si="9"/>
        <v>BasSw</v>
      </c>
      <c r="M33" s="106" t="str">
        <f t="shared" si="10"/>
        <v>obj_00297#0044</v>
      </c>
      <c r="N33" s="160" t="str">
        <f>IFERROR(_xll.qlRateHelperQuoteName(M33,Trigger),"--")</f>
        <v>USDAM3L12Y_Quote</v>
      </c>
      <c r="O33" s="110">
        <f>IFERROR(_xll.qlRateHelperQuoteValue($M33,Trigger),"--")</f>
        <v>1.804E-2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42436</v>
      </c>
      <c r="T33" s="111">
        <f>IFERROR(_xll.qlRateHelperPillarDate(M33,Trigger),"--")</f>
        <v>46819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160</v>
      </c>
      <c r="B34" s="65" t="s">
        <v>88</v>
      </c>
      <c r="C34" s="66" t="s">
        <v>6</v>
      </c>
      <c r="D34" s="66" t="s">
        <v>8</v>
      </c>
      <c r="E34" s="66" t="s">
        <v>7</v>
      </c>
      <c r="F34" s="66" t="s">
        <v>28</v>
      </c>
      <c r="G34" s="66" t="str">
        <f t="shared" si="11"/>
        <v>UsdLibor1M</v>
      </c>
      <c r="H34" s="64" t="str">
        <f t="shared" si="12"/>
        <v>USDAM3L9Y_Quote</v>
      </c>
      <c r="I34" s="171" t="str">
        <f t="shared" si="13"/>
        <v>USD3L1L9Y_Quote</v>
      </c>
      <c r="J34" s="70" t="str">
        <f>_xll.qlSwapRateHelper2(,H34,,B34,JoinCalendar,USD1M!D34,USD1M!E34,USD1M!F34,USD1M!G34,USD1M!I34,USD1M!C34,Discounting,PillarDate,,Permanent,Trigger,ObjectOverwrite)</f>
        <v>obj_002d1#0044</v>
      </c>
      <c r="K34" s="53"/>
      <c r="L34" s="11" t="str">
        <f t="shared" si="9"/>
        <v>BasSw</v>
      </c>
      <c r="M34" s="106" t="str">
        <f t="shared" si="10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160</v>
      </c>
      <c r="B35" s="65" t="s">
        <v>89</v>
      </c>
      <c r="C35" s="66" t="s">
        <v>6</v>
      </c>
      <c r="D35" s="66" t="s">
        <v>8</v>
      </c>
      <c r="E35" s="66" t="s">
        <v>7</v>
      </c>
      <c r="F35" s="66" t="s">
        <v>28</v>
      </c>
      <c r="G35" s="66" t="str">
        <f t="shared" si="11"/>
        <v>UsdLibor1M</v>
      </c>
      <c r="H35" s="64" t="str">
        <f t="shared" si="12"/>
        <v>USDAM3L10Y_Quote</v>
      </c>
      <c r="I35" s="171" t="str">
        <f t="shared" si="13"/>
        <v>USD3L1L10Y_Quote</v>
      </c>
      <c r="J35" s="70" t="str">
        <f>_xll.qlSwapRateHelper2(,H35,,B35,JoinCalendar,USD1M!D35,USD1M!E35,USD1M!F35,USD1M!G35,USD1M!I35,USD1M!C35,Discounting,PillarDate,,Permanent,Trigger,ObjectOverwrite)</f>
        <v>obj_002a1#0044</v>
      </c>
      <c r="K35" s="53"/>
      <c r="L35" s="11" t="str">
        <f t="shared" si="9"/>
        <v>BasSw</v>
      </c>
      <c r="M35" s="106" t="str">
        <f t="shared" si="10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160</v>
      </c>
      <c r="B36" s="65" t="s">
        <v>133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1"/>
        <v>UsdLibor1M</v>
      </c>
      <c r="H36" s="64" t="str">
        <f t="shared" si="12"/>
        <v>USDAM3L11Y_Quote</v>
      </c>
      <c r="I36" s="171" t="str">
        <f t="shared" si="13"/>
        <v>USD3L1L11Y_Quote</v>
      </c>
      <c r="J36" s="70"/>
      <c r="K36" s="53"/>
      <c r="L36" s="11" t="str">
        <f t="shared" si="9"/>
        <v>BasSw</v>
      </c>
      <c r="M36" s="106" t="str">
        <f t="shared" si="10"/>
        <v>obj_0028d#0044</v>
      </c>
      <c r="N36" s="160" t="str">
        <f>IFERROR(_xll.qlRateHelperQuoteName(M36,Trigger),"--")</f>
        <v>USDAM3L15Y_Quote</v>
      </c>
      <c r="O36" s="110">
        <f>IFERROR(_xll.qlRateHelperQuoteValue($M36,Trigger),"--")</f>
        <v>1.9260000000000003E-2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42436</v>
      </c>
      <c r="T36" s="111">
        <f>IFERROR(_xll.qlRateHelperPillarDate(M36,Trigger),"--")</f>
        <v>47914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160</v>
      </c>
      <c r="B37" s="65" t="s">
        <v>90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1"/>
        <v>UsdLibor1M</v>
      </c>
      <c r="H37" s="64" t="str">
        <f t="shared" si="12"/>
        <v>USDAM3L12Y_Quote</v>
      </c>
      <c r="I37" s="171" t="str">
        <f t="shared" si="13"/>
        <v>USD3L1L12Y_Quote</v>
      </c>
      <c r="J37" s="70" t="str">
        <f>_xll.qlSwapRateHelper2(,H37,,B37,JoinCalendar,USD1M!D37,USD1M!E37,USD1M!F37,USD1M!G37,USD1M!I37,USD1M!C37,Discounting,PillarDate,,Permanent,Trigger,ObjectOverwrite)</f>
        <v>obj_00297#0044</v>
      </c>
      <c r="K37" s="53"/>
      <c r="L37" s="11" t="str">
        <f t="shared" si="9"/>
        <v>BasSw</v>
      </c>
      <c r="M37" s="106" t="str">
        <f t="shared" si="10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160</v>
      </c>
      <c r="B38" s="65" t="s">
        <v>134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1"/>
        <v>UsdLibor1M</v>
      </c>
      <c r="H38" s="64" t="str">
        <f t="shared" si="12"/>
        <v>USDAM3L13Y_Quote</v>
      </c>
      <c r="I38" s="171" t="str">
        <f t="shared" si="13"/>
        <v>USD3L1L13Y_Quote</v>
      </c>
      <c r="J38" s="70"/>
      <c r="K38" s="53"/>
      <c r="L38" s="11" t="str">
        <f t="shared" si="9"/>
        <v>BasSw</v>
      </c>
      <c r="M38" s="106" t="str">
        <f t="shared" si="10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160</v>
      </c>
      <c r="B39" s="65" t="s">
        <v>135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1"/>
        <v>UsdLibor1M</v>
      </c>
      <c r="H39" s="64" t="str">
        <f t="shared" si="12"/>
        <v>USDAM3L14Y_Quote</v>
      </c>
      <c r="I39" s="171" t="str">
        <f t="shared" si="13"/>
        <v>USD3L1L14Y_Quote</v>
      </c>
      <c r="J39" s="70"/>
      <c r="K39" s="53"/>
      <c r="L39" s="11" t="str">
        <f t="shared" si="9"/>
        <v>BasSw</v>
      </c>
      <c r="M39" s="106" t="str">
        <f t="shared" si="10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91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1"/>
        <v>UsdLibor1M</v>
      </c>
      <c r="H40" s="64" t="str">
        <f t="shared" si="12"/>
        <v>USDAM3L15Y_Quote</v>
      </c>
      <c r="I40" s="171" t="str">
        <f t="shared" si="13"/>
        <v>USD3L1L15Y_Quote</v>
      </c>
      <c r="J40" s="70" t="str">
        <f>_xll.qlSwapRateHelper2(,H40,,B40,JoinCalendar,USD1M!D40,USD1M!E40,USD1M!F40,USD1M!G40,USD1M!I40,USD1M!C40,Discounting,PillarDate,,Permanent,Trigger,ObjectOverwrite)</f>
        <v>obj_0028d#0044</v>
      </c>
      <c r="K40" s="53"/>
      <c r="L40" s="11" t="str">
        <f t="shared" si="9"/>
        <v>BasSw</v>
      </c>
      <c r="M40" s="106" t="str">
        <f t="shared" si="10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136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1"/>
        <v>UsdLibor1M</v>
      </c>
      <c r="H41" s="64" t="str">
        <f t="shared" si="12"/>
        <v>USDAM3L16Y_Quote</v>
      </c>
      <c r="I41" s="171" t="str">
        <f t="shared" si="13"/>
        <v>USD3L1L16Y_Quote</v>
      </c>
      <c r="J41" s="70"/>
      <c r="L41" s="11" t="str">
        <f t="shared" si="9"/>
        <v>BasSw</v>
      </c>
      <c r="M41" s="106" t="str">
        <f t="shared" si="10"/>
        <v>obj_002dd#0044</v>
      </c>
      <c r="N41" s="160" t="str">
        <f>IFERROR(_xll.qlRateHelperQuoteName(M41,Trigger),"--")</f>
        <v>USDAM3L20Y_Quote</v>
      </c>
      <c r="O41" s="110">
        <f>IFERROR(_xll.qlRateHelperQuoteValue($M41,Trigger),"--")</f>
        <v>2.053E-2</v>
      </c>
      <c r="P41" s="109" t="b">
        <v>1</v>
      </c>
      <c r="Q41" s="106">
        <v>40</v>
      </c>
      <c r="R41" s="106">
        <v>1</v>
      </c>
      <c r="S41" s="111">
        <f>IFERROR(_xll.qlRateHelperEarliestDate(M41,Trigger),"--")</f>
        <v>42436</v>
      </c>
      <c r="T41" s="111">
        <f>IFERROR(_xll.qlRateHelperPillarDate(M41,Trigger),"--")</f>
        <v>49741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137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1"/>
        <v>UsdLibor1M</v>
      </c>
      <c r="H42" s="64" t="str">
        <f t="shared" si="12"/>
        <v>USDAM3L17Y_Quote</v>
      </c>
      <c r="I42" s="171" t="str">
        <f t="shared" si="13"/>
        <v>USD3L1L17Y_Quote</v>
      </c>
      <c r="J42" s="70"/>
      <c r="L42" s="11" t="str">
        <f t="shared" si="9"/>
        <v>BasSw</v>
      </c>
      <c r="M42" s="106" t="str">
        <f t="shared" si="10"/>
        <v>--</v>
      </c>
      <c r="N42" s="160" t="str">
        <f>IFERROR(_xll.qlRateHelperQuoteName(M42,Trigger),"--")</f>
        <v>--</v>
      </c>
      <c r="O42" s="110" t="str">
        <f>IFERROR(_xll.qlRateHelperQuoteValue($M42,Trigger),"--")</f>
        <v>--</v>
      </c>
      <c r="P42" s="109" t="b">
        <v>0</v>
      </c>
      <c r="Q42" s="106">
        <v>40</v>
      </c>
      <c r="R42" s="106">
        <v>1</v>
      </c>
      <c r="S42" s="111" t="str">
        <f>IFERROR(_xll.qlRateHelperEarliestDate(M42,Trigger),"--")</f>
        <v>--</v>
      </c>
      <c r="T42" s="111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138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1"/>
        <v>UsdLibor1M</v>
      </c>
      <c r="H43" s="64" t="str">
        <f t="shared" si="12"/>
        <v>USDAM3L18Y_Quote</v>
      </c>
      <c r="I43" s="171" t="str">
        <f t="shared" si="13"/>
        <v>USD3L1L18Y_Quote</v>
      </c>
      <c r="J43" s="70"/>
      <c r="L43" s="11" t="str">
        <f t="shared" si="9"/>
        <v>BasSw</v>
      </c>
      <c r="M43" s="106" t="str">
        <f t="shared" si="10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139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1"/>
        <v>UsdLibor1M</v>
      </c>
      <c r="H44" s="64" t="str">
        <f t="shared" si="12"/>
        <v>USDAM3L19Y_Quote</v>
      </c>
      <c r="I44" s="171" t="str">
        <f t="shared" si="13"/>
        <v>USD3L1L19Y_Quote</v>
      </c>
      <c r="J44" s="70"/>
      <c r="L44" s="11" t="str">
        <f t="shared" si="9"/>
        <v>BasSw</v>
      </c>
      <c r="M44" s="106" t="str">
        <f t="shared" si="10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92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1"/>
        <v>UsdLibor1M</v>
      </c>
      <c r="H45" s="64" t="str">
        <f t="shared" si="12"/>
        <v>USDAM3L20Y_Quote</v>
      </c>
      <c r="I45" s="171" t="str">
        <f t="shared" si="13"/>
        <v>USD3L1L20Y_Quote</v>
      </c>
      <c r="J45" s="70" t="str">
        <f>_xll.qlSwapRateHelper2(,H45,,B45,JoinCalendar,USD1M!D45,USD1M!E45,USD1M!F45,USD1M!G45,USD1M!I45,USD1M!C45,Discounting,PillarDate,,Permanent,Trigger,ObjectOverwrite)</f>
        <v>obj_002dd#0044</v>
      </c>
      <c r="L45" s="11" t="str">
        <f t="shared" si="9"/>
        <v>BasSw</v>
      </c>
      <c r="M45" s="106" t="str">
        <f t="shared" si="10"/>
        <v>--</v>
      </c>
      <c r="N45" s="160" t="str">
        <f>IFERROR(_xll.qlRateHelperQuoteName(M45,Trigger),"--")</f>
        <v>--</v>
      </c>
      <c r="O45" s="110" t="str">
        <f>IFERROR(_xll.qlRateHelperQuoteValue($M45,Trigger),"--")</f>
        <v>--</v>
      </c>
      <c r="P45" s="109" t="b">
        <v>0</v>
      </c>
      <c r="Q45" s="106">
        <v>40</v>
      </c>
      <c r="R45" s="106">
        <v>1</v>
      </c>
      <c r="S45" s="111" t="str">
        <f>IFERROR(_xll.qlRateHelperEarliestDate(M45,Trigger),"--")</f>
        <v>--</v>
      </c>
      <c r="T45" s="11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140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1"/>
        <v>UsdLibor1M</v>
      </c>
      <c r="H46" s="64" t="str">
        <f t="shared" si="12"/>
        <v>USDAM3L21Y_Quote</v>
      </c>
      <c r="I46" s="171" t="str">
        <f t="shared" si="13"/>
        <v>USD3L1L21Y_Quote</v>
      </c>
      <c r="J46" s="70"/>
      <c r="L46" s="11" t="str">
        <f t="shared" si="9"/>
        <v>BasSw</v>
      </c>
      <c r="M46" s="106" t="str">
        <f t="shared" si="10"/>
        <v>obj_002ce#0044</v>
      </c>
      <c r="N46" s="160" t="str">
        <f>IFERROR(_xll.qlRateHelperQuoteName(M46,Trigger),"--")</f>
        <v>USDAM3L25Y_Quote</v>
      </c>
      <c r="O46" s="110">
        <f>IFERROR(_xll.qlRateHelperQuoteValue($M46,Trigger),"--")</f>
        <v>2.1129999999999999E-2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42436</v>
      </c>
      <c r="T46" s="111">
        <f>IFERROR(_xll.qlRateHelperPillarDate(M46,Trigger),"--")</f>
        <v>51567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141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1"/>
        <v>UsdLibor1M</v>
      </c>
      <c r="H47" s="64" t="str">
        <f t="shared" si="12"/>
        <v>USDAM3L22Y_Quote</v>
      </c>
      <c r="I47" s="171" t="str">
        <f t="shared" si="13"/>
        <v>USD3L1L22Y_Quote</v>
      </c>
      <c r="J47" s="70"/>
      <c r="L47" s="11" t="str">
        <f t="shared" si="9"/>
        <v>BasSw</v>
      </c>
      <c r="M47" s="106" t="str">
        <f t="shared" si="10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142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1"/>
        <v>UsdLibor1M</v>
      </c>
      <c r="H48" s="64" t="str">
        <f t="shared" si="12"/>
        <v>USDAM3L23Y_Quote</v>
      </c>
      <c r="I48" s="171" t="str">
        <f t="shared" si="13"/>
        <v>USD3L1L23Y_Quote</v>
      </c>
      <c r="J48" s="70"/>
      <c r="L48" s="11" t="str">
        <f t="shared" si="9"/>
        <v>BasSw</v>
      </c>
      <c r="M48" s="106" t="str">
        <f t="shared" si="10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143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1"/>
        <v>UsdLibor1M</v>
      </c>
      <c r="H49" s="64" t="str">
        <f t="shared" si="12"/>
        <v>USDAM3L24Y_Quote</v>
      </c>
      <c r="I49" s="171" t="str">
        <f t="shared" si="13"/>
        <v>USD3L1L24Y_Quote</v>
      </c>
      <c r="J49" s="70"/>
      <c r="L49" s="11" t="str">
        <f t="shared" si="9"/>
        <v>BasSw</v>
      </c>
      <c r="M49" s="106" t="str">
        <f t="shared" si="10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93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1"/>
        <v>UsdLibor1M</v>
      </c>
      <c r="H50" s="64" t="str">
        <f t="shared" si="12"/>
        <v>USDAM3L25Y_Quote</v>
      </c>
      <c r="I50" s="171" t="str">
        <f t="shared" si="13"/>
        <v>USD3L1L25Y_Quote</v>
      </c>
      <c r="J50" s="70" t="str">
        <f>_xll.qlSwapRateHelper2(,H50,,B50,JoinCalendar,USD1M!D50,USD1M!E50,USD1M!F50,USD1M!G50,USD1M!I50,USD1M!C50,Discounting,PillarDate,,Permanent,Trigger,ObjectOverwrite)</f>
        <v>obj_002ce#0044</v>
      </c>
      <c r="L50" s="11" t="str">
        <f t="shared" si="9"/>
        <v>BasSw</v>
      </c>
      <c r="M50" s="106" t="str">
        <f t="shared" si="10"/>
        <v>--</v>
      </c>
      <c r="N50" s="160" t="str">
        <f>IFERROR(_xll.qlRateHelperQuoteName(M50,Trigger),"--")</f>
        <v>--</v>
      </c>
      <c r="O50" s="110" t="str">
        <f>IFERROR(_xll.qlRateHelperQuoteValue($M50,Trigger),"--")</f>
        <v>--</v>
      </c>
      <c r="P50" s="109" t="b">
        <v>0</v>
      </c>
      <c r="Q50" s="106">
        <v>40</v>
      </c>
      <c r="R50" s="106">
        <v>1</v>
      </c>
      <c r="S50" s="111" t="str">
        <f>IFERROR(_xll.qlRateHelperEarliestDate(M50,Trigger),"--")</f>
        <v>--</v>
      </c>
      <c r="T50" s="11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144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1"/>
        <v>UsdLibor1M</v>
      </c>
      <c r="H51" s="64" t="str">
        <f t="shared" si="12"/>
        <v>USDAM3L26Y_Quote</v>
      </c>
      <c r="I51" s="171" t="str">
        <f t="shared" si="13"/>
        <v>USD3L1L26Y_Quote</v>
      </c>
      <c r="J51" s="70"/>
      <c r="L51" s="11" t="str">
        <f t="shared" si="9"/>
        <v>BasSw</v>
      </c>
      <c r="M51" s="106" t="str">
        <f t="shared" si="10"/>
        <v>obj_002ea#0044</v>
      </c>
      <c r="N51" s="160" t="str">
        <f>IFERROR(_xll.qlRateHelperQuoteName(M51,Trigger),"--")</f>
        <v>USDAM3L30Y_Quote</v>
      </c>
      <c r="O51" s="110">
        <f>IFERROR(_xll.qlRateHelperQuoteValue($M51,Trigger),"--")</f>
        <v>2.145E-2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42436</v>
      </c>
      <c r="T51" s="111">
        <f>IFERROR(_xll.qlRateHelperPillarDate(M51,Trigger),"--")</f>
        <v>53393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94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1"/>
        <v>UsdLibor1M</v>
      </c>
      <c r="H52" s="64" t="str">
        <f t="shared" si="12"/>
        <v>USDAM3L27Y_Quote</v>
      </c>
      <c r="I52" s="171" t="str">
        <f t="shared" si="13"/>
        <v>USD3L1L27Y_Quote</v>
      </c>
      <c r="J52" s="70"/>
      <c r="L52" s="11" t="str">
        <f t="shared" si="9"/>
        <v>BasSw</v>
      </c>
      <c r="M52" s="106" t="str">
        <f t="shared" si="10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145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1"/>
        <v>UsdLibor1M</v>
      </c>
      <c r="H53" s="64" t="str">
        <f t="shared" si="12"/>
        <v>USDAM3L28Y_Quote</v>
      </c>
      <c r="I53" s="171" t="str">
        <f t="shared" si="13"/>
        <v>USD3L1L28Y_Quote</v>
      </c>
      <c r="J53" s="70"/>
      <c r="L53" s="11" t="str">
        <f t="shared" si="9"/>
        <v>BasSw</v>
      </c>
      <c r="M53" s="106" t="str">
        <f t="shared" si="10"/>
        <v>obj_0027b#0044</v>
      </c>
      <c r="N53" s="160" t="str">
        <f>IFERROR(_xll.qlRateHelperQuoteName(M53,Trigger),"--")</f>
        <v>USDAM3L40Y_Quote</v>
      </c>
      <c r="O53" s="110">
        <f>IFERROR(_xll.qlRateHelperQuoteValue($M53,Trigger),"--")</f>
        <v>2.162E-2</v>
      </c>
      <c r="P53" s="175" t="b">
        <f>NOT(ISERROR(_xll.qlQuoteValue(N53)))</f>
        <v>1</v>
      </c>
      <c r="Q53" s="106">
        <v>40</v>
      </c>
      <c r="R53" s="106">
        <v>1</v>
      </c>
      <c r="S53" s="111">
        <f>IFERROR(_xll.qlRateHelperEarliestDate(M53,Trigger),"--")</f>
        <v>42436</v>
      </c>
      <c r="T53" s="111">
        <f>IFERROR(_xll.qlRateHelperPillarDate(M53,Trigger),"--")</f>
        <v>57046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146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1"/>
        <v>UsdLibor1M</v>
      </c>
      <c r="H54" s="64" t="str">
        <f t="shared" si="12"/>
        <v>USDAM3L29Y_Quote</v>
      </c>
      <c r="I54" s="171" t="str">
        <f t="shared" si="13"/>
        <v>USD3L1L29Y_Quote</v>
      </c>
      <c r="J54" s="70"/>
      <c r="L54" s="11" t="str">
        <f t="shared" si="9"/>
        <v>BasSw</v>
      </c>
      <c r="M54" s="106" t="str">
        <f t="shared" si="10"/>
        <v>obj_002fa#0044</v>
      </c>
      <c r="N54" s="160" t="str">
        <f>IFERROR(_xll.qlRateHelperQuoteName(M54,Trigger),"--")</f>
        <v>USDAM3L50Y_Quote</v>
      </c>
      <c r="O54" s="110">
        <f>IFERROR(_xll.qlRateHelperQuoteValue($M54,Trigger),"--")</f>
        <v>2.1499999999999998E-2</v>
      </c>
      <c r="P54" s="175" t="b">
        <f>NOT(ISERROR(_xll.qlQuoteValue(N54)))</f>
        <v>1</v>
      </c>
      <c r="Q54" s="106">
        <v>40</v>
      </c>
      <c r="R54" s="106">
        <v>1</v>
      </c>
      <c r="S54" s="111">
        <f>IFERROR(_xll.qlRateHelperEarliestDate(M54,Trigger),"--")</f>
        <v>42436</v>
      </c>
      <c r="T54" s="111">
        <f>IFERROR(_xll.qlRateHelperPillarDate(M54,Trigger),"--")</f>
        <v>60699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95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1"/>
        <v>UsdLibor1M</v>
      </c>
      <c r="H55" s="64" t="str">
        <f t="shared" si="12"/>
        <v>USDAM3L30Y_Quote</v>
      </c>
      <c r="I55" s="171" t="str">
        <f t="shared" si="13"/>
        <v>USD3L1L30Y_Quote</v>
      </c>
      <c r="J55" s="70" t="str">
        <f>_xll.qlSwapRateHelper2(,H55,,B55,JoinCalendar,USD1M!D55,USD1M!E55,USD1M!F55,USD1M!G55,USD1M!I55,USD1M!C55,Discounting,PillarDate,,Permanent,Trigger,ObjectOverwrite)</f>
        <v>obj_002ea#0044</v>
      </c>
      <c r="L55" s="12" t="str">
        <f t="shared" si="9"/>
        <v>BasSw</v>
      </c>
      <c r="M55" s="107" t="str">
        <f t="shared" si="10"/>
        <v>--</v>
      </c>
      <c r="N55" s="161" t="str">
        <f>IFERROR(_xll.qlRateHelperQuoteName(M55,Trigger),"--")</f>
        <v>--</v>
      </c>
      <c r="O55" s="113" t="str">
        <f>IFERROR(_xll.qlRateHelperQuoteValue($M55,Trigger),"--")</f>
        <v>--</v>
      </c>
      <c r="P55" s="112" t="b">
        <v>0</v>
      </c>
      <c r="Q55" s="107">
        <v>40</v>
      </c>
      <c r="R55" s="107">
        <v>1</v>
      </c>
      <c r="S55" s="114" t="str">
        <f>IFERROR(_xll.qlRateHelperEarliestDate(M55,Trigger),"--")</f>
        <v>--</v>
      </c>
      <c r="T55" s="114" t="str">
        <f>IFERROR(_xll.qlRateHelperPillarDate(M55,Trigger),"--")</f>
        <v>--</v>
      </c>
      <c r="V55" s="6" t="str">
        <f t="shared" si="3"/>
        <v/>
      </c>
      <c r="W55" s="6" t="e">
        <v>#N/A</v>
      </c>
      <c r="X55" s="6" t="str">
        <f>IFERROR(_xll.qlRateHelperQuoteName(W55,Trigger),"")</f>
        <v/>
      </c>
      <c r="Y55" s="86" t="str">
        <f>IFERROR(_xll.qlRateHelperRate(W55,Trigger),"")</f>
        <v/>
      </c>
      <c r="Z55" s="117" t="str">
        <f>IF(ISERROR(_xll.qlSwapRateHelperSpread($W55)),IF(ISERROR(_xll.qlFuturesRateHelperConvexityAdjustment($W55)),"",_xll.qlFuturesRateHelperConvexityAdjustment($W55)),_xll.qlSwapRateHelperSpread($W55))</f>
        <v/>
      </c>
      <c r="AA55" s="13" t="str">
        <f>IFERROR(_xll.qlRateHelperEarliestDate(W55,Trigger),"")</f>
        <v/>
      </c>
      <c r="AB55" s="13" t="str">
        <f>IFERROR(_xll.qlRateHelperPillarDate(W55,Trigger),"")</f>
        <v/>
      </c>
      <c r="AC55" s="85" t="e">
        <v>#N/A</v>
      </c>
    </row>
    <row r="56" spans="1:29" ht="11.25" customHeight="1" x14ac:dyDescent="0.2">
      <c r="A56" s="64" t="s">
        <v>160</v>
      </c>
      <c r="B56" s="65" t="s">
        <v>96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1"/>
        <v>UsdLibor1M</v>
      </c>
      <c r="H56" s="64" t="str">
        <f t="shared" si="12"/>
        <v>USDAM3L35Y_Quote</v>
      </c>
      <c r="I56" s="171" t="str">
        <f t="shared" si="13"/>
        <v>USD3L1L35Y_Quote</v>
      </c>
      <c r="J56" s="70"/>
    </row>
    <row r="57" spans="1:29" ht="11.25" customHeight="1" x14ac:dyDescent="0.2">
      <c r="A57" s="64" t="s">
        <v>160</v>
      </c>
      <c r="B57" s="65" t="s">
        <v>97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1"/>
        <v>UsdLibor1M</v>
      </c>
      <c r="H57" s="64" t="str">
        <f t="shared" si="12"/>
        <v>USDAM3L40Y_Quote</v>
      </c>
      <c r="I57" s="171" t="str">
        <f t="shared" si="13"/>
        <v>USD3L1L40Y_Quote</v>
      </c>
      <c r="J57" s="70" t="str">
        <f>_xll.qlSwapRateHelper2(,H57,,B57,JoinCalendar,USD1M!D57,USD1M!E57,USD1M!F57,USD1M!G57,USD1M!I57,USD1M!C57,Discounting,PillarDate,,Permanent,Trigger,ObjectOverwrite)</f>
        <v>obj_0027b#0044</v>
      </c>
    </row>
    <row r="58" spans="1:29" ht="11.25" customHeight="1" x14ac:dyDescent="0.2">
      <c r="A58" s="64" t="s">
        <v>160</v>
      </c>
      <c r="B58" s="65" t="s">
        <v>99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1"/>
        <v>UsdLibor1M</v>
      </c>
      <c r="H58" s="64" t="str">
        <f t="shared" si="12"/>
        <v>USDAM3L50Y_Quote</v>
      </c>
      <c r="I58" s="171" t="str">
        <f t="shared" si="13"/>
        <v>USD3L1L50Y_Quote</v>
      </c>
      <c r="J58" s="70" t="str">
        <f>_xll.qlSwapRateHelper2(,H58,,B58,JoinCalendar,USD1M!D58,USD1M!E58,USD1M!F58,USD1M!G58,USD1M!I58,USD1M!C58,Discounting,PillarDate,,Permanent,Trigger,ObjectOverwrite)</f>
        <v>obj_002fa#0044</v>
      </c>
    </row>
    <row r="59" spans="1:29" ht="11.25" customHeight="1" x14ac:dyDescent="0.2">
      <c r="A59" s="1" t="s">
        <v>160</v>
      </c>
      <c r="B59" s="9" t="s">
        <v>147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 t="shared" si="11"/>
        <v>UsdLibor1M</v>
      </c>
      <c r="H59" s="1" t="str">
        <f t="shared" si="12"/>
        <v>USDAM3L60Y_Quote</v>
      </c>
      <c r="I59" s="172" t="str">
        <f t="shared" si="13"/>
        <v>USD3L1L60Y_Quote</v>
      </c>
      <c r="J59" s="3"/>
    </row>
    <row r="60" spans="1:29" ht="11.25" customHeight="1" x14ac:dyDescent="0.2"/>
    <row r="61" spans="1:29" ht="11.25" customHeight="1" x14ac:dyDescent="0.2"/>
    <row r="62" spans="1:29" ht="11.25" customHeight="1" x14ac:dyDescent="0.2"/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4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29</v>
      </c>
      <c r="H1" s="55" t="str">
        <f>"_SYNTH"&amp;Tenor</f>
        <v>_SYNTH1Y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USD1Y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78">_xll.qlPiecewiseYieldCurveData(YieldCurve_1Y,Trigger)</f>
        <v>1</v>
      </c>
      <c r="AE2" s="222" t="s">
        <v>118</v>
      </c>
      <c r="AF2" s="22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8" si="0">Currency&amp;$B3&amp;"D"&amp;$H$1&amp;QuoteSuffix</f>
        <v>USDSND_SYNTH1Y_Quote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obj_002df</v>
      </c>
      <c r="X3" s="4" t="str">
        <f>IFERROR(_xll.qlRateHelperQuoteName(W3,Trigger),"")</f>
        <v>USD1MD_SYNTH1Y_Quote</v>
      </c>
      <c r="Y3" s="76">
        <f>IFERROR(_xll.qlRateHelperRate(W3,Trigger),"")</f>
        <v>1.2135999999999999E-2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42436</v>
      </c>
      <c r="AB3" s="5">
        <f>IFERROR(_xll.qlRateHelperPillarDate(W3,Trigger),"")</f>
        <v>42467</v>
      </c>
      <c r="AC3" s="84">
        <v>0.99895604653332626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Currency&amp;FamilyName&amp;B4</f>
        <v>USDLiborSW</v>
      </c>
      <c r="H4" s="170" t="str">
        <f t="shared" si="0"/>
        <v>USDSWD_SYNTH1Y_Quote</v>
      </c>
      <c r="I4" s="143"/>
      <c r="J4" s="63"/>
      <c r="K4" s="53"/>
      <c r="L4" s="11" t="str">
        <f t="shared" ref="L4:L18" si="1">A4</f>
        <v>Dp</v>
      </c>
      <c r="M4" s="106" t="str">
        <f t="shared" ref="M4:M18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obj_002a3</v>
      </c>
      <c r="X4" s="4" t="str">
        <f>IFERROR(_xll.qlRateHelperQuoteName(W4,Trigger),"")</f>
        <v>USD2MD_SYNTH1Y_Quote</v>
      </c>
      <c r="Y4" s="76">
        <f>IFERROR(_xll.qlRateHelperRate(W4,Trigger),"")</f>
        <v>1.2102999999999999E-2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42436</v>
      </c>
      <c r="AB4" s="5">
        <f>IFERROR(_xll.qlRateHelperPillarDate(W4,Trigger),"")</f>
        <v>42499</v>
      </c>
      <c r="AC4" s="84">
        <v>0.99788645154845901</v>
      </c>
      <c r="AE4" s="119" t="s">
        <v>120</v>
      </c>
      <c r="AF4" s="120">
        <v>0</v>
      </c>
    </row>
    <row r="5" spans="1:32" ht="11.25" customHeight="1" x14ac:dyDescent="0.2">
      <c r="A5" s="176" t="s">
        <v>27</v>
      </c>
      <c r="B5" s="177" t="s">
        <v>51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obj_002a8#0044</v>
      </c>
      <c r="H5" s="181" t="str">
        <f t="shared" si="0"/>
        <v>USD2WD_SYNTH1Y_Quote</v>
      </c>
      <c r="I5" s="179"/>
      <c r="J5" s="182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obj_0028c</v>
      </c>
      <c r="X5" s="4" t="str">
        <f>IFERROR(_xll.qlRateHelperQuoteName(W5,Trigger),"")</f>
        <v>USD3MD_SYNTH1Y_Quote</v>
      </c>
      <c r="Y5" s="76">
        <f>IFERROR(_xll.qlRateHelperRate(W5,Trigger),"")</f>
        <v>1.2094000000000001E-2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42436</v>
      </c>
      <c r="AB5" s="5">
        <f>IFERROR(_xll.qlRateHelperPillarDate(W5,Trigger),"")</f>
        <v>42528</v>
      </c>
      <c r="AC5" s="84">
        <v>0.99691883403651926</v>
      </c>
      <c r="AD5" s="87"/>
      <c r="AE5" s="119" t="s">
        <v>121</v>
      </c>
      <c r="AF5" s="120">
        <v>0</v>
      </c>
    </row>
    <row r="6" spans="1:32" ht="11.25" customHeight="1" x14ac:dyDescent="0.2">
      <c r="A6" s="183" t="s">
        <v>27</v>
      </c>
      <c r="B6" s="184" t="s">
        <v>52</v>
      </c>
      <c r="C6" s="185" t="str">
        <f t="shared" ref="C6:C18" si="4">B6</f>
        <v>3W</v>
      </c>
      <c r="D6" s="186"/>
      <c r="E6" s="186"/>
      <c r="F6" s="186"/>
      <c r="G6" s="187" t="str">
        <f>_xll.qlLibor(,Currency,C6,,Permanent,Trigger,ObjectOverwrite)</f>
        <v>obj_002c0#0044</v>
      </c>
      <c r="H6" s="188" t="str">
        <f t="shared" si="0"/>
        <v>USD3WD_SYNTH1Y_Quote</v>
      </c>
      <c r="I6" s="186"/>
      <c r="J6" s="189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obj_00300</v>
      </c>
      <c r="X6" s="4" t="str">
        <f>IFERROR(_xll.qlRateHelperQuoteName(W6,Trigger),"")</f>
        <v>USD4MD_SYNTH1Y_Quote</v>
      </c>
      <c r="Y6" s="76">
        <f>IFERROR(_xll.qlRateHelperRate(W6,Trigger),"")</f>
        <v>1.21E-2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42436</v>
      </c>
      <c r="AB6" s="5">
        <f>IFERROR(_xll.qlRateHelperPillarDate(W6,Trigger),"")</f>
        <v>42558</v>
      </c>
      <c r="AC6" s="84">
        <v>0.99591619033286294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Currency&amp;FamilyName&amp;B7</f>
        <v>USDLibor1M</v>
      </c>
      <c r="H7" s="134" t="str">
        <f t="shared" si="0"/>
        <v>USD1MD_SYNTH1Y_Quote</v>
      </c>
      <c r="I7" s="137"/>
      <c r="J7" s="70" t="str">
        <f>_xll.qlDepositRateHelper(,H7,G7,Permanent,Trigger,ObjectOverwrite)</f>
        <v>obj_002df#0044</v>
      </c>
      <c r="K7" s="53"/>
      <c r="L7" s="11" t="str">
        <f t="shared" si="1"/>
        <v>Dp</v>
      </c>
      <c r="M7" s="106" t="str">
        <f t="shared" si="2"/>
        <v>obj_002df#0044</v>
      </c>
      <c r="N7" s="160" t="str">
        <f>IFERROR(_xll.qlRateHelperQuoteName(M7,Trigger),"--")</f>
        <v>USD1MD_SYNTH1Y_Quote</v>
      </c>
      <c r="O7" s="110">
        <f>IFERROR(_xll.qlRateHelperQuoteValue($M7,Trigger),"--")</f>
        <v>1.2135999999999999E-2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42436</v>
      </c>
      <c r="T7" s="111">
        <f>IFERROR(_xll.qlRateHelperPillarDate(M7,Trigger),"--")</f>
        <v>42467</v>
      </c>
      <c r="V7" s="4" t="str">
        <f t="shared" si="3"/>
        <v>Dp</v>
      </c>
      <c r="W7" s="4" t="str">
        <v>obj_002f3</v>
      </c>
      <c r="X7" s="4" t="str">
        <f>IFERROR(_xll.qlRateHelperQuoteName(W7,Trigger),"")</f>
        <v>USD5MD_SYNTH1Y_Quote</v>
      </c>
      <c r="Y7" s="76">
        <f>IFERROR(_xll.qlRateHelperRate(W7,Trigger),"")</f>
        <v>1.2107E-2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42436</v>
      </c>
      <c r="AB7" s="5">
        <f>IFERROR(_xll.qlRateHelperPillarDate(W7,Trigger),"")</f>
        <v>42590</v>
      </c>
      <c r="AC7" s="84">
        <v>0.99484757937472901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Currency&amp;FamilyName&amp;B8</f>
        <v>USDLibor2M</v>
      </c>
      <c r="H8" s="134" t="str">
        <f t="shared" si="0"/>
        <v>USD2MD_SYNTH1Y_Quote</v>
      </c>
      <c r="I8" s="137"/>
      <c r="J8" s="70" t="str">
        <f>_xll.qlDepositRateHelper(,H8,G8,Permanent,Trigger,ObjectOverwrite)</f>
        <v>obj_002a3#0044</v>
      </c>
      <c r="K8" s="53"/>
      <c r="L8" s="11" t="str">
        <f t="shared" si="1"/>
        <v>Dp</v>
      </c>
      <c r="M8" s="106" t="str">
        <f t="shared" si="2"/>
        <v>obj_002a3#0044</v>
      </c>
      <c r="N8" s="160" t="str">
        <f>IFERROR(_xll.qlRateHelperQuoteName(M8,Trigger),"--")</f>
        <v>USD2MD_SYNTH1Y_Quote</v>
      </c>
      <c r="O8" s="110">
        <f>IFERROR(_xll.qlRateHelperQuoteValue($M8,Trigger),"--")</f>
        <v>1.2102999999999999E-2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42436</v>
      </c>
      <c r="T8" s="111">
        <f>IFERROR(_xll.qlRateHelperPillarDate(M8,Trigger),"--")</f>
        <v>42499</v>
      </c>
      <c r="V8" s="4" t="str">
        <f t="shared" si="3"/>
        <v>Dp</v>
      </c>
      <c r="W8" s="4" t="str">
        <v>obj_0027d</v>
      </c>
      <c r="X8" s="4" t="str">
        <f>IFERROR(_xll.qlRateHelperQuoteName(W8,Trigger),"")</f>
        <v>USD6MD_SYNTH1Y_Quote</v>
      </c>
      <c r="Y8" s="76">
        <f>IFERROR(_xll.qlRateHelperRate(W8,Trigger),"")</f>
        <v>1.2082000000000001E-2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42436</v>
      </c>
      <c r="AB8" s="5">
        <f>IFERROR(_xll.qlRateHelperPillarDate(W8,Trigger),"")</f>
        <v>42620</v>
      </c>
      <c r="AC8" s="84">
        <v>0.99386265516018124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Currency&amp;FamilyName&amp;B9</f>
        <v>USDLibor3M</v>
      </c>
      <c r="H9" s="134" t="str">
        <f t="shared" si="0"/>
        <v>USD3MD_SYNTH1Y_Quote</v>
      </c>
      <c r="I9" s="137"/>
      <c r="J9" s="70" t="str">
        <f>_xll.qlDepositRateHelper(,H9,G9,Permanent,Trigger,ObjectOverwrite)</f>
        <v>obj_0028c#0044</v>
      </c>
      <c r="K9" s="53"/>
      <c r="L9" s="11" t="str">
        <f t="shared" si="1"/>
        <v>Dp</v>
      </c>
      <c r="M9" s="106" t="str">
        <f t="shared" si="2"/>
        <v>obj_0028c#0044</v>
      </c>
      <c r="N9" s="160" t="str">
        <f>IFERROR(_xll.qlRateHelperQuoteName(M9,Trigger),"--")</f>
        <v>USD3MD_SYNTH1Y_Quote</v>
      </c>
      <c r="O9" s="110">
        <f>IFERROR(_xll.qlRateHelperQuoteValue($M9,Trigger),"--")</f>
        <v>1.2094000000000001E-2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42436</v>
      </c>
      <c r="T9" s="111">
        <f>IFERROR(_xll.qlRateHelperPillarDate(M9,Trigger),"--")</f>
        <v>42528</v>
      </c>
      <c r="V9" s="4" t="str">
        <f t="shared" si="3"/>
        <v>Dp</v>
      </c>
      <c r="W9" s="4" t="str">
        <v>obj_00308</v>
      </c>
      <c r="X9" s="4" t="str">
        <f>IFERROR(_xll.qlRateHelperQuoteName(W9,Trigger),"")</f>
        <v>USD9MD_SYNTH1Y_Quote</v>
      </c>
      <c r="Y9" s="76">
        <f>IFERROR(_xll.qlRateHelperRate(W9,Trigger),"")</f>
        <v>1.2014E-2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42436</v>
      </c>
      <c r="AB9" s="5">
        <f>IFERROR(_xll.qlRateHelperPillarDate(W9,Trigger),"")</f>
        <v>42711</v>
      </c>
      <c r="AC9" s="84">
        <v>0.99090609692135112</v>
      </c>
    </row>
    <row r="10" spans="1:32" ht="11.25" customHeight="1" x14ac:dyDescent="0.25">
      <c r="A10" s="176" t="s">
        <v>27</v>
      </c>
      <c r="B10" s="177" t="s">
        <v>54</v>
      </c>
      <c r="C10" s="178" t="str">
        <f t="shared" si="4"/>
        <v>4M</v>
      </c>
      <c r="D10" s="179"/>
      <c r="E10" s="179"/>
      <c r="F10" s="179"/>
      <c r="G10" s="180" t="str">
        <f>_xll.qlLibor(,Currency,C10,,Permanent,Trigger,ObjectOverwrite)</f>
        <v>obj_002ed#0044</v>
      </c>
      <c r="H10" s="181" t="str">
        <f t="shared" si="0"/>
        <v>USD4MD_SYNTH1Y_Quote</v>
      </c>
      <c r="I10" s="179"/>
      <c r="J10" s="182" t="str">
        <f>_xll.qlDepositRateHelper(,H10,G10,Permanent,Trigger,ObjectOverwrite)</f>
        <v>obj_00300#0043</v>
      </c>
      <c r="K10" s="53"/>
      <c r="L10" s="11" t="str">
        <f t="shared" si="1"/>
        <v>Dp</v>
      </c>
      <c r="M10" s="106" t="str">
        <f t="shared" si="2"/>
        <v>obj_00300#0043</v>
      </c>
      <c r="N10" s="160" t="str">
        <f>IFERROR(_xll.qlRateHelperQuoteName(M10,Trigger),"--")</f>
        <v>USD4MD_SYNTH1Y_Quote</v>
      </c>
      <c r="O10" s="110">
        <f>IFERROR(_xll.qlRateHelperQuoteValue($M10,Trigger),"--")</f>
        <v>1.21E-2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42436</v>
      </c>
      <c r="T10" s="111">
        <f>IFERROR(_xll.qlRateHelperPillarDate(M10,Trigger),"--")</f>
        <v>42558</v>
      </c>
      <c r="V10" s="4" t="str">
        <f t="shared" si="3"/>
        <v>Dp</v>
      </c>
      <c r="W10" s="4" t="str">
        <v>obj_00288</v>
      </c>
      <c r="X10" s="4" t="str">
        <f>IFERROR(_xll.qlRateHelperQuoteName(W10,Trigger),"")</f>
        <v>USD1YD_SYNTH1Y_Quote</v>
      </c>
      <c r="Y10" s="76">
        <f>IFERROR(_xll.qlRateHelperRate(W10,Trigger),"")</f>
        <v>1.2005E-2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42436</v>
      </c>
      <c r="AB10" s="5">
        <f>IFERROR(_xll.qlRateHelperPillarDate(W10,Trigger),"")</f>
        <v>42801</v>
      </c>
      <c r="AC10" s="84">
        <v>0.98797463347684811</v>
      </c>
    </row>
    <row r="11" spans="1:32" ht="11.25" customHeight="1" x14ac:dyDescent="0.25">
      <c r="A11" s="183" t="s">
        <v>27</v>
      </c>
      <c r="B11" s="184" t="s">
        <v>55</v>
      </c>
      <c r="C11" s="185" t="str">
        <f t="shared" si="4"/>
        <v>5M</v>
      </c>
      <c r="D11" s="186"/>
      <c r="E11" s="186"/>
      <c r="F11" s="186"/>
      <c r="G11" s="187" t="str">
        <f>_xll.qlLibor(,Currency,C11,,Permanent,Trigger,ObjectOverwrite)</f>
        <v>obj_002c5#0044</v>
      </c>
      <c r="H11" s="188" t="str">
        <f t="shared" si="0"/>
        <v>USD5MD_SYNTH1Y_Quote</v>
      </c>
      <c r="I11" s="186"/>
      <c r="J11" s="189" t="str">
        <f>_xll.qlDepositRateHelper(,H11,G11,Permanent,Trigger,ObjectOverwrite)</f>
        <v>obj_002f3#0044</v>
      </c>
      <c r="K11" s="53"/>
      <c r="L11" s="11" t="str">
        <f t="shared" si="1"/>
        <v>Dp</v>
      </c>
      <c r="M11" s="106" t="str">
        <f t="shared" si="2"/>
        <v>obj_002f3#0044</v>
      </c>
      <c r="N11" s="160" t="str">
        <f>IFERROR(_xll.qlRateHelperQuoteName(M11,Trigger),"--")</f>
        <v>USD5MD_SYNTH1Y_Quote</v>
      </c>
      <c r="O11" s="110">
        <f>IFERROR(_xll.qlRateHelperQuoteValue($M11,Trigger),"--")</f>
        <v>1.2107E-2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42436</v>
      </c>
      <c r="T11" s="111">
        <f>IFERROR(_xll.qlRateHelperPillarDate(M11,Trigger),"--")</f>
        <v>42590</v>
      </c>
      <c r="V11" s="4" t="str">
        <f t="shared" si="3"/>
        <v>FRA</v>
      </c>
      <c r="W11" s="4" t="str">
        <v>obj_002ba</v>
      </c>
      <c r="X11" s="4" t="str">
        <f>IFERROR(_xll.qlRateHelperQuoteName(W11,Trigger),"")</f>
        <v>USD1x13F_Quote</v>
      </c>
      <c r="Y11" s="76">
        <f>IFERROR(_xll.qlRateHelperRate(W11,Trigger),"")</f>
        <v>1.1990000000000001E-2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42467</v>
      </c>
      <c r="AB11" s="5">
        <f>IFERROR(_xll.qlRateHelperPillarDate(W11,Trigger),"")</f>
        <v>42832</v>
      </c>
      <c r="AC11" s="84">
        <v>0.98695806341983672</v>
      </c>
    </row>
    <row r="12" spans="1:32" ht="11.25" customHeight="1" x14ac:dyDescent="0.25">
      <c r="A12" s="64" t="s">
        <v>27</v>
      </c>
      <c r="B12" s="65" t="s">
        <v>3</v>
      </c>
      <c r="C12" s="68" t="str">
        <f t="shared" si="4"/>
        <v>6M</v>
      </c>
      <c r="D12" s="137"/>
      <c r="E12" s="137"/>
      <c r="F12" s="137"/>
      <c r="G12" s="66" t="str">
        <f>Currency&amp;FamilyName&amp;B12</f>
        <v>USDLibor6M</v>
      </c>
      <c r="H12" s="134" t="str">
        <f t="shared" si="0"/>
        <v>USD6MD_SYNTH1Y_Quote</v>
      </c>
      <c r="I12" s="137"/>
      <c r="J12" s="70" t="str">
        <f>_xll.qlDepositRateHelper(,H12,G12,Permanent,Trigger,ObjectOverwrite)</f>
        <v>obj_0027d#0044</v>
      </c>
      <c r="K12" s="53" t="s">
        <v>47</v>
      </c>
      <c r="L12" s="11" t="str">
        <f t="shared" si="1"/>
        <v>Dp</v>
      </c>
      <c r="M12" s="106" t="str">
        <f t="shared" si="2"/>
        <v>obj_0027d#0044</v>
      </c>
      <c r="N12" s="160" t="str">
        <f>IFERROR(_xll.qlRateHelperQuoteName(M12,Trigger),"--")</f>
        <v>USD6MD_SYNTH1Y_Quote</v>
      </c>
      <c r="O12" s="110">
        <f>IFERROR(_xll.qlRateHelperQuoteValue($M12,Trigger),"--")</f>
        <v>1.2082000000000001E-2</v>
      </c>
      <c r="P12" s="109" t="b">
        <v>1</v>
      </c>
      <c r="Q12" s="106">
        <v>10</v>
      </c>
      <c r="R12" s="106">
        <v>1</v>
      </c>
      <c r="S12" s="111">
        <f>IFERROR(_xll.qlRateHelperEarliestDate(M12,Trigger),"--")</f>
        <v>42436</v>
      </c>
      <c r="T12" s="111">
        <f>IFERROR(_xll.qlRateHelperPillarDate(M12,Trigger),"--")</f>
        <v>42620</v>
      </c>
      <c r="V12" s="4" t="str">
        <f t="shared" si="3"/>
        <v>FRA</v>
      </c>
      <c r="W12" s="4" t="str">
        <v>obj_002d6</v>
      </c>
      <c r="X12" s="4" t="str">
        <f>IFERROR(_xll.qlRateHelperQuoteName(W12,Trigger),"")</f>
        <v>USD2x14F_Quote</v>
      </c>
      <c r="Y12" s="76">
        <f>IFERROR(_xll.qlRateHelperRate(W12,Trigger),"")</f>
        <v>1.184E-2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42499</v>
      </c>
      <c r="AB12" s="5">
        <f>IFERROR(_xll.qlRateHelperPillarDate(W12,Trigger),"")</f>
        <v>42863</v>
      </c>
      <c r="AC12" s="84">
        <v>0.98607639468034969</v>
      </c>
    </row>
    <row r="13" spans="1:32" ht="11.25" customHeight="1" x14ac:dyDescent="0.2">
      <c r="A13" s="176" t="s">
        <v>27</v>
      </c>
      <c r="B13" s="177" t="s">
        <v>56</v>
      </c>
      <c r="C13" s="178" t="str">
        <f t="shared" si="4"/>
        <v>7M</v>
      </c>
      <c r="D13" s="179"/>
      <c r="E13" s="179"/>
      <c r="F13" s="179"/>
      <c r="G13" s="180" t="str">
        <f>_xll.qlLibor(,Currency,C13,,Permanent,Trigger,ObjectOverwrite)</f>
        <v>obj_0027c#0044</v>
      </c>
      <c r="H13" s="181" t="str">
        <f t="shared" si="0"/>
        <v>USD7MD_SYNTH1Y_Quote</v>
      </c>
      <c r="I13" s="179"/>
      <c r="J13" s="182"/>
      <c r="K13" s="53"/>
      <c r="L13" s="11" t="str">
        <f t="shared" si="1"/>
        <v>Dp</v>
      </c>
      <c r="M13" s="106" t="str">
        <f t="shared" si="2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10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FRA</v>
      </c>
      <c r="W13" s="4" t="str">
        <v>obj_002b5</v>
      </c>
      <c r="X13" s="4" t="str">
        <f>IFERROR(_xll.qlRateHelperQuoteName(W13,Trigger),"")</f>
        <v>USD3x15F_Quote</v>
      </c>
      <c r="Y13" s="76">
        <f>IFERROR(_xll.qlRateHelperRate(W13,Trigger),"")</f>
        <v>1.1730000000000001E-2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42528</v>
      </c>
      <c r="AB13" s="5">
        <f>IFERROR(_xll.qlRateHelperPillarDate(W13,Trigger),"")</f>
        <v>42893</v>
      </c>
      <c r="AC13" s="84">
        <v>0.98520190982315181</v>
      </c>
    </row>
    <row r="14" spans="1:32" ht="11.25" customHeight="1" x14ac:dyDescent="0.2">
      <c r="A14" s="64" t="s">
        <v>27</v>
      </c>
      <c r="B14" s="65" t="s">
        <v>57</v>
      </c>
      <c r="C14" s="68" t="str">
        <f t="shared" si="4"/>
        <v>8M</v>
      </c>
      <c r="D14" s="137"/>
      <c r="E14" s="137"/>
      <c r="F14" s="137"/>
      <c r="G14" s="66" t="str">
        <f>_xll.qlLibor(,Currency,C14,,Permanent,Trigger,ObjectOverwrite)</f>
        <v>obj_002bf#0044</v>
      </c>
      <c r="H14" s="134" t="str">
        <f t="shared" si="0"/>
        <v>USD8MD_SYNTH1Y_Quote</v>
      </c>
      <c r="I14" s="137"/>
      <c r="J14" s="70"/>
      <c r="K14" s="53"/>
      <c r="L14" s="11" t="str">
        <f t="shared" si="1"/>
        <v>Dp</v>
      </c>
      <c r="M14" s="106" t="str">
        <f t="shared" si="2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10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FRA</v>
      </c>
      <c r="W14" s="4" t="str">
        <v>obj_002e2</v>
      </c>
      <c r="X14" s="4" t="str">
        <f>IFERROR(_xll.qlRateHelperQuoteName(W14,Trigger),"")</f>
        <v>USD4x16F_Quote</v>
      </c>
      <c r="Y14" s="76">
        <f>IFERROR(_xll.qlRateHelperRate(W14,Trigger),"")</f>
        <v>1.1899999999999999E-2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42558</v>
      </c>
      <c r="AB14" s="5">
        <f>IFERROR(_xll.qlRateHelperPillarDate(W14,Trigger),"")</f>
        <v>42923</v>
      </c>
      <c r="AC14" s="84">
        <v>0.98404343296870112</v>
      </c>
    </row>
    <row r="15" spans="1:32" ht="11.25" customHeight="1" x14ac:dyDescent="0.2">
      <c r="A15" s="64" t="s">
        <v>27</v>
      </c>
      <c r="B15" s="65" t="s">
        <v>58</v>
      </c>
      <c r="C15" s="68" t="str">
        <f t="shared" si="4"/>
        <v>9M</v>
      </c>
      <c r="D15" s="137"/>
      <c r="E15" s="137"/>
      <c r="F15" s="137"/>
      <c r="G15" s="66" t="str">
        <f>_xll.qlLibor(,Currency,C15,,Permanent,Trigger,ObjectOverwrite)</f>
        <v>obj_002cc#0044</v>
      </c>
      <c r="H15" s="134" t="str">
        <f t="shared" si="0"/>
        <v>USD9MD_SYNTH1Y_Quote</v>
      </c>
      <c r="I15" s="137"/>
      <c r="J15" s="70" t="str">
        <f>_xll.qlDepositRateHelper(,H15,G15,Permanent,Trigger,ObjectOverwrite)</f>
        <v>obj_00308#0043</v>
      </c>
      <c r="K15" s="53"/>
      <c r="L15" s="11" t="str">
        <f t="shared" si="1"/>
        <v>Dp</v>
      </c>
      <c r="M15" s="106" t="str">
        <f t="shared" si="2"/>
        <v>obj_00308#0043</v>
      </c>
      <c r="N15" s="160" t="str">
        <f>IFERROR(_xll.qlRateHelperQuoteName(M15,Trigger),"--")</f>
        <v>USD9MD_SYNTH1Y_Quote</v>
      </c>
      <c r="O15" s="110">
        <f>IFERROR(_xll.qlRateHelperQuoteValue($M15,Trigger),"--")</f>
        <v>1.2014E-2</v>
      </c>
      <c r="P15" s="109" t="b">
        <v>1</v>
      </c>
      <c r="Q15" s="106">
        <v>10</v>
      </c>
      <c r="R15" s="106">
        <v>1</v>
      </c>
      <c r="S15" s="111">
        <f>IFERROR(_xll.qlRateHelperEarliestDate(M15,Trigger),"--")</f>
        <v>42436</v>
      </c>
      <c r="T15" s="111">
        <f>IFERROR(_xll.qlRateHelperPillarDate(M15,Trigger),"--")</f>
        <v>42711</v>
      </c>
      <c r="V15" s="4" t="str">
        <f t="shared" si="3"/>
        <v>FRA</v>
      </c>
      <c r="W15" s="4" t="str">
        <v>obj_002eb</v>
      </c>
      <c r="X15" s="4" t="str">
        <f>IFERROR(_xll.qlRateHelperQuoteName(W15,Trigger),"")</f>
        <v>USD5x17F_Quote</v>
      </c>
      <c r="Y15" s="76">
        <f>IFERROR(_xll.qlRateHelperRate(W15,Trigger),"")</f>
        <v>1.206E-2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42590</v>
      </c>
      <c r="AB15" s="5">
        <f>IFERROR(_xll.qlRateHelperPillarDate(W15,Trigger),"")</f>
        <v>42954</v>
      </c>
      <c r="AC15" s="84">
        <v>0.98286717209753138</v>
      </c>
    </row>
    <row r="16" spans="1:32" ht="11.25" customHeight="1" x14ac:dyDescent="0.2">
      <c r="A16" s="64" t="s">
        <v>27</v>
      </c>
      <c r="B16" s="65" t="s">
        <v>59</v>
      </c>
      <c r="C16" s="68" t="str">
        <f t="shared" si="4"/>
        <v>10M</v>
      </c>
      <c r="D16" s="137"/>
      <c r="E16" s="137"/>
      <c r="F16" s="137"/>
      <c r="G16" s="66" t="str">
        <f>_xll.qlLibor(,Currency,C16,,Permanent,Trigger,ObjectOverwrite)</f>
        <v>obj_00293#0044</v>
      </c>
      <c r="H16" s="134" t="str">
        <f t="shared" si="0"/>
        <v>USD10MD_SYNTH1Y_Quote</v>
      </c>
      <c r="I16" s="137"/>
      <c r="J16" s="70"/>
      <c r="K16" s="53"/>
      <c r="L16" s="11" t="str">
        <f t="shared" si="1"/>
        <v>Dp</v>
      </c>
      <c r="M16" s="106" t="str">
        <f t="shared" si="2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10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FRA</v>
      </c>
      <c r="W16" s="4" t="str">
        <v>obj_002a4</v>
      </c>
      <c r="X16" s="4" t="str">
        <f>IFERROR(_xll.qlRateHelperQuoteName(W16,Trigger),"")</f>
        <v>USD6x18F_Quote</v>
      </c>
      <c r="Y16" s="76">
        <f>IFERROR(_xll.qlRateHelperRate(W16,Trigger),"")</f>
        <v>1.2199999999999999E-2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42620</v>
      </c>
      <c r="AB16" s="5">
        <f>IFERROR(_xll.qlRateHelperPillarDate(W16,Trigger),"")</f>
        <v>42985</v>
      </c>
      <c r="AC16" s="84">
        <v>0.9817193324178034</v>
      </c>
    </row>
    <row r="17" spans="1:29" ht="11.25" customHeight="1" x14ac:dyDescent="0.2">
      <c r="A17" s="183" t="s">
        <v>27</v>
      </c>
      <c r="B17" s="184" t="s">
        <v>60</v>
      </c>
      <c r="C17" s="185" t="str">
        <f t="shared" si="4"/>
        <v>11M</v>
      </c>
      <c r="D17" s="186"/>
      <c r="E17" s="186"/>
      <c r="F17" s="186"/>
      <c r="G17" s="187" t="str">
        <f>_xll.qlLibor(,Currency,C17,,Permanent,Trigger,ObjectOverwrite)</f>
        <v>obj_002de#0044</v>
      </c>
      <c r="H17" s="188" t="str">
        <f t="shared" si="0"/>
        <v>USD11MD_SYNTH1Y_Quote</v>
      </c>
      <c r="I17" s="186"/>
      <c r="J17" s="189"/>
      <c r="K17" s="53"/>
      <c r="L17" s="11" t="str">
        <f t="shared" si="1"/>
        <v>Dp</v>
      </c>
      <c r="M17" s="106" t="str">
        <f t="shared" si="2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10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FRA</v>
      </c>
      <c r="W17" s="4" t="str">
        <v>obj_002bc</v>
      </c>
      <c r="X17" s="4" t="str">
        <f>IFERROR(_xll.qlRateHelperQuoteName(W17,Trigger),"")</f>
        <v>USD9x21F_Quote</v>
      </c>
      <c r="Y17" s="76">
        <f>IFERROR(_xll.qlRateHelperRate(W17,Trigger),"")</f>
        <v>1.278E-2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42711</v>
      </c>
      <c r="AB17" s="5">
        <f>IFERROR(_xll.qlRateHelperPillarDate(W17,Trigger),"")</f>
        <v>43076</v>
      </c>
      <c r="AC17" s="84">
        <v>0.97823067297626121</v>
      </c>
    </row>
    <row r="18" spans="1:29" ht="11.25" customHeight="1" x14ac:dyDescent="0.2">
      <c r="A18" s="1" t="s">
        <v>27</v>
      </c>
      <c r="B18" s="9" t="s">
        <v>29</v>
      </c>
      <c r="C18" s="10" t="str">
        <f t="shared" si="4"/>
        <v>1Y</v>
      </c>
      <c r="D18" s="138"/>
      <c r="E18" s="138"/>
      <c r="F18" s="138"/>
      <c r="G18" s="7" t="str">
        <f>Currency&amp;FamilyName&amp;B18</f>
        <v>USDLibor1Y</v>
      </c>
      <c r="H18" s="135" t="str">
        <f t="shared" si="0"/>
        <v>USD1YD_SYNTH1Y_Quote</v>
      </c>
      <c r="I18" s="138"/>
      <c r="J18" s="3" t="str">
        <f>_xll.qlDepositRateHelper(,H18,G18,Permanent,Trigger,ObjectOverwrite)</f>
        <v>obj_00288#0044</v>
      </c>
      <c r="K18" s="53"/>
      <c r="L18" s="12" t="str">
        <f t="shared" si="1"/>
        <v>Dp</v>
      </c>
      <c r="M18" s="107" t="str">
        <f t="shared" si="2"/>
        <v>obj_00288#0044</v>
      </c>
      <c r="N18" s="161" t="str">
        <f>IFERROR(_xll.qlRateHelperQuoteName(M18,Trigger),"--")</f>
        <v>USD1YD_SYNTH1Y_Quote</v>
      </c>
      <c r="O18" s="113">
        <f>IFERROR(_xll.qlRateHelperQuoteValue($M18,Trigger),"--")</f>
        <v>1.2005E-2</v>
      </c>
      <c r="P18" s="112" t="b">
        <v>1</v>
      </c>
      <c r="Q18" s="107">
        <v>10</v>
      </c>
      <c r="R18" s="107">
        <v>1</v>
      </c>
      <c r="S18" s="114">
        <f>IFERROR(_xll.qlRateHelperEarliestDate(M18,Trigger),"--")</f>
        <v>42436</v>
      </c>
      <c r="T18" s="114">
        <f>IFERROR(_xll.qlRateHelperPillarDate(M18,Trigger),"--")</f>
        <v>42801</v>
      </c>
      <c r="V18" s="4" t="str">
        <f t="shared" si="3"/>
        <v>BasSw</v>
      </c>
      <c r="W18" s="4" t="str">
        <v>obj_002b7</v>
      </c>
      <c r="X18" s="4" t="str">
        <f>IFERROR(_xll.qlRateHelperQuoteName(W18,Trigger),"")</f>
        <v>USDAM3L2Y_S12L3L_Quote</v>
      </c>
      <c r="Y18" s="76">
        <f>IFERROR(_xll.qlRateHelperRate(W18,Trigger),"")</f>
        <v>1.3083096303447577E-2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42436</v>
      </c>
      <c r="AB18" s="5">
        <f>IFERROR(_xll.qlRateHelperPillarDate(W18,Trigger),"")</f>
        <v>43166</v>
      </c>
      <c r="AC18" s="84">
        <v>0.97398172000536631</v>
      </c>
    </row>
    <row r="19" spans="1:29" ht="11.25" customHeight="1" x14ac:dyDescent="0.2">
      <c r="B19" s="51"/>
      <c r="C19" s="51">
        <v>12</v>
      </c>
      <c r="D19" s="51"/>
      <c r="E19" s="51"/>
      <c r="F19" s="51"/>
      <c r="G19" s="51"/>
      <c r="H19" s="51"/>
      <c r="K19" s="53"/>
      <c r="L19" s="74" t="str">
        <f>A21</f>
        <v>FRA</v>
      </c>
      <c r="M19" s="145" t="str">
        <f>IF(ISBLANK(J21),"--",J21)</f>
        <v>obj_002ba#0044</v>
      </c>
      <c r="N19" s="159" t="str">
        <f>IFERROR(_xll.qlRateHelperQuoteName(M19,Trigger),"--")</f>
        <v>USD1x13F_Quote</v>
      </c>
      <c r="O19" s="147">
        <f>IFERROR(_xll.qlRateHelperQuoteValue($M19,Trigger),"--")</f>
        <v>1.1990000000000001E-2</v>
      </c>
      <c r="P19" s="146" t="b">
        <v>1</v>
      </c>
      <c r="Q19" s="145">
        <v>20</v>
      </c>
      <c r="R19" s="145">
        <v>1</v>
      </c>
      <c r="S19" s="148">
        <f>IFERROR(_xll.qlRateHelperEarliestDate(M19,Trigger),"--")</f>
        <v>42467</v>
      </c>
      <c r="T19" s="148">
        <f>IFERROR(_xll.qlRateHelperPillarDate(M19,Trigger),"--")</f>
        <v>42832</v>
      </c>
      <c r="V19" s="4" t="str">
        <f t="shared" si="3"/>
        <v>BasSw</v>
      </c>
      <c r="W19" s="4" t="str">
        <v>obj_002b8</v>
      </c>
      <c r="X19" s="4" t="str">
        <f>IFERROR(_xll.qlRateHelperQuoteName(W19,Trigger),"")</f>
        <v>USDAM3L3Y_S12L3L_Quote</v>
      </c>
      <c r="Y19" s="76">
        <f>IFERROR(_xll.qlRateHelperRate(W19,Trigger),"")</f>
        <v>1.4251943618702597E-2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42436</v>
      </c>
      <c r="AB19" s="5">
        <f>IFERROR(_xll.qlRateHelperPillarDate(W19,Trigger),"")</f>
        <v>43531</v>
      </c>
      <c r="AC19" s="84">
        <v>0.95783958056093221</v>
      </c>
    </row>
    <row r="20" spans="1:29" ht="11.25" customHeight="1" x14ac:dyDescent="0.2">
      <c r="A20" s="71" t="s">
        <v>9</v>
      </c>
      <c r="B20" s="71" t="s">
        <v>126</v>
      </c>
      <c r="C20" s="71" t="s">
        <v>127</v>
      </c>
      <c r="D20" s="71"/>
      <c r="E20" s="71"/>
      <c r="F20" s="71"/>
      <c r="G20" s="71" t="s">
        <v>4</v>
      </c>
      <c r="H20" s="71" t="s">
        <v>1</v>
      </c>
      <c r="I20" s="71"/>
      <c r="J20" s="71" t="s">
        <v>25</v>
      </c>
      <c r="K20" s="53"/>
      <c r="L20" s="11" t="str">
        <f t="shared" ref="L20:L42" si="5">A22</f>
        <v>FRA</v>
      </c>
      <c r="M20" s="106" t="str">
        <f t="shared" ref="M20:M42" si="6">IF(ISBLANK(J22),"--",J22)</f>
        <v>obj_002d6#0044</v>
      </c>
      <c r="N20" s="160" t="str">
        <f>IFERROR(_xll.qlRateHelperQuoteName(M20,Trigger),"--")</f>
        <v>USD2x14F_Quote</v>
      </c>
      <c r="O20" s="110">
        <f>IFERROR(_xll.qlRateHelperQuoteValue($M20,Trigger),"--")</f>
        <v>1.184E-2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42499</v>
      </c>
      <c r="T20" s="111">
        <f>IFERROR(_xll.qlRateHelperPillarDate(M20,Trigger),"--")</f>
        <v>42863</v>
      </c>
      <c r="V20" s="4" t="str">
        <f t="shared" si="3"/>
        <v>BasSw</v>
      </c>
      <c r="W20" s="4" t="str">
        <v>obj_00299</v>
      </c>
      <c r="X20" s="4" t="str">
        <f>IFERROR(_xll.qlRateHelperQuoteName(W20,Trigger),"")</f>
        <v>USDAM3L4Y_S12L3L_Quote</v>
      </c>
      <c r="Y20" s="76">
        <f>IFERROR(_xll.qlRateHelperRate(W20,Trigger),"")</f>
        <v>1.5355674047830802E-2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42436</v>
      </c>
      <c r="AB20" s="5">
        <f>IFERROR(_xll.qlRateHelperPillarDate(W20,Trigger),"")</f>
        <v>43899</v>
      </c>
      <c r="AC20" s="84">
        <v>0.93986325436118578</v>
      </c>
    </row>
    <row r="21" spans="1:29" ht="11.25" customHeight="1" x14ac:dyDescent="0.2">
      <c r="A21" s="58" t="s">
        <v>128</v>
      </c>
      <c r="B21" s="127">
        <v>1</v>
      </c>
      <c r="C21" s="61" t="str">
        <f>"x"&amp;B21+$C$19&amp;"F"</f>
        <v>x13F</v>
      </c>
      <c r="D21" s="143"/>
      <c r="E21" s="143"/>
      <c r="F21" s="143"/>
      <c r="G21" s="60" t="str">
        <f t="shared" ref="G21:G44" si="7">PROPER(Currency)&amp;FamilyName&amp;Tenor</f>
        <v>UsdLibor1Y</v>
      </c>
      <c r="H21" s="130" t="str">
        <f t="shared" ref="H21:H29" si="8">Currency&amp;B21&amp;C21&amp;QuoteSuffix</f>
        <v>USD1x13F_Quote</v>
      </c>
      <c r="I21" s="143"/>
      <c r="J21" s="63" t="str">
        <f>_xll.qlFraRateHelper(,H21,B21&amp;"M",G21,PillarDate,,Permanent,Trigger,ObjectOverwrite)</f>
        <v>obj_002ba#0044</v>
      </c>
      <c r="K21" s="53"/>
      <c r="L21" s="11" t="str">
        <f t="shared" si="5"/>
        <v>FRA</v>
      </c>
      <c r="M21" s="106" t="str">
        <f t="shared" si="6"/>
        <v>obj_002b5#0044</v>
      </c>
      <c r="N21" s="160" t="str">
        <f>IFERROR(_xll.qlRateHelperQuoteName(M21,Trigger),"--")</f>
        <v>USD3x15F_Quote</v>
      </c>
      <c r="O21" s="110">
        <f>IFERROR(_xll.qlRateHelperQuoteValue($M21,Trigger),"--")</f>
        <v>1.1730000000000001E-2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42528</v>
      </c>
      <c r="T21" s="111">
        <f>IFERROR(_xll.qlRateHelperPillarDate(M21,Trigger),"--")</f>
        <v>42893</v>
      </c>
      <c r="V21" s="4" t="str">
        <f t="shared" si="3"/>
        <v>BasSw</v>
      </c>
      <c r="W21" s="4" t="str">
        <v>obj_00282</v>
      </c>
      <c r="X21" s="4" t="str">
        <f>IFERROR(_xll.qlRateHelperQuoteName(W21,Trigger),"")</f>
        <v>USDAM3L5Y_S12L3L_Quote</v>
      </c>
      <c r="Y21" s="76">
        <f>IFERROR(_xll.qlRateHelperRate(W21,Trigger),"")</f>
        <v>1.6346591811897897E-2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42436</v>
      </c>
      <c r="AB21" s="5">
        <f>IFERROR(_xll.qlRateHelperPillarDate(W21,Trigger),"")</f>
        <v>44263</v>
      </c>
      <c r="AC21" s="84">
        <v>0.92082205419481966</v>
      </c>
    </row>
    <row r="22" spans="1:29" ht="11.25" customHeight="1" x14ac:dyDescent="0.2">
      <c r="A22" s="64" t="s">
        <v>128</v>
      </c>
      <c r="B22" s="128">
        <v>2</v>
      </c>
      <c r="C22" s="68" t="str">
        <f t="shared" ref="C22:C44" si="9">"x"&amp;B22+$C$19&amp;"F"</f>
        <v>x14F</v>
      </c>
      <c r="D22" s="137"/>
      <c r="E22" s="137"/>
      <c r="F22" s="137"/>
      <c r="G22" s="66" t="str">
        <f t="shared" si="7"/>
        <v>UsdLibor1Y</v>
      </c>
      <c r="H22" s="131" t="str">
        <f t="shared" si="8"/>
        <v>USD2x14F_Quote</v>
      </c>
      <c r="I22" s="137"/>
      <c r="J22" s="70" t="str">
        <f>_xll.qlFraRateHelper(,H22,B22&amp;"M",G22,PillarDate,,Permanent,Trigger,ObjectOverwrite)</f>
        <v>obj_002d6#0044</v>
      </c>
      <c r="K22" s="53"/>
      <c r="L22" s="11" t="str">
        <f t="shared" si="5"/>
        <v>FRA</v>
      </c>
      <c r="M22" s="106" t="str">
        <f t="shared" si="6"/>
        <v>obj_002e2#0044</v>
      </c>
      <c r="N22" s="160" t="str">
        <f>IFERROR(_xll.qlRateHelperQuoteName(M22,Trigger),"--")</f>
        <v>USD4x16F_Quote</v>
      </c>
      <c r="O22" s="110">
        <f>IFERROR(_xll.qlRateHelperQuoteValue($M22,Trigger),"--")</f>
        <v>1.1899999999999999E-2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42558</v>
      </c>
      <c r="T22" s="111">
        <f>IFERROR(_xll.qlRateHelperPillarDate(M22,Trigger),"--")</f>
        <v>42923</v>
      </c>
      <c r="V22" s="4" t="str">
        <f t="shared" si="3"/>
        <v>BasSw</v>
      </c>
      <c r="W22" s="4" t="str">
        <v>obj_00283</v>
      </c>
      <c r="X22" s="4" t="str">
        <f>IFERROR(_xll.qlRateHelperQuoteName(W22,Trigger),"")</f>
        <v>USDAM3L6Y_S12L3L_Quote</v>
      </c>
      <c r="Y22" s="76">
        <f>IFERROR(_xll.qlRateHelperRate(W22,Trigger),"")</f>
        <v>1.7307492408423594E-2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42436</v>
      </c>
      <c r="AB22" s="5">
        <f>IFERROR(_xll.qlRateHelperPillarDate(W22,Trigger),"")</f>
        <v>44627</v>
      </c>
      <c r="AC22" s="84">
        <v>0.90049275374963988</v>
      </c>
    </row>
    <row r="23" spans="1:29" ht="11.25" customHeight="1" x14ac:dyDescent="0.2">
      <c r="A23" s="64" t="s">
        <v>128</v>
      </c>
      <c r="B23" s="128">
        <v>3</v>
      </c>
      <c r="C23" s="68" t="str">
        <f t="shared" si="9"/>
        <v>x15F</v>
      </c>
      <c r="D23" s="137"/>
      <c r="E23" s="137"/>
      <c r="F23" s="137"/>
      <c r="G23" s="66" t="str">
        <f t="shared" si="7"/>
        <v>UsdLibor1Y</v>
      </c>
      <c r="H23" s="131" t="str">
        <f t="shared" si="8"/>
        <v>USD3x15F_Quote</v>
      </c>
      <c r="I23" s="137"/>
      <c r="J23" s="70" t="str">
        <f>_xll.qlFraRateHelper(,H23,B23&amp;"M",G23,PillarDate,,Permanent,Trigger,ObjectOverwrite)</f>
        <v>obj_002b5#0044</v>
      </c>
      <c r="K23" s="53"/>
      <c r="L23" s="11" t="str">
        <f t="shared" si="5"/>
        <v>FRA</v>
      </c>
      <c r="M23" s="106" t="str">
        <f t="shared" si="6"/>
        <v>obj_002eb#0044</v>
      </c>
      <c r="N23" s="160" t="str">
        <f>IFERROR(_xll.qlRateHelperQuoteName(M23,Trigger),"--")</f>
        <v>USD5x17F_Quote</v>
      </c>
      <c r="O23" s="110">
        <f>IFERROR(_xll.qlRateHelperQuoteValue($M23,Trigger),"--")</f>
        <v>1.206E-2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42590</v>
      </c>
      <c r="T23" s="111">
        <f>IFERROR(_xll.qlRateHelperPillarDate(M23,Trigger),"--")</f>
        <v>42954</v>
      </c>
      <c r="V23" s="4" t="str">
        <f t="shared" si="3"/>
        <v>BasSw</v>
      </c>
      <c r="W23" s="4" t="str">
        <v>obj_002b4</v>
      </c>
      <c r="X23" s="4" t="str">
        <f>IFERROR(_xll.qlRateHelperQuoteName(W23,Trigger),"")</f>
        <v>USDAM3L7Y_S12L3L_Quote</v>
      </c>
      <c r="Y23" s="76">
        <f>IFERROR(_xll.qlRateHelperRate(W23,Trigger),"")</f>
        <v>1.8113084852479103E-2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42436</v>
      </c>
      <c r="AB23" s="5">
        <f>IFERROR(_xll.qlRateHelperPillarDate(W23,Trigger),"")</f>
        <v>44992</v>
      </c>
      <c r="AC23" s="84">
        <v>0.87979736213864157</v>
      </c>
    </row>
    <row r="24" spans="1:29" ht="11.25" customHeight="1" x14ac:dyDescent="0.2">
      <c r="A24" s="64" t="s">
        <v>128</v>
      </c>
      <c r="B24" s="128">
        <v>4</v>
      </c>
      <c r="C24" s="68" t="str">
        <f t="shared" si="9"/>
        <v>x16F</v>
      </c>
      <c r="D24" s="137"/>
      <c r="E24" s="137"/>
      <c r="F24" s="137"/>
      <c r="G24" s="66" t="str">
        <f t="shared" si="7"/>
        <v>UsdLibor1Y</v>
      </c>
      <c r="H24" s="131" t="str">
        <f t="shared" si="8"/>
        <v>USD4x16F_Quote</v>
      </c>
      <c r="I24" s="137"/>
      <c r="J24" s="70" t="str">
        <f>_xll.qlFraRateHelper(,H24,B24&amp;"M",G24,PillarDate,,Permanent,Trigger,ObjectOverwrite)</f>
        <v>obj_002e2#0044</v>
      </c>
      <c r="K24" s="53"/>
      <c r="L24" s="11" t="str">
        <f t="shared" si="5"/>
        <v>FRA</v>
      </c>
      <c r="M24" s="106" t="str">
        <f t="shared" si="6"/>
        <v>obj_002a4#0044</v>
      </c>
      <c r="N24" s="160" t="str">
        <f>IFERROR(_xll.qlRateHelperQuoteName(M24,Trigger),"--")</f>
        <v>USD6x18F_Quote</v>
      </c>
      <c r="O24" s="110">
        <f>IFERROR(_xll.qlRateHelperQuoteValue($M24,Trigger),"--")</f>
        <v>1.2199999999999999E-2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42620</v>
      </c>
      <c r="T24" s="111">
        <f>IFERROR(_xll.qlRateHelperPillarDate(M24,Trigger),"--")</f>
        <v>42985</v>
      </c>
      <c r="V24" s="4" t="str">
        <f t="shared" si="3"/>
        <v>BasSw</v>
      </c>
      <c r="W24" s="4" t="str">
        <v>obj_002e0</v>
      </c>
      <c r="X24" s="4" t="str">
        <f>IFERROR(_xll.qlRateHelperQuoteName(W24,Trigger),"")</f>
        <v>USDAM3L8Y_S12L3L_Quote</v>
      </c>
      <c r="Y24" s="76">
        <f>IFERROR(_xll.qlRateHelperRate(W24,Trigger),"")</f>
        <v>1.8848720119929087E-2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42436</v>
      </c>
      <c r="AB24" s="5">
        <f>IFERROR(_xll.qlRateHelperPillarDate(W24,Trigger),"")</f>
        <v>45358</v>
      </c>
      <c r="AC24" s="84">
        <v>0.85857354428532184</v>
      </c>
    </row>
    <row r="25" spans="1:29" ht="11.25" customHeight="1" x14ac:dyDescent="0.2">
      <c r="A25" s="64" t="s">
        <v>128</v>
      </c>
      <c r="B25" s="128">
        <v>5</v>
      </c>
      <c r="C25" s="68" t="str">
        <f t="shared" si="9"/>
        <v>x17F</v>
      </c>
      <c r="D25" s="137"/>
      <c r="E25" s="137"/>
      <c r="F25" s="137"/>
      <c r="G25" s="66" t="str">
        <f t="shared" si="7"/>
        <v>UsdLibor1Y</v>
      </c>
      <c r="H25" s="131" t="str">
        <f t="shared" si="8"/>
        <v>USD5x17F_Quote</v>
      </c>
      <c r="I25" s="137"/>
      <c r="J25" s="70" t="str">
        <f>_xll.qlFraRateHelper(,H25,B25&amp;"M",G25,PillarDate,,Permanent,Trigger,ObjectOverwrite)</f>
        <v>obj_002eb#0044</v>
      </c>
      <c r="K25" s="53"/>
      <c r="L25" s="11" t="str">
        <f t="shared" si="5"/>
        <v>FRA</v>
      </c>
      <c r="M25" s="106" t="str">
        <f t="shared" si="6"/>
        <v>--</v>
      </c>
      <c r="N25" s="160" t="str">
        <f>IFERROR(_xll.qlRateHelperQuoteName(M25,Trigger),"--")</f>
        <v>--</v>
      </c>
      <c r="O25" s="110" t="str">
        <f>IFERROR(_xll.qlRateHelperQuoteValue($M25,Trigger),"--")</f>
        <v>--</v>
      </c>
      <c r="P25" s="109" t="b">
        <v>0</v>
      </c>
      <c r="Q25" s="106">
        <v>20</v>
      </c>
      <c r="R25" s="106">
        <v>1</v>
      </c>
      <c r="S25" s="111" t="str">
        <f>IFERROR(_xll.qlRateHelperEarliestDate(M25,Trigger),"--")</f>
        <v>--</v>
      </c>
      <c r="T25" s="111" t="str">
        <f>IFERROR(_xll.qlRateHelperPillarDate(M25,Trigger),"--")</f>
        <v>--</v>
      </c>
      <c r="V25" s="4" t="str">
        <f t="shared" si="3"/>
        <v>BasSw</v>
      </c>
      <c r="W25" s="4" t="str">
        <v>obj_002f4</v>
      </c>
      <c r="X25" s="4" t="str">
        <f>IFERROR(_xll.qlRateHelperQuoteName(W25,Trigger),"")</f>
        <v>USDAM3L9Y_S12L3L_Quote</v>
      </c>
      <c r="Y25" s="76">
        <f>IFERROR(_xll.qlRateHelperRate(W25,Trigger),"")</f>
        <v>1.9479083211336966E-2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42436</v>
      </c>
      <c r="AB25" s="5">
        <f>IFERROR(_xll.qlRateHelperPillarDate(W25,Trigger),"")</f>
        <v>45723</v>
      </c>
      <c r="AC25" s="84">
        <v>0.83742272992662103</v>
      </c>
    </row>
    <row r="26" spans="1:29" ht="11.25" customHeight="1" x14ac:dyDescent="0.2">
      <c r="A26" s="64" t="s">
        <v>128</v>
      </c>
      <c r="B26" s="128">
        <v>6</v>
      </c>
      <c r="C26" s="68" t="str">
        <f t="shared" si="9"/>
        <v>x18F</v>
      </c>
      <c r="D26" s="137"/>
      <c r="E26" s="137"/>
      <c r="F26" s="137"/>
      <c r="G26" s="66" t="str">
        <f t="shared" si="7"/>
        <v>UsdLibor1Y</v>
      </c>
      <c r="H26" s="131" t="str">
        <f t="shared" si="8"/>
        <v>USD6x18F_Quote</v>
      </c>
      <c r="I26" s="137"/>
      <c r="J26" s="70" t="str">
        <f>_xll.qlFraRateHelper(,H26,B26&amp;"M",G26,PillarDate,,Permanent,Trigger,ObjectOverwrite)</f>
        <v>obj_002a4#0044</v>
      </c>
      <c r="K26" s="53"/>
      <c r="L26" s="11" t="str">
        <f t="shared" si="5"/>
        <v>FRA</v>
      </c>
      <c r="M26" s="106" t="str">
        <f t="shared" si="6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obj_002db</v>
      </c>
      <c r="X26" s="4" t="str">
        <f>IFERROR(_xll.qlRateHelperQuoteName(W26,Trigger),"")</f>
        <v>USDAM3L10Y_S12L3L_Quote</v>
      </c>
      <c r="Y26" s="76">
        <f>IFERROR(_xll.qlRateHelperRate(W26,Trigger),"")</f>
        <v>2.0094481096064487E-2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42436</v>
      </c>
      <c r="AB26" s="5">
        <f>IFERROR(_xll.qlRateHelperPillarDate(W26,Trigger),"")</f>
        <v>46090</v>
      </c>
      <c r="AC26" s="84">
        <v>0.81571764677266523</v>
      </c>
    </row>
    <row r="27" spans="1:29" ht="11.25" customHeight="1" x14ac:dyDescent="0.2">
      <c r="A27" s="64" t="s">
        <v>128</v>
      </c>
      <c r="B27" s="128">
        <v>7</v>
      </c>
      <c r="C27" s="68" t="str">
        <f t="shared" si="9"/>
        <v>x19F</v>
      </c>
      <c r="D27" s="137"/>
      <c r="E27" s="137"/>
      <c r="F27" s="137"/>
      <c r="G27" s="66" t="str">
        <f t="shared" si="7"/>
        <v>UsdLibor1Y</v>
      </c>
      <c r="H27" s="131" t="str">
        <f t="shared" si="8"/>
        <v>USD7x19F_Quote</v>
      </c>
      <c r="I27" s="137"/>
      <c r="J27" s="70"/>
      <c r="K27" s="53"/>
      <c r="L27" s="11" t="str">
        <f t="shared" si="5"/>
        <v>FRA</v>
      </c>
      <c r="M27" s="106" t="str">
        <f t="shared" si="6"/>
        <v>obj_002bc#0044</v>
      </c>
      <c r="N27" s="160" t="str">
        <f>IFERROR(_xll.qlRateHelperQuoteName(M27,Trigger),"--")</f>
        <v>USD9x21F_Quote</v>
      </c>
      <c r="O27" s="110">
        <f>IFERROR(_xll.qlRateHelperQuoteValue($M27,Trigger),"--")</f>
        <v>1.278E-2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42711</v>
      </c>
      <c r="T27" s="111">
        <f>IFERROR(_xll.qlRateHelperPillarDate(M27,Trigger),"--")</f>
        <v>43076</v>
      </c>
      <c r="V27" s="4" t="str">
        <f t="shared" si="3"/>
        <v>BasSw</v>
      </c>
      <c r="W27" s="4" t="str">
        <v>obj_002bd</v>
      </c>
      <c r="X27" s="4" t="str">
        <f>IFERROR(_xll.qlRateHelperQuoteName(W27,Trigger),"")</f>
        <v>USDAM3L11Y_S12L3L_Quote</v>
      </c>
      <c r="Y27" s="76">
        <f>IFERROR(_xll.qlRateHelperRate(W27,Trigger),"")</f>
        <v>2.0708656538596354E-2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42436</v>
      </c>
      <c r="AB27" s="5">
        <f>IFERROR(_xll.qlRateHelperPillarDate(W27,Trigger),"")</f>
        <v>46454</v>
      </c>
      <c r="AC27" s="84">
        <v>0.79363982958590784</v>
      </c>
    </row>
    <row r="28" spans="1:29" ht="11.25" customHeight="1" x14ac:dyDescent="0.2">
      <c r="A28" s="64" t="s">
        <v>128</v>
      </c>
      <c r="B28" s="128">
        <v>8</v>
      </c>
      <c r="C28" s="68" t="str">
        <f t="shared" si="9"/>
        <v>x20F</v>
      </c>
      <c r="D28" s="137"/>
      <c r="E28" s="137"/>
      <c r="F28" s="137"/>
      <c r="G28" s="66" t="str">
        <f t="shared" si="7"/>
        <v>UsdLibor1Y</v>
      </c>
      <c r="H28" s="131" t="str">
        <f t="shared" si="8"/>
        <v>USD8x20F_Quote</v>
      </c>
      <c r="I28" s="137"/>
      <c r="J28" s="70"/>
      <c r="K28" s="53"/>
      <c r="L28" s="11" t="str">
        <f t="shared" si="5"/>
        <v>FRA</v>
      </c>
      <c r="M28" s="106" t="str">
        <f t="shared" si="6"/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obj_002e9</v>
      </c>
      <c r="X28" s="4" t="str">
        <f>IFERROR(_xll.qlRateHelperQuoteName(W28,Trigger),"")</f>
        <v>USDAM3L12Y_S12L3L_Quote</v>
      </c>
      <c r="Y28" s="76">
        <f>IFERROR(_xll.qlRateHelperRate(W28,Trigger),"")</f>
        <v>2.1270911668125655E-2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42436</v>
      </c>
      <c r="AB28" s="5">
        <f>IFERROR(_xll.qlRateHelperPillarDate(W28,Trigger),"")</f>
        <v>46819</v>
      </c>
      <c r="AC28" s="84">
        <v>0.77158726925815402</v>
      </c>
    </row>
    <row r="29" spans="1:29" ht="11.25" customHeight="1" x14ac:dyDescent="0.2">
      <c r="A29" s="64" t="s">
        <v>128</v>
      </c>
      <c r="B29" s="128">
        <v>9</v>
      </c>
      <c r="C29" s="68" t="str">
        <f t="shared" si="9"/>
        <v>x21F</v>
      </c>
      <c r="D29" s="137"/>
      <c r="E29" s="137"/>
      <c r="F29" s="137"/>
      <c r="G29" s="66" t="str">
        <f t="shared" si="7"/>
        <v>UsdLibor1Y</v>
      </c>
      <c r="H29" s="131" t="str">
        <f t="shared" si="8"/>
        <v>USD9x21F_Quote</v>
      </c>
      <c r="I29" s="137"/>
      <c r="J29" s="70" t="str">
        <f>_xll.qlFraRateHelper(,H29,B29&amp;"M",G29,PillarDate,,Permanent,Trigger,ObjectOverwrite)</f>
        <v>obj_002bc#0044</v>
      </c>
      <c r="K29" s="53"/>
      <c r="L29" s="11" t="str">
        <f t="shared" si="5"/>
        <v>FRA</v>
      </c>
      <c r="M29" s="106" t="str">
        <f t="shared" si="6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obj_002e3</v>
      </c>
      <c r="X29" s="4" t="str">
        <f>IFERROR(_xll.qlRateHelperQuoteName(W29,Trigger),"")</f>
        <v>USDAM3L13Y_S12L3L_Quote</v>
      </c>
      <c r="Y29" s="76">
        <f>IFERROR(_xll.qlRateHelperRate(W29,Trigger),"")</f>
        <v>2.173527617293064E-2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42436</v>
      </c>
      <c r="AB29" s="5">
        <f>IFERROR(_xll.qlRateHelperPillarDate(W29,Trigger),"")</f>
        <v>47184</v>
      </c>
      <c r="AC29" s="84">
        <v>0.75025360144541009</v>
      </c>
    </row>
    <row r="30" spans="1:29" ht="11.25" customHeight="1" x14ac:dyDescent="0.2">
      <c r="A30" s="64" t="s">
        <v>128</v>
      </c>
      <c r="B30" s="128">
        <v>10</v>
      </c>
      <c r="C30" s="68" t="str">
        <f t="shared" si="9"/>
        <v>x22F</v>
      </c>
      <c r="D30" s="137"/>
      <c r="E30" s="137"/>
      <c r="F30" s="137"/>
      <c r="G30" s="66" t="str">
        <f t="shared" si="7"/>
        <v>UsdLibor1Y</v>
      </c>
      <c r="H30" s="131" t="str">
        <f t="shared" ref="H30:H44" si="10">Currency&amp;B30&amp;C30&amp;QuoteSuffix</f>
        <v>USD10x22F_Quote</v>
      </c>
      <c r="I30" s="137"/>
      <c r="J30" s="70"/>
      <c r="K30" s="53"/>
      <c r="L30" s="11" t="str">
        <f t="shared" si="5"/>
        <v>FRA</v>
      </c>
      <c r="M30" s="106" t="str">
        <f t="shared" si="6"/>
        <v>obj_002b2#0044</v>
      </c>
      <c r="N30" s="160" t="str">
        <f>IFERROR(_xll.qlRateHelperQuoteName(M30,Trigger),"--")</f>
        <v>USD12x24F_Quote</v>
      </c>
      <c r="O30" s="110">
        <f>IFERROR(_xll.qlRateHelperQuoteValue($M30,Trigger),"--")</f>
        <v>1.3340000000000001E-2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42801</v>
      </c>
      <c r="T30" s="111">
        <f>IFERROR(_xll.qlRateHelperPillarDate(M30,Trigger),"--")</f>
        <v>43166</v>
      </c>
      <c r="V30" s="4" t="str">
        <f t="shared" si="3"/>
        <v>BasSw</v>
      </c>
      <c r="W30" s="4" t="str">
        <v>obj_002cd</v>
      </c>
      <c r="X30" s="4" t="str">
        <f>IFERROR(_xll.qlRateHelperQuoteName(W30,Trigger),"")</f>
        <v>USDAM3L14Y_S12L3L_Quote</v>
      </c>
      <c r="Y30" s="76">
        <f>IFERROR(_xll.qlRateHelperRate(W30,Trigger),"")</f>
        <v>2.2128840262020312E-2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42436</v>
      </c>
      <c r="AB30" s="5">
        <f>IFERROR(_xll.qlRateHelperPillarDate(W30,Trigger),"")</f>
        <v>47549</v>
      </c>
      <c r="AC30" s="84">
        <v>0.72954734863219683</v>
      </c>
    </row>
    <row r="31" spans="1:29" ht="11.25" customHeight="1" x14ac:dyDescent="0.2">
      <c r="A31" s="64" t="s">
        <v>128</v>
      </c>
      <c r="B31" s="128">
        <v>11</v>
      </c>
      <c r="C31" s="68" t="str">
        <f t="shared" si="9"/>
        <v>x23F</v>
      </c>
      <c r="D31" s="137"/>
      <c r="E31" s="137"/>
      <c r="F31" s="137"/>
      <c r="G31" s="66" t="str">
        <f t="shared" si="7"/>
        <v>UsdLibor1Y</v>
      </c>
      <c r="H31" s="131" t="str">
        <f t="shared" si="10"/>
        <v>USD11x23F_Quote</v>
      </c>
      <c r="I31" s="137"/>
      <c r="J31" s="70"/>
      <c r="K31" s="53"/>
      <c r="L31" s="11" t="str">
        <f t="shared" si="5"/>
        <v>FRA</v>
      </c>
      <c r="M31" s="106" t="str">
        <f t="shared" si="6"/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obj_0029c</v>
      </c>
      <c r="X31" s="4" t="str">
        <f>IFERROR(_xll.qlRateHelperQuoteName(W31,Trigger),"")</f>
        <v>USDAM3L15Y_S12L3L_Quote</v>
      </c>
      <c r="Y31" s="76">
        <f>IFERROR(_xll.qlRateHelperRate(W31,Trigger),"")</f>
        <v>2.2479640987266982E-2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42436</v>
      </c>
      <c r="AB31" s="5">
        <f>IFERROR(_xll.qlRateHelperPillarDate(W31,Trigger),"")</f>
        <v>47914</v>
      </c>
      <c r="AC31" s="84">
        <v>0.70928332561727525</v>
      </c>
    </row>
    <row r="32" spans="1:29" ht="11.25" customHeight="1" x14ac:dyDescent="0.2">
      <c r="A32" s="64" t="s">
        <v>128</v>
      </c>
      <c r="B32" s="128">
        <v>12</v>
      </c>
      <c r="C32" s="68" t="str">
        <f t="shared" si="9"/>
        <v>x24F</v>
      </c>
      <c r="D32" s="137"/>
      <c r="E32" s="137"/>
      <c r="F32" s="137"/>
      <c r="G32" s="66" t="str">
        <f t="shared" si="7"/>
        <v>UsdLibor1Y</v>
      </c>
      <c r="H32" s="131" t="str">
        <f t="shared" si="10"/>
        <v>USD12x24F_Quote</v>
      </c>
      <c r="I32" s="137"/>
      <c r="J32" s="70" t="str">
        <f>_xll.qlFraRateHelper(,H32,B32&amp;"M",G32,PillarDate,,Permanent,Trigger,ObjectOverwrite)</f>
        <v>obj_002b2#0044</v>
      </c>
      <c r="K32" s="53"/>
      <c r="L32" s="11" t="str">
        <f t="shared" si="5"/>
        <v>FRA</v>
      </c>
      <c r="M32" s="106" t="str">
        <f t="shared" si="6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>BasSw</v>
      </c>
      <c r="W32" s="4" t="str">
        <v>obj_002ac</v>
      </c>
      <c r="X32" s="4" t="str">
        <f>IFERROR(_xll.qlRateHelperQuoteName(W32,Trigger),"")</f>
        <v>USDAM3L20Y_S12L3L_Quote</v>
      </c>
      <c r="Y32" s="76">
        <f>IFERROR(_xll.qlRateHelperRate(W32,Trigger),"")</f>
        <v>2.3826568016714948E-2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42436</v>
      </c>
      <c r="AB32" s="5">
        <f>IFERROR(_xll.qlRateHelperPillarDate(W32,Trigger),"")</f>
        <v>49741</v>
      </c>
      <c r="AC32" s="84">
        <v>0.61418202648856246</v>
      </c>
    </row>
    <row r="33" spans="1:29" ht="11.25" customHeight="1" x14ac:dyDescent="0.2">
      <c r="A33" s="64" t="s">
        <v>128</v>
      </c>
      <c r="B33" s="128">
        <v>13</v>
      </c>
      <c r="C33" s="68" t="str">
        <f t="shared" si="9"/>
        <v>x25F</v>
      </c>
      <c r="D33" s="137"/>
      <c r="E33" s="137"/>
      <c r="F33" s="137"/>
      <c r="G33" s="66" t="str">
        <f t="shared" si="7"/>
        <v>UsdLibor1Y</v>
      </c>
      <c r="H33" s="131" t="str">
        <f t="shared" si="10"/>
        <v>USD13x25F_Quote</v>
      </c>
      <c r="I33" s="137"/>
      <c r="J33" s="70"/>
      <c r="K33" s="53"/>
      <c r="L33" s="11" t="str">
        <f t="shared" si="5"/>
        <v>FRA</v>
      </c>
      <c r="M33" s="106" t="str">
        <f t="shared" si="6"/>
        <v>--</v>
      </c>
      <c r="N33" s="160" t="str">
        <f>IFERROR(_xll.qlRateHelperQuoteName(M33,Trigger),"--")</f>
        <v>--</v>
      </c>
      <c r="O33" s="110" t="str">
        <f>IFERROR(_xll.qlRateHelperQuoteValue($M33,Trigger),"--")</f>
        <v>--</v>
      </c>
      <c r="P33" s="109" t="b">
        <v>0</v>
      </c>
      <c r="Q33" s="106">
        <v>40</v>
      </c>
      <c r="R33" s="106">
        <v>1</v>
      </c>
      <c r="S33" s="111" t="str">
        <f>IFERROR(_xll.qlRateHelperEarliestDate(M33,Trigger),"--")</f>
        <v>--</v>
      </c>
      <c r="T33" s="111" t="str">
        <f>IFERROR(_xll.qlRateHelperPillarDate(M33,Trigger),"--")</f>
        <v>--</v>
      </c>
      <c r="V33" s="4" t="str">
        <f t="shared" si="3"/>
        <v>BasSw</v>
      </c>
      <c r="W33" s="4" t="str">
        <v>obj_00296</v>
      </c>
      <c r="X33" s="4" t="str">
        <f>IFERROR(_xll.qlRateHelperQuoteName(W33,Trigger),"")</f>
        <v>USDAM3L25Y_S12L3L_Quote</v>
      </c>
      <c r="Y33" s="76">
        <f>IFERROR(_xll.qlRateHelperRate(W33,Trigger),"")</f>
        <v>2.445231941796901E-2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42436</v>
      </c>
      <c r="AB33" s="5">
        <f>IFERROR(_xll.qlRateHelperPillarDate(W33,Trigger),"")</f>
        <v>51567</v>
      </c>
      <c r="AC33" s="84">
        <v>0.53471740617478203</v>
      </c>
    </row>
    <row r="34" spans="1:29" ht="11.25" customHeight="1" x14ac:dyDescent="0.2">
      <c r="A34" s="64" t="s">
        <v>128</v>
      </c>
      <c r="B34" s="128">
        <v>14</v>
      </c>
      <c r="C34" s="68" t="str">
        <f t="shared" si="9"/>
        <v>x26F</v>
      </c>
      <c r="D34" s="137"/>
      <c r="E34" s="137"/>
      <c r="F34" s="137"/>
      <c r="G34" s="66" t="str">
        <f t="shared" si="7"/>
        <v>UsdLibor1Y</v>
      </c>
      <c r="H34" s="131" t="str">
        <f t="shared" si="10"/>
        <v>USD14x26F_Quote</v>
      </c>
      <c r="I34" s="137"/>
      <c r="J34" s="70"/>
      <c r="K34" s="53"/>
      <c r="L34" s="11" t="str">
        <f t="shared" si="5"/>
        <v>FRA</v>
      </c>
      <c r="M34" s="106" t="str">
        <f t="shared" si="6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>BasSw</v>
      </c>
      <c r="W34" s="4" t="str">
        <v>obj_002ad</v>
      </c>
      <c r="X34" s="4" t="str">
        <f>IFERROR(_xll.qlRateHelperQuoteName(W34,Trigger),"")</f>
        <v>USDAM3L30Y_S12L3L_Quote</v>
      </c>
      <c r="Y34" s="76">
        <f>IFERROR(_xll.qlRateHelperRate(W34,Trigger),"")</f>
        <v>2.4823008960793959E-2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42436</v>
      </c>
      <c r="AB34" s="5">
        <f>IFERROR(_xll.qlRateHelperPillarDate(W34,Trigger),"")</f>
        <v>53393</v>
      </c>
      <c r="AC34" s="84">
        <v>0.46631041325088446</v>
      </c>
    </row>
    <row r="35" spans="1:29" ht="11.25" customHeight="1" x14ac:dyDescent="0.2">
      <c r="A35" s="64" t="s">
        <v>128</v>
      </c>
      <c r="B35" s="128">
        <v>15</v>
      </c>
      <c r="C35" s="68" t="str">
        <f t="shared" si="9"/>
        <v>x27F</v>
      </c>
      <c r="D35" s="137"/>
      <c r="E35" s="137"/>
      <c r="F35" s="137"/>
      <c r="G35" s="66" t="str">
        <f t="shared" si="7"/>
        <v>UsdLibor1Y</v>
      </c>
      <c r="H35" s="131" t="str">
        <f t="shared" si="10"/>
        <v>USD15x27F_Quote</v>
      </c>
      <c r="I35" s="137"/>
      <c r="J35" s="70"/>
      <c r="K35" s="53"/>
      <c r="L35" s="11" t="str">
        <f t="shared" si="5"/>
        <v>FRA</v>
      </c>
      <c r="M35" s="106" t="str">
        <f t="shared" si="6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>BasSw</v>
      </c>
      <c r="W35" s="4" t="str">
        <v>obj_00290</v>
      </c>
      <c r="X35" s="4" t="str">
        <f>IFERROR(_xll.qlRateHelperQuoteName(W35,Trigger),"")</f>
        <v>USDAM3L35Y_S12L3L_Quote</v>
      </c>
      <c r="Y35" s="76">
        <f>IFERROR(_xll.qlRateHelperRate(W35,Trigger),"")</f>
        <v>2.4967709169759034E-2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42436</v>
      </c>
      <c r="AB35" s="5">
        <f>IFERROR(_xll.qlRateHelperPillarDate(W35,Trigger),"")</f>
        <v>55219</v>
      </c>
      <c r="AC35" s="84">
        <v>0.40896658135233743</v>
      </c>
    </row>
    <row r="36" spans="1:29" ht="11.25" customHeight="1" x14ac:dyDescent="0.2">
      <c r="A36" s="64" t="s">
        <v>128</v>
      </c>
      <c r="B36" s="128">
        <v>16</v>
      </c>
      <c r="C36" s="68" t="str">
        <f t="shared" si="9"/>
        <v>x28F</v>
      </c>
      <c r="D36" s="137"/>
      <c r="E36" s="137"/>
      <c r="F36" s="137"/>
      <c r="G36" s="66" t="str">
        <f t="shared" si="7"/>
        <v>UsdLibor1Y</v>
      </c>
      <c r="H36" s="131" t="str">
        <f t="shared" si="10"/>
        <v>USD16x28F_Quote</v>
      </c>
      <c r="I36" s="137"/>
      <c r="J36" s="70"/>
      <c r="K36" s="53"/>
      <c r="L36" s="11" t="str">
        <f t="shared" si="5"/>
        <v>FRA</v>
      </c>
      <c r="M36" s="106" t="str">
        <f t="shared" si="6"/>
        <v>--</v>
      </c>
      <c r="N36" s="160" t="str">
        <f>IFERROR(_xll.qlRateHelperQuoteName(M36,Trigger),"--")</f>
        <v>--</v>
      </c>
      <c r="O36" s="110" t="str">
        <f>IFERROR(_xll.qlRateHelperQuoteValue($M36,Trigger),"--")</f>
        <v>--</v>
      </c>
      <c r="P36" s="109" t="b">
        <v>0</v>
      </c>
      <c r="Q36" s="106">
        <v>40</v>
      </c>
      <c r="R36" s="106">
        <v>1</v>
      </c>
      <c r="S36" s="111" t="str">
        <f>IFERROR(_xll.qlRateHelperEarliestDate(M36,Trigger),"--")</f>
        <v>--</v>
      </c>
      <c r="T36" s="111" t="str">
        <f>IFERROR(_xll.qlRateHelperPillarDate(M36,Trigger),"--")</f>
        <v>--</v>
      </c>
      <c r="V36" s="4" t="str">
        <f t="shared" si="3"/>
        <v>BasSw</v>
      </c>
      <c r="W36" s="4" t="str">
        <v>obj_002a0</v>
      </c>
      <c r="X36" s="4" t="str">
        <f>IFERROR(_xll.qlRateHelperQuoteName(W36,Trigger),"")</f>
        <v>USDAM3L40Y_S12L3L_Quote</v>
      </c>
      <c r="Y36" s="76">
        <f>IFERROR(_xll.qlRateHelperRate(W36,Trigger),"")</f>
        <v>2.4993083032483782E-2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42436</v>
      </c>
      <c r="AB36" s="5">
        <f>IFERROR(_xll.qlRateHelperPillarDate(W36,Trigger),"")</f>
        <v>57046</v>
      </c>
      <c r="AC36" s="84">
        <v>0.36035086487826229</v>
      </c>
    </row>
    <row r="37" spans="1:29" ht="11.25" customHeight="1" x14ac:dyDescent="0.2">
      <c r="A37" s="64" t="s">
        <v>128</v>
      </c>
      <c r="B37" s="128">
        <v>17</v>
      </c>
      <c r="C37" s="68" t="str">
        <f t="shared" si="9"/>
        <v>x29F</v>
      </c>
      <c r="D37" s="137"/>
      <c r="E37" s="137"/>
      <c r="F37" s="137"/>
      <c r="G37" s="66" t="str">
        <f t="shared" si="7"/>
        <v>UsdLibor1Y</v>
      </c>
      <c r="H37" s="131" t="str">
        <f t="shared" si="10"/>
        <v>USD17x29F_Quote</v>
      </c>
      <c r="I37" s="137"/>
      <c r="J37" s="70"/>
      <c r="K37" s="53"/>
      <c r="L37" s="11" t="str">
        <f t="shared" si="5"/>
        <v>FRA</v>
      </c>
      <c r="M37" s="106" t="str">
        <f t="shared" si="6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>BasSw</v>
      </c>
      <c r="W37" s="4" t="str">
        <v>obj_00294</v>
      </c>
      <c r="X37" s="4" t="str">
        <f>IFERROR(_xll.qlRateHelperQuoteName(W37,Trigger),"")</f>
        <v>USDAM3L50Y_S12L3L_Quote</v>
      </c>
      <c r="Y37" s="76">
        <f>IFERROR(_xll.qlRateHelperRate(W37,Trigger),"")</f>
        <v>2.4872899787937715E-2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42436</v>
      </c>
      <c r="AB37" s="5">
        <f>IFERROR(_xll.qlRateHelperPillarDate(W37,Trigger),"")</f>
        <v>60699</v>
      </c>
      <c r="AC37" s="84">
        <v>0.28310714927541492</v>
      </c>
    </row>
    <row r="38" spans="1:29" ht="11.25" customHeight="1" x14ac:dyDescent="0.2">
      <c r="A38" s="64" t="s">
        <v>128</v>
      </c>
      <c r="B38" s="128">
        <v>18</v>
      </c>
      <c r="C38" s="68" t="str">
        <f t="shared" si="9"/>
        <v>x30F</v>
      </c>
      <c r="D38" s="137"/>
      <c r="E38" s="137"/>
      <c r="F38" s="137"/>
      <c r="G38" s="66" t="str">
        <f t="shared" si="7"/>
        <v>UsdLibor1Y</v>
      </c>
      <c r="H38" s="131" t="str">
        <f t="shared" si="10"/>
        <v>USD18x30F_Quote</v>
      </c>
      <c r="I38" s="137"/>
      <c r="J38" s="70"/>
      <c r="K38" s="53"/>
      <c r="L38" s="11" t="str">
        <f t="shared" si="5"/>
        <v>FRA</v>
      </c>
      <c r="M38" s="106" t="str">
        <f t="shared" si="6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>BasSw</v>
      </c>
      <c r="W38" s="4" t="str">
        <v>obj_002f7</v>
      </c>
      <c r="X38" s="4" t="str">
        <f>IFERROR(_xll.qlRateHelperQuoteName(W38,Trigger),"")</f>
        <v>USDAM3L60Y_S12L3L_Quote</v>
      </c>
      <c r="Y38" s="76">
        <f>IFERROR(_xll.qlRateHelperRate(W38,Trigger),"")</f>
        <v>2.4757889982890448E-2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42436</v>
      </c>
      <c r="AB38" s="5">
        <f>IFERROR(_xll.qlRateHelperPillarDate(W38,Trigger),"")</f>
        <v>64353</v>
      </c>
      <c r="AC38" s="84">
        <v>0.22316279540707579</v>
      </c>
    </row>
    <row r="39" spans="1:29" ht="11.25" customHeight="1" x14ac:dyDescent="0.2">
      <c r="A39" s="64" t="s">
        <v>128</v>
      </c>
      <c r="B39" s="128">
        <v>19</v>
      </c>
      <c r="C39" s="68" t="str">
        <f t="shared" si="9"/>
        <v>x31F</v>
      </c>
      <c r="D39" s="137"/>
      <c r="E39" s="137"/>
      <c r="F39" s="137"/>
      <c r="G39" s="66" t="str">
        <f t="shared" si="7"/>
        <v>UsdLibor1Y</v>
      </c>
      <c r="H39" s="131" t="str">
        <f t="shared" si="10"/>
        <v>USD19x31F_Quote</v>
      </c>
      <c r="I39" s="137"/>
      <c r="J39" s="70"/>
      <c r="K39" s="53"/>
      <c r="L39" s="11" t="str">
        <f t="shared" si="5"/>
        <v>FRA</v>
      </c>
      <c r="M39" s="106" t="str">
        <f t="shared" si="6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128</v>
      </c>
      <c r="B40" s="128">
        <v>20</v>
      </c>
      <c r="C40" s="68" t="str">
        <f t="shared" si="9"/>
        <v>x32F</v>
      </c>
      <c r="D40" s="137"/>
      <c r="E40" s="137"/>
      <c r="F40" s="137"/>
      <c r="G40" s="66" t="str">
        <f t="shared" si="7"/>
        <v>UsdLibor1Y</v>
      </c>
      <c r="H40" s="131" t="str">
        <f t="shared" si="10"/>
        <v>USD20x32F_Quote</v>
      </c>
      <c r="I40" s="137"/>
      <c r="J40" s="70"/>
      <c r="K40" s="53"/>
      <c r="L40" s="11" t="str">
        <f t="shared" si="5"/>
        <v>FRA</v>
      </c>
      <c r="M40" s="106" t="str">
        <f t="shared" si="6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128</v>
      </c>
      <c r="B41" s="128">
        <v>21</v>
      </c>
      <c r="C41" s="68" t="str">
        <f t="shared" si="9"/>
        <v>x33F</v>
      </c>
      <c r="D41" s="137"/>
      <c r="E41" s="137"/>
      <c r="F41" s="137"/>
      <c r="G41" s="66" t="str">
        <f t="shared" si="7"/>
        <v>UsdLibor1Y</v>
      </c>
      <c r="H41" s="131" t="str">
        <f t="shared" si="10"/>
        <v>USD21x33F_Quote</v>
      </c>
      <c r="I41" s="137"/>
      <c r="J41" s="70"/>
      <c r="L41" s="11" t="str">
        <f t="shared" si="5"/>
        <v>FRA</v>
      </c>
      <c r="M41" s="106" t="str">
        <f t="shared" si="6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128</v>
      </c>
      <c r="B42" s="128">
        <v>22</v>
      </c>
      <c r="C42" s="68" t="str">
        <f t="shared" si="9"/>
        <v>x34F</v>
      </c>
      <c r="D42" s="137"/>
      <c r="E42" s="137"/>
      <c r="F42" s="137"/>
      <c r="G42" s="66" t="str">
        <f t="shared" si="7"/>
        <v>UsdLibor1Y</v>
      </c>
      <c r="H42" s="131" t="str">
        <f t="shared" si="10"/>
        <v>USD22x34F_Quote</v>
      </c>
      <c r="I42" s="137"/>
      <c r="J42" s="70"/>
      <c r="L42" s="12" t="str">
        <f t="shared" si="5"/>
        <v>FRA</v>
      </c>
      <c r="M42" s="107" t="str">
        <f t="shared" si="6"/>
        <v>--</v>
      </c>
      <c r="N42" s="161" t="str">
        <f>IFERROR(_xll.qlRateHelperQuoteName(M42,Trigger),"--")</f>
        <v>--</v>
      </c>
      <c r="O42" s="113" t="str">
        <f>IFERROR(_xll.qlRateHelperQuoteValue($M42,Trigger),"--")</f>
        <v>--</v>
      </c>
      <c r="P42" s="112" t="b">
        <v>0</v>
      </c>
      <c r="Q42" s="107">
        <v>40</v>
      </c>
      <c r="R42" s="107">
        <v>1</v>
      </c>
      <c r="S42" s="114" t="str">
        <f>IFERROR(_xll.qlRateHelperEarliestDate(M42,Trigger),"--")</f>
        <v>--</v>
      </c>
      <c r="T42" s="114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128</v>
      </c>
      <c r="B43" s="128">
        <v>23</v>
      </c>
      <c r="C43" s="68" t="str">
        <f t="shared" si="9"/>
        <v>x35F</v>
      </c>
      <c r="D43" s="137"/>
      <c r="E43" s="137"/>
      <c r="F43" s="137"/>
      <c r="G43" s="66" t="str">
        <f t="shared" si="7"/>
        <v>UsdLibor1Y</v>
      </c>
      <c r="H43" s="131" t="str">
        <f t="shared" si="10"/>
        <v>USD23x35F_Quote</v>
      </c>
      <c r="I43" s="137"/>
      <c r="J43" s="70"/>
      <c r="L43" s="74" t="str">
        <f>A47</f>
        <v>BasSw</v>
      </c>
      <c r="M43" s="145" t="str">
        <f>IF(ISBLANK(J47),"--",J47)</f>
        <v>--</v>
      </c>
      <c r="N43" s="159" t="str">
        <f>IFERROR(_xll.qlRateHelperQuoteName(M43,Trigger),"--")</f>
        <v>--</v>
      </c>
      <c r="O43" s="147" t="str">
        <f>IFERROR(_xll.qlRateHelperQuoteValue($M43,Trigger),"--")</f>
        <v>--</v>
      </c>
      <c r="P43" s="146" t="b">
        <v>0</v>
      </c>
      <c r="Q43" s="145">
        <v>40</v>
      </c>
      <c r="R43" s="145">
        <v>1</v>
      </c>
      <c r="S43" s="148" t="str">
        <f>IFERROR(_xll.qlRateHelperEarliestDate(M43,Trigger),"--")</f>
        <v>--</v>
      </c>
      <c r="T43" s="148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1" t="s">
        <v>128</v>
      </c>
      <c r="B44" s="129">
        <v>24</v>
      </c>
      <c r="C44" s="10" t="str">
        <f t="shared" si="9"/>
        <v>x36F</v>
      </c>
      <c r="D44" s="138"/>
      <c r="E44" s="138"/>
      <c r="F44" s="138"/>
      <c r="G44" s="7" t="str">
        <f t="shared" si="7"/>
        <v>UsdLibor1Y</v>
      </c>
      <c r="H44" s="132" t="str">
        <f t="shared" si="10"/>
        <v>USD24x36F_Quote</v>
      </c>
      <c r="I44" s="138"/>
      <c r="J44" s="3"/>
      <c r="L44" s="11" t="str">
        <f t="shared" ref="L44:L78" si="11">A48</f>
        <v>BasSw</v>
      </c>
      <c r="M44" s="106" t="str">
        <f t="shared" ref="M44:M78" si="12">IF(ISBLANK(J48),"--",J48)</f>
        <v>obj_002b7#0044</v>
      </c>
      <c r="N44" s="160" t="str">
        <f>IFERROR(_xll.qlRateHelperQuoteName(M44,Trigger),"--")</f>
        <v>USDAM3L2Y_S12L3L_Quote</v>
      </c>
      <c r="O44" s="110">
        <f>IFERROR(_xll.qlRateHelperQuoteValue($M44,Trigger),"--")</f>
        <v>1.3083096303447577E-2</v>
      </c>
      <c r="P44" s="109" t="b">
        <v>1</v>
      </c>
      <c r="Q44" s="106">
        <v>40</v>
      </c>
      <c r="R44" s="106">
        <v>7</v>
      </c>
      <c r="S44" s="111">
        <f>IFERROR(_xll.qlRateHelperEarliestDate(M44,Trigger),"--")</f>
        <v>42436</v>
      </c>
      <c r="T44" s="111">
        <f>IFERROR(_xll.qlRateHelperPillarDate(M44,Trigger),"--")</f>
        <v>43166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B45" s="51"/>
      <c r="C45" s="51"/>
      <c r="D45" s="51"/>
      <c r="E45" s="51"/>
      <c r="F45" s="51" t="s">
        <v>150</v>
      </c>
      <c r="G45" s="51" t="s">
        <v>149</v>
      </c>
      <c r="H45" s="51" t="s">
        <v>161</v>
      </c>
      <c r="L45" s="11" t="str">
        <f t="shared" si="11"/>
        <v>BasSw</v>
      </c>
      <c r="M45" s="106" t="str">
        <f t="shared" si="12"/>
        <v>obj_002b8#0044</v>
      </c>
      <c r="N45" s="160" t="str">
        <f>IFERROR(_xll.qlRateHelperQuoteName(M45,Trigger),"--")</f>
        <v>USDAM3L3Y_S12L3L_Quote</v>
      </c>
      <c r="O45" s="110">
        <f>IFERROR(_xll.qlRateHelperQuoteValue($M45,Trigger),"--")</f>
        <v>1.4251943618702597E-2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42436</v>
      </c>
      <c r="T45" s="111">
        <f>IFERROR(_xll.qlRateHelperPillarDate(M45,Trigger),"--")</f>
        <v>43531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71" t="s">
        <v>9</v>
      </c>
      <c r="B46" s="71" t="s">
        <v>30</v>
      </c>
      <c r="C46" s="71" t="s">
        <v>151</v>
      </c>
      <c r="D46" s="71" t="s">
        <v>5</v>
      </c>
      <c r="E46" s="71" t="s">
        <v>35</v>
      </c>
      <c r="F46" s="71" t="s">
        <v>152</v>
      </c>
      <c r="G46" s="71" t="s">
        <v>4</v>
      </c>
      <c r="H46" s="71" t="s">
        <v>1</v>
      </c>
      <c r="I46" s="71" t="s">
        <v>148</v>
      </c>
      <c r="J46" s="71" t="s">
        <v>25</v>
      </c>
      <c r="L46" s="11" t="str">
        <f t="shared" si="11"/>
        <v>BasSw</v>
      </c>
      <c r="M46" s="106" t="str">
        <f t="shared" si="12"/>
        <v>obj_00299#0044</v>
      </c>
      <c r="N46" s="160" t="str">
        <f>IFERROR(_xll.qlRateHelperQuoteName(M46,Trigger),"--")</f>
        <v>USDAM3L4Y_S12L3L_Quote</v>
      </c>
      <c r="O46" s="110">
        <f>IFERROR(_xll.qlRateHelperQuoteValue($M46,Trigger),"--")</f>
        <v>1.5355674047830802E-2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42436</v>
      </c>
      <c r="T46" s="111">
        <f>IFERROR(_xll.qlRateHelperPillarDate(M46,Trigger),"--")</f>
        <v>43899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58" t="s">
        <v>160</v>
      </c>
      <c r="B47" s="59" t="s">
        <v>29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ref="G47:G82" si="13">PROPER(Currency)&amp;FamilyName&amp;Tenor</f>
        <v>UsdLibor1Y</v>
      </c>
      <c r="H47" s="58" t="str">
        <f t="shared" ref="H47:H82" si="14">Currency&amp;$G$45&amp;$F$45&amp;$B47&amp;"_S"&amp;$H$45&amp;$F$45&amp;QuoteSuffix</f>
        <v>USDAM3L1Y_S12L3L_Quote</v>
      </c>
      <c r="I47" s="140">
        <v>0</v>
      </c>
      <c r="J47" s="70"/>
      <c r="L47" s="11" t="str">
        <f t="shared" si="11"/>
        <v>BasSw</v>
      </c>
      <c r="M47" s="106" t="str">
        <f t="shared" si="12"/>
        <v>obj_00282#0044</v>
      </c>
      <c r="N47" s="160" t="str">
        <f>IFERROR(_xll.qlRateHelperQuoteName(M47,Trigger),"--")</f>
        <v>USDAM3L5Y_S12L3L_Quote</v>
      </c>
      <c r="O47" s="110">
        <f>IFERROR(_xll.qlRateHelperQuoteValue($M47,Trigger),"--")</f>
        <v>1.6346591811897897E-2</v>
      </c>
      <c r="P47" s="109" t="b">
        <v>1</v>
      </c>
      <c r="Q47" s="106">
        <v>40</v>
      </c>
      <c r="R47" s="106">
        <v>1</v>
      </c>
      <c r="S47" s="111">
        <f>IFERROR(_xll.qlRateHelperEarliestDate(M47,Trigger),"--")</f>
        <v>42436</v>
      </c>
      <c r="T47" s="111">
        <f>IFERROR(_xll.qlRateHelperPillarDate(M47,Trigger),"--")</f>
        <v>44263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72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3"/>
        <v>UsdLibor1Y</v>
      </c>
      <c r="H48" s="64" t="str">
        <f t="shared" si="14"/>
        <v>USDAM3L2Y_S12L3L_Quote</v>
      </c>
      <c r="I48" s="141">
        <v>0</v>
      </c>
      <c r="J48" s="70" t="str">
        <f>_xll.qlSwapRateHelper2(,H48,,B48,JoinCalendar,USD1Y!D48,USD1Y!E48,USD1Y!F48,USD1Y!G48,USD1Y!I48,USD1Y!C48,Discounting,PillarDate,,Permanent,Trigger,ObjectOverwrite)</f>
        <v>obj_002b7#0044</v>
      </c>
      <c r="L48" s="11" t="str">
        <f t="shared" si="11"/>
        <v>BasSw</v>
      </c>
      <c r="M48" s="106" t="str">
        <f t="shared" si="12"/>
        <v>obj_00283#0044</v>
      </c>
      <c r="N48" s="160" t="str">
        <f>IFERROR(_xll.qlRateHelperQuoteName(M48,Trigger),"--")</f>
        <v>USDAM3L6Y_S12L3L_Quote</v>
      </c>
      <c r="O48" s="110">
        <f>IFERROR(_xll.qlRateHelperQuoteValue($M48,Trigger),"--")</f>
        <v>1.7307492408423594E-2</v>
      </c>
      <c r="P48" s="109" t="b">
        <v>1</v>
      </c>
      <c r="Q48" s="106">
        <v>40</v>
      </c>
      <c r="R48" s="106">
        <v>1</v>
      </c>
      <c r="S48" s="111">
        <f>IFERROR(_xll.qlRateHelperEarliestDate(M48,Trigger),"--")</f>
        <v>42436</v>
      </c>
      <c r="T48" s="111">
        <f>IFERROR(_xll.qlRateHelperPillarDate(M48,Trigger),"--")</f>
        <v>44627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76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3"/>
        <v>UsdLibor1Y</v>
      </c>
      <c r="H49" s="64" t="str">
        <f t="shared" si="14"/>
        <v>USDAM3L3Y_S12L3L_Quote</v>
      </c>
      <c r="I49" s="141">
        <v>0</v>
      </c>
      <c r="J49" s="70" t="str">
        <f>_xll.qlSwapRateHelper2(,H49,,B49,JoinCalendar,USD1Y!D49,USD1Y!E49,USD1Y!F49,USD1Y!G49,USD1Y!I49,USD1Y!C49,Discounting,PillarDate,,Permanent,Trigger,ObjectOverwrite)</f>
        <v>obj_002b8#0044</v>
      </c>
      <c r="L49" s="11" t="str">
        <f t="shared" si="11"/>
        <v>BasSw</v>
      </c>
      <c r="M49" s="106" t="str">
        <f t="shared" si="12"/>
        <v>obj_002b4#0044</v>
      </c>
      <c r="N49" s="160" t="str">
        <f>IFERROR(_xll.qlRateHelperQuoteName(M49,Trigger),"--")</f>
        <v>USDAM3L7Y_S12L3L_Quote</v>
      </c>
      <c r="O49" s="110">
        <f>IFERROR(_xll.qlRateHelperQuoteValue($M49,Trigger),"--")</f>
        <v>1.8113084852479103E-2</v>
      </c>
      <c r="P49" s="109" t="b">
        <v>1</v>
      </c>
      <c r="Q49" s="106">
        <v>40</v>
      </c>
      <c r="R49" s="106">
        <v>1</v>
      </c>
      <c r="S49" s="111">
        <f>IFERROR(_xll.qlRateHelperEarliestDate(M49,Trigger),"--")</f>
        <v>42436</v>
      </c>
      <c r="T49" s="111">
        <f>IFERROR(_xll.qlRateHelperPillarDate(M49,Trigger),"--")</f>
        <v>44992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80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3"/>
        <v>UsdLibor1Y</v>
      </c>
      <c r="H50" s="64" t="str">
        <f t="shared" si="14"/>
        <v>USDAM3L4Y_S12L3L_Quote</v>
      </c>
      <c r="I50" s="141">
        <v>0</v>
      </c>
      <c r="J50" s="70" t="str">
        <f>_xll.qlSwapRateHelper2(,H50,,B50,JoinCalendar,USD1Y!D50,USD1Y!E50,USD1Y!F50,USD1Y!G50,USD1Y!I50,USD1Y!C50,Discounting,PillarDate,,Permanent,Trigger,ObjectOverwrite)</f>
        <v>obj_00299#0044</v>
      </c>
      <c r="L50" s="11" t="str">
        <f t="shared" si="11"/>
        <v>BasSw</v>
      </c>
      <c r="M50" s="106" t="str">
        <f t="shared" si="12"/>
        <v>obj_002e0#0044</v>
      </c>
      <c r="N50" s="160" t="str">
        <f>IFERROR(_xll.qlRateHelperQuoteName(M50,Trigger),"--")</f>
        <v>USDAM3L8Y_S12L3L_Quote</v>
      </c>
      <c r="O50" s="110">
        <f>IFERROR(_xll.qlRateHelperQuoteValue($M50,Trigger),"--")</f>
        <v>1.8848720119929087E-2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42436</v>
      </c>
      <c r="T50" s="111">
        <f>IFERROR(_xll.qlRateHelperPillarDate(M50,Trigger),"--")</f>
        <v>45358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84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3"/>
        <v>UsdLibor1Y</v>
      </c>
      <c r="H51" s="64" t="str">
        <f t="shared" si="14"/>
        <v>USDAM3L5Y_S12L3L_Quote</v>
      </c>
      <c r="I51" s="141">
        <v>0</v>
      </c>
      <c r="J51" s="70" t="str">
        <f>_xll.qlSwapRateHelper2(,H51,,B51,JoinCalendar,USD1Y!D51,USD1Y!E51,USD1Y!F51,USD1Y!G51,USD1Y!I51,USD1Y!C51,Discounting,PillarDate,,Permanent,Trigger,ObjectOverwrite)</f>
        <v>obj_00282#0044</v>
      </c>
      <c r="L51" s="11" t="str">
        <f t="shared" si="11"/>
        <v>BasSw</v>
      </c>
      <c r="M51" s="106" t="str">
        <f t="shared" si="12"/>
        <v>obj_002f4#0044</v>
      </c>
      <c r="N51" s="160" t="str">
        <f>IFERROR(_xll.qlRateHelperQuoteName(M51,Trigger),"--")</f>
        <v>USDAM3L9Y_S12L3L_Quote</v>
      </c>
      <c r="O51" s="110">
        <f>IFERROR(_xll.qlRateHelperQuoteValue($M51,Trigger),"--")</f>
        <v>1.9479083211336966E-2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42436</v>
      </c>
      <c r="T51" s="111">
        <f>IFERROR(_xll.qlRateHelperPillarDate(M51,Trigger),"--")</f>
        <v>45723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85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3"/>
        <v>UsdLibor1Y</v>
      </c>
      <c r="H52" s="64" t="str">
        <f t="shared" si="14"/>
        <v>USDAM3L6Y_S12L3L_Quote</v>
      </c>
      <c r="I52" s="141">
        <v>0</v>
      </c>
      <c r="J52" s="70" t="str">
        <f>_xll.qlSwapRateHelper2(,H52,,B52,JoinCalendar,USD1Y!D52,USD1Y!E52,USD1Y!F52,USD1Y!G52,USD1Y!I52,USD1Y!C52,Discounting,PillarDate,,Permanent,Trigger,ObjectOverwrite)</f>
        <v>obj_00283#0044</v>
      </c>
      <c r="L52" s="11" t="str">
        <f t="shared" si="11"/>
        <v>BasSw</v>
      </c>
      <c r="M52" s="106" t="str">
        <f t="shared" si="12"/>
        <v>obj_002db#0044</v>
      </c>
      <c r="N52" s="160" t="str">
        <f>IFERROR(_xll.qlRateHelperQuoteName(M52,Trigger),"--")</f>
        <v>USDAM3L10Y_S12L3L_Quote</v>
      </c>
      <c r="O52" s="110">
        <f>IFERROR(_xll.qlRateHelperQuoteValue($M52,Trigger),"--")</f>
        <v>2.0094481096064487E-2</v>
      </c>
      <c r="P52" s="109" t="b">
        <v>1</v>
      </c>
      <c r="Q52" s="106">
        <v>40</v>
      </c>
      <c r="R52" s="106">
        <v>1</v>
      </c>
      <c r="S52" s="111">
        <f>IFERROR(_xll.qlRateHelperEarliestDate(M52,Trigger),"--")</f>
        <v>42436</v>
      </c>
      <c r="T52" s="111">
        <f>IFERROR(_xll.qlRateHelperPillarDate(M52,Trigger),"--")</f>
        <v>46090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86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3"/>
        <v>UsdLibor1Y</v>
      </c>
      <c r="H53" s="64" t="str">
        <f t="shared" si="14"/>
        <v>USDAM3L7Y_S12L3L_Quote</v>
      </c>
      <c r="I53" s="141">
        <v>0</v>
      </c>
      <c r="J53" s="70" t="str">
        <f>_xll.qlSwapRateHelper2(,H53,,B53,JoinCalendar,USD1Y!D53,USD1Y!E53,USD1Y!F53,USD1Y!G53,USD1Y!I53,USD1Y!C53,Discounting,PillarDate,,Permanent,Trigger,ObjectOverwrite)</f>
        <v>obj_002b4#0044</v>
      </c>
      <c r="L53" s="11" t="str">
        <f t="shared" si="11"/>
        <v>BasSw</v>
      </c>
      <c r="M53" s="106" t="str">
        <f t="shared" si="12"/>
        <v>obj_002bd#0044</v>
      </c>
      <c r="N53" s="160" t="str">
        <f>IFERROR(_xll.qlRateHelperQuoteName(M53,Trigger),"--")</f>
        <v>USDAM3L11Y_S12L3L_Quote</v>
      </c>
      <c r="O53" s="110">
        <f>IFERROR(_xll.qlRateHelperQuoteValue($M53,Trigger),"--")</f>
        <v>2.0708656538596354E-2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42436</v>
      </c>
      <c r="T53" s="111">
        <f>IFERROR(_xll.qlRateHelperPillarDate(M53,Trigger),"--")</f>
        <v>46454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87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3"/>
        <v>UsdLibor1Y</v>
      </c>
      <c r="H54" s="64" t="str">
        <f t="shared" si="14"/>
        <v>USDAM3L8Y_S12L3L_Quote</v>
      </c>
      <c r="I54" s="141">
        <v>0</v>
      </c>
      <c r="J54" s="70" t="str">
        <f>_xll.qlSwapRateHelper2(,H54,,B54,JoinCalendar,USD1Y!D54,USD1Y!E54,USD1Y!F54,USD1Y!G54,USD1Y!I54,USD1Y!C54,Discounting,PillarDate,,Permanent,Trigger,ObjectOverwrite)</f>
        <v>obj_002e0#0044</v>
      </c>
      <c r="L54" s="11" t="str">
        <f t="shared" si="11"/>
        <v>BasSw</v>
      </c>
      <c r="M54" s="106" t="str">
        <f t="shared" si="12"/>
        <v>obj_002e9#0044</v>
      </c>
      <c r="N54" s="160" t="str">
        <f>IFERROR(_xll.qlRateHelperQuoteName(M54,Trigger),"--")</f>
        <v>USDAM3L12Y_S12L3L_Quote</v>
      </c>
      <c r="O54" s="110">
        <f>IFERROR(_xll.qlRateHelperQuoteValue($M54,Trigger),"--")</f>
        <v>2.1270911668125655E-2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42436</v>
      </c>
      <c r="T54" s="111">
        <f>IFERROR(_xll.qlRateHelperPillarDate(M54,Trigger),"--")</f>
        <v>46819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88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3"/>
        <v>UsdLibor1Y</v>
      </c>
      <c r="H55" s="64" t="str">
        <f t="shared" si="14"/>
        <v>USDAM3L9Y_S12L3L_Quote</v>
      </c>
      <c r="I55" s="141">
        <v>0</v>
      </c>
      <c r="J55" s="70" t="str">
        <f>_xll.qlSwapRateHelper2(,H55,,B55,JoinCalendar,USD1Y!D55,USD1Y!E55,USD1Y!F55,USD1Y!G55,USD1Y!I55,USD1Y!C55,Discounting,PillarDate,,Permanent,Trigger,ObjectOverwrite)</f>
        <v>obj_002f4#0044</v>
      </c>
      <c r="L55" s="11" t="str">
        <f t="shared" si="11"/>
        <v>BasSw</v>
      </c>
      <c r="M55" s="106" t="str">
        <f t="shared" si="12"/>
        <v>obj_002e3#0044</v>
      </c>
      <c r="N55" s="160" t="str">
        <f>IFERROR(_xll.qlRateHelperQuoteName(M55,Trigger),"--")</f>
        <v>USDAM3L13Y_S12L3L_Quote</v>
      </c>
      <c r="O55" s="110">
        <f>IFERROR(_xll.qlRateHelperQuoteValue($M55,Trigger),"--")</f>
        <v>2.173527617293064E-2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42436</v>
      </c>
      <c r="T55" s="111">
        <f>IFERROR(_xll.qlRateHelperPillarDate(M55,Trigger),"--")</f>
        <v>47184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89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3"/>
        <v>UsdLibor1Y</v>
      </c>
      <c r="H56" s="64" t="str">
        <f t="shared" si="14"/>
        <v>USDAM3L10Y_S12L3L_Quote</v>
      </c>
      <c r="I56" s="141">
        <v>0</v>
      </c>
      <c r="J56" s="70" t="str">
        <f>_xll.qlSwapRateHelper2(,H56,,B56,JoinCalendar,USD1Y!D56,USD1Y!E56,USD1Y!F56,USD1Y!G56,USD1Y!I56,USD1Y!C56,Discounting,PillarDate,,Permanent,Trigger,ObjectOverwrite)</f>
        <v>obj_002db#0044</v>
      </c>
      <c r="L56" s="11" t="str">
        <f t="shared" si="11"/>
        <v>BasSw</v>
      </c>
      <c r="M56" s="106" t="str">
        <f t="shared" si="12"/>
        <v>obj_002cd#0044</v>
      </c>
      <c r="N56" s="160" t="str">
        <f>IFERROR(_xll.qlRateHelperQuoteName(M56,Trigger),"--")</f>
        <v>USDAM3L14Y_S12L3L_Quote</v>
      </c>
      <c r="O56" s="110">
        <f>IFERROR(_xll.qlRateHelperQuoteValue($M56,Trigger),"--")</f>
        <v>2.2128840262020312E-2</v>
      </c>
      <c r="P56" s="109" t="b">
        <v>1</v>
      </c>
      <c r="Q56" s="106">
        <v>40</v>
      </c>
      <c r="R56" s="106">
        <v>1</v>
      </c>
      <c r="S56" s="111">
        <f>IFERROR(_xll.qlRateHelperEarliestDate(M56,Trigger),"--")</f>
        <v>42436</v>
      </c>
      <c r="T56" s="111">
        <f>IFERROR(_xll.qlRateHelperPillarDate(M56,Trigger),"--")</f>
        <v>47549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133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3"/>
        <v>UsdLibor1Y</v>
      </c>
      <c r="H57" s="64" t="str">
        <f t="shared" si="14"/>
        <v>USDAM3L11Y_S12L3L_Quote</v>
      </c>
      <c r="I57" s="141">
        <v>0</v>
      </c>
      <c r="J57" s="70" t="str">
        <f>_xll.qlSwapRateHelper2(,H57,,B57,JoinCalendar,USD1Y!D57,USD1Y!E57,USD1Y!F57,USD1Y!G57,USD1Y!I57,USD1Y!C57,Discounting,PillarDate,,Permanent,Trigger,ObjectOverwrite)</f>
        <v>obj_002bd#0044</v>
      </c>
      <c r="L57" s="11" t="str">
        <f t="shared" si="11"/>
        <v>BasSw</v>
      </c>
      <c r="M57" s="106" t="str">
        <f t="shared" si="12"/>
        <v>obj_0029c#0044</v>
      </c>
      <c r="N57" s="160" t="str">
        <f>IFERROR(_xll.qlRateHelperQuoteName(M57,Trigger),"--")</f>
        <v>USDAM3L15Y_S12L3L_Quote</v>
      </c>
      <c r="O57" s="110">
        <f>IFERROR(_xll.qlRateHelperQuoteValue($M57,Trigger),"--")</f>
        <v>2.2479640987266982E-2</v>
      </c>
      <c r="P57" s="109" t="b">
        <v>1</v>
      </c>
      <c r="Q57" s="106">
        <v>40</v>
      </c>
      <c r="R57" s="106">
        <v>1</v>
      </c>
      <c r="S57" s="111">
        <f>IFERROR(_xll.qlRateHelperEarliestDate(M57,Trigger),"--")</f>
        <v>42436</v>
      </c>
      <c r="T57" s="111">
        <f>IFERROR(_xll.qlRateHelperPillarDate(M57,Trigger),"--")</f>
        <v>47914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90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3"/>
        <v>UsdLibor1Y</v>
      </c>
      <c r="H58" s="64" t="str">
        <f t="shared" si="14"/>
        <v>USDAM3L12Y_S12L3L_Quote</v>
      </c>
      <c r="I58" s="141">
        <v>0</v>
      </c>
      <c r="J58" s="70" t="str">
        <f>_xll.qlSwapRateHelper2(,H58,,B58,JoinCalendar,USD1Y!D58,USD1Y!E58,USD1Y!F58,USD1Y!G58,USD1Y!I58,USD1Y!C58,Discounting,PillarDate,,Permanent,Trigger,ObjectOverwrite)</f>
        <v>obj_002e9#0044</v>
      </c>
      <c r="L58" s="11" t="str">
        <f t="shared" si="11"/>
        <v>BasSw</v>
      </c>
      <c r="M58" s="106" t="str">
        <f t="shared" si="12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134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3"/>
        <v>UsdLibor1Y</v>
      </c>
      <c r="H59" s="64" t="str">
        <f t="shared" si="14"/>
        <v>USDAM3L13Y_S12L3L_Quote</v>
      </c>
      <c r="I59" s="141">
        <v>0</v>
      </c>
      <c r="J59" s="70" t="str">
        <f>_xll.qlSwapRateHelper2(,H59,,B59,JoinCalendar,USD1Y!D59,USD1Y!E59,USD1Y!F59,USD1Y!G59,USD1Y!I59,USD1Y!C59,Discounting,PillarDate,,Permanent,Trigger,ObjectOverwrite)</f>
        <v>obj_002e3#0044</v>
      </c>
      <c r="L59" s="11" t="str">
        <f t="shared" si="11"/>
        <v>BasSw</v>
      </c>
      <c r="M59" s="106" t="str">
        <f t="shared" si="12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135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3"/>
        <v>UsdLibor1Y</v>
      </c>
      <c r="H60" s="64" t="str">
        <f t="shared" si="14"/>
        <v>USDAM3L14Y_S12L3L_Quote</v>
      </c>
      <c r="I60" s="141">
        <v>0</v>
      </c>
      <c r="J60" s="70" t="str">
        <f>_xll.qlSwapRateHelper2(,H60,,B60,JoinCalendar,USD1Y!D60,USD1Y!E60,USD1Y!F60,USD1Y!G60,USD1Y!I60,USD1Y!C60,Discounting,PillarDate,,Permanent,Trigger,ObjectOverwrite)</f>
        <v>obj_002cd#0044</v>
      </c>
      <c r="L60" s="11" t="str">
        <f t="shared" si="11"/>
        <v>BasSw</v>
      </c>
      <c r="M60" s="106" t="str">
        <f t="shared" si="12"/>
        <v>--</v>
      </c>
      <c r="N60" s="160" t="str">
        <f>IFERROR(_xll.qlRateHelperQuoteName(M60,Trigger),"--")</f>
        <v>--</v>
      </c>
      <c r="O60" s="110" t="str">
        <f>IFERROR(_xll.qlRateHelperQuoteValue($M60,Trigger),"--")</f>
        <v>--</v>
      </c>
      <c r="P60" s="109" t="b">
        <v>0</v>
      </c>
      <c r="Q60" s="106">
        <v>40</v>
      </c>
      <c r="R60" s="106">
        <v>1</v>
      </c>
      <c r="S60" s="111" t="str">
        <f>IFERROR(_xll.qlRateHelperEarliestDate(M60,Trigger),"--")</f>
        <v>--</v>
      </c>
      <c r="T60" s="11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91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3"/>
        <v>UsdLibor1Y</v>
      </c>
      <c r="H61" s="64" t="str">
        <f t="shared" si="14"/>
        <v>USDAM3L15Y_S12L3L_Quote</v>
      </c>
      <c r="I61" s="141">
        <v>0</v>
      </c>
      <c r="J61" s="70" t="str">
        <f>_xll.qlSwapRateHelper2(,H61,,B61,JoinCalendar,USD1Y!D61,USD1Y!E61,USD1Y!F61,USD1Y!G61,USD1Y!I61,USD1Y!C61,Discounting,PillarDate,,Permanent,Trigger,ObjectOverwrite)</f>
        <v>obj_0029c#0044</v>
      </c>
      <c r="L61" s="11" t="str">
        <f t="shared" si="11"/>
        <v>BasSw</v>
      </c>
      <c r="M61" s="106" t="str">
        <f t="shared" si="12"/>
        <v>--</v>
      </c>
      <c r="N61" s="160" t="str">
        <f>IFERROR(_xll.qlRateHelperQuoteName(M61,Trigger),"--")</f>
        <v>--</v>
      </c>
      <c r="O61" s="110" t="str">
        <f>IFERROR(_xll.qlRateHelperQuoteValue($M61,Trigger),"--")</f>
        <v>--</v>
      </c>
      <c r="P61" s="109" t="b">
        <v>0</v>
      </c>
      <c r="Q61" s="106">
        <v>40</v>
      </c>
      <c r="R61" s="106">
        <v>1</v>
      </c>
      <c r="S61" s="111" t="str">
        <f>IFERROR(_xll.qlRateHelperEarliestDate(M61,Trigger),"--")</f>
        <v>--</v>
      </c>
      <c r="T61" s="11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136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3"/>
        <v>UsdLibor1Y</v>
      </c>
      <c r="H62" s="64" t="str">
        <f t="shared" si="14"/>
        <v>USDAM3L16Y_S12L3L_Quote</v>
      </c>
      <c r="I62" s="141">
        <v>0</v>
      </c>
      <c r="J62" s="70"/>
      <c r="L62" s="11" t="str">
        <f t="shared" si="11"/>
        <v>BasSw</v>
      </c>
      <c r="M62" s="106" t="str">
        <f t="shared" si="12"/>
        <v>obj_002ac#0044</v>
      </c>
      <c r="N62" s="160" t="str">
        <f>IFERROR(_xll.qlRateHelperQuoteName(M62,Trigger),"--")</f>
        <v>USDAM3L20Y_S12L3L_Quote</v>
      </c>
      <c r="O62" s="110">
        <f>IFERROR(_xll.qlRateHelperQuoteValue($M62,Trigger),"--")</f>
        <v>2.3826568016714948E-2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42436</v>
      </c>
      <c r="T62" s="111">
        <f>IFERROR(_xll.qlRateHelperPillarDate(M62,Trigger),"--")</f>
        <v>49741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137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3"/>
        <v>UsdLibor1Y</v>
      </c>
      <c r="H63" s="64" t="str">
        <f t="shared" si="14"/>
        <v>USDAM3L17Y_S12L3L_Quote</v>
      </c>
      <c r="I63" s="141">
        <v>0</v>
      </c>
      <c r="J63" s="70"/>
      <c r="L63" s="11" t="str">
        <f t="shared" si="11"/>
        <v>BasSw</v>
      </c>
      <c r="M63" s="106" t="str">
        <f t="shared" si="12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138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3"/>
        <v>UsdLibor1Y</v>
      </c>
      <c r="H64" s="64" t="str">
        <f t="shared" si="14"/>
        <v>USDAM3L18Y_S12L3L_Quote</v>
      </c>
      <c r="I64" s="141">
        <v>0</v>
      </c>
      <c r="J64" s="70"/>
      <c r="L64" s="11" t="str">
        <f t="shared" si="11"/>
        <v>BasSw</v>
      </c>
      <c r="M64" s="106" t="str">
        <f t="shared" si="12"/>
        <v>--</v>
      </c>
      <c r="N64" s="160" t="str">
        <f>IFERROR(_xll.qlRateHelperQuoteName(M64,Trigger),"--")</f>
        <v>--</v>
      </c>
      <c r="O64" s="110" t="str">
        <f>IFERROR(_xll.qlRateHelperQuoteValue($M64,Trigger),"--")</f>
        <v>--</v>
      </c>
      <c r="P64" s="109" t="b">
        <v>0</v>
      </c>
      <c r="Q64" s="106">
        <v>40</v>
      </c>
      <c r="R64" s="106">
        <v>1</v>
      </c>
      <c r="S64" s="111" t="str">
        <f>IFERROR(_xll.qlRateHelperEarliestDate(M64,Trigger),"--")</f>
        <v>--</v>
      </c>
      <c r="T64" s="11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139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3"/>
        <v>UsdLibor1Y</v>
      </c>
      <c r="H65" s="64" t="str">
        <f t="shared" si="14"/>
        <v>USDAM3L19Y_S12L3L_Quote</v>
      </c>
      <c r="I65" s="141">
        <v>0</v>
      </c>
      <c r="J65" s="70"/>
      <c r="L65" s="11" t="str">
        <f t="shared" si="11"/>
        <v>BasSw</v>
      </c>
      <c r="M65" s="106" t="str">
        <f t="shared" si="12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92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3"/>
        <v>UsdLibor1Y</v>
      </c>
      <c r="H66" s="64" t="str">
        <f t="shared" si="14"/>
        <v>USDAM3L20Y_S12L3L_Quote</v>
      </c>
      <c r="I66" s="141">
        <v>0</v>
      </c>
      <c r="J66" s="70" t="str">
        <f>_xll.qlSwapRateHelper2(,H66,,B66,JoinCalendar,USD1Y!D66,USD1Y!E66,USD1Y!F66,USD1Y!G66,USD1Y!I66,USD1Y!C66,Discounting,PillarDate,,Permanent,Trigger,ObjectOverwrite)</f>
        <v>obj_002ac#0044</v>
      </c>
      <c r="L66" s="11" t="str">
        <f t="shared" si="11"/>
        <v>BasSw</v>
      </c>
      <c r="M66" s="106" t="str">
        <f t="shared" si="12"/>
        <v>--</v>
      </c>
      <c r="N66" s="160" t="str">
        <f>IFERROR(_xll.qlRateHelperQuoteName(M66,Trigger),"--")</f>
        <v>--</v>
      </c>
      <c r="O66" s="110" t="str">
        <f>IFERROR(_xll.qlRateHelperQuoteValue($M66,Trigger),"--")</f>
        <v>--</v>
      </c>
      <c r="P66" s="109" t="b">
        <v>0</v>
      </c>
      <c r="Q66" s="106">
        <v>40</v>
      </c>
      <c r="R66" s="106">
        <v>1</v>
      </c>
      <c r="S66" s="111" t="str">
        <f>IFERROR(_xll.qlRateHelperEarliestDate(M66,Trigger),"--")</f>
        <v>--</v>
      </c>
      <c r="T66" s="11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160</v>
      </c>
      <c r="B67" s="65" t="s">
        <v>140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3"/>
        <v>UsdLibor1Y</v>
      </c>
      <c r="H67" s="64" t="str">
        <f t="shared" si="14"/>
        <v>USDAM3L21Y_S12L3L_Quote</v>
      </c>
      <c r="I67" s="141">
        <v>0</v>
      </c>
      <c r="J67" s="70"/>
      <c r="L67" s="11" t="str">
        <f t="shared" si="11"/>
        <v>BasSw</v>
      </c>
      <c r="M67" s="106" t="str">
        <f t="shared" si="12"/>
        <v>obj_00296#0044</v>
      </c>
      <c r="N67" s="160" t="str">
        <f>IFERROR(_xll.qlRateHelperQuoteName(M67,Trigger),"--")</f>
        <v>USDAM3L25Y_S12L3L_Quote</v>
      </c>
      <c r="O67" s="110">
        <f>IFERROR(_xll.qlRateHelperQuoteValue($M67,Trigger),"--")</f>
        <v>2.445231941796901E-2</v>
      </c>
      <c r="P67" s="109" t="b">
        <v>1</v>
      </c>
      <c r="Q67" s="106">
        <v>40</v>
      </c>
      <c r="R67" s="106">
        <v>1</v>
      </c>
      <c r="S67" s="111">
        <f>IFERROR(_xll.qlRateHelperEarliestDate(M67,Trigger),"--")</f>
        <v>42436</v>
      </c>
      <c r="T67" s="111">
        <f>IFERROR(_xll.qlRateHelperPillarDate(M67,Trigger),"--")</f>
        <v>51567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160</v>
      </c>
      <c r="B68" s="65" t="s">
        <v>141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3"/>
        <v>UsdLibor1Y</v>
      </c>
      <c r="H68" s="64" t="str">
        <f t="shared" si="14"/>
        <v>USDAM3L22Y_S12L3L_Quote</v>
      </c>
      <c r="I68" s="141">
        <v>0</v>
      </c>
      <c r="J68" s="70"/>
      <c r="L68" s="11" t="str">
        <f t="shared" si="11"/>
        <v>BasSw</v>
      </c>
      <c r="M68" s="106" t="str">
        <f t="shared" si="12"/>
        <v>--</v>
      </c>
      <c r="N68" s="160" t="str">
        <f>IFERROR(_xll.qlRateHelperQuoteName(M68,Trigger),"--")</f>
        <v>--</v>
      </c>
      <c r="O68" s="110" t="str">
        <f>IFERROR(_xll.qlRateHelperQuoteValue($M68,Trigger),"--")</f>
        <v>--</v>
      </c>
      <c r="P68" s="109" t="b">
        <v>0</v>
      </c>
      <c r="Q68" s="106">
        <v>40</v>
      </c>
      <c r="R68" s="106">
        <v>1</v>
      </c>
      <c r="S68" s="111" t="str">
        <f>IFERROR(_xll.qlRateHelperEarliestDate(M68,Trigger),"--")</f>
        <v>--</v>
      </c>
      <c r="T68" s="111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160</v>
      </c>
      <c r="B69" s="65" t="s">
        <v>142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3"/>
        <v>UsdLibor1Y</v>
      </c>
      <c r="H69" s="64" t="str">
        <f t="shared" si="14"/>
        <v>USDAM3L23Y_S12L3L_Quote</v>
      </c>
      <c r="I69" s="141">
        <v>0</v>
      </c>
      <c r="J69" s="70"/>
      <c r="L69" s="11" t="str">
        <f t="shared" si="11"/>
        <v>BasSw</v>
      </c>
      <c r="M69" s="106" t="str">
        <f t="shared" si="12"/>
        <v>--</v>
      </c>
      <c r="N69" s="160" t="str">
        <f>IFERROR(_xll.qlRateHelperQuoteName(M69,Trigger),"--")</f>
        <v>--</v>
      </c>
      <c r="O69" s="110" t="str">
        <f>IFERROR(_xll.qlRateHelperQuoteValue($M69,Trigger),"--")</f>
        <v>--</v>
      </c>
      <c r="P69" s="109" t="b">
        <v>0</v>
      </c>
      <c r="Q69" s="106">
        <v>40</v>
      </c>
      <c r="R69" s="106">
        <v>1</v>
      </c>
      <c r="S69" s="111" t="str">
        <f>IFERROR(_xll.qlRateHelperEarliestDate(M69,Trigger),"--")</f>
        <v>--</v>
      </c>
      <c r="T69" s="111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160</v>
      </c>
      <c r="B70" s="65" t="s">
        <v>143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3"/>
        <v>UsdLibor1Y</v>
      </c>
      <c r="H70" s="64" t="str">
        <f t="shared" si="14"/>
        <v>USDAM3L24Y_S12L3L_Quote</v>
      </c>
      <c r="I70" s="141">
        <v>0</v>
      </c>
      <c r="J70" s="70"/>
      <c r="L70" s="11" t="str">
        <f t="shared" si="11"/>
        <v>BasSw</v>
      </c>
      <c r="M70" s="106" t="str">
        <f t="shared" si="12"/>
        <v>--</v>
      </c>
      <c r="N70" s="160" t="str">
        <f>IFERROR(_xll.qlRateHelperQuoteName(M70,Trigger),"--")</f>
        <v>--</v>
      </c>
      <c r="O70" s="110" t="str">
        <f>IFERROR(_xll.qlRateHelperQuoteValue($M70,Trigger),"--")</f>
        <v>--</v>
      </c>
      <c r="P70" s="109" t="b">
        <v>0</v>
      </c>
      <c r="Q70" s="106">
        <v>40</v>
      </c>
      <c r="R70" s="106">
        <v>1</v>
      </c>
      <c r="S70" s="111" t="str">
        <f>IFERROR(_xll.qlRateHelperEarliestDate(M70,Trigger),"--")</f>
        <v>--</v>
      </c>
      <c r="T70" s="111" t="str">
        <f>IFERROR(_xll.qlRateHelperPillarDate(M70,Trigger),"--")</f>
        <v>--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160</v>
      </c>
      <c r="B71" s="65" t="s">
        <v>93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3"/>
        <v>UsdLibor1Y</v>
      </c>
      <c r="H71" s="64" t="str">
        <f t="shared" si="14"/>
        <v>USDAM3L25Y_S12L3L_Quote</v>
      </c>
      <c r="I71" s="141">
        <v>0</v>
      </c>
      <c r="J71" s="70" t="str">
        <f>_xll.qlSwapRateHelper2(,H71,,B71,JoinCalendar,USD1Y!D71,USD1Y!E71,USD1Y!F71,USD1Y!G71,USD1Y!I71,USD1Y!C71,Discounting,PillarDate,,Permanent,Trigger,ObjectOverwrite)</f>
        <v>obj_00296#0044</v>
      </c>
      <c r="L71" s="11" t="str">
        <f t="shared" si="11"/>
        <v>BasSw</v>
      </c>
      <c r="M71" s="106" t="str">
        <f t="shared" si="12"/>
        <v>--</v>
      </c>
      <c r="N71" s="160" t="str">
        <f>IFERROR(_xll.qlRateHelperQuoteName(M71,Trigger),"--")</f>
        <v>--</v>
      </c>
      <c r="O71" s="110" t="str">
        <f>IFERROR(_xll.qlRateHelperQuoteValue($M71,Trigger),"--")</f>
        <v>--</v>
      </c>
      <c r="P71" s="109" t="b">
        <v>0</v>
      </c>
      <c r="Q71" s="106">
        <v>40</v>
      </c>
      <c r="R71" s="106">
        <v>1</v>
      </c>
      <c r="S71" s="111" t="str">
        <f>IFERROR(_xll.qlRateHelperEarliestDate(M71,Trigger),"--")</f>
        <v>--</v>
      </c>
      <c r="T71" s="111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160</v>
      </c>
      <c r="B72" s="65" t="s">
        <v>144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3"/>
        <v>UsdLibor1Y</v>
      </c>
      <c r="H72" s="64" t="str">
        <f t="shared" si="14"/>
        <v>USDAM3L26Y_S12L3L_Quote</v>
      </c>
      <c r="I72" s="141">
        <v>0</v>
      </c>
      <c r="J72" s="70"/>
      <c r="L72" s="11" t="str">
        <f t="shared" si="11"/>
        <v>BasSw</v>
      </c>
      <c r="M72" s="106" t="str">
        <f t="shared" si="12"/>
        <v>obj_002ad#0044</v>
      </c>
      <c r="N72" s="160" t="str">
        <f>IFERROR(_xll.qlRateHelperQuoteName(M72,Trigger),"--")</f>
        <v>USDAM3L30Y_S12L3L_Quote</v>
      </c>
      <c r="O72" s="110">
        <f>IFERROR(_xll.qlRateHelperQuoteValue($M72,Trigger),"--")</f>
        <v>2.4823008960793959E-2</v>
      </c>
      <c r="P72" s="109" t="b">
        <v>1</v>
      </c>
      <c r="Q72" s="106">
        <v>40</v>
      </c>
      <c r="R72" s="106">
        <v>1</v>
      </c>
      <c r="S72" s="111">
        <f>IFERROR(_xll.qlRateHelperEarliestDate(M72,Trigger),"--")</f>
        <v>42436</v>
      </c>
      <c r="T72" s="111">
        <f>IFERROR(_xll.qlRateHelperPillarDate(M72,Trigger),"--")</f>
        <v>53393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160</v>
      </c>
      <c r="B73" s="65" t="s">
        <v>94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3"/>
        <v>UsdLibor1Y</v>
      </c>
      <c r="H73" s="64" t="str">
        <f t="shared" si="14"/>
        <v>USDAM3L27Y_S12L3L_Quote</v>
      </c>
      <c r="I73" s="141">
        <v>0</v>
      </c>
      <c r="J73" s="70"/>
      <c r="L73" s="11" t="str">
        <f t="shared" si="11"/>
        <v>BasSw</v>
      </c>
      <c r="M73" s="106" t="str">
        <f t="shared" si="12"/>
        <v>obj_00290#0044</v>
      </c>
      <c r="N73" s="160" t="str">
        <f>IFERROR(_xll.qlRateHelperQuoteName(M73,Trigger),"--")</f>
        <v>USDAM3L35Y_S12L3L_Quote</v>
      </c>
      <c r="O73" s="110">
        <f>IFERROR(_xll.qlRateHelperQuoteValue($M73,Trigger),"--")</f>
        <v>2.4967709169759034E-2</v>
      </c>
      <c r="P73" s="109" t="b">
        <v>1</v>
      </c>
      <c r="Q73" s="106">
        <v>40</v>
      </c>
      <c r="R73" s="106">
        <v>1</v>
      </c>
      <c r="S73" s="111">
        <f>IFERROR(_xll.qlRateHelperEarliestDate(M73,Trigger),"--")</f>
        <v>42436</v>
      </c>
      <c r="T73" s="111">
        <f>IFERROR(_xll.qlRateHelperPillarDate(M73,Trigger),"--")</f>
        <v>55219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160</v>
      </c>
      <c r="B74" s="65" t="s">
        <v>145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3"/>
        <v>UsdLibor1Y</v>
      </c>
      <c r="H74" s="64" t="str">
        <f t="shared" si="14"/>
        <v>USDAM3L28Y_S12L3L_Quote</v>
      </c>
      <c r="I74" s="141">
        <v>0</v>
      </c>
      <c r="J74" s="70"/>
      <c r="L74" s="11" t="str">
        <f t="shared" si="11"/>
        <v>BasSw</v>
      </c>
      <c r="M74" s="106" t="str">
        <f t="shared" si="12"/>
        <v>obj_002a0#0044</v>
      </c>
      <c r="N74" s="160" t="str">
        <f>IFERROR(_xll.qlRateHelperQuoteName(M74,Trigger),"--")</f>
        <v>USDAM3L40Y_S12L3L_Quote</v>
      </c>
      <c r="O74" s="110">
        <f>IFERROR(_xll.qlRateHelperQuoteValue($M74,Trigger),"--")</f>
        <v>2.4993083032483782E-2</v>
      </c>
      <c r="P74" s="109" t="b">
        <v>1</v>
      </c>
      <c r="Q74" s="106">
        <v>40</v>
      </c>
      <c r="R74" s="106">
        <v>1</v>
      </c>
      <c r="S74" s="111">
        <f>IFERROR(_xll.qlRateHelperEarliestDate(M74,Trigger),"--")</f>
        <v>42436</v>
      </c>
      <c r="T74" s="111">
        <f>IFERROR(_xll.qlRateHelperPillarDate(M74,Trigger),"--")</f>
        <v>57046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160</v>
      </c>
      <c r="B75" s="65" t="s">
        <v>146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3"/>
        <v>UsdLibor1Y</v>
      </c>
      <c r="H75" s="64" t="str">
        <f t="shared" si="14"/>
        <v>USDAM3L29Y_S12L3L_Quote</v>
      </c>
      <c r="I75" s="141">
        <v>0</v>
      </c>
      <c r="J75" s="70"/>
      <c r="L75" s="11" t="str">
        <f t="shared" si="11"/>
        <v>BasSw</v>
      </c>
      <c r="M75" s="106" t="str">
        <f t="shared" si="12"/>
        <v>--</v>
      </c>
      <c r="N75" s="160" t="str">
        <f>IFERROR(_xll.qlRateHelperQuoteName(M75,Trigger),"--")</f>
        <v>--</v>
      </c>
      <c r="O75" s="110" t="str">
        <f>IFERROR(_xll.qlRateHelperQuoteValue($M75,Trigger),"--")</f>
        <v>--</v>
      </c>
      <c r="P75" s="109" t="b">
        <v>0</v>
      </c>
      <c r="Q75" s="106">
        <v>40</v>
      </c>
      <c r="R75" s="106">
        <v>1</v>
      </c>
      <c r="S75" s="111" t="str">
        <f>IFERROR(_xll.qlRateHelperEarliestDate(M75,Trigger),"--")</f>
        <v>--</v>
      </c>
      <c r="T75" s="111" t="str">
        <f>IFERROR(_xll.qlRateHelperPillarDate(M75,Trigger),"--")</f>
        <v>--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160</v>
      </c>
      <c r="B76" s="65" t="s">
        <v>95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3"/>
        <v>UsdLibor1Y</v>
      </c>
      <c r="H76" s="64" t="str">
        <f t="shared" si="14"/>
        <v>USDAM3L30Y_S12L3L_Quote</v>
      </c>
      <c r="I76" s="141">
        <v>0</v>
      </c>
      <c r="J76" s="70" t="str">
        <f>_xll.qlSwapRateHelper2(,H76,,B76,JoinCalendar,USD1Y!D76,USD1Y!E76,USD1Y!F76,USD1Y!G76,USD1Y!I76,USD1Y!C76,Discounting,PillarDate,,Permanent,Trigger,ObjectOverwrite)</f>
        <v>obj_002ad#0044</v>
      </c>
      <c r="L76" s="11" t="str">
        <f>A80</f>
        <v>BasSw</v>
      </c>
      <c r="M76" s="106" t="str">
        <f t="shared" si="12"/>
        <v>obj_00294#0044</v>
      </c>
      <c r="N76" s="160" t="str">
        <f>IFERROR(_xll.qlRateHelperQuoteName(M76,Trigger),"--")</f>
        <v>USDAM3L50Y_S12L3L_Quote</v>
      </c>
      <c r="O76" s="110">
        <f>IFERROR(_xll.qlRateHelperQuoteValue($M76,Trigger),"--")</f>
        <v>2.4872899787937715E-2</v>
      </c>
      <c r="P76" s="109" t="b">
        <v>1</v>
      </c>
      <c r="Q76" s="106">
        <v>40</v>
      </c>
      <c r="R76" s="106">
        <v>1</v>
      </c>
      <c r="S76" s="111">
        <f>IFERROR(_xll.qlRateHelperEarliestDate(M76,Trigger),"--")</f>
        <v>42436</v>
      </c>
      <c r="T76" s="111">
        <f>IFERROR(_xll.qlRateHelperPillarDate(M76,Trigger),"--")</f>
        <v>60699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160</v>
      </c>
      <c r="B77" s="65" t="s">
        <v>96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3"/>
        <v>UsdLibor1Y</v>
      </c>
      <c r="H77" s="64" t="str">
        <f t="shared" si="14"/>
        <v>USDAM3L35Y_S12L3L_Quote</v>
      </c>
      <c r="I77" s="141">
        <v>0</v>
      </c>
      <c r="J77" s="70" t="str">
        <f>_xll.qlSwapRateHelper2(,H77,,B77,JoinCalendar,USD1Y!D77,USD1Y!E77,USD1Y!F77,USD1Y!G77,USD1Y!I77,USD1Y!C77,Discounting,PillarDate,,Permanent,Trigger,ObjectOverwrite)</f>
        <v>obj_00290#0044</v>
      </c>
      <c r="L77" s="11" t="str">
        <f t="shared" si="11"/>
        <v>BasSw</v>
      </c>
      <c r="M77" s="106" t="str">
        <f t="shared" si="12"/>
        <v>--</v>
      </c>
      <c r="N77" s="160" t="str">
        <f>IFERROR(_xll.qlRateHelperQuoteName(M77,Trigger),"--")</f>
        <v>--</v>
      </c>
      <c r="O77" s="110" t="str">
        <f>IFERROR(_xll.qlRateHelperQuoteValue($M77,Trigger),"--")</f>
        <v>--</v>
      </c>
      <c r="P77" s="109" t="b">
        <v>0</v>
      </c>
      <c r="Q77" s="106">
        <v>40</v>
      </c>
      <c r="R77" s="106">
        <v>1</v>
      </c>
      <c r="S77" s="111" t="str">
        <f>IFERROR(_xll.qlRateHelperEarliestDate(M77,Trigger),"--")</f>
        <v>--</v>
      </c>
      <c r="T77" s="111" t="str">
        <f>IFERROR(_xll.qlRateHelperPillarDate(M77,Trigger),"--")</f>
        <v>--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160</v>
      </c>
      <c r="B78" s="65" t="s">
        <v>97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3"/>
        <v>UsdLibor1Y</v>
      </c>
      <c r="H78" s="64" t="str">
        <f t="shared" si="14"/>
        <v>USDAM3L40Y_S12L3L_Quote</v>
      </c>
      <c r="I78" s="141">
        <v>0</v>
      </c>
      <c r="J78" s="70" t="str">
        <f>_xll.qlSwapRateHelper2(,H78,,B78,JoinCalendar,USD1Y!D78,USD1Y!E78,USD1Y!F78,USD1Y!G78,USD1Y!I78,USD1Y!C78,Discounting,PillarDate,,Permanent,Trigger,ObjectOverwrite)</f>
        <v>obj_002a0#0044</v>
      </c>
      <c r="L78" s="12" t="str">
        <f t="shared" si="11"/>
        <v>BasSw</v>
      </c>
      <c r="M78" s="107" t="str">
        <f t="shared" si="12"/>
        <v>obj_002f7#0044</v>
      </c>
      <c r="N78" s="161" t="str">
        <f>IFERROR(_xll.qlRateHelperQuoteName(M78,Trigger),"--")</f>
        <v>USDAM3L60Y_S12L3L_Quote</v>
      </c>
      <c r="O78" s="113">
        <f>IFERROR(_xll.qlRateHelperQuoteValue($M78,Trigger),"--")</f>
        <v>2.4757889982890448E-2</v>
      </c>
      <c r="P78" s="112" t="b">
        <v>1</v>
      </c>
      <c r="Q78" s="107">
        <v>40</v>
      </c>
      <c r="R78" s="107">
        <v>1</v>
      </c>
      <c r="S78" s="114">
        <f>IFERROR(_xll.qlRateHelperEarliestDate(M78,Trigger),"--")</f>
        <v>42436</v>
      </c>
      <c r="T78" s="114">
        <f>IFERROR(_xll.qlRateHelperPillarDate(M78,Trigger),"--")</f>
        <v>64353</v>
      </c>
      <c r="V78" s="6" t="str">
        <f t="shared" si="15"/>
        <v/>
      </c>
      <c r="W78" s="6" t="e">
        <v>#N/A</v>
      </c>
      <c r="X78" s="6" t="str">
        <f>IFERROR(_xll.qlRateHelperQuoteName(W78,Trigger),"")</f>
        <v/>
      </c>
      <c r="Y78" s="86" t="str">
        <f>IFERROR(_xll.qlRateHelperRate(W78,Trigger),"")</f>
        <v/>
      </c>
      <c r="Z78" s="117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5" t="e">
        <v>#N/A</v>
      </c>
    </row>
    <row r="79" spans="1:29" ht="11.25" customHeight="1" x14ac:dyDescent="0.2">
      <c r="A79" s="64" t="s">
        <v>160</v>
      </c>
      <c r="B79" s="65" t="s">
        <v>98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3"/>
        <v>UsdLibor1Y</v>
      </c>
      <c r="H79" s="64" t="str">
        <f t="shared" si="14"/>
        <v>USDAM3L45Y_S12L3L_Quote</v>
      </c>
      <c r="I79" s="141">
        <v>0</v>
      </c>
      <c r="J79" s="70"/>
    </row>
    <row r="80" spans="1:29" ht="11.25" customHeight="1" x14ac:dyDescent="0.2">
      <c r="A80" s="64" t="s">
        <v>160</v>
      </c>
      <c r="B80" s="65" t="s">
        <v>99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3"/>
        <v>UsdLibor1Y</v>
      </c>
      <c r="H80" s="64" t="str">
        <f t="shared" si="14"/>
        <v>USDAM3L50Y_S12L3L_Quote</v>
      </c>
      <c r="I80" s="141">
        <v>0</v>
      </c>
      <c r="J80" s="70" t="str">
        <f>_xll.qlSwapRateHelper2(,H80,,B80,JoinCalendar,USD1Y!D80,USD1Y!E80,USD1Y!F80,USD1Y!G80,USD1Y!I80,USD1Y!C80,Discounting,PillarDate,,Permanent,Trigger,ObjectOverwrite)</f>
        <v>obj_00294#0044</v>
      </c>
    </row>
    <row r="81" spans="1:11" x14ac:dyDescent="0.2">
      <c r="A81" s="64" t="s">
        <v>160</v>
      </c>
      <c r="B81" s="65" t="s">
        <v>155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3"/>
        <v>UsdLibor1Y</v>
      </c>
      <c r="H81" s="64" t="str">
        <f t="shared" si="14"/>
        <v>USDAM3L55Y_S12L3L_Quote</v>
      </c>
      <c r="I81" s="139">
        <v>0</v>
      </c>
      <c r="J81" s="70"/>
    </row>
    <row r="82" spans="1:11" x14ac:dyDescent="0.2">
      <c r="A82" s="1" t="s">
        <v>160</v>
      </c>
      <c r="B82" s="9" t="s">
        <v>147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 t="shared" si="13"/>
        <v>UsdLibor1Y</v>
      </c>
      <c r="H82" s="1" t="str">
        <f t="shared" si="14"/>
        <v>USDAM3L60Y_S12L3L_Quote</v>
      </c>
      <c r="I82" s="142">
        <v>0</v>
      </c>
      <c r="J82" s="3" t="str">
        <f>_xll.qlSwapRateHelper2(,H82,,B82,JoinCalendar,USD1Y!D82,USD1Y!E82,USD1Y!F82,USD1Y!G82,USD1Y!I82,USD1Y!C82,Discounting,PillarDate,,Permanent,Trigger,ObjectOverwrite)</f>
        <v>obj_002f7#0044</v>
      </c>
    </row>
    <row r="90" spans="1:11" x14ac:dyDescent="0.2">
      <c r="K90" s="51" t="s">
        <v>47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48</vt:i4>
      </vt:variant>
    </vt:vector>
  </HeadingPairs>
  <TitlesOfParts>
    <vt:vector size="54" baseType="lpstr">
      <vt:lpstr>GeneralSettings</vt:lpstr>
      <vt:lpstr>USDON</vt:lpstr>
      <vt:lpstr>USD3M</vt:lpstr>
      <vt:lpstr>USD6M</vt:lpstr>
      <vt:lpstr>USD1M</vt:lpstr>
      <vt:lpstr>USD1Y</vt:lpstr>
      <vt:lpstr>Calendar</vt:lpstr>
      <vt:lpstr>Currency</vt:lpstr>
      <vt:lpstr>Discounting</vt:lpstr>
      <vt:lpstr>Evaluationdate</vt:lpstr>
      <vt:lpstr>FamilyName</vt:lpstr>
      <vt:lpstr>HolidayCheck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LocalCalendar</vt:lpstr>
      <vt:lpstr>MeanReversion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Volatility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2016-03-03T14:22:47Z</dcterms:modified>
</cp:coreProperties>
</file>