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-15" windowWidth="19170" windowHeight="10200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</sheets>
  <externalReferences>
    <externalReference r:id="rId7"/>
  </externalReferences>
  <definedNames>
    <definedName name="ArithmeticFF">GeneralSettings!$D$21</definedName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ExactFormula">GeneralSettings!$D$22</definedName>
    <definedName name="FamilyName">GeneralSettings!$D$8</definedName>
    <definedName name="HolidayCheck">GeneralSettings!$I$9</definedName>
    <definedName name="IncludeFlag" localSheetId="4">USD1M!$P$3:$P$55</definedName>
    <definedName name="IncludeFlag" localSheetId="5">USD1Y!$P$3:$P$78</definedName>
    <definedName name="IncludeFlag" localSheetId="2">USD3M!$P$3:$P$88</definedName>
    <definedName name="IncludeFlag" localSheetId="3">USD6M!$P$3:$P$66</definedName>
    <definedName name="IncludeFlag" localSheetId="1">USDON!$N$3:$N$113</definedName>
    <definedName name="JoinCalendar">GeneralSettings!$I$8</definedName>
    <definedName name="LiborCalendar">GeneralSettings!$I$6</definedName>
    <definedName name="LocalCalendar">GeneralSettings!$I$7</definedName>
    <definedName name="MeanReversion">GeneralSettings!$I$22</definedName>
    <definedName name="MinDistance" localSheetId="4">USD1M!$R$3:$R$55</definedName>
    <definedName name="MinDistance" localSheetId="5">USD1Y!$R$3:$R$78</definedName>
    <definedName name="MinDistance" localSheetId="2">USD3M!$R$3:$R$88</definedName>
    <definedName name="MinDistance" localSheetId="3">USD6M!$R$3:$R$66</definedName>
    <definedName name="MinDistance" localSheetId="1">USDON!$P$3:$P$113</definedName>
    <definedName name="ObjectOverwrite">GeneralSettings!$D$6</definedName>
    <definedName name="oistrigger">USDON!#REF!</definedName>
    <definedName name="Permanent">GeneralSettings!$D$4</definedName>
    <definedName name="PillarDate">GeneralSettings!$D$10</definedName>
    <definedName name="Priority" localSheetId="4">USD1M!$Q$3:$Q$55</definedName>
    <definedName name="Priority" localSheetId="5">USD1Y!$Q$3:$Q$78</definedName>
    <definedName name="Priority" localSheetId="2">USD3M!$Q$3:$Q$88</definedName>
    <definedName name="Priority" localSheetId="3">USD6M!$Q$3:$Q$66</definedName>
    <definedName name="Priority" localSheetId="1">USDON!$O$3:$O$113</definedName>
    <definedName name="QuoteSuffix">GeneralSettings!$D$9</definedName>
    <definedName name="RateHelpers" localSheetId="4">USD1M!$M$3:$M$55</definedName>
    <definedName name="RateHelpers" localSheetId="5">USD1Y!$M$3:$M$78</definedName>
    <definedName name="RateHelpers" localSheetId="2">USD3M!$M$3:$M$88</definedName>
    <definedName name="RateHelpers" localSheetId="3">USD6M!$M$3:$M$66</definedName>
    <definedName name="RateHelpers" localSheetId="1">USDON!$K$3:$K$113</definedName>
    <definedName name="Settlementdate">GeneralSettings!$I$4</definedName>
    <definedName name="solver_adj" localSheetId="1" hidden="1">USDON!#REF!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50</definedName>
    <definedName name="solver_lhs1" localSheetId="1" hidden="1">USDON!#REF!</definedName>
    <definedName name="solver_lhs2" localSheetId="1" hidden="1">USDON!#REF!</definedName>
    <definedName name="solver_lhs3" localSheetId="1" hidden="1">USDON!#REF!</definedName>
    <definedName name="solver_lhs4" localSheetId="1" hidden="1">USDON!#REF!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USDON!#REF!</definedName>
    <definedName name="solver_pre" localSheetId="1" hidden="1">0.0001</definedName>
    <definedName name="solver_rbv" localSheetId="1" hidden="1">2</definedName>
    <definedName name="solver_rel1" localSheetId="1" hidden="1">1</definedName>
    <definedName name="solver_rel2" localSheetId="1" hidden="1">3</definedName>
    <definedName name="solver_rel3" localSheetId="1" hidden="1">1</definedName>
    <definedName name="solver_rel4" localSheetId="1" hidden="1">3</definedName>
    <definedName name="solver_rhs1" localSheetId="1" hidden="1">0.1</definedName>
    <definedName name="solver_rhs2" localSheetId="1" hidden="1">0</definedName>
    <definedName name="solver_rhs3" localSheetId="1" hidden="1">0.1</definedName>
    <definedName name="solver_rhs4" localSheetId="1" hidden="1">0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enor" localSheetId="1">USDON!$E$1</definedName>
    <definedName name="Trigger">GeneralSettings!$D$5</definedName>
    <definedName name="Volatility">GeneralSettings!$I$21</definedName>
    <definedName name="YieldCurve_1M">GeneralSettings!$I$31</definedName>
    <definedName name="YieldCurve_1Y">GeneralSettings!$D$46</definedName>
    <definedName name="YieldCurve_3M">GeneralSettings!$I$14</definedName>
    <definedName name="YieldCurve_6M">GeneralSettings!$D$31</definedName>
    <definedName name="YieldCurve_ON">GeneralSettings!$D$14</definedName>
    <definedName name="YieldCurve_STD">GeneralSettings!$I$46</definedName>
  </definedNames>
  <calcPr calcId="145621"/>
</workbook>
</file>

<file path=xl/calcChain.xml><?xml version="1.0" encoding="utf-8"?>
<calcChain xmlns="http://schemas.openxmlformats.org/spreadsheetml/2006/main">
  <c r="N29" i="14" l="1"/>
  <c r="N26" i="14"/>
  <c r="N23" i="14"/>
  <c r="G62" i="14"/>
  <c r="H62" i="14"/>
  <c r="N74" i="14" l="1"/>
  <c r="N86" i="14"/>
  <c r="N90" i="14"/>
  <c r="N94" i="14"/>
  <c r="N98" i="14"/>
  <c r="N99" i="14"/>
  <c r="N100" i="14"/>
  <c r="N101" i="14"/>
  <c r="N102" i="14"/>
  <c r="N103" i="14"/>
  <c r="N104" i="14"/>
  <c r="N105" i="14"/>
  <c r="N106" i="14"/>
  <c r="N107" i="14"/>
  <c r="N109" i="14"/>
  <c r="G117" i="14" l="1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I22" i="1" l="1"/>
  <c r="I21" i="1"/>
  <c r="H78" i="14"/>
  <c r="H98" i="14"/>
  <c r="H94" i="14"/>
  <c r="H103" i="14"/>
  <c r="H90" i="14"/>
  <c r="H109" i="14"/>
  <c r="H113" i="14"/>
  <c r="H107" i="14"/>
  <c r="H105" i="14"/>
  <c r="H102" i="14"/>
  <c r="H106" i="14"/>
  <c r="H104" i="14"/>
  <c r="H111" i="14"/>
  <c r="H110" i="14"/>
  <c r="J61" i="14" l="1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102" i="14"/>
  <c r="J103" i="14"/>
  <c r="J104" i="14"/>
  <c r="J105" i="14"/>
  <c r="J106" i="14"/>
  <c r="J107" i="14"/>
  <c r="J108" i="14"/>
  <c r="J109" i="14"/>
  <c r="J110" i="14"/>
  <c r="J111" i="14"/>
  <c r="J112" i="14"/>
  <c r="J113" i="14"/>
  <c r="J60" i="14"/>
  <c r="J58" i="14"/>
  <c r="K58" i="14"/>
  <c r="J59" i="14"/>
  <c r="F117" i="14"/>
  <c r="F116" i="14"/>
  <c r="F115" i="14"/>
  <c r="F114" i="14"/>
  <c r="F113" i="14"/>
  <c r="F112" i="14"/>
  <c r="F111" i="14"/>
  <c r="F110" i="14"/>
  <c r="F109" i="14"/>
  <c r="F108" i="14"/>
  <c r="F107" i="14"/>
  <c r="F106" i="14"/>
  <c r="F105" i="14"/>
  <c r="F104" i="14"/>
  <c r="F103" i="14"/>
  <c r="F102" i="14"/>
  <c r="F101" i="14"/>
  <c r="F100" i="14"/>
  <c r="F99" i="14"/>
  <c r="F98" i="14"/>
  <c r="F97" i="14"/>
  <c r="F96" i="14"/>
  <c r="F95" i="14"/>
  <c r="F94" i="14"/>
  <c r="F93" i="14"/>
  <c r="F92" i="14"/>
  <c r="F91" i="14"/>
  <c r="F90" i="14"/>
  <c r="F89" i="14"/>
  <c r="F88" i="14"/>
  <c r="F87" i="14"/>
  <c r="F86" i="14"/>
  <c r="F85" i="14"/>
  <c r="F84" i="14"/>
  <c r="F83" i="14"/>
  <c r="F82" i="14"/>
  <c r="F81" i="14"/>
  <c r="F80" i="14"/>
  <c r="F79" i="14"/>
  <c r="F78" i="14"/>
  <c r="F77" i="14"/>
  <c r="F76" i="14"/>
  <c r="F75" i="14"/>
  <c r="F74" i="14"/>
  <c r="F73" i="14"/>
  <c r="F72" i="14"/>
  <c r="F71" i="14"/>
  <c r="F70" i="14"/>
  <c r="F69" i="14"/>
  <c r="F68" i="14"/>
  <c r="F67" i="14"/>
  <c r="F66" i="14"/>
  <c r="F65" i="14"/>
  <c r="F64" i="14"/>
  <c r="H108" i="14"/>
  <c r="L58" i="14"/>
  <c r="Q58" i="14"/>
  <c r="R58" i="14"/>
  <c r="M58" i="14"/>
  <c r="K60" i="14" l="1"/>
  <c r="K66" i="14"/>
  <c r="K82" i="14"/>
  <c r="K98" i="14"/>
  <c r="K67" i="14"/>
  <c r="K83" i="14"/>
  <c r="K99" i="14"/>
  <c r="K68" i="14"/>
  <c r="K84" i="14"/>
  <c r="K100" i="14"/>
  <c r="K61" i="14"/>
  <c r="K77" i="14"/>
  <c r="K93" i="14"/>
  <c r="K109" i="14"/>
  <c r="K70" i="14"/>
  <c r="K94" i="14"/>
  <c r="K110" i="14"/>
  <c r="K71" i="14"/>
  <c r="K87" i="14"/>
  <c r="K103" i="14"/>
  <c r="K64" i="14"/>
  <c r="K88" i="14"/>
  <c r="K112" i="14"/>
  <c r="K74" i="14"/>
  <c r="K90" i="14"/>
  <c r="K106" i="14"/>
  <c r="K75" i="14"/>
  <c r="K91" i="14"/>
  <c r="K107" i="14"/>
  <c r="K76" i="14"/>
  <c r="K92" i="14"/>
  <c r="K108" i="14"/>
  <c r="K69" i="14"/>
  <c r="K85" i="14"/>
  <c r="K101" i="14"/>
  <c r="K62" i="14"/>
  <c r="K78" i="14"/>
  <c r="K86" i="14"/>
  <c r="K102" i="14"/>
  <c r="K63" i="14"/>
  <c r="K79" i="14"/>
  <c r="K95" i="14"/>
  <c r="K111" i="14"/>
  <c r="K72" i="14"/>
  <c r="K80" i="14"/>
  <c r="K96" i="14"/>
  <c r="K104" i="14"/>
  <c r="K65" i="14"/>
  <c r="K73" i="14"/>
  <c r="K81" i="14"/>
  <c r="K89" i="14"/>
  <c r="K97" i="14"/>
  <c r="K105" i="14"/>
  <c r="K113" i="14"/>
  <c r="C44" i="18" l="1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G18" i="18"/>
  <c r="G12" i="18"/>
  <c r="G9" i="18"/>
  <c r="G8" i="18"/>
  <c r="G7" i="18"/>
  <c r="G4" i="18"/>
  <c r="G3" i="18"/>
  <c r="V1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H1" i="18"/>
  <c r="V1" i="17"/>
  <c r="G7" i="17"/>
  <c r="G4" i="17"/>
  <c r="G3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V1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G12" i="16"/>
  <c r="G9" i="16"/>
  <c r="G8" i="16"/>
  <c r="G7" i="16"/>
  <c r="G4" i="16"/>
  <c r="G3" i="15"/>
  <c r="G3" i="16"/>
  <c r="G9" i="15"/>
  <c r="G8" i="15"/>
  <c r="G7" i="15"/>
  <c r="G4" i="15"/>
  <c r="V1" i="15"/>
  <c r="G96" i="15"/>
  <c r="G95" i="15"/>
  <c r="G94" i="15"/>
  <c r="G93" i="15"/>
  <c r="G92" i="15"/>
  <c r="G91" i="15"/>
  <c r="G90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H3" i="15"/>
  <c r="H1" i="15"/>
  <c r="T1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5" i="14"/>
  <c r="E4" i="14"/>
  <c r="E3" i="14"/>
  <c r="Q111" i="14"/>
  <c r="M112" i="14"/>
  <c r="R77" i="14"/>
  <c r="M63" i="14"/>
  <c r="L88" i="14"/>
  <c r="M98" i="14"/>
  <c r="M103" i="14"/>
  <c r="L81" i="14"/>
  <c r="Q90" i="14"/>
  <c r="M113" i="14"/>
  <c r="Q97" i="14"/>
  <c r="M104" i="14"/>
  <c r="Q83" i="14"/>
  <c r="L93" i="14"/>
  <c r="M79" i="14"/>
  <c r="M95" i="14"/>
  <c r="L83" i="14"/>
  <c r="Q101" i="14"/>
  <c r="L71" i="14"/>
  <c r="Q108" i="14"/>
  <c r="M81" i="14"/>
  <c r="L90" i="14"/>
  <c r="Q60" i="14"/>
  <c r="M76" i="14"/>
  <c r="Q98" i="14"/>
  <c r="Q71" i="14"/>
  <c r="L79" i="14"/>
  <c r="L61" i="14"/>
  <c r="Q89" i="14"/>
  <c r="M85" i="14"/>
  <c r="M84" i="14"/>
  <c r="M67" i="14"/>
  <c r="R73" i="14"/>
  <c r="Q91" i="14"/>
  <c r="L64" i="14"/>
  <c r="R98" i="14"/>
  <c r="L102" i="14"/>
  <c r="R108" i="14"/>
  <c r="M73" i="14"/>
  <c r="L91" i="14"/>
  <c r="M94" i="14"/>
  <c r="R113" i="14"/>
  <c r="Q107" i="14"/>
  <c r="Q72" i="14"/>
  <c r="R66" i="14"/>
  <c r="L103" i="14"/>
  <c r="L62" i="14"/>
  <c r="Q77" i="14"/>
  <c r="L60" i="14"/>
  <c r="R69" i="14"/>
  <c r="Q63" i="14"/>
  <c r="L113" i="14"/>
  <c r="Q66" i="14"/>
  <c r="Q69" i="14"/>
  <c r="L104" i="14"/>
  <c r="L98" i="14"/>
  <c r="Q88" i="14"/>
  <c r="R64" i="14"/>
  <c r="Q110" i="14"/>
  <c r="L105" i="14"/>
  <c r="R71" i="14"/>
  <c r="Q93" i="14"/>
  <c r="M99" i="14"/>
  <c r="R94" i="14"/>
  <c r="R105" i="14"/>
  <c r="L67" i="14"/>
  <c r="L72" i="14"/>
  <c r="R81" i="14"/>
  <c r="R86" i="14"/>
  <c r="M66" i="14"/>
  <c r="L68" i="14"/>
  <c r="Q92" i="14"/>
  <c r="R65" i="14"/>
  <c r="M88" i="14"/>
  <c r="Q86" i="14"/>
  <c r="M96" i="14"/>
  <c r="R80" i="14"/>
  <c r="Q113" i="14"/>
  <c r="M72" i="14"/>
  <c r="Q84" i="14"/>
  <c r="M77" i="14"/>
  <c r="L95" i="14"/>
  <c r="M86" i="14"/>
  <c r="M109" i="14"/>
  <c r="M100" i="14"/>
  <c r="M91" i="14"/>
  <c r="L73" i="14"/>
  <c r="R68" i="14"/>
  <c r="Q81" i="14"/>
  <c r="Q73" i="14"/>
  <c r="Q95" i="14"/>
  <c r="M71" i="14"/>
  <c r="L65" i="14"/>
  <c r="Q64" i="14"/>
  <c r="R112" i="14"/>
  <c r="L112" i="14"/>
  <c r="Q70" i="14"/>
  <c r="Q82" i="14"/>
  <c r="R75" i="14"/>
  <c r="R100" i="14"/>
  <c r="Q112" i="14"/>
  <c r="M75" i="14"/>
  <c r="R110" i="14"/>
  <c r="R102" i="14"/>
  <c r="M111" i="14"/>
  <c r="L63" i="14"/>
  <c r="L84" i="14"/>
  <c r="Q79" i="14"/>
  <c r="Q99" i="14"/>
  <c r="L107" i="14"/>
  <c r="Q87" i="14"/>
  <c r="M90" i="14"/>
  <c r="L87" i="14"/>
  <c r="R104" i="14"/>
  <c r="M83" i="14"/>
  <c r="M101" i="14"/>
  <c r="R61" i="14"/>
  <c r="L85" i="14"/>
  <c r="Q62" i="14"/>
  <c r="R79" i="14"/>
  <c r="R93" i="14"/>
  <c r="Q80" i="14"/>
  <c r="Q67" i="14"/>
  <c r="R60" i="14"/>
  <c r="L109" i="14"/>
  <c r="L86" i="14"/>
  <c r="Q106" i="14"/>
  <c r="L78" i="14"/>
  <c r="R84" i="14"/>
  <c r="Q68" i="14"/>
  <c r="R72" i="14"/>
  <c r="M62" i="14"/>
  <c r="R67" i="14"/>
  <c r="L74" i="14"/>
  <c r="L70" i="14"/>
  <c r="R97" i="14"/>
  <c r="M102" i="14"/>
  <c r="L66" i="14"/>
  <c r="Q65" i="14"/>
  <c r="Q78" i="14"/>
  <c r="M60" i="14"/>
  <c r="L101" i="14"/>
  <c r="L77" i="14"/>
  <c r="L111" i="14"/>
  <c r="R91" i="14"/>
  <c r="R87" i="14"/>
  <c r="R92" i="14"/>
  <c r="Q75" i="14"/>
  <c r="M80" i="14"/>
  <c r="L106" i="14"/>
  <c r="R85" i="14"/>
  <c r="M65" i="14"/>
  <c r="R88" i="14"/>
  <c r="Q61" i="14"/>
  <c r="M64" i="14"/>
  <c r="L76" i="14"/>
  <c r="Q100" i="14"/>
  <c r="M108" i="14"/>
  <c r="R101" i="14"/>
  <c r="Q96" i="14"/>
  <c r="R96" i="14"/>
  <c r="M78" i="14"/>
  <c r="L110" i="14"/>
  <c r="R78" i="14"/>
  <c r="R95" i="14"/>
  <c r="Q102" i="14"/>
  <c r="R76" i="14"/>
  <c r="L97" i="14"/>
  <c r="R109" i="14"/>
  <c r="M74" i="14"/>
  <c r="R74" i="14"/>
  <c r="M92" i="14"/>
  <c r="L100" i="14"/>
  <c r="Q74" i="14"/>
  <c r="L99" i="14"/>
  <c r="L69" i="14"/>
  <c r="R63" i="14"/>
  <c r="M61" i="14"/>
  <c r="R103" i="14"/>
  <c r="M89" i="14"/>
  <c r="Q103" i="14"/>
  <c r="M106" i="14"/>
  <c r="M87" i="14"/>
  <c r="R82" i="14"/>
  <c r="M97" i="14"/>
  <c r="R90" i="14"/>
  <c r="R111" i="14"/>
  <c r="M68" i="14"/>
  <c r="M107" i="14"/>
  <c r="L108" i="14"/>
  <c r="L89" i="14"/>
  <c r="Q85" i="14"/>
  <c r="L92" i="14"/>
  <c r="L75" i="14"/>
  <c r="R99" i="14"/>
  <c r="M105" i="14"/>
  <c r="R70" i="14"/>
  <c r="Q94" i="14"/>
  <c r="L80" i="14"/>
  <c r="M70" i="14"/>
  <c r="R106" i="14"/>
  <c r="M69" i="14"/>
  <c r="R89" i="14"/>
  <c r="R62" i="14"/>
  <c r="L82" i="14"/>
  <c r="L94" i="14"/>
  <c r="Q105" i="14"/>
  <c r="L96" i="14"/>
  <c r="M82" i="14"/>
  <c r="R107" i="14"/>
  <c r="Q104" i="14"/>
  <c r="R83" i="14"/>
  <c r="Q76" i="14"/>
  <c r="M110" i="14"/>
  <c r="Q109" i="14"/>
  <c r="M93" i="14"/>
  <c r="D48" i="1" l="1"/>
  <c r="I33" i="1"/>
  <c r="D33" i="1"/>
  <c r="I16" i="1"/>
  <c r="D16" i="1"/>
  <c r="J56" i="14" l="1"/>
  <c r="K56" i="14"/>
  <c r="J57" i="14"/>
  <c r="K21" i="14"/>
  <c r="K22" i="14"/>
  <c r="K24" i="14"/>
  <c r="K25" i="14"/>
  <c r="K27" i="14"/>
  <c r="K28" i="14"/>
  <c r="K30" i="14"/>
  <c r="K31" i="14"/>
  <c r="K33" i="14"/>
  <c r="K34" i="14"/>
  <c r="K35" i="14"/>
  <c r="K37" i="14"/>
  <c r="K38" i="14"/>
  <c r="K39" i="14"/>
  <c r="K41" i="14"/>
  <c r="K42" i="14"/>
  <c r="K43" i="14"/>
  <c r="K54" i="14"/>
  <c r="K4" i="14"/>
  <c r="K5" i="14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1" i="18"/>
  <c r="H32" i="18"/>
  <c r="H33" i="18"/>
  <c r="H34" i="18"/>
  <c r="H41" i="18"/>
  <c r="H42" i="18"/>
  <c r="H44" i="18"/>
  <c r="H43" i="18"/>
  <c r="H40" i="18"/>
  <c r="H39" i="18"/>
  <c r="H23" i="18"/>
  <c r="H24" i="18"/>
  <c r="H25" i="18"/>
  <c r="H26" i="18"/>
  <c r="H27" i="18"/>
  <c r="H28" i="18"/>
  <c r="H29" i="18"/>
  <c r="H30" i="18"/>
  <c r="H35" i="18"/>
  <c r="H36" i="18"/>
  <c r="H37" i="18"/>
  <c r="H38" i="18"/>
  <c r="H21" i="18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23" i="17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C7" i="17"/>
  <c r="M6" i="17"/>
  <c r="L6" i="17"/>
  <c r="C6" i="17"/>
  <c r="M5" i="17"/>
  <c r="L5" i="17"/>
  <c r="C5" i="17"/>
  <c r="L4" i="17"/>
  <c r="M3" i="17"/>
  <c r="L3" i="17"/>
  <c r="H7" i="17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96" i="15"/>
  <c r="H95" i="15"/>
  <c r="H94" i="15"/>
  <c r="H93" i="15"/>
  <c r="H92" i="15"/>
  <c r="H91" i="15"/>
  <c r="H90" i="15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M6" i="16"/>
  <c r="L6" i="16"/>
  <c r="C6" i="16"/>
  <c r="M5" i="16"/>
  <c r="L5" i="16"/>
  <c r="C5" i="16"/>
  <c r="M4" i="16"/>
  <c r="L4" i="16"/>
  <c r="M3" i="16"/>
  <c r="L3" i="16"/>
  <c r="H8" i="16"/>
  <c r="L56" i="14"/>
  <c r="G10" i="16"/>
  <c r="Q56" i="14"/>
  <c r="M56" i="14"/>
  <c r="R56" i="14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H6" i="17"/>
  <c r="H3" i="17"/>
  <c r="H4" i="17"/>
  <c r="H5" i="17"/>
  <c r="M29" i="16"/>
  <c r="M28" i="16"/>
  <c r="M27" i="16"/>
  <c r="M26" i="16"/>
  <c r="M23" i="16"/>
  <c r="M30" i="16"/>
  <c r="M49" i="16"/>
  <c r="M57" i="16"/>
  <c r="M56" i="16"/>
  <c r="M47" i="16"/>
  <c r="M54" i="16"/>
  <c r="M46" i="16"/>
  <c r="M52" i="16"/>
  <c r="M44" i="16"/>
  <c r="M59" i="16"/>
  <c r="M51" i="16"/>
  <c r="M31" i="16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86" i="15"/>
  <c r="H87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L3" i="15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6" i="14"/>
  <c r="J4" i="14"/>
  <c r="J5" i="14"/>
  <c r="J3" i="14"/>
  <c r="F5" i="14"/>
  <c r="F4" i="14"/>
  <c r="F3" i="14"/>
  <c r="F61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M14" i="18" l="1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M84" i="15"/>
  <c r="M86" i="15"/>
  <c r="M87" i="15"/>
  <c r="M83" i="15"/>
  <c r="M85" i="15"/>
  <c r="M88" i="15"/>
  <c r="H8" i="15"/>
  <c r="H7" i="15"/>
  <c r="H5" i="15"/>
  <c r="H6" i="15"/>
  <c r="I8" i="1"/>
  <c r="M6" i="15" l="1"/>
  <c r="M3" i="15"/>
  <c r="M5" i="15"/>
  <c r="D7" i="1"/>
  <c r="J57" i="17"/>
  <c r="M53" i="17" l="1"/>
  <c r="M19" i="17"/>
  <c r="M16" i="17"/>
  <c r="M13" i="17"/>
  <c r="M17" i="17"/>
  <c r="M14" i="17"/>
  <c r="M11" i="17"/>
  <c r="M10" i="17"/>
  <c r="M58" i="16"/>
  <c r="M65" i="16"/>
  <c r="M43" i="16"/>
  <c r="M53" i="16"/>
  <c r="M41" i="16"/>
  <c r="M63" i="16"/>
  <c r="M48" i="16"/>
  <c r="C29" i="14" l="1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C11" i="14" l="1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J28" i="17"/>
  <c r="O49" i="16"/>
  <c r="N5" i="17"/>
  <c r="T67" i="15"/>
  <c r="S28" i="16"/>
  <c r="N27" i="16"/>
  <c r="J41" i="16"/>
  <c r="S3" i="15"/>
  <c r="R24" i="14"/>
  <c r="S86" i="15"/>
  <c r="N3" i="16"/>
  <c r="G10" i="18"/>
  <c r="T28" i="16"/>
  <c r="Q38" i="14"/>
  <c r="J12" i="16"/>
  <c r="S48" i="15"/>
  <c r="J84" i="15"/>
  <c r="J24" i="16"/>
  <c r="S79" i="15"/>
  <c r="S68" i="18"/>
  <c r="O59" i="18"/>
  <c r="N57" i="15"/>
  <c r="T47" i="16"/>
  <c r="O19" i="15"/>
  <c r="N19" i="15"/>
  <c r="N20" i="15"/>
  <c r="L38" i="14"/>
  <c r="T13" i="18"/>
  <c r="T14" i="18"/>
  <c r="J24" i="18"/>
  <c r="R28" i="14"/>
  <c r="J8" i="18"/>
  <c r="S14" i="18"/>
  <c r="O46" i="16"/>
  <c r="T63" i="18"/>
  <c r="Q39" i="14"/>
  <c r="S11" i="15"/>
  <c r="N83" i="15"/>
  <c r="N67" i="15"/>
  <c r="T46" i="16"/>
  <c r="N59" i="18"/>
  <c r="T87" i="15"/>
  <c r="S30" i="16"/>
  <c r="O61" i="18"/>
  <c r="G16" i="18"/>
  <c r="S47" i="15"/>
  <c r="S63" i="18"/>
  <c r="J60" i="18"/>
  <c r="O47" i="15"/>
  <c r="O3" i="18"/>
  <c r="S3" i="18"/>
  <c r="S3" i="17"/>
  <c r="S18" i="15"/>
  <c r="N30" i="16"/>
  <c r="J72" i="15"/>
  <c r="J29" i="17"/>
  <c r="S63" i="15"/>
  <c r="T64" i="18"/>
  <c r="T74" i="15"/>
  <c r="H3" i="14"/>
  <c r="N65" i="15"/>
  <c r="O63" i="18"/>
  <c r="N20" i="17"/>
  <c r="Q34" i="14"/>
  <c r="O73" i="15"/>
  <c r="T44" i="17"/>
  <c r="N49" i="17"/>
  <c r="O58" i="18"/>
  <c r="S87" i="15"/>
  <c r="T43" i="18"/>
  <c r="O47" i="17"/>
  <c r="N48" i="15"/>
  <c r="S14" i="15"/>
  <c r="O74" i="15"/>
  <c r="N13" i="15"/>
  <c r="S42" i="18"/>
  <c r="O17" i="17"/>
  <c r="T14" i="17"/>
  <c r="Q54" i="14"/>
  <c r="T17" i="17"/>
  <c r="S40" i="18"/>
  <c r="S42" i="17"/>
  <c r="S63" i="16"/>
  <c r="T35" i="18"/>
  <c r="T10" i="17"/>
  <c r="T43" i="17"/>
  <c r="S37" i="18"/>
  <c r="O22" i="17"/>
  <c r="T37" i="18"/>
  <c r="S35" i="17"/>
  <c r="O16" i="17"/>
  <c r="T42" i="17"/>
  <c r="O55" i="17"/>
  <c r="O40" i="18"/>
  <c r="T41" i="16"/>
  <c r="O35" i="17"/>
  <c r="L41" i="14"/>
  <c r="H50" i="14"/>
  <c r="S40" i="17"/>
  <c r="S88" i="15"/>
  <c r="O70" i="18"/>
  <c r="N5" i="18"/>
  <c r="O5" i="17"/>
  <c r="S13" i="18"/>
  <c r="O3" i="15"/>
  <c r="N3" i="15"/>
  <c r="J22" i="16"/>
  <c r="J68" i="16"/>
  <c r="O68" i="15"/>
  <c r="N46" i="15"/>
  <c r="N44" i="16"/>
  <c r="O53" i="17"/>
  <c r="S22" i="17"/>
  <c r="I3" i="1"/>
  <c r="S45" i="17"/>
  <c r="S48" i="16"/>
  <c r="H34" i="14"/>
  <c r="T34" i="17"/>
  <c r="O36" i="18"/>
  <c r="N58" i="16"/>
  <c r="Q43" i="14"/>
  <c r="S16" i="17"/>
  <c r="S41" i="16"/>
  <c r="O32" i="18"/>
  <c r="S34" i="17"/>
  <c r="N35" i="17"/>
  <c r="S44" i="17"/>
  <c r="N79" i="15"/>
  <c r="J8" i="15"/>
  <c r="L28" i="14"/>
  <c r="S16" i="18"/>
  <c r="T4" i="16"/>
  <c r="T46" i="15"/>
  <c r="S46" i="16"/>
  <c r="N70" i="18"/>
  <c r="J43" i="16"/>
  <c r="J76" i="18"/>
  <c r="J9" i="18"/>
  <c r="T59" i="16"/>
  <c r="N16" i="18"/>
  <c r="T49" i="17"/>
  <c r="R25" i="14"/>
  <c r="M34" i="14"/>
  <c r="J42" i="16"/>
  <c r="S74" i="15"/>
  <c r="S41" i="18"/>
  <c r="S21" i="17"/>
  <c r="N46" i="16"/>
  <c r="J40" i="17"/>
  <c r="S64" i="18"/>
  <c r="T48" i="17"/>
  <c r="J50" i="18"/>
  <c r="S57" i="15"/>
  <c r="T60" i="15"/>
  <c r="J9" i="16"/>
  <c r="S62" i="15"/>
  <c r="T85" i="15"/>
  <c r="O67" i="15"/>
  <c r="S3" i="16"/>
  <c r="J17" i="17"/>
  <c r="T70" i="18"/>
  <c r="O77" i="15"/>
  <c r="S23" i="16"/>
  <c r="J70" i="16"/>
  <c r="O10" i="15"/>
  <c r="S5" i="17"/>
  <c r="J53" i="18"/>
  <c r="J62" i="15"/>
  <c r="N15" i="15"/>
  <c r="Q30" i="14"/>
  <c r="O27" i="16"/>
  <c r="O5" i="16"/>
  <c r="N62" i="15"/>
  <c r="S5" i="18"/>
  <c r="T6" i="15"/>
  <c r="N43" i="18"/>
  <c r="J22" i="18"/>
  <c r="M28" i="14"/>
  <c r="R31" i="14"/>
  <c r="G5" i="17"/>
  <c r="G11" i="16"/>
  <c r="N73" i="15"/>
  <c r="J59" i="18"/>
  <c r="N4" i="15"/>
  <c r="J7" i="17"/>
  <c r="S19" i="15"/>
  <c r="S64" i="15"/>
  <c r="S67" i="15"/>
  <c r="N41" i="16"/>
  <c r="N16" i="17"/>
  <c r="S34" i="18"/>
  <c r="H48" i="14"/>
  <c r="T37" i="17"/>
  <c r="S10" i="17"/>
  <c r="H42" i="14"/>
  <c r="O47" i="16"/>
  <c r="S54" i="16"/>
  <c r="N28" i="18"/>
  <c r="T29" i="18"/>
  <c r="T15" i="15"/>
  <c r="J7" i="15"/>
  <c r="J78" i="18"/>
  <c r="R39" i="14"/>
  <c r="O45" i="15"/>
  <c r="T52" i="16"/>
  <c r="O83" i="15"/>
  <c r="N21" i="15"/>
  <c r="O70" i="15"/>
  <c r="Q28" i="14"/>
  <c r="T20" i="15"/>
  <c r="N75" i="15"/>
  <c r="T61" i="18"/>
  <c r="T28" i="18"/>
  <c r="N87" i="15"/>
  <c r="N5" i="15"/>
  <c r="G17" i="18"/>
  <c r="O88" i="15"/>
  <c r="N47" i="16"/>
  <c r="S20" i="15"/>
  <c r="T14" i="15"/>
  <c r="O75" i="15"/>
  <c r="J44" i="16"/>
  <c r="S77" i="18"/>
  <c r="O59" i="15"/>
  <c r="O65" i="18"/>
  <c r="N4" i="18"/>
  <c r="J15" i="16"/>
  <c r="O87" i="15"/>
  <c r="J67" i="15"/>
  <c r="O26" i="16"/>
  <c r="S26" i="18"/>
  <c r="J26" i="18"/>
  <c r="N54" i="16"/>
  <c r="N41" i="18"/>
  <c r="J32" i="17"/>
  <c r="J80" i="18"/>
  <c r="S5" i="16"/>
  <c r="J7" i="18"/>
  <c r="O46" i="15"/>
  <c r="N52" i="17"/>
  <c r="T41" i="18"/>
  <c r="T66" i="18"/>
  <c r="T5" i="17"/>
  <c r="S17" i="18"/>
  <c r="N45" i="15"/>
  <c r="N68" i="18"/>
  <c r="O5" i="15"/>
  <c r="J66" i="16"/>
  <c r="G6" i="15"/>
  <c r="T47" i="17"/>
  <c r="S43" i="18"/>
  <c r="N43" i="17"/>
  <c r="S17" i="17"/>
  <c r="S36" i="18"/>
  <c r="S65" i="16"/>
  <c r="T65" i="16"/>
  <c r="L43" i="14"/>
  <c r="N42" i="18"/>
  <c r="N43" i="16"/>
  <c r="O58" i="16"/>
  <c r="N13" i="17"/>
  <c r="N42" i="17"/>
  <c r="T45" i="17"/>
  <c r="R54" i="14"/>
  <c r="O53" i="16"/>
  <c r="Q41" i="14"/>
  <c r="S33" i="18"/>
  <c r="N40" i="17"/>
  <c r="O39" i="17"/>
  <c r="R43" i="14"/>
  <c r="T29" i="16"/>
  <c r="O11" i="15"/>
  <c r="G5" i="16"/>
  <c r="S56" i="16"/>
  <c r="J61" i="15"/>
  <c r="S65" i="15"/>
  <c r="Q21" i="14"/>
  <c r="S16" i="15"/>
  <c r="J16" i="16"/>
  <c r="N3" i="17"/>
  <c r="S84" i="15"/>
  <c r="N68" i="15"/>
  <c r="J23" i="16"/>
  <c r="S6" i="17"/>
  <c r="L35" i="14"/>
  <c r="N12" i="15"/>
  <c r="S44" i="16"/>
  <c r="T69" i="18"/>
  <c r="S66" i="18"/>
  <c r="T23" i="16"/>
  <c r="S59" i="15"/>
  <c r="J27" i="16"/>
  <c r="N26" i="16"/>
  <c r="T64" i="15"/>
  <c r="S49" i="17"/>
  <c r="S52" i="16"/>
  <c r="S69" i="15"/>
  <c r="N57" i="16"/>
  <c r="N6" i="16"/>
  <c r="H61" i="14"/>
  <c r="M37" i="14"/>
  <c r="O63" i="16"/>
  <c r="T39" i="18"/>
  <c r="H46" i="14"/>
  <c r="N65" i="16"/>
  <c r="S38" i="17"/>
  <c r="Q33" i="14"/>
  <c r="N50" i="17"/>
  <c r="S32" i="18"/>
  <c r="S58" i="16"/>
  <c r="O33" i="18"/>
  <c r="O50" i="17"/>
  <c r="T50" i="17"/>
  <c r="S35" i="18"/>
  <c r="L42" i="14"/>
  <c r="O45" i="17"/>
  <c r="T52" i="17"/>
  <c r="N60" i="18"/>
  <c r="T5" i="15"/>
  <c r="J33" i="17"/>
  <c r="O3" i="16"/>
  <c r="N4" i="16"/>
  <c r="N16" i="15"/>
  <c r="O85" i="15"/>
  <c r="N69" i="18"/>
  <c r="N31" i="16"/>
  <c r="M42" i="14"/>
  <c r="N34" i="18"/>
  <c r="H52" i="14"/>
  <c r="T32" i="17"/>
  <c r="O41" i="16"/>
  <c r="H57" i="14"/>
  <c r="J11" i="16"/>
  <c r="O34" i="17"/>
  <c r="N17" i="17"/>
  <c r="Q22" i="14"/>
  <c r="N39" i="18"/>
  <c r="O43" i="17"/>
  <c r="N53" i="17"/>
  <c r="N48" i="16"/>
  <c r="L54" i="14"/>
  <c r="R33" i="14"/>
  <c r="H25" i="14"/>
  <c r="J57" i="18"/>
  <c r="N60" i="15"/>
  <c r="T6" i="18"/>
  <c r="M31" i="14"/>
  <c r="J55" i="17"/>
  <c r="T71" i="18"/>
  <c r="N39" i="17"/>
  <c r="O10" i="17"/>
  <c r="T53" i="16"/>
  <c r="O65" i="16"/>
  <c r="T63" i="16"/>
  <c r="O6" i="16"/>
  <c r="J20" i="16"/>
  <c r="O4" i="18"/>
  <c r="T55" i="17"/>
  <c r="T38" i="17"/>
  <c r="N33" i="18"/>
  <c r="O38" i="17"/>
  <c r="M54" i="14"/>
  <c r="O62" i="15"/>
  <c r="T73" i="15"/>
  <c r="J39" i="16"/>
  <c r="S83" i="15"/>
  <c r="T79" i="15"/>
  <c r="M41" i="14"/>
  <c r="H28" i="14"/>
  <c r="O19" i="17"/>
  <c r="O48" i="16"/>
  <c r="M43" i="14"/>
  <c r="T12" i="15"/>
  <c r="O52" i="17"/>
  <c r="S27" i="16"/>
  <c r="S13" i="17"/>
  <c r="S11" i="17"/>
  <c r="Q37" i="14"/>
  <c r="H47" i="14"/>
  <c r="T3" i="16"/>
  <c r="O71" i="18"/>
  <c r="S75" i="18"/>
  <c r="O66" i="18"/>
  <c r="J77" i="18"/>
  <c r="O43" i="18"/>
  <c r="S52" i="17"/>
  <c r="S47" i="16"/>
  <c r="N49" i="16"/>
  <c r="S31" i="16"/>
  <c r="S65" i="18"/>
  <c r="S21" i="15"/>
  <c r="O48" i="17"/>
  <c r="L27" i="14"/>
  <c r="N44" i="15"/>
  <c r="J46" i="16"/>
  <c r="T21" i="17"/>
  <c r="S28" i="18"/>
  <c r="S59" i="16"/>
  <c r="T68" i="18"/>
  <c r="S49" i="16"/>
  <c r="O21" i="17"/>
  <c r="S4" i="16"/>
  <c r="S70" i="18"/>
  <c r="J55" i="15"/>
  <c r="S4" i="15"/>
  <c r="T59" i="18"/>
  <c r="O35" i="18"/>
  <c r="R42" i="14"/>
  <c r="J56" i="15"/>
  <c r="J61" i="18"/>
  <c r="J59" i="15"/>
  <c r="O16" i="15"/>
  <c r="O69" i="18"/>
  <c r="S6" i="16"/>
  <c r="O37" i="17"/>
  <c r="M33" i="14"/>
  <c r="N63" i="16"/>
  <c r="H55" i="14"/>
  <c r="S39" i="18"/>
  <c r="N35" i="18"/>
  <c r="S17" i="15"/>
  <c r="R41" i="14"/>
  <c r="O11" i="17"/>
  <c r="T39" i="17"/>
  <c r="N37" i="17"/>
  <c r="G6" i="16"/>
  <c r="J59" i="16"/>
  <c r="T59" i="15"/>
  <c r="O48" i="15"/>
  <c r="T11" i="15"/>
  <c r="M35" i="14"/>
  <c r="N22" i="17"/>
  <c r="S43" i="17"/>
  <c r="N55" i="17"/>
  <c r="L24" i="14"/>
  <c r="H38" i="14"/>
  <c r="S53" i="17"/>
  <c r="H49" i="14"/>
  <c r="S59" i="18"/>
  <c r="T86" i="15"/>
  <c r="J19" i="16"/>
  <c r="S14" i="17"/>
  <c r="N17" i="18"/>
  <c r="O20" i="17"/>
  <c r="S50" i="17"/>
  <c r="O64" i="18"/>
  <c r="J37" i="16"/>
  <c r="T48" i="15"/>
  <c r="O4" i="15"/>
  <c r="O72" i="15"/>
  <c r="O84" i="15"/>
  <c r="J45" i="17"/>
  <c r="R35" i="14"/>
  <c r="O68" i="18"/>
  <c r="T3" i="15"/>
  <c r="T3" i="17"/>
  <c r="J31" i="17"/>
  <c r="J54" i="16"/>
  <c r="J23" i="18"/>
  <c r="S6" i="18"/>
  <c r="T27" i="16"/>
  <c r="N6" i="15"/>
  <c r="O6" i="17"/>
  <c r="J71" i="18"/>
  <c r="O8" i="17"/>
  <c r="S12" i="15"/>
  <c r="J36" i="16"/>
  <c r="O31" i="18"/>
  <c r="O12" i="15"/>
  <c r="O30" i="16"/>
  <c r="J55" i="18"/>
  <c r="J40" i="16"/>
  <c r="N47" i="17"/>
  <c r="J52" i="18"/>
  <c r="O23" i="16"/>
  <c r="J27" i="17"/>
  <c r="T20" i="17"/>
  <c r="N13" i="18"/>
  <c r="N48" i="17"/>
  <c r="J49" i="18"/>
  <c r="O3" i="17"/>
  <c r="N52" i="16"/>
  <c r="N51" i="16"/>
  <c r="J35" i="17"/>
  <c r="T40" i="18"/>
  <c r="H53" i="14"/>
  <c r="N36" i="18"/>
  <c r="N10" i="17"/>
  <c r="T34" i="18"/>
  <c r="J17" i="16"/>
  <c r="T43" i="16"/>
  <c r="N53" i="16"/>
  <c r="N37" i="18"/>
  <c r="S13" i="15"/>
  <c r="N59" i="16"/>
  <c r="O5" i="18"/>
  <c r="O29" i="18"/>
  <c r="O75" i="18"/>
  <c r="N28" i="16"/>
  <c r="T4" i="15"/>
  <c r="O15" i="15"/>
  <c r="N40" i="18"/>
  <c r="O42" i="18"/>
  <c r="T48" i="16"/>
  <c r="T33" i="18"/>
  <c r="S5" i="15"/>
  <c r="J9" i="15"/>
  <c r="S19" i="17"/>
  <c r="T22" i="17"/>
  <c r="O14" i="17"/>
  <c r="T8" i="17"/>
  <c r="G13" i="18"/>
  <c r="N17" i="15"/>
  <c r="N45" i="17"/>
  <c r="H54" i="14"/>
  <c r="T56" i="16"/>
  <c r="T65" i="15"/>
  <c r="O34" i="18"/>
  <c r="S51" i="16"/>
  <c r="S10" i="15"/>
  <c r="J11" i="17"/>
  <c r="N21" i="17"/>
  <c r="J29" i="18"/>
  <c r="O6" i="15"/>
  <c r="T57" i="15"/>
  <c r="J30" i="17"/>
  <c r="N47" i="15"/>
  <c r="O86" i="15"/>
  <c r="N63" i="18"/>
  <c r="S68" i="15"/>
  <c r="J50" i="17"/>
  <c r="J86" i="15"/>
  <c r="T88" i="15"/>
  <c r="J58" i="15"/>
  <c r="T47" i="15"/>
  <c r="S77" i="15"/>
  <c r="N56" i="16"/>
  <c r="S26" i="16"/>
  <c r="R30" i="14"/>
  <c r="N88" i="15"/>
  <c r="N10" i="15"/>
  <c r="J38" i="16"/>
  <c r="N8" i="17"/>
  <c r="T3" i="18"/>
  <c r="Q35" i="14"/>
  <c r="J82" i="15"/>
  <c r="S72" i="15"/>
  <c r="T17" i="18"/>
  <c r="O64" i="15"/>
  <c r="O44" i="16"/>
  <c r="O60" i="15"/>
  <c r="L25" i="14"/>
  <c r="S20" i="17"/>
  <c r="T31" i="18"/>
  <c r="Q27" i="14"/>
  <c r="N61" i="18"/>
  <c r="S48" i="17"/>
  <c r="L21" i="14"/>
  <c r="N26" i="18"/>
  <c r="J58" i="17"/>
  <c r="R22" i="14"/>
  <c r="J48" i="18"/>
  <c r="O26" i="18"/>
  <c r="O56" i="16"/>
  <c r="J20" i="17"/>
  <c r="T4" i="18"/>
  <c r="J26" i="16"/>
  <c r="O52" i="16"/>
  <c r="L34" i="14"/>
  <c r="S85" i="15"/>
  <c r="L33" i="14"/>
  <c r="T35" i="17"/>
  <c r="N32" i="17"/>
  <c r="N14" i="17"/>
  <c r="J10" i="18"/>
  <c r="S53" i="16"/>
  <c r="M30" i="14"/>
  <c r="S47" i="17"/>
  <c r="T16" i="18"/>
  <c r="T54" i="16"/>
  <c r="J18" i="16"/>
  <c r="N66" i="18"/>
  <c r="S44" i="15"/>
  <c r="T36" i="18"/>
  <c r="N38" i="18"/>
  <c r="T13" i="17"/>
  <c r="S43" i="16"/>
  <c r="N32" i="18"/>
  <c r="N64" i="18"/>
  <c r="M24" i="14"/>
  <c r="J7" i="16"/>
  <c r="Q42" i="14"/>
  <c r="O43" i="16"/>
  <c r="L37" i="14"/>
  <c r="N38" i="17"/>
  <c r="O59" i="16"/>
  <c r="N11" i="15"/>
  <c r="S69" i="18"/>
  <c r="N14" i="15"/>
  <c r="N77" i="18"/>
  <c r="O13" i="17"/>
  <c r="T32" i="18"/>
  <c r="S39" i="17"/>
  <c r="M39" i="14"/>
  <c r="N85" i="15"/>
  <c r="O38" i="18"/>
  <c r="N11" i="17"/>
  <c r="T65" i="18"/>
  <c r="O63" i="15"/>
  <c r="O77" i="18"/>
  <c r="O14" i="15"/>
  <c r="T31" i="16"/>
  <c r="T51" i="16"/>
  <c r="M22" i="14"/>
  <c r="T58" i="18"/>
  <c r="O44" i="15"/>
  <c r="T75" i="18"/>
  <c r="N6" i="17"/>
  <c r="L39" i="14"/>
  <c r="O60" i="18"/>
  <c r="O4" i="16"/>
  <c r="J60" i="15"/>
  <c r="N58" i="18"/>
  <c r="S31" i="18"/>
  <c r="S29" i="16"/>
  <c r="O6" i="18"/>
  <c r="N25" i="18"/>
  <c r="N86" i="15"/>
  <c r="T83" i="15"/>
  <c r="J57" i="15"/>
  <c r="T49" i="16"/>
  <c r="R34" i="14"/>
  <c r="J34" i="17"/>
  <c r="L31" i="14"/>
  <c r="O29" i="16"/>
  <c r="T19" i="17"/>
  <c r="T40" i="17"/>
  <c r="N75" i="18"/>
  <c r="T6" i="16"/>
  <c r="J21" i="18"/>
  <c r="O40" i="17"/>
  <c r="T58" i="16"/>
  <c r="S15" i="15"/>
  <c r="T6" i="17"/>
  <c r="S32" i="17"/>
  <c r="J37" i="17"/>
  <c r="J8" i="16"/>
  <c r="S29" i="18"/>
  <c r="J12" i="18"/>
  <c r="G6" i="18"/>
  <c r="J4" i="17"/>
  <c r="G11" i="18"/>
  <c r="J11" i="18" s="1"/>
  <c r="N5" i="16"/>
  <c r="S45" i="15"/>
  <c r="L30" i="14"/>
  <c r="M25" i="14"/>
  <c r="T68" i="15"/>
  <c r="O21" i="15"/>
  <c r="N71" i="18"/>
  <c r="T26" i="16"/>
  <c r="N29" i="18"/>
  <c r="Q25" i="14"/>
  <c r="O57" i="16"/>
  <c r="O25" i="18"/>
  <c r="J18" i="18"/>
  <c r="J64" i="16"/>
  <c r="Q31" i="14"/>
  <c r="J65" i="16"/>
  <c r="S6" i="15"/>
  <c r="J21" i="16"/>
  <c r="N14" i="18"/>
  <c r="J87" i="15"/>
  <c r="J32" i="18"/>
  <c r="N18" i="15"/>
  <c r="N44" i="17"/>
  <c r="T5" i="16"/>
  <c r="T77" i="15"/>
  <c r="J58" i="18"/>
  <c r="T13" i="15"/>
  <c r="O79" i="15"/>
  <c r="T25" i="18"/>
  <c r="N69" i="15"/>
  <c r="O20" i="15"/>
  <c r="S8" i="17"/>
  <c r="R27" i="14"/>
  <c r="J14" i="17"/>
  <c r="S4" i="18"/>
  <c r="N3" i="18"/>
  <c r="S71" i="18"/>
  <c r="T77" i="18"/>
  <c r="S58" i="18"/>
  <c r="T42" i="18"/>
  <c r="H31" i="14"/>
  <c r="N34" i="17"/>
  <c r="M21" i="14"/>
  <c r="T63" i="15"/>
  <c r="J54" i="18"/>
  <c r="T70" i="15"/>
  <c r="H59" i="14"/>
  <c r="S55" i="17"/>
  <c r="O39" i="18"/>
  <c r="O17" i="18"/>
  <c r="T17" i="15"/>
  <c r="O16" i="18"/>
  <c r="O42" i="17"/>
  <c r="T16" i="17"/>
  <c r="H51" i="14"/>
  <c r="T26" i="18"/>
  <c r="J51" i="18"/>
  <c r="J66" i="18"/>
  <c r="N65" i="18"/>
  <c r="O41" i="18"/>
  <c r="T45" i="15"/>
  <c r="N77" i="15"/>
  <c r="O17" i="15"/>
  <c r="S60" i="15"/>
  <c r="J25" i="18"/>
  <c r="O49" i="17"/>
  <c r="O65" i="15"/>
  <c r="T16" i="15"/>
  <c r="N59" i="15"/>
  <c r="S61" i="18"/>
  <c r="T44" i="16"/>
  <c r="L22" i="14"/>
  <c r="S60" i="18"/>
  <c r="S46" i="15"/>
  <c r="T75" i="15"/>
  <c r="T62" i="15"/>
  <c r="T30" i="16"/>
  <c r="G14" i="18"/>
  <c r="G6" i="17"/>
  <c r="S73" i="15"/>
  <c r="O13" i="15"/>
  <c r="T21" i="15"/>
  <c r="O54" i="16"/>
  <c r="T19" i="15"/>
  <c r="N63" i="15"/>
  <c r="G5" i="18"/>
  <c r="O57" i="15"/>
  <c r="N6" i="18"/>
  <c r="O44" i="17"/>
  <c r="T11" i="17"/>
  <c r="I9" i="1"/>
  <c r="S38" i="18"/>
  <c r="N84" i="15"/>
  <c r="T60" i="18"/>
  <c r="O32" i="17"/>
  <c r="T38" i="18"/>
  <c r="O37" i="18"/>
  <c r="R37" i="14"/>
  <c r="T53" i="17"/>
  <c r="O51" i="16"/>
  <c r="O13" i="18"/>
  <c r="R38" i="14"/>
  <c r="O69" i="15"/>
  <c r="O14" i="18"/>
  <c r="J77" i="15"/>
  <c r="T18" i="15"/>
  <c r="T10" i="15"/>
  <c r="N29" i="16"/>
  <c r="G15" i="18"/>
  <c r="J15" i="18" s="1"/>
  <c r="T57" i="16"/>
  <c r="G5" i="15"/>
  <c r="O28" i="18"/>
  <c r="S70" i="15"/>
  <c r="T5" i="18"/>
  <c r="T72" i="15"/>
  <c r="N72" i="15"/>
  <c r="J49" i="16"/>
  <c r="M38" i="14"/>
  <c r="N23" i="16"/>
  <c r="J10" i="16"/>
  <c r="J64" i="15"/>
  <c r="M27" i="14"/>
  <c r="O31" i="16"/>
  <c r="Q24" i="14"/>
  <c r="O28" i="16"/>
  <c r="N64" i="15"/>
  <c r="N74" i="15"/>
  <c r="N31" i="18"/>
  <c r="O18" i="15"/>
  <c r="S25" i="18"/>
  <c r="S75" i="15"/>
  <c r="T44" i="15"/>
  <c r="T69" i="15"/>
  <c r="R21" i="14"/>
  <c r="T84" i="15"/>
  <c r="S57" i="16"/>
  <c r="J56" i="18"/>
  <c r="N70" i="15"/>
  <c r="J82" i="18"/>
  <c r="N19" i="17"/>
  <c r="S37" i="17"/>
  <c r="M7" i="16" l="1"/>
  <c r="M15" i="16"/>
  <c r="M9" i="15"/>
  <c r="M31" i="17"/>
  <c r="M62" i="16"/>
  <c r="M7" i="17"/>
  <c r="M64" i="16"/>
  <c r="M17" i="16"/>
  <c r="M18" i="16"/>
  <c r="M24" i="16"/>
  <c r="M20" i="16"/>
  <c r="M51" i="17"/>
  <c r="M25" i="16"/>
  <c r="M18" i="17"/>
  <c r="M19" i="18"/>
  <c r="M55" i="18"/>
  <c r="K3" i="14"/>
  <c r="M78" i="18"/>
  <c r="M44" i="18"/>
  <c r="M7" i="18"/>
  <c r="M54" i="17"/>
  <c r="M29" i="17"/>
  <c r="M25" i="17"/>
  <c r="M50" i="18"/>
  <c r="M53" i="15"/>
  <c r="M66" i="15"/>
  <c r="M76" i="18"/>
  <c r="M35" i="16"/>
  <c r="M12" i="17"/>
  <c r="M16" i="16"/>
  <c r="M45" i="18"/>
  <c r="M28" i="17"/>
  <c r="M20" i="18"/>
  <c r="M49" i="15"/>
  <c r="M52" i="18"/>
  <c r="M21" i="16"/>
  <c r="M24" i="18"/>
  <c r="M56" i="18"/>
  <c r="M57" i="18"/>
  <c r="M61" i="15"/>
  <c r="M23" i="17"/>
  <c r="M54" i="18"/>
  <c r="M55" i="16"/>
  <c r="M14" i="16"/>
  <c r="M13" i="16"/>
  <c r="M30" i="17"/>
  <c r="M56" i="15"/>
  <c r="M50" i="15"/>
  <c r="M49" i="18"/>
  <c r="M48" i="18"/>
  <c r="M66" i="16"/>
  <c r="M76" i="15"/>
  <c r="M36" i="16"/>
  <c r="M30" i="18"/>
  <c r="M55" i="15"/>
  <c r="M40" i="16"/>
  <c r="M81" i="15"/>
  <c r="M53" i="18"/>
  <c r="M51" i="18"/>
  <c r="M15" i="17"/>
  <c r="M19" i="16"/>
  <c r="M34" i="16"/>
  <c r="M8" i="18"/>
  <c r="M51" i="15"/>
  <c r="M61" i="16"/>
  <c r="M22" i="18"/>
  <c r="M32" i="16"/>
  <c r="M58" i="15"/>
  <c r="M9" i="16"/>
  <c r="M10" i="16"/>
  <c r="M60" i="16"/>
  <c r="M18" i="18"/>
  <c r="M46" i="18"/>
  <c r="M67" i="18"/>
  <c r="M45" i="16"/>
  <c r="M36" i="17"/>
  <c r="M52" i="15"/>
  <c r="M42" i="16"/>
  <c r="M54" i="15"/>
  <c r="M80" i="15"/>
  <c r="M21" i="18"/>
  <c r="M38" i="16"/>
  <c r="M22" i="16"/>
  <c r="M46" i="17"/>
  <c r="M50" i="16"/>
  <c r="M78" i="15"/>
  <c r="M27" i="17"/>
  <c r="M12" i="16"/>
  <c r="M23" i="18"/>
  <c r="M9" i="18"/>
  <c r="M26" i="17"/>
  <c r="M72" i="18"/>
  <c r="M39" i="16"/>
  <c r="M41" i="17"/>
  <c r="M74" i="18"/>
  <c r="M7" i="15"/>
  <c r="M71" i="15"/>
  <c r="M4" i="17"/>
  <c r="M27" i="18"/>
  <c r="M37" i="16"/>
  <c r="M73" i="18"/>
  <c r="M12" i="18"/>
  <c r="M9" i="17"/>
  <c r="M62" i="18"/>
  <c r="M33" i="16"/>
  <c r="M8" i="15"/>
  <c r="M47" i="18"/>
  <c r="M8" i="16"/>
  <c r="M24" i="17"/>
  <c r="M33" i="17"/>
  <c r="M11" i="18"/>
  <c r="M11" i="16"/>
  <c r="K51" i="14"/>
  <c r="K23" i="14"/>
  <c r="K53" i="14"/>
  <c r="K50" i="14"/>
  <c r="K48" i="14"/>
  <c r="K47" i="14"/>
  <c r="K40" i="14"/>
  <c r="M15" i="18"/>
  <c r="K29" i="14"/>
  <c r="K57" i="14"/>
  <c r="K52" i="14"/>
  <c r="K26" i="14"/>
  <c r="K49" i="14"/>
  <c r="K55" i="14"/>
  <c r="K59" i="14"/>
  <c r="M10" i="18"/>
  <c r="K45" i="14"/>
  <c r="K44" i="14"/>
  <c r="K36" i="14"/>
  <c r="K46" i="14"/>
  <c r="K32" i="14"/>
  <c r="I10" i="1"/>
  <c r="M82" i="15"/>
  <c r="T7" i="16"/>
  <c r="S53" i="15"/>
  <c r="S23" i="17"/>
  <c r="O81" i="15"/>
  <c r="N46" i="18"/>
  <c r="S23" i="18"/>
  <c r="N33" i="16"/>
  <c r="T15" i="16"/>
  <c r="S66" i="15"/>
  <c r="N54" i="18"/>
  <c r="S53" i="18"/>
  <c r="O67" i="18"/>
  <c r="T4" i="17"/>
  <c r="O9" i="15"/>
  <c r="N52" i="18"/>
  <c r="T32" i="16"/>
  <c r="T27" i="18"/>
  <c r="O10" i="18"/>
  <c r="O7" i="18"/>
  <c r="N14" i="16"/>
  <c r="T36" i="17"/>
  <c r="S8" i="16"/>
  <c r="S62" i="16"/>
  <c r="T24" i="18"/>
  <c r="T19" i="16"/>
  <c r="T39" i="16"/>
  <c r="S18" i="17"/>
  <c r="S30" i="17"/>
  <c r="T10" i="16"/>
  <c r="N12" i="18"/>
  <c r="T45" i="18"/>
  <c r="N60" i="16"/>
  <c r="T9" i="17"/>
  <c r="O50" i="18"/>
  <c r="T80" i="15"/>
  <c r="N78" i="18"/>
  <c r="N20" i="16"/>
  <c r="S55" i="16"/>
  <c r="N45" i="16"/>
  <c r="N51" i="17"/>
  <c r="N76" i="15"/>
  <c r="S46" i="17"/>
  <c r="M59" i="14"/>
  <c r="S12" i="17"/>
  <c r="N9" i="16"/>
  <c r="N73" i="18"/>
  <c r="S29" i="17"/>
  <c r="T34" i="16"/>
  <c r="O41" i="17"/>
  <c r="N11" i="16"/>
  <c r="N25" i="17"/>
  <c r="S56" i="15"/>
  <c r="N27" i="17"/>
  <c r="T55" i="18"/>
  <c r="N50" i="15"/>
  <c r="T7" i="15"/>
  <c r="S74" i="18"/>
  <c r="O51" i="15"/>
  <c r="S52" i="18"/>
  <c r="S54" i="17"/>
  <c r="O24" i="17"/>
  <c r="T30" i="17"/>
  <c r="O45" i="18"/>
  <c r="T40" i="16"/>
  <c r="S38" i="16"/>
  <c r="S45" i="16"/>
  <c r="T46" i="17"/>
  <c r="S13" i="16"/>
  <c r="S56" i="18"/>
  <c r="O64" i="16"/>
  <c r="T8" i="18"/>
  <c r="N55" i="18"/>
  <c r="O28" i="17"/>
  <c r="O49" i="18"/>
  <c r="O24" i="16"/>
  <c r="N22" i="18"/>
  <c r="N9" i="15"/>
  <c r="O27" i="18"/>
  <c r="O15" i="17"/>
  <c r="T10" i="18"/>
  <c r="N36" i="16"/>
  <c r="O18" i="17"/>
  <c r="O12" i="18"/>
  <c r="N9" i="17"/>
  <c r="N38" i="16"/>
  <c r="S51" i="17"/>
  <c r="N25" i="16"/>
  <c r="O7" i="17"/>
  <c r="N33" i="17"/>
  <c r="N8" i="18"/>
  <c r="S18" i="18"/>
  <c r="T12" i="16"/>
  <c r="N18" i="16"/>
  <c r="T61" i="16"/>
  <c r="S10" i="18"/>
  <c r="O48" i="18"/>
  <c r="T8" i="15"/>
  <c r="N22" i="16"/>
  <c r="N35" i="16"/>
  <c r="O11" i="18"/>
  <c r="T52" i="15"/>
  <c r="O16" i="16"/>
  <c r="T19" i="18"/>
  <c r="W3" i="18" a="1"/>
  <c r="O21" i="16"/>
  <c r="T13" i="16"/>
  <c r="T56" i="18"/>
  <c r="T64" i="16"/>
  <c r="O18" i="18"/>
  <c r="O18" i="16"/>
  <c r="S49" i="18"/>
  <c r="O21" i="18"/>
  <c r="O54" i="18"/>
  <c r="S67" i="18"/>
  <c r="T44" i="18"/>
  <c r="S22" i="16"/>
  <c r="O35" i="16"/>
  <c r="T62" i="16"/>
  <c r="O39" i="16"/>
  <c r="O19" i="18"/>
  <c r="N7" i="16"/>
  <c r="N53" i="15"/>
  <c r="N23" i="17"/>
  <c r="N81" i="15"/>
  <c r="S46" i="18"/>
  <c r="N23" i="18"/>
  <c r="T33" i="16"/>
  <c r="T24" i="16"/>
  <c r="N49" i="15"/>
  <c r="S48" i="18"/>
  <c r="S22" i="18"/>
  <c r="O9" i="18"/>
  <c r="O8" i="15"/>
  <c r="S9" i="15"/>
  <c r="T52" i="18"/>
  <c r="O32" i="16"/>
  <c r="S27" i="18"/>
  <c r="R59" i="14"/>
  <c r="T7" i="18"/>
  <c r="T14" i="16"/>
  <c r="N36" i="17"/>
  <c r="T8" i="16"/>
  <c r="T54" i="17"/>
  <c r="O36" i="16"/>
  <c r="S52" i="15"/>
  <c r="T24" i="17"/>
  <c r="N18" i="17"/>
  <c r="O30" i="17"/>
  <c r="N10" i="16"/>
  <c r="T12" i="18"/>
  <c r="N45" i="18"/>
  <c r="T60" i="16"/>
  <c r="O9" i="17"/>
  <c r="S40" i="16"/>
  <c r="S62" i="18"/>
  <c r="O78" i="18"/>
  <c r="T20" i="16"/>
  <c r="O55" i="16"/>
  <c r="O45" i="16"/>
  <c r="T51" i="17"/>
  <c r="S76" i="15"/>
  <c r="N46" i="17"/>
  <c r="T25" i="16"/>
  <c r="O13" i="16"/>
  <c r="N50" i="16"/>
  <c r="L59" i="14"/>
  <c r="O29" i="17"/>
  <c r="O34" i="16"/>
  <c r="T41" i="17"/>
  <c r="O25" i="17"/>
  <c r="T56" i="15"/>
  <c r="O27" i="17"/>
  <c r="S55" i="18"/>
  <c r="S50" i="15"/>
  <c r="N7" i="15"/>
  <c r="S28" i="17"/>
  <c r="N12" i="16"/>
  <c r="T9" i="15"/>
  <c r="S35" i="16"/>
  <c r="O72" i="18"/>
  <c r="S36" i="16"/>
  <c r="T18" i="17"/>
  <c r="S12" i="18"/>
  <c r="S60" i="16"/>
  <c r="T62" i="18"/>
  <c r="T55" i="16"/>
  <c r="O76" i="15"/>
  <c r="O25" i="16"/>
  <c r="S7" i="17"/>
  <c r="T33" i="17"/>
  <c r="Q59" i="14"/>
  <c r="O7" i="15"/>
  <c r="O12" i="16"/>
  <c r="N20" i="18"/>
  <c r="T21" i="18"/>
  <c r="N15" i="18"/>
  <c r="N48" i="18"/>
  <c r="N8" i="15"/>
  <c r="N32" i="16"/>
  <c r="N31" i="17"/>
  <c r="N54" i="17"/>
  <c r="P54" i="17" s="1"/>
  <c r="S24" i="17"/>
  <c r="N30" i="17"/>
  <c r="S45" i="18"/>
  <c r="O40" i="16"/>
  <c r="N76" i="18"/>
  <c r="N26" i="17"/>
  <c r="O46" i="17"/>
  <c r="T50" i="16"/>
  <c r="N42" i="16"/>
  <c r="S57" i="18"/>
  <c r="O61" i="15"/>
  <c r="N11" i="18"/>
  <c r="S20" i="18"/>
  <c r="S21" i="18"/>
  <c r="N24" i="16"/>
  <c r="O22" i="18"/>
  <c r="N44" i="18"/>
  <c r="S47" i="18"/>
  <c r="T72" i="18"/>
  <c r="T36" i="16"/>
  <c r="O30" i="18"/>
  <c r="N55" i="15"/>
  <c r="O54" i="15"/>
  <c r="N62" i="18"/>
  <c r="O38" i="16"/>
  <c r="O76" i="18"/>
  <c r="T26" i="17"/>
  <c r="O58" i="15"/>
  <c r="S25" i="16"/>
  <c r="S50" i="16"/>
  <c r="O42" i="16"/>
  <c r="N57" i="18"/>
  <c r="S61" i="15"/>
  <c r="O11" i="16"/>
  <c r="S12" i="16"/>
  <c r="T20" i="18"/>
  <c r="S61" i="16"/>
  <c r="O71" i="15"/>
  <c r="T53" i="18"/>
  <c r="N4" i="17"/>
  <c r="O66" i="16"/>
  <c r="S31" i="17"/>
  <c r="N72" i="18"/>
  <c r="S19" i="16"/>
  <c r="O78" i="15"/>
  <c r="S7" i="16"/>
  <c r="T53" i="15"/>
  <c r="O23" i="17"/>
  <c r="T81" i="15"/>
  <c r="O46" i="18"/>
  <c r="T23" i="18"/>
  <c r="S33" i="16"/>
  <c r="S24" i="16"/>
  <c r="T49" i="15"/>
  <c r="T48" i="18"/>
  <c r="T22" i="18"/>
  <c r="S9" i="18"/>
  <c r="S8" i="15"/>
  <c r="S32" i="16"/>
  <c r="N27" i="18"/>
  <c r="O31" i="17"/>
  <c r="N15" i="17"/>
  <c r="T11" i="16"/>
  <c r="N52" i="15"/>
  <c r="O10" i="16"/>
  <c r="S9" i="17"/>
  <c r="O20" i="16"/>
  <c r="O51" i="17"/>
  <c r="O50" i="16"/>
  <c r="T42" i="16"/>
  <c r="T57" i="18"/>
  <c r="T50" i="15"/>
  <c r="T18" i="16"/>
  <c r="O61" i="16"/>
  <c r="T71" i="15"/>
  <c r="O49" i="15"/>
  <c r="N9" i="18"/>
  <c r="O52" i="18"/>
  <c r="T35" i="16"/>
  <c r="S72" i="18"/>
  <c r="O52" i="15"/>
  <c r="S10" i="16"/>
  <c r="O60" i="16"/>
  <c r="O62" i="18"/>
  <c r="N51" i="18"/>
  <c r="T76" i="15"/>
  <c r="N13" i="16"/>
  <c r="N56" i="18"/>
  <c r="N64" i="16"/>
  <c r="N17" i="16"/>
  <c r="N28" i="17"/>
  <c r="N49" i="18"/>
  <c r="N71" i="15"/>
  <c r="S49" i="15"/>
  <c r="T9" i="18"/>
  <c r="T66" i="16"/>
  <c r="T31" i="17"/>
  <c r="S15" i="17"/>
  <c r="O54" i="17"/>
  <c r="N24" i="17"/>
  <c r="N78" i="15"/>
  <c r="N40" i="16"/>
  <c r="T51" i="18"/>
  <c r="O37" i="16"/>
  <c r="T7" i="17"/>
  <c r="O33" i="17"/>
  <c r="S17" i="16"/>
  <c r="T28" i="17"/>
  <c r="O66" i="15"/>
  <c r="T11" i="18"/>
  <c r="N47" i="18"/>
  <c r="T15" i="17"/>
  <c r="S24" i="18"/>
  <c r="T30" i="18"/>
  <c r="S15" i="16"/>
  <c r="S8" i="18"/>
  <c r="S16" i="16"/>
  <c r="N61" i="16"/>
  <c r="N66" i="15"/>
  <c r="O4" i="17"/>
  <c r="T22" i="16"/>
  <c r="O36" i="17"/>
  <c r="N19" i="16"/>
  <c r="N16" i="16"/>
  <c r="O55" i="15"/>
  <c r="N80" i="15"/>
  <c r="S20" i="16"/>
  <c r="S26" i="17"/>
  <c r="T37" i="16"/>
  <c r="T9" i="16"/>
  <c r="S34" i="16"/>
  <c r="S64" i="16"/>
  <c r="S27" i="17"/>
  <c r="T18" i="18"/>
  <c r="P25" i="16"/>
  <c r="N30" i="18"/>
  <c r="S76" i="18"/>
  <c r="N37" i="16"/>
  <c r="S42" i="16"/>
  <c r="O17" i="16"/>
  <c r="T54" i="18"/>
  <c r="S39" i="16"/>
  <c r="T54" i="15"/>
  <c r="N55" i="16"/>
  <c r="T12" i="17"/>
  <c r="N41" i="17"/>
  <c r="O55" i="18"/>
  <c r="O20" i="18"/>
  <c r="N53" i="18"/>
  <c r="N62" i="16"/>
  <c r="S78" i="15"/>
  <c r="T78" i="18"/>
  <c r="T21" i="16"/>
  <c r="N7" i="17"/>
  <c r="O56" i="15"/>
  <c r="T74" i="18"/>
  <c r="O33" i="16"/>
  <c r="O62" i="16"/>
  <c r="O15" i="18"/>
  <c r="S50" i="18"/>
  <c r="S51" i="18"/>
  <c r="O12" i="17"/>
  <c r="S33" i="17"/>
  <c r="T51" i="15"/>
  <c r="N15" i="16"/>
  <c r="O14" i="16"/>
  <c r="M36" i="14"/>
  <c r="T38" i="16"/>
  <c r="S9" i="16"/>
  <c r="O8" i="18"/>
  <c r="O15" i="16"/>
  <c r="S14" i="16"/>
  <c r="T55" i="15"/>
  <c r="O26" i="17"/>
  <c r="O56" i="18"/>
  <c r="N18" i="18"/>
  <c r="O7" i="16"/>
  <c r="T46" i="18"/>
  <c r="T66" i="15"/>
  <c r="S4" i="17"/>
  <c r="O22" i="16"/>
  <c r="S36" i="17"/>
  <c r="O19" i="16"/>
  <c r="S30" i="18"/>
  <c r="S55" i="15"/>
  <c r="O80" i="15"/>
  <c r="T76" i="18"/>
  <c r="S11" i="18"/>
  <c r="S37" i="16"/>
  <c r="S73" i="18"/>
  <c r="N34" i="16"/>
  <c r="S25" i="17"/>
  <c r="T17" i="16"/>
  <c r="S7" i="15"/>
  <c r="S18" i="16"/>
  <c r="N21" i="18"/>
  <c r="S54" i="18"/>
  <c r="P53" i="17"/>
  <c r="T47" i="18"/>
  <c r="O8" i="16"/>
  <c r="N39" i="16"/>
  <c r="S54" i="15"/>
  <c r="S80" i="15"/>
  <c r="S21" i="16"/>
  <c r="O73" i="18"/>
  <c r="T25" i="17"/>
  <c r="O74" i="18"/>
  <c r="O53" i="15"/>
  <c r="O23" i="18"/>
  <c r="N10" i="18"/>
  <c r="O47" i="18"/>
  <c r="N8" i="16"/>
  <c r="T78" i="15"/>
  <c r="T15" i="18"/>
  <c r="N21" i="16"/>
  <c r="T73" i="18"/>
  <c r="O57" i="18"/>
  <c r="N74" i="18"/>
  <c r="S71" i="15"/>
  <c r="O44" i="18"/>
  <c r="S7" i="18"/>
  <c r="S15" i="18"/>
  <c r="N54" i="15"/>
  <c r="O51" i="18"/>
  <c r="N12" i="17"/>
  <c r="S41" i="17"/>
  <c r="N61" i="15"/>
  <c r="T23" i="17"/>
  <c r="O53" i="18"/>
  <c r="N7" i="18"/>
  <c r="S19" i="18"/>
  <c r="S78" i="18"/>
  <c r="N58" i="15"/>
  <c r="T29" i="17"/>
  <c r="N56" i="15"/>
  <c r="T49" i="18"/>
  <c r="T67" i="18"/>
  <c r="O24" i="18"/>
  <c r="N50" i="18"/>
  <c r="S58" i="15"/>
  <c r="P22" i="16"/>
  <c r="N51" i="15"/>
  <c r="S81" i="15"/>
  <c r="N66" i="16"/>
  <c r="N24" i="18"/>
  <c r="T50" i="18"/>
  <c r="T58" i="15"/>
  <c r="S11" i="16"/>
  <c r="S51" i="15"/>
  <c r="S44" i="18"/>
  <c r="T61" i="15"/>
  <c r="S66" i="16"/>
  <c r="N19" i="18"/>
  <c r="T45" i="16"/>
  <c r="N29" i="17"/>
  <c r="O50" i="15"/>
  <c r="N67" i="18"/>
  <c r="T16" i="16"/>
  <c r="P80" i="15"/>
  <c r="O9" i="16"/>
  <c r="T27" i="17"/>
  <c r="W40" i="18" l="1"/>
  <c r="W3" i="18"/>
  <c r="W16" i="18"/>
  <c r="W39" i="18"/>
  <c r="W9" i="18"/>
  <c r="W71" i="18"/>
  <c r="W6" i="18"/>
  <c r="W13" i="18"/>
  <c r="W67" i="18"/>
  <c r="W59" i="18"/>
  <c r="W12" i="18"/>
  <c r="W50" i="18"/>
  <c r="W49" i="18"/>
  <c r="W60" i="18"/>
  <c r="W5" i="18"/>
  <c r="W15" i="18"/>
  <c r="W30" i="18"/>
  <c r="W7" i="18"/>
  <c r="W78" i="18"/>
  <c r="W66" i="18"/>
  <c r="W11" i="18"/>
  <c r="W10" i="18"/>
  <c r="W75" i="18"/>
  <c r="W69" i="18"/>
  <c r="W43" i="18"/>
  <c r="W19" i="18"/>
  <c r="W63" i="18"/>
  <c r="W77" i="18"/>
  <c r="W46" i="18"/>
  <c r="W42" i="18"/>
  <c r="W70" i="18"/>
  <c r="W62" i="18"/>
  <c r="W48" i="18"/>
  <c r="W21" i="18"/>
  <c r="W51" i="18"/>
  <c r="W22" i="18"/>
  <c r="W73" i="18"/>
  <c r="W36" i="18"/>
  <c r="W28" i="18"/>
  <c r="W65" i="18"/>
  <c r="W72" i="18"/>
  <c r="W8" i="18"/>
  <c r="W58" i="18"/>
  <c r="W24" i="18"/>
  <c r="W56" i="18"/>
  <c r="W45" i="18"/>
  <c r="W14" i="18"/>
  <c r="W17" i="18"/>
  <c r="W47" i="18"/>
  <c r="W44" i="18"/>
  <c r="W34" i="18"/>
  <c r="W29" i="18"/>
  <c r="W18" i="18"/>
  <c r="W76" i="18"/>
  <c r="W33" i="18"/>
  <c r="W37" i="18"/>
  <c r="W27" i="18"/>
  <c r="W23" i="18"/>
  <c r="W26" i="18"/>
  <c r="W31" i="18"/>
  <c r="W74" i="18"/>
  <c r="W61" i="18"/>
  <c r="W35" i="18"/>
  <c r="W52" i="18"/>
  <c r="W4" i="18"/>
  <c r="W38" i="18"/>
  <c r="W57" i="18"/>
  <c r="W25" i="18"/>
  <c r="W68" i="18"/>
  <c r="W53" i="18"/>
  <c r="W32" i="18"/>
  <c r="W41" i="18"/>
  <c r="W54" i="18"/>
  <c r="W20" i="18"/>
  <c r="W55" i="18"/>
  <c r="W64" i="18"/>
  <c r="P19" i="16"/>
  <c r="AA40" i="18"/>
  <c r="M5" i="14"/>
  <c r="H22" i="14"/>
  <c r="Y51" i="18"/>
  <c r="Y78" i="18"/>
  <c r="Z58" i="18"/>
  <c r="AA46" i="18"/>
  <c r="Y12" i="18"/>
  <c r="AA65" i="18"/>
  <c r="X38" i="18"/>
  <c r="Z70" i="18"/>
  <c r="Y73" i="18"/>
  <c r="AA63" i="18"/>
  <c r="R53" i="14"/>
  <c r="AB66" i="18"/>
  <c r="L52" i="14"/>
  <c r="Q26" i="14"/>
  <c r="AB44" i="18"/>
  <c r="AA64" i="18"/>
  <c r="AB38" i="18"/>
  <c r="X74" i="18"/>
  <c r="AB39" i="18"/>
  <c r="AB27" i="18"/>
  <c r="AA58" i="18"/>
  <c r="X36" i="18"/>
  <c r="Z13" i="18"/>
  <c r="Y58" i="18"/>
  <c r="AB48" i="18"/>
  <c r="L29" i="14"/>
  <c r="AA55" i="18"/>
  <c r="AB19" i="18"/>
  <c r="X39" i="18"/>
  <c r="AB28" i="18"/>
  <c r="AA20" i="18"/>
  <c r="X59" i="18"/>
  <c r="P78" i="15"/>
  <c r="AB65" i="18"/>
  <c r="Z62" i="18"/>
  <c r="AB60" i="18"/>
  <c r="M50" i="14"/>
  <c r="I4" i="1"/>
  <c r="M55" i="14"/>
  <c r="T82" i="15"/>
  <c r="Z25" i="18"/>
  <c r="M45" i="14"/>
  <c r="X31" i="18"/>
  <c r="X17" i="18"/>
  <c r="AB55" i="18"/>
  <c r="X67" i="18"/>
  <c r="Y35" i="18"/>
  <c r="AB31" i="18"/>
  <c r="Y40" i="18"/>
  <c r="AB70" i="18"/>
  <c r="AB7" i="18"/>
  <c r="X11" i="18"/>
  <c r="AB49" i="18"/>
  <c r="L47" i="14"/>
  <c r="AB51" i="18"/>
  <c r="Y14" i="18"/>
  <c r="AB20" i="18"/>
  <c r="D46" i="1"/>
  <c r="R48" i="14"/>
  <c r="L4" i="14"/>
  <c r="AA50" i="18"/>
  <c r="H10" i="14"/>
  <c r="Z28" i="18"/>
  <c r="L51" i="14"/>
  <c r="X5" i="18"/>
  <c r="AB68" i="18"/>
  <c r="AA42" i="18"/>
  <c r="Y77" i="18"/>
  <c r="X45" i="18"/>
  <c r="X56" i="18"/>
  <c r="AB42" i="18"/>
  <c r="Y9" i="18"/>
  <c r="AA69" i="18"/>
  <c r="X71" i="18"/>
  <c r="X54" i="18"/>
  <c r="Y44" i="18"/>
  <c r="AA38" i="18"/>
  <c r="AA66" i="18"/>
  <c r="Z50" i="18"/>
  <c r="H21" i="14"/>
  <c r="AA71" i="18"/>
  <c r="Z48" i="18"/>
  <c r="AB59" i="18"/>
  <c r="Z60" i="18"/>
  <c r="AB69" i="18"/>
  <c r="X77" i="18"/>
  <c r="Y42" i="18"/>
  <c r="X7" i="18"/>
  <c r="M40" i="14"/>
  <c r="P18" i="17"/>
  <c r="W3" i="17" s="1" a="1"/>
  <c r="Z54" i="18"/>
  <c r="AA15" i="18"/>
  <c r="Z65" i="18"/>
  <c r="AA73" i="18"/>
  <c r="AB18" i="18"/>
  <c r="X72" i="18"/>
  <c r="Z37" i="18"/>
  <c r="X41" i="18"/>
  <c r="Z64" i="18"/>
  <c r="Z35" i="18"/>
  <c r="Z9" i="18"/>
  <c r="Y34" i="18"/>
  <c r="Y67" i="18"/>
  <c r="Y31" i="18"/>
  <c r="R57" i="14"/>
  <c r="Z26" i="18"/>
  <c r="AB64" i="18"/>
  <c r="Y19" i="18"/>
  <c r="X73" i="18"/>
  <c r="AA47" i="18"/>
  <c r="X48" i="18"/>
  <c r="AB17" i="18"/>
  <c r="Z42" i="18"/>
  <c r="L48" i="14"/>
  <c r="AA17" i="18"/>
  <c r="Z76" i="18"/>
  <c r="AA31" i="18"/>
  <c r="N82" i="15"/>
  <c r="Z72" i="18"/>
  <c r="Q29" i="14"/>
  <c r="AA6" i="18"/>
  <c r="Q32" i="14"/>
  <c r="Z19" i="18"/>
  <c r="AB54" i="18"/>
  <c r="AA35" i="18"/>
  <c r="AA10" i="18"/>
  <c r="AA76" i="18"/>
  <c r="Y50" i="18"/>
  <c r="Y6" i="18"/>
  <c r="Y68" i="18"/>
  <c r="Z6" i="18"/>
  <c r="R32" i="14"/>
  <c r="AA45" i="18"/>
  <c r="AB53" i="18"/>
  <c r="H19" i="14"/>
  <c r="AA32" i="18"/>
  <c r="AA49" i="18"/>
  <c r="AB40" i="18"/>
  <c r="X9" i="18"/>
  <c r="AA43" i="18"/>
  <c r="H11" i="14"/>
  <c r="AA27" i="18"/>
  <c r="Z15" i="18"/>
  <c r="AB15" i="18"/>
  <c r="Y20" i="18"/>
  <c r="Y63" i="18"/>
  <c r="H17" i="14"/>
  <c r="AA67" i="18"/>
  <c r="Z14" i="18"/>
  <c r="Z12" i="18"/>
  <c r="AA75" i="18"/>
  <c r="P20" i="16"/>
  <c r="AB72" i="18"/>
  <c r="Y43" i="18"/>
  <c r="X76" i="18"/>
  <c r="X3" i="18"/>
  <c r="Y56" i="18"/>
  <c r="M32" i="14"/>
  <c r="AA72" i="18"/>
  <c r="L26" i="14"/>
  <c r="Q51" i="14"/>
  <c r="X69" i="18"/>
  <c r="Z68" i="18"/>
  <c r="Y52" i="18"/>
  <c r="S82" i="15"/>
  <c r="Z53" i="18"/>
  <c r="Y41" i="18"/>
  <c r="Y38" i="18"/>
  <c r="X15" i="18"/>
  <c r="W3" i="16" a="1"/>
  <c r="AB13" i="18"/>
  <c r="Q48" i="14"/>
  <c r="AB26" i="18"/>
  <c r="Y13" i="18"/>
  <c r="AA12" i="18"/>
  <c r="M48" i="14"/>
  <c r="X68" i="18"/>
  <c r="X47" i="18"/>
  <c r="AB30" i="18"/>
  <c r="Y3" i="18"/>
  <c r="Y18" i="18"/>
  <c r="X32" i="18"/>
  <c r="AA37" i="18"/>
  <c r="X16" i="18"/>
  <c r="Z75" i="18"/>
  <c r="Z7" i="18"/>
  <c r="AA28" i="18"/>
  <c r="H8" i="14"/>
  <c r="M29" i="14"/>
  <c r="R3" i="14"/>
  <c r="AA23" i="18"/>
  <c r="M23" i="14"/>
  <c r="AA52" i="18"/>
  <c r="Y7" i="18"/>
  <c r="X64" i="18"/>
  <c r="Y32" i="18"/>
  <c r="AA19" i="18"/>
  <c r="Z18" i="18"/>
  <c r="Q49" i="14"/>
  <c r="AB21" i="18"/>
  <c r="R23" i="14"/>
  <c r="X14" i="18"/>
  <c r="AA33" i="18"/>
  <c r="X40" i="18"/>
  <c r="Y65" i="18"/>
  <c r="AB16" i="18"/>
  <c r="R50" i="14"/>
  <c r="Y36" i="18"/>
  <c r="Y45" i="18"/>
  <c r="AA51" i="18"/>
  <c r="X62" i="18"/>
  <c r="Z45" i="18"/>
  <c r="L23" i="14"/>
  <c r="AA44" i="18"/>
  <c r="AA3" i="18"/>
  <c r="Y55" i="18"/>
  <c r="M51" i="14"/>
  <c r="Z21" i="18"/>
  <c r="Q57" i="14"/>
  <c r="AB45" i="18"/>
  <c r="Q23" i="14"/>
  <c r="Y15" i="18"/>
  <c r="Y71" i="18"/>
  <c r="H18" i="14"/>
  <c r="H20" i="14"/>
  <c r="AA22" i="18"/>
  <c r="Z69" i="18"/>
  <c r="X10" i="18"/>
  <c r="L57" i="14"/>
  <c r="L3" i="14"/>
  <c r="Q5" i="14"/>
  <c r="M26" i="14"/>
  <c r="Q55" i="14"/>
  <c r="Y23" i="18"/>
  <c r="M53" i="14"/>
  <c r="L49" i="14"/>
  <c r="Y27" i="18"/>
  <c r="Z36" i="18"/>
  <c r="Z16" i="18"/>
  <c r="AA7" i="18"/>
  <c r="L40" i="14"/>
  <c r="Z34" i="18"/>
  <c r="Y59" i="18"/>
  <c r="M3" i="14"/>
  <c r="AB46" i="18"/>
  <c r="AB67" i="18"/>
  <c r="Z46" i="18"/>
  <c r="X61" i="18"/>
  <c r="AB73" i="18"/>
  <c r="AB74" i="18"/>
  <c r="AA74" i="18"/>
  <c r="Y22" i="18"/>
  <c r="Q45" i="14"/>
  <c r="AA39" i="18"/>
  <c r="Y33" i="18"/>
  <c r="Z67" i="18"/>
  <c r="Y28" i="18"/>
  <c r="AA78" i="18"/>
  <c r="AB10" i="18"/>
  <c r="Z41" i="18"/>
  <c r="H14" i="14"/>
  <c r="Y21" i="18"/>
  <c r="AB76" i="18"/>
  <c r="Z61" i="18"/>
  <c r="X12" i="18"/>
  <c r="AA5" i="18"/>
  <c r="Y47" i="18"/>
  <c r="X4" i="18"/>
  <c r="X60" i="18"/>
  <c r="Y49" i="18"/>
  <c r="X8" i="18"/>
  <c r="X37" i="18"/>
  <c r="L36" i="14"/>
  <c r="X28" i="18"/>
  <c r="Y48" i="18"/>
  <c r="Y30" i="18"/>
  <c r="Z29" i="18"/>
  <c r="AB5" i="18"/>
  <c r="L55" i="14"/>
  <c r="Z8" i="18"/>
  <c r="X70" i="18"/>
  <c r="R4" i="14"/>
  <c r="M4" i="14"/>
  <c r="AA8" i="18"/>
  <c r="AB8" i="18"/>
  <c r="AA77" i="18"/>
  <c r="AB24" i="18"/>
  <c r="Y54" i="18"/>
  <c r="AB56" i="18"/>
  <c r="AA30" i="18"/>
  <c r="X26" i="18"/>
  <c r="X52" i="18"/>
  <c r="X58" i="18"/>
  <c r="X13" i="18"/>
  <c r="Z74" i="18"/>
  <c r="Q44" i="14"/>
  <c r="L46" i="14"/>
  <c r="Z27" i="18"/>
  <c r="Z20" i="18"/>
  <c r="AB61" i="18"/>
  <c r="Q46" i="14"/>
  <c r="AB78" i="18"/>
  <c r="Y10" i="18"/>
  <c r="L45" i="14"/>
  <c r="AB57" i="18"/>
  <c r="R49" i="14"/>
  <c r="Z44" i="18"/>
  <c r="Z38" i="18"/>
  <c r="Q40" i="14"/>
  <c r="Z39" i="18"/>
  <c r="AB36" i="18"/>
  <c r="Y57" i="18"/>
  <c r="AB25" i="18"/>
  <c r="AA54" i="18"/>
  <c r="Z51" i="18"/>
  <c r="Z11" i="18"/>
  <c r="H12" i="14"/>
  <c r="Q53" i="14"/>
  <c r="Y75" i="18"/>
  <c r="AB4" i="18"/>
  <c r="H15" i="14"/>
  <c r="X23" i="18"/>
  <c r="AB11" i="18"/>
  <c r="X49" i="18"/>
  <c r="X63" i="18"/>
  <c r="AB50" i="18"/>
  <c r="M52" i="14"/>
  <c r="Z71" i="18"/>
  <c r="AA26" i="18"/>
  <c r="AA48" i="18"/>
  <c r="Y76" i="18"/>
  <c r="Z66" i="18"/>
  <c r="X24" i="18"/>
  <c r="AA68" i="18"/>
  <c r="R51" i="14"/>
  <c r="X78" i="18"/>
  <c r="Y8" i="18"/>
  <c r="X42" i="18"/>
  <c r="Y26" i="18"/>
  <c r="X65" i="18"/>
  <c r="M49" i="14"/>
  <c r="Y5" i="18"/>
  <c r="AB33" i="18"/>
  <c r="R55" i="14"/>
  <c r="AA34" i="18"/>
  <c r="AB29" i="18"/>
  <c r="Y62" i="18"/>
  <c r="AA16" i="18"/>
  <c r="L50" i="14"/>
  <c r="X27" i="18"/>
  <c r="X18" i="18"/>
  <c r="Y37" i="18"/>
  <c r="Q4" i="14"/>
  <c r="X29" i="18"/>
  <c r="R52" i="14"/>
  <c r="AB35" i="18"/>
  <c r="AB9" i="18"/>
  <c r="Z49" i="18"/>
  <c r="Z40" i="18"/>
  <c r="Y69" i="18"/>
  <c r="Z56" i="18"/>
  <c r="Z52" i="18"/>
  <c r="AA60" i="18"/>
  <c r="Q50" i="14"/>
  <c r="AB75" i="18"/>
  <c r="Z4" i="18"/>
  <c r="H13" i="14"/>
  <c r="AA9" i="18"/>
  <c r="R46" i="14"/>
  <c r="M47" i="14"/>
  <c r="X43" i="18"/>
  <c r="AB22" i="18"/>
  <c r="Y61" i="18"/>
  <c r="Q47" i="14"/>
  <c r="AA70" i="18"/>
  <c r="Y60" i="18"/>
  <c r="X25" i="18"/>
  <c r="AB47" i="18"/>
  <c r="Z33" i="18"/>
  <c r="C26" i="15"/>
  <c r="Z32" i="18"/>
  <c r="AA61" i="18"/>
  <c r="X51" i="18"/>
  <c r="AA29" i="18"/>
  <c r="AA53" i="18"/>
  <c r="M57" i="14"/>
  <c r="L5" i="14"/>
  <c r="AA11" i="18"/>
  <c r="Z31" i="18"/>
  <c r="R26" i="14"/>
  <c r="Z10" i="18"/>
  <c r="X22" i="18"/>
  <c r="Y17" i="18"/>
  <c r="X21" i="18"/>
  <c r="X19" i="18"/>
  <c r="Z24" i="18"/>
  <c r="X57" i="18"/>
  <c r="Y16" i="18"/>
  <c r="X33" i="18"/>
  <c r="AA25" i="18"/>
  <c r="AA18" i="18"/>
  <c r="R36" i="14"/>
  <c r="AB63" i="18"/>
  <c r="Z78" i="18"/>
  <c r="Z23" i="18"/>
  <c r="AB12" i="18"/>
  <c r="Z43" i="18"/>
  <c r="AB3" i="18"/>
  <c r="AA56" i="18"/>
  <c r="Y70" i="18"/>
  <c r="Z63" i="18"/>
  <c r="AB32" i="18"/>
  <c r="X6" i="18"/>
  <c r="Q36" i="14"/>
  <c r="X55" i="18"/>
  <c r="AB37" i="18"/>
  <c r="Y24" i="18"/>
  <c r="R45" i="14"/>
  <c r="Y64" i="18"/>
  <c r="L32" i="14"/>
  <c r="Y72" i="18"/>
  <c r="Y11" i="18"/>
  <c r="Z55" i="18"/>
  <c r="Z57" i="18"/>
  <c r="Z59" i="18"/>
  <c r="Z17" i="18"/>
  <c r="X53" i="18"/>
  <c r="AA41" i="18"/>
  <c r="Y39" i="18"/>
  <c r="AB52" i="18"/>
  <c r="AA36" i="18"/>
  <c r="X20" i="18"/>
  <c r="L44" i="14"/>
  <c r="AA13" i="18"/>
  <c r="X44" i="18"/>
  <c r="AB34" i="18"/>
  <c r="R44" i="14"/>
  <c r="Y25" i="18"/>
  <c r="AA14" i="18"/>
  <c r="Y4" i="18"/>
  <c r="AA59" i="18"/>
  <c r="Y29" i="18"/>
  <c r="AB14" i="18"/>
  <c r="AA24" i="18"/>
  <c r="R47" i="14"/>
  <c r="AB43" i="18"/>
  <c r="R29" i="14"/>
  <c r="AB41" i="18"/>
  <c r="Z47" i="18"/>
  <c r="O82" i="15"/>
  <c r="AB6" i="18"/>
  <c r="Z5" i="18"/>
  <c r="Y46" i="18"/>
  <c r="AA4" i="18"/>
  <c r="X30" i="18"/>
  <c r="X35" i="18"/>
  <c r="R40" i="14"/>
  <c r="L53" i="14"/>
  <c r="M46" i="14"/>
  <c r="AB62" i="18"/>
  <c r="Z30" i="18"/>
  <c r="X34" i="18"/>
  <c r="Q3" i="14"/>
  <c r="Y66" i="18"/>
  <c r="R5" i="14"/>
  <c r="AB77" i="18"/>
  <c r="M44" i="14"/>
  <c r="Z3" i="18"/>
  <c r="Z22" i="18"/>
  <c r="AA57" i="18"/>
  <c r="Q52" i="14"/>
  <c r="AB71" i="18"/>
  <c r="AA21" i="18"/>
  <c r="AB23" i="18"/>
  <c r="X75" i="18"/>
  <c r="Z77" i="18"/>
  <c r="X46" i="18"/>
  <c r="H16" i="14"/>
  <c r="Y74" i="18"/>
  <c r="X66" i="18"/>
  <c r="Y53" i="18"/>
  <c r="Z73" i="18"/>
  <c r="X50" i="18"/>
  <c r="AA62" i="18"/>
  <c r="AB58" i="18"/>
  <c r="H9" i="14"/>
  <c r="W17" i="16" l="1"/>
  <c r="W47" i="16"/>
  <c r="W50" i="16"/>
  <c r="W26" i="16"/>
  <c r="W44" i="16"/>
  <c r="W60" i="16"/>
  <c r="W31" i="16"/>
  <c r="W8" i="16"/>
  <c r="W25" i="16"/>
  <c r="W4" i="16"/>
  <c r="W16" i="16"/>
  <c r="W34" i="16"/>
  <c r="W21" i="16"/>
  <c r="W52" i="16"/>
  <c r="W13" i="16"/>
  <c r="W41" i="16"/>
  <c r="W33" i="16"/>
  <c r="W48" i="16"/>
  <c r="W32" i="16"/>
  <c r="W51" i="16"/>
  <c r="W5" i="16"/>
  <c r="W19" i="16"/>
  <c r="W20" i="16"/>
  <c r="W38" i="16"/>
  <c r="W39" i="16"/>
  <c r="W62" i="16"/>
  <c r="W55" i="16"/>
  <c r="W57" i="16"/>
  <c r="W28" i="16"/>
  <c r="W59" i="16"/>
  <c r="W42" i="16"/>
  <c r="W37" i="16"/>
  <c r="W56" i="16"/>
  <c r="W12" i="16"/>
  <c r="W14" i="16"/>
  <c r="W66" i="16"/>
  <c r="W15" i="16"/>
  <c r="W11" i="16"/>
  <c r="W36" i="16"/>
  <c r="W63" i="16"/>
  <c r="W65" i="16"/>
  <c r="W53" i="16"/>
  <c r="W30" i="16"/>
  <c r="W10" i="16"/>
  <c r="W43" i="16"/>
  <c r="W29" i="16"/>
  <c r="W22" i="16"/>
  <c r="W23" i="16"/>
  <c r="W9" i="16"/>
  <c r="W3" i="16"/>
  <c r="W54" i="16"/>
  <c r="W18" i="16"/>
  <c r="W24" i="16"/>
  <c r="W35" i="16"/>
  <c r="W7" i="16"/>
  <c r="W49" i="16"/>
  <c r="W40" i="16"/>
  <c r="W61" i="16"/>
  <c r="W27" i="16"/>
  <c r="W64" i="16"/>
  <c r="W6" i="16"/>
  <c r="W58" i="16"/>
  <c r="W45" i="16"/>
  <c r="W46" i="16"/>
  <c r="K9" i="14"/>
  <c r="V73" i="18"/>
  <c r="K14" i="14"/>
  <c r="V70" i="18"/>
  <c r="K17" i="14"/>
  <c r="V23" i="18"/>
  <c r="V40" i="18"/>
  <c r="K20" i="14"/>
  <c r="V29" i="18"/>
  <c r="V21" i="18"/>
  <c r="V44" i="18"/>
  <c r="V51" i="18"/>
  <c r="V50" i="18"/>
  <c r="V58" i="18"/>
  <c r="V10" i="18"/>
  <c r="V54" i="18"/>
  <c r="V68" i="18"/>
  <c r="V3" i="18"/>
  <c r="V31" i="18"/>
  <c r="V8" i="18"/>
  <c r="V61" i="18"/>
  <c r="V7" i="18"/>
  <c r="V57" i="18"/>
  <c r="V62" i="18"/>
  <c r="K6" i="14"/>
  <c r="V18" i="18"/>
  <c r="V28" i="18"/>
  <c r="V17" i="18"/>
  <c r="V60" i="18"/>
  <c r="V9" i="18"/>
  <c r="V77" i="18"/>
  <c r="V78" i="18"/>
  <c r="V13" i="18"/>
  <c r="V65" i="18"/>
  <c r="V16" i="18"/>
  <c r="K15" i="14"/>
  <c r="K11" i="14"/>
  <c r="V74" i="18"/>
  <c r="V76" i="18"/>
  <c r="V63" i="18"/>
  <c r="K13" i="14"/>
  <c r="V49" i="18"/>
  <c r="K7" i="14"/>
  <c r="V20" i="18"/>
  <c r="V38" i="18"/>
  <c r="V24" i="18"/>
  <c r="V66" i="18"/>
  <c r="V64" i="18"/>
  <c r="V69" i="18"/>
  <c r="V59" i="18"/>
  <c r="W18" i="17"/>
  <c r="W44" i="17"/>
  <c r="W15" i="17"/>
  <c r="W49" i="17"/>
  <c r="W21" i="17"/>
  <c r="W17" i="17"/>
  <c r="W26" i="17"/>
  <c r="W35" i="17"/>
  <c r="W6" i="17"/>
  <c r="W32" i="17"/>
  <c r="W12" i="17"/>
  <c r="W47" i="17"/>
  <c r="W51" i="17"/>
  <c r="W33" i="17"/>
  <c r="W52" i="17"/>
  <c r="W23" i="17"/>
  <c r="W3" i="17"/>
  <c r="W38" i="17"/>
  <c r="W46" i="17"/>
  <c r="W9" i="17"/>
  <c r="W34" i="17"/>
  <c r="W55" i="17"/>
  <c r="W14" i="17"/>
  <c r="W40" i="17"/>
  <c r="W29" i="17"/>
  <c r="W37" i="17"/>
  <c r="W43" i="17"/>
  <c r="W8" i="17"/>
  <c r="W22" i="17"/>
  <c r="W16" i="17"/>
  <c r="W31" i="17"/>
  <c r="W20" i="17"/>
  <c r="W28" i="17"/>
  <c r="W54" i="17"/>
  <c r="W39" i="17"/>
  <c r="W5" i="17"/>
  <c r="W30" i="17"/>
  <c r="W25" i="17"/>
  <c r="W27" i="17"/>
  <c r="W53" i="17"/>
  <c r="W24" i="17"/>
  <c r="W50" i="17"/>
  <c r="W48" i="17"/>
  <c r="W4" i="17"/>
  <c r="W11" i="17"/>
  <c r="W13" i="17"/>
  <c r="W41" i="17"/>
  <c r="W10" i="17"/>
  <c r="W7" i="17"/>
  <c r="W19" i="17"/>
  <c r="W36" i="17"/>
  <c r="W45" i="17"/>
  <c r="W42" i="17"/>
  <c r="V53" i="18"/>
  <c r="V34" i="18"/>
  <c r="V72" i="18"/>
  <c r="K18" i="14"/>
  <c r="V19" i="18"/>
  <c r="V43" i="18"/>
  <c r="K19" i="14"/>
  <c r="V26" i="18"/>
  <c r="V35" i="18"/>
  <c r="V39" i="18"/>
  <c r="V37" i="18"/>
  <c r="V14" i="18"/>
  <c r="V75" i="18"/>
  <c r="V71" i="18"/>
  <c r="V33" i="18"/>
  <c r="V4" i="18"/>
  <c r="V6" i="18"/>
  <c r="V30" i="18"/>
  <c r="V56" i="18"/>
  <c r="H26" i="15"/>
  <c r="I26" i="15"/>
  <c r="V15" i="18"/>
  <c r="V55" i="18"/>
  <c r="V52" i="18"/>
  <c r="V36" i="18"/>
  <c r="V22" i="18"/>
  <c r="V27" i="18"/>
  <c r="V48" i="18"/>
  <c r="V5" i="18"/>
  <c r="K8" i="14"/>
  <c r="V41" i="18"/>
  <c r="K12" i="14"/>
  <c r="V32" i="18"/>
  <c r="V47" i="18"/>
  <c r="V45" i="18"/>
  <c r="V42" i="18"/>
  <c r="V25" i="18"/>
  <c r="V67" i="18"/>
  <c r="K10" i="14"/>
  <c r="V12" i="18"/>
  <c r="V46" i="18"/>
  <c r="K16" i="14"/>
  <c r="V11" i="18"/>
  <c r="Y51" i="17"/>
  <c r="Y37" i="17"/>
  <c r="AB4" i="17"/>
  <c r="R17" i="14"/>
  <c r="Y22" i="16"/>
  <c r="X48" i="16"/>
  <c r="AB51" i="16"/>
  <c r="Z7" i="17"/>
  <c r="Y39" i="17"/>
  <c r="AA24" i="17"/>
  <c r="Z37" i="17"/>
  <c r="AA3" i="16"/>
  <c r="Y9" i="17"/>
  <c r="AB43" i="16"/>
  <c r="M18" i="14"/>
  <c r="X45" i="16"/>
  <c r="X41" i="16"/>
  <c r="AA55" i="16"/>
  <c r="X34" i="16"/>
  <c r="X55" i="16"/>
  <c r="Z22" i="16"/>
  <c r="Z52" i="16"/>
  <c r="Z49" i="17"/>
  <c r="AA38" i="16"/>
  <c r="AB42" i="16"/>
  <c r="AA35" i="16"/>
  <c r="Z26" i="16"/>
  <c r="X13" i="16"/>
  <c r="X34" i="17"/>
  <c r="Y41" i="17"/>
  <c r="Y19" i="16"/>
  <c r="AB17" i="16"/>
  <c r="AB6" i="16"/>
  <c r="X30" i="17"/>
  <c r="X40" i="16"/>
  <c r="X15" i="17"/>
  <c r="AB46" i="17"/>
  <c r="Z39" i="16"/>
  <c r="Y44" i="16"/>
  <c r="Z45" i="17"/>
  <c r="X27" i="16"/>
  <c r="AA45" i="17"/>
  <c r="X62" i="16"/>
  <c r="AA18" i="17"/>
  <c r="X3" i="16"/>
  <c r="Q15" i="14"/>
  <c r="X49" i="16"/>
  <c r="AA4" i="17"/>
  <c r="R11" i="14"/>
  <c r="Y10" i="16"/>
  <c r="AB15" i="16"/>
  <c r="Z31" i="16"/>
  <c r="AA17" i="17"/>
  <c r="Z21" i="17"/>
  <c r="M8" i="14"/>
  <c r="AA37" i="16"/>
  <c r="X26" i="17"/>
  <c r="AA36" i="16"/>
  <c r="Z52" i="17"/>
  <c r="Z3" i="17"/>
  <c r="Y29" i="17"/>
  <c r="Z40" i="16"/>
  <c r="AA10" i="16"/>
  <c r="AB51" i="17"/>
  <c r="Z47" i="16"/>
  <c r="M17" i="14"/>
  <c r="X18" i="17"/>
  <c r="AB19" i="16"/>
  <c r="Y19" i="17"/>
  <c r="Z9" i="16"/>
  <c r="X36" i="17"/>
  <c r="AA27" i="16"/>
  <c r="X42" i="16"/>
  <c r="Z19" i="17"/>
  <c r="AB13" i="17"/>
  <c r="X8" i="17"/>
  <c r="Z16" i="16"/>
  <c r="M6" i="14"/>
  <c r="Q20" i="14"/>
  <c r="Y24" i="17"/>
  <c r="Z45" i="16"/>
  <c r="X56" i="16"/>
  <c r="Z22" i="17"/>
  <c r="AB20" i="16"/>
  <c r="R19" i="14"/>
  <c r="X22" i="16"/>
  <c r="AA25" i="16"/>
  <c r="AB25" i="16"/>
  <c r="X7" i="17"/>
  <c r="AB14" i="16"/>
  <c r="Z55" i="17"/>
  <c r="M11" i="14"/>
  <c r="X4" i="17"/>
  <c r="AB35" i="17"/>
  <c r="M7" i="14"/>
  <c r="AA62" i="16"/>
  <c r="X21" i="16"/>
  <c r="AA44" i="17"/>
  <c r="AA65" i="16"/>
  <c r="Y13" i="17"/>
  <c r="Z32" i="17"/>
  <c r="AA13" i="17"/>
  <c r="X35" i="16"/>
  <c r="Z30" i="17"/>
  <c r="AA47" i="16"/>
  <c r="Z39" i="17"/>
  <c r="Z6" i="16"/>
  <c r="Y18" i="17"/>
  <c r="X33" i="16"/>
  <c r="AB20" i="17"/>
  <c r="AB54" i="16"/>
  <c r="Z37" i="16"/>
  <c r="X5" i="16"/>
  <c r="Z44" i="17"/>
  <c r="Z30" i="16"/>
  <c r="X48" i="17"/>
  <c r="AA43" i="16"/>
  <c r="Z49" i="16"/>
  <c r="L8" i="14"/>
  <c r="Q8" i="14"/>
  <c r="X11" i="17"/>
  <c r="Z4" i="16"/>
  <c r="Z34" i="16"/>
  <c r="Z32" i="16"/>
  <c r="Z7" i="16"/>
  <c r="Y65" i="16"/>
  <c r="AA38" i="17"/>
  <c r="R15" i="14"/>
  <c r="Y33" i="16"/>
  <c r="X22" i="17"/>
  <c r="M19" i="14"/>
  <c r="AB9" i="17"/>
  <c r="Q19" i="14"/>
  <c r="X32" i="16"/>
  <c r="AA23" i="16"/>
  <c r="Z46" i="16"/>
  <c r="Z31" i="17"/>
  <c r="AA42" i="17"/>
  <c r="AB36" i="16"/>
  <c r="Y52" i="17"/>
  <c r="AA40" i="16"/>
  <c r="Z38" i="16"/>
  <c r="AA49" i="17"/>
  <c r="AB33" i="17"/>
  <c r="Z12" i="16"/>
  <c r="X52" i="16"/>
  <c r="L6" i="14"/>
  <c r="AA6" i="16"/>
  <c r="Y8" i="17"/>
  <c r="Y40" i="16"/>
  <c r="AA12" i="16"/>
  <c r="Z23" i="17"/>
  <c r="AA23" i="17"/>
  <c r="L13" i="14"/>
  <c r="L9" i="14"/>
  <c r="AA17" i="16"/>
  <c r="Z63" i="16"/>
  <c r="Y17" i="16"/>
  <c r="Y31" i="16"/>
  <c r="AB30" i="16"/>
  <c r="Z5" i="17"/>
  <c r="Y48" i="16"/>
  <c r="L12" i="14"/>
  <c r="AA22" i="17"/>
  <c r="AB16" i="17"/>
  <c r="R10" i="14"/>
  <c r="X59" i="16"/>
  <c r="Z16" i="17"/>
  <c r="Y55" i="16"/>
  <c r="AA43" i="17"/>
  <c r="AB3" i="17"/>
  <c r="AA47" i="17"/>
  <c r="AA26" i="17"/>
  <c r="Z18" i="16"/>
  <c r="AB19" i="17"/>
  <c r="Z33" i="17"/>
  <c r="AB31" i="17"/>
  <c r="Z21" i="16"/>
  <c r="AB29" i="17"/>
  <c r="AA22" i="16"/>
  <c r="Y11" i="16"/>
  <c r="AB12" i="17"/>
  <c r="AA30" i="17"/>
  <c r="Y33" i="17"/>
  <c r="Y47" i="17"/>
  <c r="X38" i="17"/>
  <c r="Y23" i="17"/>
  <c r="AB34" i="16"/>
  <c r="Y38" i="17"/>
  <c r="Y26" i="17"/>
  <c r="X41" i="17"/>
  <c r="AA15" i="16"/>
  <c r="AA12" i="17"/>
  <c r="Z13" i="16"/>
  <c r="Q10" i="14"/>
  <c r="Z61" i="16"/>
  <c r="Y42" i="16"/>
  <c r="X25" i="17"/>
  <c r="Z53" i="17"/>
  <c r="Y7" i="17"/>
  <c r="AB27" i="17"/>
  <c r="AA14" i="17"/>
  <c r="AC2" i="18" a="1"/>
  <c r="AA44" i="16"/>
  <c r="R8" i="14"/>
  <c r="Y20" i="17"/>
  <c r="Y13" i="16"/>
  <c r="Y24" i="16"/>
  <c r="AB41" i="16"/>
  <c r="Z51" i="16"/>
  <c r="X12" i="16"/>
  <c r="AA18" i="16"/>
  <c r="AB7" i="16"/>
  <c r="AB35" i="16"/>
  <c r="Y41" i="16"/>
  <c r="AB65" i="16"/>
  <c r="AB18" i="16"/>
  <c r="AA39" i="16"/>
  <c r="Y32" i="17"/>
  <c r="AB32" i="16"/>
  <c r="AA39" i="17"/>
  <c r="Y38" i="16"/>
  <c r="X19" i="16"/>
  <c r="AA53" i="17"/>
  <c r="Z24" i="17"/>
  <c r="Z10" i="16"/>
  <c r="X10" i="16"/>
  <c r="X31" i="17"/>
  <c r="AA8" i="17"/>
  <c r="AB29" i="16"/>
  <c r="AB8" i="17"/>
  <c r="AA14" i="16"/>
  <c r="Y3" i="17"/>
  <c r="AA19" i="16"/>
  <c r="X43" i="17"/>
  <c r="Z27" i="17"/>
  <c r="Y49" i="16"/>
  <c r="Y64" i="16"/>
  <c r="AA37" i="17"/>
  <c r="X55" i="17"/>
  <c r="AA16" i="17"/>
  <c r="Z56" i="16"/>
  <c r="J26" i="15"/>
  <c r="X23" i="17"/>
  <c r="Y36" i="17"/>
  <c r="AB22" i="16"/>
  <c r="AB56" i="16"/>
  <c r="AB47" i="17"/>
  <c r="Y48" i="17"/>
  <c r="Z43" i="16"/>
  <c r="AA41" i="16"/>
  <c r="X46" i="17"/>
  <c r="Z14" i="16"/>
  <c r="X24" i="16"/>
  <c r="X53" i="17"/>
  <c r="AA48" i="17"/>
  <c r="Y21" i="17"/>
  <c r="Y35" i="17"/>
  <c r="X21" i="17"/>
  <c r="AB9" i="16"/>
  <c r="AA34" i="16"/>
  <c r="AB40" i="17"/>
  <c r="Z40" i="17"/>
  <c r="AA5" i="17"/>
  <c r="Y20" i="16"/>
  <c r="Z51" i="17"/>
  <c r="X36" i="16"/>
  <c r="X20" i="16"/>
  <c r="AA10" i="17"/>
  <c r="Y36" i="16"/>
  <c r="AB49" i="16"/>
  <c r="AB42" i="17"/>
  <c r="L19" i="14"/>
  <c r="AB7" i="17"/>
  <c r="X47" i="17"/>
  <c r="M9" i="14"/>
  <c r="AB24" i="17"/>
  <c r="X60" i="16"/>
  <c r="AA56" i="16"/>
  <c r="AA29" i="16"/>
  <c r="Y34" i="16"/>
  <c r="Y12" i="16"/>
  <c r="X43" i="16"/>
  <c r="AA16" i="16"/>
  <c r="AB48" i="16"/>
  <c r="AB39" i="17"/>
  <c r="M13" i="14"/>
  <c r="X23" i="16"/>
  <c r="AB44" i="17"/>
  <c r="X53" i="16"/>
  <c r="Y22" i="17"/>
  <c r="Z36" i="17"/>
  <c r="Y45" i="16"/>
  <c r="AA26" i="16"/>
  <c r="Z20" i="17"/>
  <c r="AA20" i="17"/>
  <c r="AA41" i="17"/>
  <c r="Y29" i="16"/>
  <c r="AB15" i="17"/>
  <c r="L16" i="14"/>
  <c r="AA21" i="16"/>
  <c r="X18" i="16"/>
  <c r="AA30" i="16"/>
  <c r="Z13" i="17"/>
  <c r="X61" i="16"/>
  <c r="X30" i="16"/>
  <c r="AB8" i="16"/>
  <c r="Y16" i="17"/>
  <c r="AB32" i="17"/>
  <c r="AA50" i="17"/>
  <c r="AA31" i="17"/>
  <c r="Y27" i="17"/>
  <c r="Z47" i="17"/>
  <c r="Y15" i="16"/>
  <c r="AA7" i="16"/>
  <c r="AA33" i="17"/>
  <c r="Y4" i="17"/>
  <c r="Y56" i="16"/>
  <c r="X57" i="16"/>
  <c r="Y58" i="16"/>
  <c r="AB41" i="17"/>
  <c r="AB6" i="17"/>
  <c r="Y46" i="16"/>
  <c r="Z11" i="17"/>
  <c r="AB50" i="16"/>
  <c r="AB46" i="16"/>
  <c r="Y53" i="16"/>
  <c r="X26" i="16"/>
  <c r="AA52" i="17"/>
  <c r="AB18" i="17"/>
  <c r="Z57" i="16"/>
  <c r="AB14" i="17"/>
  <c r="Z19" i="16"/>
  <c r="AB44" i="16"/>
  <c r="X51" i="17"/>
  <c r="Z66" i="16"/>
  <c r="R6" i="14"/>
  <c r="AA58" i="16"/>
  <c r="Q7" i="14"/>
  <c r="X37" i="17"/>
  <c r="AB57" i="16"/>
  <c r="Y31" i="17"/>
  <c r="AA46" i="16"/>
  <c r="AB11" i="16"/>
  <c r="Z42" i="17"/>
  <c r="Y27" i="16"/>
  <c r="Z54" i="17"/>
  <c r="Z55" i="16"/>
  <c r="M15" i="14"/>
  <c r="Z25" i="16"/>
  <c r="X27" i="17"/>
  <c r="AA19" i="17"/>
  <c r="AB55" i="16"/>
  <c r="AA21" i="17"/>
  <c r="Y28" i="17"/>
  <c r="Y5" i="17"/>
  <c r="AA57" i="16"/>
  <c r="AA40" i="17"/>
  <c r="AB12" i="16"/>
  <c r="Z36" i="16"/>
  <c r="X10" i="17"/>
  <c r="M14" i="14"/>
  <c r="Y10" i="17"/>
  <c r="AB10" i="16"/>
  <c r="L10" i="14"/>
  <c r="AA46" i="17"/>
  <c r="AB37" i="17"/>
  <c r="AB26" i="17"/>
  <c r="AB27" i="16"/>
  <c r="Q9" i="14"/>
  <c r="Y16" i="16"/>
  <c r="X31" i="16"/>
  <c r="X12" i="17"/>
  <c r="Y54" i="16"/>
  <c r="AB30" i="17"/>
  <c r="AB48" i="17"/>
  <c r="AB66" i="16"/>
  <c r="Z46" i="17"/>
  <c r="X16" i="16"/>
  <c r="X42" i="17"/>
  <c r="Z64" i="16"/>
  <c r="AB28" i="17"/>
  <c r="Y14" i="16"/>
  <c r="AA51" i="16"/>
  <c r="Y46" i="17"/>
  <c r="Z8" i="16"/>
  <c r="M20" i="14"/>
  <c r="AA32" i="17"/>
  <c r="Y30" i="17"/>
  <c r="Z3" i="16"/>
  <c r="Y66" i="16"/>
  <c r="AB45" i="17"/>
  <c r="Y49" i="17"/>
  <c r="Y63" i="16"/>
  <c r="AA66" i="16"/>
  <c r="X20" i="17"/>
  <c r="AB36" i="17"/>
  <c r="Z29" i="16"/>
  <c r="Y44" i="17"/>
  <c r="Q16" i="14"/>
  <c r="AB49" i="17"/>
  <c r="AA59" i="16"/>
  <c r="L14" i="14"/>
  <c r="AB40" i="16"/>
  <c r="Y34" i="17"/>
  <c r="AB52" i="16"/>
  <c r="AA20" i="16"/>
  <c r="AB43" i="17"/>
  <c r="AA8" i="16"/>
  <c r="Z25" i="17"/>
  <c r="Z15" i="17"/>
  <c r="AA6" i="17"/>
  <c r="Y4" i="16"/>
  <c r="AA51" i="17"/>
  <c r="L11" i="14"/>
  <c r="Y25" i="16"/>
  <c r="Y28" i="16"/>
  <c r="AA13" i="16"/>
  <c r="AA11" i="16"/>
  <c r="Z41" i="17"/>
  <c r="AB37" i="16"/>
  <c r="Y57" i="16"/>
  <c r="AA52" i="16"/>
  <c r="AA61" i="16"/>
  <c r="X14" i="16"/>
  <c r="L7" i="14"/>
  <c r="X25" i="16"/>
  <c r="X14" i="17"/>
  <c r="Y54" i="17"/>
  <c r="Z59" i="16"/>
  <c r="AB59" i="16"/>
  <c r="Z27" i="16"/>
  <c r="Y21" i="16"/>
  <c r="Y42" i="17"/>
  <c r="Y30" i="16"/>
  <c r="AB61" i="16"/>
  <c r="Y43" i="17"/>
  <c r="AA50" i="16"/>
  <c r="Y12" i="17"/>
  <c r="Y26" i="16"/>
  <c r="X39" i="16"/>
  <c r="X47" i="16"/>
  <c r="AA64" i="16"/>
  <c r="Y6" i="16"/>
  <c r="AA27" i="17"/>
  <c r="X24" i="17"/>
  <c r="X54" i="16"/>
  <c r="L20" i="14"/>
  <c r="AB5" i="17"/>
  <c r="Y50" i="17"/>
  <c r="X28" i="16"/>
  <c r="C55" i="1"/>
  <c r="D55" i="1" s="1"/>
  <c r="X58" i="16"/>
  <c r="Z53" i="16"/>
  <c r="Y51" i="16"/>
  <c r="Q11" i="14"/>
  <c r="Y50" i="16"/>
  <c r="AA31" i="16"/>
  <c r="X29" i="16"/>
  <c r="Z6" i="17"/>
  <c r="Y53" i="17"/>
  <c r="AB39" i="16"/>
  <c r="AB55" i="17"/>
  <c r="AA28" i="17"/>
  <c r="AB63" i="16"/>
  <c r="AA35" i="17"/>
  <c r="X54" i="17"/>
  <c r="X52" i="17"/>
  <c r="R18" i="14"/>
  <c r="Z44" i="16"/>
  <c r="AB58" i="16"/>
  <c r="AA25" i="17"/>
  <c r="X44" i="17"/>
  <c r="AA42" i="16"/>
  <c r="X3" i="17"/>
  <c r="Z20" i="16"/>
  <c r="X15" i="16"/>
  <c r="Q14" i="14"/>
  <c r="Z10" i="17"/>
  <c r="Y9" i="16"/>
  <c r="Y59" i="16"/>
  <c r="X17" i="17"/>
  <c r="Z43" i="17"/>
  <c r="R12" i="14"/>
  <c r="X50" i="17"/>
  <c r="AA63" i="16"/>
  <c r="X44" i="16"/>
  <c r="Y52" i="16"/>
  <c r="AA60" i="16"/>
  <c r="Y62" i="16"/>
  <c r="X66" i="16"/>
  <c r="Y15" i="17"/>
  <c r="Y37" i="16"/>
  <c r="R13" i="14"/>
  <c r="Z33" i="16"/>
  <c r="AB33" i="16"/>
  <c r="D31" i="1"/>
  <c r="AA55" i="17"/>
  <c r="X35" i="17"/>
  <c r="AB17" i="17"/>
  <c r="AB5" i="16"/>
  <c r="AB34" i="17"/>
  <c r="AA49" i="16"/>
  <c r="AB21" i="16"/>
  <c r="AB13" i="16"/>
  <c r="Z50" i="16"/>
  <c r="AA32" i="16"/>
  <c r="Q17" i="14"/>
  <c r="X9" i="16"/>
  <c r="AB25" i="17"/>
  <c r="Z62" i="16"/>
  <c r="Y39" i="16"/>
  <c r="X63" i="16"/>
  <c r="Z50" i="17"/>
  <c r="X17" i="16"/>
  <c r="AA28" i="16"/>
  <c r="X13" i="17"/>
  <c r="M16" i="14"/>
  <c r="AA24" i="16"/>
  <c r="R9" i="14"/>
  <c r="AB28" i="16"/>
  <c r="Z54" i="16"/>
  <c r="Z18" i="17"/>
  <c r="X32" i="17"/>
  <c r="AB38" i="17"/>
  <c r="X4" i="16"/>
  <c r="AB64" i="16"/>
  <c r="Z35" i="17"/>
  <c r="Z28" i="17"/>
  <c r="Y14" i="17"/>
  <c r="Z8" i="17"/>
  <c r="Z35" i="16"/>
  <c r="AB31" i="16"/>
  <c r="AB52" i="17"/>
  <c r="Q13" i="14"/>
  <c r="C27" i="15"/>
  <c r="AB45" i="16"/>
  <c r="AB53" i="17"/>
  <c r="AA15" i="17"/>
  <c r="X9" i="17"/>
  <c r="AB16" i="16"/>
  <c r="AB62" i="16"/>
  <c r="Z48" i="17"/>
  <c r="Z48" i="16"/>
  <c r="X6" i="17"/>
  <c r="X6" i="16"/>
  <c r="AB23" i="17"/>
  <c r="AA9" i="16"/>
  <c r="AA54" i="16"/>
  <c r="Y17" i="17"/>
  <c r="Z5" i="16"/>
  <c r="Y60" i="16"/>
  <c r="Z65" i="16"/>
  <c r="AA11" i="17"/>
  <c r="AB11" i="17"/>
  <c r="AA29" i="17"/>
  <c r="C28" i="15"/>
  <c r="C29" i="15" s="1"/>
  <c r="C30" i="15" s="1"/>
  <c r="Y3" i="16"/>
  <c r="AB38" i="16"/>
  <c r="AB26" i="16"/>
  <c r="Z42" i="16"/>
  <c r="X33" i="17"/>
  <c r="M10" i="14"/>
  <c r="AB53" i="16"/>
  <c r="X39" i="17"/>
  <c r="AA4" i="16"/>
  <c r="Z29" i="17"/>
  <c r="AB22" i="17"/>
  <c r="Q12" i="14"/>
  <c r="I31" i="1"/>
  <c r="AB24" i="16"/>
  <c r="AA36" i="17"/>
  <c r="AA54" i="17"/>
  <c r="Y7" i="16"/>
  <c r="C31" i="15"/>
  <c r="C32" i="15" s="1"/>
  <c r="C33" i="15" s="1"/>
  <c r="C34" i="15" s="1"/>
  <c r="C35" i="15" s="1"/>
  <c r="C36" i="15" s="1"/>
  <c r="C37" i="15" s="1"/>
  <c r="C38" i="15" s="1"/>
  <c r="C39" i="15" s="1"/>
  <c r="C40" i="15" s="1"/>
  <c r="C41" i="15" s="1"/>
  <c r="C42" i="15" s="1"/>
  <c r="C43" i="15" s="1"/>
  <c r="C44" i="15" s="1"/>
  <c r="C45" i="15" s="1"/>
  <c r="C46" i="15" s="1"/>
  <c r="C47" i="15" s="1"/>
  <c r="X65" i="16"/>
  <c r="R14" i="14"/>
  <c r="Z11" i="16"/>
  <c r="Y32" i="16"/>
  <c r="Z14" i="17"/>
  <c r="X8" i="16"/>
  <c r="Z58" i="16"/>
  <c r="AA34" i="17"/>
  <c r="Z34" i="17"/>
  <c r="Z17" i="16"/>
  <c r="X38" i="16"/>
  <c r="X29" i="17"/>
  <c r="X46" i="16"/>
  <c r="AA9" i="17"/>
  <c r="Y43" i="16"/>
  <c r="AA5" i="16"/>
  <c r="L18" i="14"/>
  <c r="Z4" i="17"/>
  <c r="X19" i="17"/>
  <c r="AA7" i="17"/>
  <c r="Z60" i="16"/>
  <c r="Y8" i="16"/>
  <c r="X7" i="16"/>
  <c r="Y40" i="17"/>
  <c r="Y35" i="16"/>
  <c r="AA33" i="16"/>
  <c r="Y47" i="16"/>
  <c r="Q6" i="14"/>
  <c r="D47" i="1"/>
  <c r="U3" i="14" a="1"/>
  <c r="Z28" i="16"/>
  <c r="Z26" i="17"/>
  <c r="M12" i="14"/>
  <c r="X49" i="17"/>
  <c r="X16" i="17"/>
  <c r="R7" i="14"/>
  <c r="X64" i="16"/>
  <c r="X50" i="16"/>
  <c r="Y61" i="16"/>
  <c r="AB21" i="17"/>
  <c r="Q18" i="14"/>
  <c r="Y45" i="17"/>
  <c r="Y25" i="17"/>
  <c r="Y5" i="16"/>
  <c r="L17" i="14"/>
  <c r="X5" i="17"/>
  <c r="AA45" i="16"/>
  <c r="Y23" i="16"/>
  <c r="Y18" i="16"/>
  <c r="AB60" i="16"/>
  <c r="Z41" i="16"/>
  <c r="X28" i="17"/>
  <c r="Z9" i="17"/>
  <c r="X45" i="17"/>
  <c r="AA48" i="16"/>
  <c r="Z17" i="17"/>
  <c r="Y6" i="17"/>
  <c r="Z38" i="17"/>
  <c r="Z23" i="16"/>
  <c r="AB3" i="16"/>
  <c r="R16" i="14"/>
  <c r="AB23" i="16"/>
  <c r="Y11" i="17"/>
  <c r="L15" i="14"/>
  <c r="AA53" i="16"/>
  <c r="X51" i="16"/>
  <c r="Z15" i="16"/>
  <c r="AB4" i="16"/>
  <c r="AB10" i="17"/>
  <c r="C54" i="1"/>
  <c r="AB47" i="16"/>
  <c r="X37" i="16"/>
  <c r="AB50" i="17"/>
  <c r="AB54" i="17"/>
  <c r="Z24" i="16"/>
  <c r="X40" i="17"/>
  <c r="AA3" i="17"/>
  <c r="H39" i="1"/>
  <c r="R20" i="14"/>
  <c r="Y55" i="17"/>
  <c r="Z12" i="17"/>
  <c r="X11" i="16"/>
  <c r="D32" i="1"/>
  <c r="AC2" i="16" a="1"/>
  <c r="C39" i="1"/>
  <c r="C40" i="1"/>
  <c r="AC2" i="17" a="1"/>
  <c r="I32" i="1"/>
  <c r="H40" i="1"/>
  <c r="I42" i="1"/>
  <c r="I47" i="15" l="1"/>
  <c r="H47" i="15"/>
  <c r="I46" i="15"/>
  <c r="H46" i="15"/>
  <c r="I45" i="15"/>
  <c r="H45" i="15"/>
  <c r="H44" i="15"/>
  <c r="I44" i="15"/>
  <c r="H43" i="15"/>
  <c r="I43" i="15"/>
  <c r="H42" i="15"/>
  <c r="I42" i="15"/>
  <c r="H41" i="15"/>
  <c r="I41" i="15"/>
  <c r="H40" i="15"/>
  <c r="I40" i="15"/>
  <c r="H39" i="15"/>
  <c r="I39" i="15"/>
  <c r="I38" i="15"/>
  <c r="H38" i="15"/>
  <c r="I37" i="15"/>
  <c r="H37" i="15"/>
  <c r="H36" i="15"/>
  <c r="I36" i="15"/>
  <c r="H35" i="15"/>
  <c r="I35" i="15"/>
  <c r="H34" i="15"/>
  <c r="I34" i="15"/>
  <c r="I33" i="15"/>
  <c r="H33" i="15"/>
  <c r="I32" i="15"/>
  <c r="H32" i="15"/>
  <c r="I31" i="15"/>
  <c r="H31" i="15"/>
  <c r="I30" i="15"/>
  <c r="H30" i="15"/>
  <c r="V54" i="17"/>
  <c r="V22" i="16"/>
  <c r="V56" i="16"/>
  <c r="V61" i="16"/>
  <c r="V11" i="16"/>
  <c r="V6" i="16"/>
  <c r="V10" i="16"/>
  <c r="V25" i="17"/>
  <c r="V52" i="16"/>
  <c r="V19" i="16"/>
  <c r="V47" i="16"/>
  <c r="V8" i="17"/>
  <c r="H29" i="15"/>
  <c r="I29" i="15"/>
  <c r="V18" i="16"/>
  <c r="V39" i="16"/>
  <c r="V33" i="16"/>
  <c r="V42" i="16"/>
  <c r="I28" i="15"/>
  <c r="H28" i="15"/>
  <c r="V36" i="17"/>
  <c r="V4" i="16"/>
  <c r="H27" i="15"/>
  <c r="I27" i="15"/>
  <c r="V57" i="16"/>
  <c r="V6" i="17"/>
  <c r="V44" i="16"/>
  <c r="V18" i="17"/>
  <c r="V40" i="17"/>
  <c r="V37" i="17"/>
  <c r="V8" i="16"/>
  <c r="V53" i="16"/>
  <c r="V37" i="16"/>
  <c r="V13" i="17"/>
  <c r="V59" i="16"/>
  <c r="V23" i="16"/>
  <c r="V50" i="17"/>
  <c r="V35" i="16"/>
  <c r="V41" i="17"/>
  <c r="V26" i="17"/>
  <c r="V51" i="16"/>
  <c r="V29" i="16"/>
  <c r="V43" i="16"/>
  <c r="V17" i="16"/>
  <c r="V17" i="17"/>
  <c r="V60" i="16"/>
  <c r="V21" i="16"/>
  <c r="V51" i="17"/>
  <c r="V47" i="17"/>
  <c r="V32" i="16"/>
  <c r="V49" i="16"/>
  <c r="V35" i="17"/>
  <c r="V45" i="17"/>
  <c r="V39" i="17"/>
  <c r="V3" i="16"/>
  <c r="V63" i="16"/>
  <c r="V38" i="17"/>
  <c r="V10" i="17"/>
  <c r="V28" i="17"/>
  <c r="V62" i="16"/>
  <c r="AC54" i="16"/>
  <c r="AC14" i="16"/>
  <c r="AC39" i="16"/>
  <c r="AC62" i="16"/>
  <c r="AC66" i="16"/>
  <c r="AC51" i="16"/>
  <c r="AC38" i="16"/>
  <c r="AC31" i="16"/>
  <c r="AC37" i="16"/>
  <c r="AC2" i="16"/>
  <c r="AC20" i="16"/>
  <c r="AC42" i="16"/>
  <c r="AC8" i="16"/>
  <c r="AC18" i="16"/>
  <c r="AC27" i="16"/>
  <c r="AC60" i="16"/>
  <c r="AC45" i="16"/>
  <c r="AC53" i="16"/>
  <c r="AC29" i="16"/>
  <c r="AC52" i="16"/>
  <c r="AC16" i="16"/>
  <c r="AC24" i="16"/>
  <c r="AC36" i="16"/>
  <c r="AC5" i="16"/>
  <c r="AC11" i="16"/>
  <c r="AC32" i="16"/>
  <c r="AC3" i="16"/>
  <c r="AC40" i="16"/>
  <c r="AC41" i="16"/>
  <c r="AC10" i="16"/>
  <c r="AC58" i="16"/>
  <c r="AC46" i="16"/>
  <c r="AC19" i="16"/>
  <c r="AC22" i="16"/>
  <c r="AC28" i="16"/>
  <c r="AC63" i="16"/>
  <c r="AC4" i="16"/>
  <c r="AC65" i="16"/>
  <c r="AC25" i="16"/>
  <c r="AC6" i="16"/>
  <c r="AC30" i="16"/>
  <c r="AC64" i="16"/>
  <c r="AC21" i="16"/>
  <c r="AC48" i="16"/>
  <c r="AC15" i="16"/>
  <c r="AC35" i="16"/>
  <c r="AC44" i="16"/>
  <c r="AC33" i="16"/>
  <c r="AC49" i="16"/>
  <c r="AC17" i="16"/>
  <c r="AC13" i="16"/>
  <c r="AC55" i="16"/>
  <c r="AC57" i="16"/>
  <c r="AC9" i="16"/>
  <c r="AC59" i="16"/>
  <c r="AC50" i="16"/>
  <c r="AC26" i="16"/>
  <c r="AC56" i="16"/>
  <c r="AC12" i="16"/>
  <c r="AC7" i="16"/>
  <c r="AC34" i="16"/>
  <c r="AC47" i="16"/>
  <c r="AC23" i="16"/>
  <c r="AC61" i="16"/>
  <c r="AC43" i="16"/>
  <c r="V20" i="16"/>
  <c r="V27" i="16"/>
  <c r="V36" i="16"/>
  <c r="V12" i="16"/>
  <c r="V4" i="17"/>
  <c r="V20" i="17"/>
  <c r="V22" i="17"/>
  <c r="V5" i="17"/>
  <c r="AC47" i="17"/>
  <c r="AC54" i="17"/>
  <c r="AC17" i="17"/>
  <c r="AC14" i="17"/>
  <c r="AC19" i="17"/>
  <c r="AC42" i="17"/>
  <c r="AC18" i="17"/>
  <c r="AC30" i="17"/>
  <c r="AC29" i="17"/>
  <c r="AC49" i="17"/>
  <c r="AC24" i="17"/>
  <c r="AC41" i="17"/>
  <c r="AC34" i="17"/>
  <c r="AC12" i="17"/>
  <c r="AC44" i="17"/>
  <c r="AC48" i="17"/>
  <c r="AC16" i="17"/>
  <c r="AC4" i="17"/>
  <c r="AC39" i="17"/>
  <c r="AC13" i="17"/>
  <c r="AC7" i="17"/>
  <c r="AC22" i="17"/>
  <c r="AC40" i="17"/>
  <c r="AC10" i="17"/>
  <c r="AC26" i="17"/>
  <c r="AC27" i="17"/>
  <c r="AC5" i="17"/>
  <c r="AC28" i="17"/>
  <c r="AC46" i="17"/>
  <c r="AC43" i="17"/>
  <c r="AC37" i="17"/>
  <c r="AC23" i="17"/>
  <c r="AC15" i="17"/>
  <c r="AC55" i="17"/>
  <c r="AC45" i="17"/>
  <c r="AC38" i="17"/>
  <c r="AC35" i="17"/>
  <c r="AC8" i="17"/>
  <c r="AC2" i="17"/>
  <c r="AC20" i="17"/>
  <c r="AC9" i="17"/>
  <c r="AC3" i="17"/>
  <c r="AC6" i="17"/>
  <c r="AC51" i="17"/>
  <c r="AC25" i="17"/>
  <c r="AC36" i="17"/>
  <c r="AC52" i="17"/>
  <c r="AC50" i="17"/>
  <c r="AC11" i="17"/>
  <c r="AC31" i="17"/>
  <c r="AC21" i="17"/>
  <c r="AC33" i="17"/>
  <c r="AC32" i="17"/>
  <c r="AC53" i="17"/>
  <c r="V58" i="16"/>
  <c r="V15" i="17"/>
  <c r="V42" i="17"/>
  <c r="V15" i="16"/>
  <c r="V40" i="16"/>
  <c r="V30" i="17"/>
  <c r="V21" i="17"/>
  <c r="V16" i="16"/>
  <c r="V7" i="17"/>
  <c r="V50" i="16"/>
  <c r="V3" i="17"/>
  <c r="V28" i="16"/>
  <c r="V34" i="17"/>
  <c r="V64" i="16"/>
  <c r="V53" i="17"/>
  <c r="V13" i="16"/>
  <c r="V24" i="16"/>
  <c r="V16" i="17"/>
  <c r="V9" i="16"/>
  <c r="V49" i="17"/>
  <c r="V46" i="17"/>
  <c r="V14" i="17"/>
  <c r="V25" i="16"/>
  <c r="V44" i="17"/>
  <c r="U72" i="14"/>
  <c r="U63" i="14"/>
  <c r="U62" i="14"/>
  <c r="U110" i="14"/>
  <c r="U57" i="14"/>
  <c r="U10" i="14"/>
  <c r="U35" i="14"/>
  <c r="U36" i="14"/>
  <c r="U5" i="14"/>
  <c r="U20" i="14"/>
  <c r="U96" i="14"/>
  <c r="U64" i="14"/>
  <c r="U102" i="14"/>
  <c r="U109" i="14"/>
  <c r="U31" i="14"/>
  <c r="U34" i="14"/>
  <c r="U60" i="14"/>
  <c r="U78" i="14"/>
  <c r="U79" i="14"/>
  <c r="U61" i="14"/>
  <c r="U67" i="14"/>
  <c r="U98" i="14"/>
  <c r="U51" i="14"/>
  <c r="U9" i="14"/>
  <c r="U65" i="14"/>
  <c r="U75" i="14"/>
  <c r="U82" i="14"/>
  <c r="U16" i="14"/>
  <c r="U27" i="14"/>
  <c r="U87" i="14"/>
  <c r="U4" i="14"/>
  <c r="U43" i="14"/>
  <c r="U105" i="14"/>
  <c r="U13" i="14"/>
  <c r="U28" i="14"/>
  <c r="U56" i="14"/>
  <c r="U108" i="14"/>
  <c r="U7" i="14"/>
  <c r="U68" i="14"/>
  <c r="U47" i="14"/>
  <c r="U6" i="14"/>
  <c r="U46" i="14"/>
  <c r="U18" i="14"/>
  <c r="U33" i="14"/>
  <c r="U3" i="14"/>
  <c r="U99" i="14"/>
  <c r="U30" i="14"/>
  <c r="U38" i="14"/>
  <c r="U94" i="14"/>
  <c r="U22" i="14"/>
  <c r="U49" i="14"/>
  <c r="U48" i="14"/>
  <c r="U53" i="14"/>
  <c r="U66" i="14"/>
  <c r="U111" i="14"/>
  <c r="U40" i="14"/>
  <c r="U106" i="14"/>
  <c r="U113" i="14"/>
  <c r="U23" i="14"/>
  <c r="U37" i="14"/>
  <c r="U88" i="14"/>
  <c r="U15" i="14"/>
  <c r="U81" i="14"/>
  <c r="U12" i="14"/>
  <c r="U45" i="14"/>
  <c r="U41" i="14"/>
  <c r="U52" i="14"/>
  <c r="U97" i="14"/>
  <c r="U70" i="14"/>
  <c r="U86" i="14"/>
  <c r="U42" i="14"/>
  <c r="U84" i="14"/>
  <c r="U103" i="14"/>
  <c r="U112" i="14"/>
  <c r="U101" i="14"/>
  <c r="U54" i="14"/>
  <c r="U29" i="14"/>
  <c r="U21" i="14"/>
  <c r="U73" i="14"/>
  <c r="U71" i="14"/>
  <c r="U91" i="14"/>
  <c r="U58" i="14"/>
  <c r="U8" i="14"/>
  <c r="U74" i="14"/>
  <c r="U11" i="14"/>
  <c r="U90" i="14"/>
  <c r="U76" i="14"/>
  <c r="U55" i="14"/>
  <c r="U59" i="14"/>
  <c r="U89" i="14"/>
  <c r="U24" i="14"/>
  <c r="U32" i="14"/>
  <c r="U100" i="14"/>
  <c r="U83" i="14"/>
  <c r="U104" i="14"/>
  <c r="U107" i="14"/>
  <c r="U44" i="14"/>
  <c r="U93" i="14"/>
  <c r="U85" i="14"/>
  <c r="U39" i="14"/>
  <c r="U69" i="14"/>
  <c r="U25" i="14"/>
  <c r="U19" i="14"/>
  <c r="U92" i="14"/>
  <c r="U95" i="14"/>
  <c r="U26" i="14"/>
  <c r="U50" i="14"/>
  <c r="U17" i="14"/>
  <c r="U14" i="14"/>
  <c r="U77" i="14"/>
  <c r="U80" i="14"/>
  <c r="V26" i="16"/>
  <c r="V14" i="16"/>
  <c r="V30" i="16"/>
  <c r="V55" i="16"/>
  <c r="V9" i="17"/>
  <c r="V34" i="16"/>
  <c r="V23" i="17"/>
  <c r="V41" i="16"/>
  <c r="V33" i="17"/>
  <c r="V11" i="17"/>
  <c r="M22" i="15"/>
  <c r="V45" i="16"/>
  <c r="AC13" i="18"/>
  <c r="AC6" i="18"/>
  <c r="AC68" i="18"/>
  <c r="AC71" i="18"/>
  <c r="AC61" i="18"/>
  <c r="AC62" i="18"/>
  <c r="AC45" i="18"/>
  <c r="AC4" i="18"/>
  <c r="AC74" i="18"/>
  <c r="AC75" i="18"/>
  <c r="AC48" i="18"/>
  <c r="AC24" i="18"/>
  <c r="AC15" i="18"/>
  <c r="AC32" i="18"/>
  <c r="AC30" i="18"/>
  <c r="AC17" i="18"/>
  <c r="AC52" i="18"/>
  <c r="AC25" i="18"/>
  <c r="AC72" i="18"/>
  <c r="AC26" i="18"/>
  <c r="AC28" i="18"/>
  <c r="AC49" i="18"/>
  <c r="AC56" i="18"/>
  <c r="AC64" i="18"/>
  <c r="AC47" i="18"/>
  <c r="AC5" i="18"/>
  <c r="AC12" i="18"/>
  <c r="AC43" i="18"/>
  <c r="AC59" i="18"/>
  <c r="AC34" i="18"/>
  <c r="AC38" i="18"/>
  <c r="AC33" i="18"/>
  <c r="AC58" i="18"/>
  <c r="AC8" i="18"/>
  <c r="AC37" i="18"/>
  <c r="AC70" i="18"/>
  <c r="AC50" i="18"/>
  <c r="AC22" i="18"/>
  <c r="AC29" i="18"/>
  <c r="AC27" i="18"/>
  <c r="AC53" i="18"/>
  <c r="AC16" i="18"/>
  <c r="AC19" i="18"/>
  <c r="AC9" i="18"/>
  <c r="AC77" i="18"/>
  <c r="AC60" i="18"/>
  <c r="AC7" i="18"/>
  <c r="AC66" i="18"/>
  <c r="AC41" i="18"/>
  <c r="AC46" i="18"/>
  <c r="AC39" i="18"/>
  <c r="AC44" i="18"/>
  <c r="AC20" i="18"/>
  <c r="AC21" i="18"/>
  <c r="AC67" i="18"/>
  <c r="AC57" i="18"/>
  <c r="AC11" i="18"/>
  <c r="AC69" i="18"/>
  <c r="AC36" i="18"/>
  <c r="AC65" i="18"/>
  <c r="AC14" i="18"/>
  <c r="AC31" i="18"/>
  <c r="AC73" i="18"/>
  <c r="AC40" i="18"/>
  <c r="AC2" i="18"/>
  <c r="AC51" i="18"/>
  <c r="AC54" i="18"/>
  <c r="AC18" i="18"/>
  <c r="AC78" i="18"/>
  <c r="AC55" i="18"/>
  <c r="AC76" i="18"/>
  <c r="AC23" i="18"/>
  <c r="AC42" i="18"/>
  <c r="AC3" i="18"/>
  <c r="AC63" i="18"/>
  <c r="AC35" i="18"/>
  <c r="AC10" i="18"/>
  <c r="V7" i="16"/>
  <c r="V54" i="16"/>
  <c r="V55" i="17"/>
  <c r="V27" i="17"/>
  <c r="V19" i="17"/>
  <c r="V24" i="17"/>
  <c r="V65" i="16"/>
  <c r="V43" i="17"/>
  <c r="V32" i="17"/>
  <c r="V66" i="16"/>
  <c r="V48" i="16"/>
  <c r="V12" i="17"/>
  <c r="V48" i="17"/>
  <c r="V46" i="16"/>
  <c r="V52" i="17"/>
  <c r="V29" i="17"/>
  <c r="V38" i="16"/>
  <c r="V31" i="17"/>
  <c r="V31" i="16"/>
  <c r="V5" i="16"/>
  <c r="I40" i="1"/>
  <c r="J35" i="15"/>
  <c r="V34" i="14"/>
  <c r="Z9" i="14"/>
  <c r="X47" i="14"/>
  <c r="V40" i="14"/>
  <c r="W12" i="14"/>
  <c r="V71" i="14"/>
  <c r="W55" i="14"/>
  <c r="V92" i="14"/>
  <c r="X5" i="14"/>
  <c r="Y60" i="14"/>
  <c r="Z105" i="14"/>
  <c r="Z6" i="14"/>
  <c r="Y106" i="14"/>
  <c r="Y103" i="14"/>
  <c r="V91" i="14"/>
  <c r="V44" i="14"/>
  <c r="X95" i="14"/>
  <c r="Y62" i="14"/>
  <c r="V28" i="14"/>
  <c r="Y18" i="14"/>
  <c r="Z52" i="14"/>
  <c r="V24" i="14"/>
  <c r="W50" i="14"/>
  <c r="Y48" i="14"/>
  <c r="Y54" i="14"/>
  <c r="V67" i="14"/>
  <c r="W25" i="14"/>
  <c r="J47" i="15"/>
  <c r="Z8" i="14"/>
  <c r="Z110" i="14"/>
  <c r="Z33" i="14"/>
  <c r="Y97" i="14"/>
  <c r="Z57" i="14"/>
  <c r="W27" i="14"/>
  <c r="Y108" i="14"/>
  <c r="W53" i="14"/>
  <c r="V88" i="14"/>
  <c r="V11" i="14"/>
  <c r="V14" i="14"/>
  <c r="W87" i="14"/>
  <c r="Y99" i="14"/>
  <c r="W21" i="14"/>
  <c r="Z77" i="14"/>
  <c r="Z81" i="14"/>
  <c r="J42" i="15"/>
  <c r="Y20" i="14"/>
  <c r="Y78" i="14"/>
  <c r="Z13" i="14"/>
  <c r="X46" i="14"/>
  <c r="X113" i="14"/>
  <c r="V112" i="14"/>
  <c r="Y58" i="14"/>
  <c r="Z93" i="14"/>
  <c r="Z26" i="14"/>
  <c r="V49" i="14"/>
  <c r="X16" i="14"/>
  <c r="X37" i="14"/>
  <c r="V17" i="14"/>
  <c r="W100" i="14"/>
  <c r="V7" i="14"/>
  <c r="Y15" i="14"/>
  <c r="J46" i="15"/>
  <c r="J45" i="15"/>
  <c r="V109" i="14"/>
  <c r="Y66" i="14"/>
  <c r="V31" i="14"/>
  <c r="Z98" i="14"/>
  <c r="W35" i="14"/>
  <c r="V30" i="14"/>
  <c r="X73" i="14"/>
  <c r="Y104" i="14"/>
  <c r="Z80" i="14"/>
  <c r="Z108" i="14"/>
  <c r="Z21" i="14"/>
  <c r="V77" i="14"/>
  <c r="J34" i="15"/>
  <c r="W78" i="14"/>
  <c r="Z22" i="14"/>
  <c r="X112" i="14"/>
  <c r="X93" i="14"/>
  <c r="Z79" i="14"/>
  <c r="W16" i="14"/>
  <c r="W37" i="14"/>
  <c r="Y100" i="14"/>
  <c r="Z7" i="14"/>
  <c r="J38" i="15"/>
  <c r="Y109" i="14"/>
  <c r="W31" i="14"/>
  <c r="Y35" i="14"/>
  <c r="X30" i="14"/>
  <c r="X104" i="14"/>
  <c r="J32" i="15"/>
  <c r="X36" i="14"/>
  <c r="Z43" i="14"/>
  <c r="Y47" i="14"/>
  <c r="W84" i="14"/>
  <c r="W71" i="14"/>
  <c r="Y92" i="14"/>
  <c r="Y5" i="14"/>
  <c r="X105" i="14"/>
  <c r="V106" i="14"/>
  <c r="V103" i="14"/>
  <c r="T22" i="15"/>
  <c r="W28" i="14"/>
  <c r="V23" i="14"/>
  <c r="X24" i="14"/>
  <c r="Z39" i="14"/>
  <c r="Y67" i="14"/>
  <c r="V25" i="14"/>
  <c r="Y64" i="14"/>
  <c r="V33" i="14"/>
  <c r="Z27" i="14"/>
  <c r="Z3" i="14"/>
  <c r="Z11" i="14"/>
  <c r="X87" i="14"/>
  <c r="X21" i="14"/>
  <c r="J27" i="15"/>
  <c r="V22" i="14"/>
  <c r="Y89" i="14"/>
  <c r="Y79" i="14"/>
  <c r="X74" i="14"/>
  <c r="W7" i="14"/>
  <c r="J30" i="15"/>
  <c r="X66" i="14"/>
  <c r="V35" i="14"/>
  <c r="V104" i="14"/>
  <c r="Y43" i="14"/>
  <c r="X84" i="14"/>
  <c r="Y72" i="14"/>
  <c r="Y105" i="14"/>
  <c r="W59" i="14"/>
  <c r="V82" i="14"/>
  <c r="X23" i="14"/>
  <c r="W61" i="14"/>
  <c r="W67" i="14"/>
  <c r="W8" i="14"/>
  <c r="V32" i="14"/>
  <c r="X27" i="14"/>
  <c r="W70" i="14"/>
  <c r="Y87" i="14"/>
  <c r="W77" i="14"/>
  <c r="Z20" i="14"/>
  <c r="W41" i="14"/>
  <c r="Y93" i="14"/>
  <c r="Z16" i="14"/>
  <c r="X10" i="14"/>
  <c r="W90" i="14"/>
  <c r="W66" i="14"/>
  <c r="Z68" i="14"/>
  <c r="W104" i="14"/>
  <c r="Y38" i="14"/>
  <c r="X72" i="14"/>
  <c r="W6" i="14"/>
  <c r="Z59" i="14"/>
  <c r="X82" i="14"/>
  <c r="Y24" i="14"/>
  <c r="W39" i="14"/>
  <c r="Y8" i="14"/>
  <c r="W102" i="14"/>
  <c r="Z88" i="14"/>
  <c r="X86" i="14"/>
  <c r="W20" i="14"/>
  <c r="W112" i="14"/>
  <c r="Y74" i="14"/>
  <c r="X56" i="14"/>
  <c r="W68" i="14"/>
  <c r="X55" i="14"/>
  <c r="X6" i="14"/>
  <c r="V95" i="14"/>
  <c r="X101" i="14"/>
  <c r="V39" i="14"/>
  <c r="W97" i="14"/>
  <c r="V108" i="14"/>
  <c r="Y88" i="14"/>
  <c r="Z83" i="14"/>
  <c r="V19" i="14"/>
  <c r="Z46" i="14"/>
  <c r="W26" i="14"/>
  <c r="W74" i="14"/>
  <c r="Y90" i="14"/>
  <c r="Y80" i="14"/>
  <c r="W38" i="14"/>
  <c r="X106" i="14"/>
  <c r="W18" i="14"/>
  <c r="Y39" i="14"/>
  <c r="V64" i="14"/>
  <c r="W3" i="14"/>
  <c r="W83" i="14"/>
  <c r="Z75" i="14"/>
  <c r="V26" i="14"/>
  <c r="Z74" i="14"/>
  <c r="W109" i="14"/>
  <c r="X68" i="14"/>
  <c r="I39" i="1"/>
  <c r="J29" i="15"/>
  <c r="W34" i="14"/>
  <c r="X43" i="14"/>
  <c r="W47" i="14"/>
  <c r="W40" i="14"/>
  <c r="Y12" i="14"/>
  <c r="Z71" i="14"/>
  <c r="V107" i="14"/>
  <c r="W92" i="14"/>
  <c r="W5" i="14"/>
  <c r="Z60" i="14"/>
  <c r="W105" i="14"/>
  <c r="Y94" i="14"/>
  <c r="Z106" i="14"/>
  <c r="Z103" i="14"/>
  <c r="X91" i="14"/>
  <c r="Z44" i="14"/>
  <c r="S22" i="15"/>
  <c r="V62" i="14"/>
  <c r="X28" i="14"/>
  <c r="Y23" i="14"/>
  <c r="X52" i="14"/>
  <c r="W24" i="14"/>
  <c r="Z50" i="14"/>
  <c r="X48" i="14"/>
  <c r="X54" i="14"/>
  <c r="X67" i="14"/>
  <c r="Y25" i="14"/>
  <c r="J31" i="15"/>
  <c r="V8" i="14"/>
  <c r="V110" i="14"/>
  <c r="X33" i="14"/>
  <c r="Z32" i="14"/>
  <c r="Y57" i="14"/>
  <c r="Y27" i="14"/>
  <c r="V53" i="14"/>
  <c r="Y70" i="14"/>
  <c r="Y11" i="14"/>
  <c r="W14" i="14"/>
  <c r="Z87" i="14"/>
  <c r="Z86" i="14"/>
  <c r="X81" i="14"/>
  <c r="V20" i="14"/>
  <c r="V13" i="14"/>
  <c r="Y113" i="14"/>
  <c r="Z58" i="14"/>
  <c r="W49" i="14"/>
  <c r="X17" i="14"/>
  <c r="W15" i="14"/>
  <c r="V29" i="14"/>
  <c r="V66" i="14"/>
  <c r="Z51" i="14"/>
  <c r="Y73" i="14"/>
  <c r="Y44" i="14"/>
  <c r="W48" i="14"/>
  <c r="D39" i="1"/>
  <c r="W32" i="14"/>
  <c r="Z53" i="14"/>
  <c r="Y14" i="14"/>
  <c r="X77" i="14"/>
  <c r="X20" i="14"/>
  <c r="Y13" i="14"/>
  <c r="Z112" i="14"/>
  <c r="Z49" i="14"/>
  <c r="Y17" i="14"/>
  <c r="Z90" i="14"/>
  <c r="X109" i="14"/>
  <c r="Y31" i="14"/>
  <c r="W30" i="14"/>
  <c r="Z42" i="14"/>
  <c r="V38" i="14"/>
  <c r="Z107" i="14"/>
  <c r="Z65" i="14"/>
  <c r="V45" i="14"/>
  <c r="N22" i="15"/>
  <c r="Y101" i="14"/>
  <c r="Z48" i="14"/>
  <c r="Y111" i="14"/>
  <c r="Y33" i="14"/>
  <c r="Y3" i="14"/>
  <c r="Z14" i="14"/>
  <c r="X83" i="14"/>
  <c r="X63" i="14"/>
  <c r="W13" i="14"/>
  <c r="Y112" i="14"/>
  <c r="W79" i="14"/>
  <c r="Z17" i="14"/>
  <c r="V56" i="14"/>
  <c r="Z31" i="14"/>
  <c r="Z30" i="14"/>
  <c r="W42" i="14"/>
  <c r="Z36" i="14"/>
  <c r="Y40" i="14"/>
  <c r="Y107" i="14"/>
  <c r="Y65" i="14"/>
  <c r="W94" i="14"/>
  <c r="Z95" i="14"/>
  <c r="Z18" i="14"/>
  <c r="V61" i="14"/>
  <c r="Z67" i="14"/>
  <c r="W64" i="14"/>
  <c r="V27" i="14"/>
  <c r="X14" i="14"/>
  <c r="Z63" i="14"/>
  <c r="V41" i="14"/>
  <c r="V16" i="14"/>
  <c r="X90" i="14"/>
  <c r="X98" i="14"/>
  <c r="X12" i="14"/>
  <c r="X65" i="14"/>
  <c r="X62" i="14"/>
  <c r="X50" i="14"/>
  <c r="W54" i="14"/>
  <c r="Z64" i="14"/>
  <c r="Z102" i="14"/>
  <c r="Z70" i="14"/>
  <c r="Y81" i="14"/>
  <c r="X78" i="14"/>
  <c r="X22" i="14"/>
  <c r="V79" i="14"/>
  <c r="Z100" i="14"/>
  <c r="W29" i="14"/>
  <c r="Y98" i="14"/>
  <c r="W76" i="14"/>
  <c r="Y36" i="14"/>
  <c r="Z84" i="14"/>
  <c r="V6" i="14"/>
  <c r="W82" i="14"/>
  <c r="Z54" i="14"/>
  <c r="V57" i="14"/>
  <c r="W69" i="14"/>
  <c r="Y19" i="14"/>
  <c r="Z113" i="14"/>
  <c r="Z85" i="14"/>
  <c r="V90" i="14"/>
  <c r="X35" i="14"/>
  <c r="X42" i="14"/>
  <c r="D54" i="1"/>
  <c r="Z34" i="14"/>
  <c r="Z40" i="14"/>
  <c r="X107" i="14"/>
  <c r="V65" i="14"/>
  <c r="V94" i="14"/>
  <c r="Y59" i="14"/>
  <c r="Z82" i="14"/>
  <c r="W52" i="14"/>
  <c r="J41" i="15"/>
  <c r="X8" i="14"/>
  <c r="X57" i="14"/>
  <c r="V70" i="14"/>
  <c r="Y86" i="14"/>
  <c r="Z19" i="14"/>
  <c r="Y75" i="14"/>
  <c r="W113" i="14"/>
  <c r="V93" i="14"/>
  <c r="Y16" i="14"/>
  <c r="J40" i="15"/>
  <c r="Y29" i="14"/>
  <c r="W51" i="14"/>
  <c r="V76" i="14"/>
  <c r="W36" i="14"/>
  <c r="X40" i="14"/>
  <c r="X71" i="14"/>
  <c r="V5" i="14"/>
  <c r="X94" i="14"/>
  <c r="W103" i="14"/>
  <c r="W44" i="14"/>
  <c r="Y28" i="14"/>
  <c r="Z24" i="14"/>
  <c r="X39" i="14"/>
  <c r="X96" i="14"/>
  <c r="X64" i="14"/>
  <c r="X102" i="14"/>
  <c r="X53" i="14"/>
  <c r="X69" i="14"/>
  <c r="W86" i="14"/>
  <c r="W19" i="14"/>
  <c r="X75" i="14"/>
  <c r="W22" i="14"/>
  <c r="X89" i="14"/>
  <c r="V85" i="14"/>
  <c r="V74" i="14"/>
  <c r="Y7" i="14"/>
  <c r="X29" i="14"/>
  <c r="Y51" i="14"/>
  <c r="Z76" i="14"/>
  <c r="V43" i="14"/>
  <c r="Y84" i="14"/>
  <c r="Z5" i="14"/>
  <c r="Y45" i="14"/>
  <c r="O22" i="15"/>
  <c r="Z23" i="14"/>
  <c r="V48" i="14"/>
  <c r="X111" i="14"/>
  <c r="Y32" i="14"/>
  <c r="X3" i="14"/>
  <c r="W99" i="14"/>
  <c r="X19" i="14"/>
  <c r="Y22" i="14"/>
  <c r="X79" i="14"/>
  <c r="X7" i="14"/>
  <c r="Z66" i="14"/>
  <c r="X80" i="14"/>
  <c r="X38" i="14"/>
  <c r="V84" i="14"/>
  <c r="V72" i="14"/>
  <c r="Z94" i="14"/>
  <c r="V59" i="14"/>
  <c r="X18" i="14"/>
  <c r="Y61" i="14"/>
  <c r="J36" i="15"/>
  <c r="X32" i="14"/>
  <c r="V3" i="14"/>
  <c r="V86" i="14"/>
  <c r="Y63" i="14"/>
  <c r="V58" i="14"/>
  <c r="Y85" i="14"/>
  <c r="Z15" i="14"/>
  <c r="W4" i="14"/>
  <c r="V68" i="14"/>
  <c r="Y42" i="14"/>
  <c r="J43" i="15"/>
  <c r="X92" i="14"/>
  <c r="W91" i="14"/>
  <c r="V101" i="14"/>
  <c r="X25" i="14"/>
  <c r="V97" i="14"/>
  <c r="W11" i="14"/>
  <c r="W81" i="14"/>
  <c r="W46" i="14"/>
  <c r="X49" i="14"/>
  <c r="X15" i="14"/>
  <c r="D40" i="1"/>
  <c r="W80" i="14"/>
  <c r="Y34" i="14"/>
  <c r="X4" i="14"/>
  <c r="Z96" i="14"/>
  <c r="Z69" i="14"/>
  <c r="Y77" i="14"/>
  <c r="W75" i="14"/>
  <c r="Z89" i="14"/>
  <c r="W85" i="14"/>
  <c r="Z10" i="14"/>
  <c r="Z29" i="14"/>
  <c r="Y4" i="14"/>
  <c r="V51" i="14"/>
  <c r="Y30" i="14"/>
  <c r="V42" i="14"/>
  <c r="W43" i="14"/>
  <c r="W107" i="14"/>
  <c r="X45" i="14"/>
  <c r="W23" i="14"/>
  <c r="W96" i="14"/>
  <c r="V69" i="14"/>
  <c r="V75" i="14"/>
  <c r="V37" i="14"/>
  <c r="X51" i="14"/>
  <c r="X60" i="14"/>
  <c r="V50" i="14"/>
  <c r="J44" i="15"/>
  <c r="V4" i="14"/>
  <c r="X9" i="14"/>
  <c r="Y55" i="14"/>
  <c r="X103" i="14"/>
  <c r="W101" i="14"/>
  <c r="Z97" i="14"/>
  <c r="X70" i="14"/>
  <c r="V83" i="14"/>
  <c r="V46" i="14"/>
  <c r="X26" i="14"/>
  <c r="J37" i="15"/>
  <c r="Y76" i="14"/>
  <c r="Y9" i="14"/>
  <c r="W60" i="14"/>
  <c r="Y82" i="14"/>
  <c r="Y110" i="14"/>
  <c r="V99" i="14"/>
  <c r="V89" i="14"/>
  <c r="Z56" i="14"/>
  <c r="W9" i="14"/>
  <c r="Z62" i="14"/>
  <c r="V102" i="14"/>
  <c r="X58" i="14"/>
  <c r="V36" i="14"/>
  <c r="Y91" i="14"/>
  <c r="W111" i="14"/>
  <c r="D14" i="1"/>
  <c r="X41" i="14"/>
  <c r="Y10" i="14"/>
  <c r="Z73" i="14"/>
  <c r="W65" i="14"/>
  <c r="V111" i="14"/>
  <c r="Z99" i="14"/>
  <c r="X100" i="14"/>
  <c r="J39" i="15"/>
  <c r="X34" i="14"/>
  <c r="V9" i="14"/>
  <c r="V47" i="14"/>
  <c r="Z38" i="14"/>
  <c r="Z12" i="14"/>
  <c r="Y71" i="14"/>
  <c r="Z55" i="14"/>
  <c r="Z92" i="14"/>
  <c r="W72" i="14"/>
  <c r="V60" i="14"/>
  <c r="V105" i="14"/>
  <c r="Y6" i="14"/>
  <c r="W106" i="14"/>
  <c r="Z45" i="14"/>
  <c r="Z91" i="14"/>
  <c r="X44" i="14"/>
  <c r="W95" i="14"/>
  <c r="W62" i="14"/>
  <c r="Z28" i="14"/>
  <c r="V18" i="14"/>
  <c r="Y52" i="14"/>
  <c r="Z101" i="14"/>
  <c r="Y50" i="14"/>
  <c r="Z61" i="14"/>
  <c r="V54" i="14"/>
  <c r="J33" i="15"/>
  <c r="Z25" i="14"/>
  <c r="Z111" i="14"/>
  <c r="Y96" i="14"/>
  <c r="X110" i="14"/>
  <c r="W33" i="14"/>
  <c r="X97" i="14"/>
  <c r="W57" i="14"/>
  <c r="Y102" i="14"/>
  <c r="W108" i="14"/>
  <c r="Y53" i="14"/>
  <c r="X88" i="14"/>
  <c r="X11" i="14"/>
  <c r="Y69" i="14"/>
  <c r="V87" i="14"/>
  <c r="X99" i="14"/>
  <c r="Y21" i="14"/>
  <c r="Y83" i="14"/>
  <c r="V81" i="14"/>
  <c r="D15" i="1"/>
  <c r="V63" i="14"/>
  <c r="Z78" i="14"/>
  <c r="X13" i="14"/>
  <c r="Y46" i="14"/>
  <c r="V113" i="14"/>
  <c r="Z41" i="14"/>
  <c r="W58" i="14"/>
  <c r="W93" i="14"/>
  <c r="Y26" i="14"/>
  <c r="Y49" i="14"/>
  <c r="X85" i="14"/>
  <c r="Y37" i="14"/>
  <c r="W17" i="14"/>
  <c r="V100" i="14"/>
  <c r="V10" i="14"/>
  <c r="V15" i="14"/>
  <c r="J28" i="15"/>
  <c r="Y56" i="14"/>
  <c r="Z109" i="14"/>
  <c r="Z4" i="14"/>
  <c r="X31" i="14"/>
  <c r="W98" i="14"/>
  <c r="Z35" i="14"/>
  <c r="Y68" i="14"/>
  <c r="V73" i="14"/>
  <c r="Z104" i="14"/>
  <c r="V80" i="14"/>
  <c r="C24" i="1"/>
  <c r="Z47" i="14"/>
  <c r="V12" i="14"/>
  <c r="V55" i="14"/>
  <c r="Z72" i="14"/>
  <c r="W45" i="14"/>
  <c r="X59" i="14"/>
  <c r="Y95" i="14"/>
  <c r="V52" i="14"/>
  <c r="X61" i="14"/>
  <c r="V96" i="14"/>
  <c r="W110" i="14"/>
  <c r="X108" i="14"/>
  <c r="W88" i="14"/>
  <c r="V21" i="14"/>
  <c r="W63" i="14"/>
  <c r="V78" i="14"/>
  <c r="Y41" i="14"/>
  <c r="W89" i="14"/>
  <c r="Z37" i="14"/>
  <c r="W10" i="14"/>
  <c r="W56" i="14"/>
  <c r="V98" i="14"/>
  <c r="W73" i="14"/>
  <c r="X76" i="14"/>
  <c r="C25" i="1"/>
  <c r="AA2" i="14" a="1"/>
  <c r="D27" i="1"/>
  <c r="T42" i="14" l="1"/>
  <c r="M28" i="15"/>
  <c r="T80" i="14"/>
  <c r="T104" i="14"/>
  <c r="T76" i="14"/>
  <c r="T73" i="14"/>
  <c r="T30" i="14"/>
  <c r="T68" i="14"/>
  <c r="T35" i="14"/>
  <c r="T51" i="14"/>
  <c r="T98" i="14"/>
  <c r="T31" i="14"/>
  <c r="AA60" i="14"/>
  <c r="AA32" i="14"/>
  <c r="AA95" i="14"/>
  <c r="AA27" i="14"/>
  <c r="AA83" i="14"/>
  <c r="AA112" i="14"/>
  <c r="AA40" i="14"/>
  <c r="AA81" i="14"/>
  <c r="AA31" i="14"/>
  <c r="AA107" i="14"/>
  <c r="AA82" i="14"/>
  <c r="AA3" i="14"/>
  <c r="AA103" i="14"/>
  <c r="AA45" i="14"/>
  <c r="AA91" i="14"/>
  <c r="AA99" i="14"/>
  <c r="AA50" i="14"/>
  <c r="AA17" i="14"/>
  <c r="AA30" i="14"/>
  <c r="AA73" i="14"/>
  <c r="AA100" i="14"/>
  <c r="AA78" i="14"/>
  <c r="AA76" i="14"/>
  <c r="AA84" i="14"/>
  <c r="AA36" i="14"/>
  <c r="AA67" i="14"/>
  <c r="AA22" i="14"/>
  <c r="AA51" i="14"/>
  <c r="AA75" i="14"/>
  <c r="AA28" i="14"/>
  <c r="AA92" i="14"/>
  <c r="AA53" i="14"/>
  <c r="AA68" i="14"/>
  <c r="AA9" i="14"/>
  <c r="AA11" i="14"/>
  <c r="AA77" i="14"/>
  <c r="AA26" i="14"/>
  <c r="AA12" i="14"/>
  <c r="AA25" i="14"/>
  <c r="AA2" i="14"/>
  <c r="AA15" i="14"/>
  <c r="AA94" i="14"/>
  <c r="AA16" i="14"/>
  <c r="AA108" i="14"/>
  <c r="AA96" i="14"/>
  <c r="AA4" i="14"/>
  <c r="AA6" i="14"/>
  <c r="AA104" i="14"/>
  <c r="AA38" i="14"/>
  <c r="AA101" i="14"/>
  <c r="AA86" i="14"/>
  <c r="AA10" i="14"/>
  <c r="AA29" i="14"/>
  <c r="AA63" i="14"/>
  <c r="AA54" i="14"/>
  <c r="AA21" i="14"/>
  <c r="AA20" i="14"/>
  <c r="AA70" i="14"/>
  <c r="AA72" i="14"/>
  <c r="AA37" i="14"/>
  <c r="AA43" i="14"/>
  <c r="AA66" i="14"/>
  <c r="AA111" i="14"/>
  <c r="AA88" i="14"/>
  <c r="AA61" i="14"/>
  <c r="AA62" i="14"/>
  <c r="AA80" i="14"/>
  <c r="AA89" i="14"/>
  <c r="AA98" i="14"/>
  <c r="AA58" i="14"/>
  <c r="AA69" i="14"/>
  <c r="AA102" i="14"/>
  <c r="AA59" i="14"/>
  <c r="AA74" i="14"/>
  <c r="AA65" i="14"/>
  <c r="AA90" i="14"/>
  <c r="AA24" i="14"/>
  <c r="AA14" i="14"/>
  <c r="AA48" i="14"/>
  <c r="AA34" i="14"/>
  <c r="AA110" i="14"/>
  <c r="AA46" i="14"/>
  <c r="AA79" i="14"/>
  <c r="AA97" i="14"/>
  <c r="AA106" i="14"/>
  <c r="AA13" i="14"/>
  <c r="AA41" i="14"/>
  <c r="AA85" i="14"/>
  <c r="AA57" i="14"/>
  <c r="AA5" i="14"/>
  <c r="AA56" i="14"/>
  <c r="AA52" i="14"/>
  <c r="AA8" i="14"/>
  <c r="AA49" i="14"/>
  <c r="AA105" i="14"/>
  <c r="AA109" i="14"/>
  <c r="AA64" i="14"/>
  <c r="AA35" i="14"/>
  <c r="AA7" i="14"/>
  <c r="AA39" i="14"/>
  <c r="AA47" i="14"/>
  <c r="AA33" i="14"/>
  <c r="AA71" i="14"/>
  <c r="AA42" i="14"/>
  <c r="AA55" i="14"/>
  <c r="AA44" i="14"/>
  <c r="AA93" i="14"/>
  <c r="AA87" i="14"/>
  <c r="AA113" i="14"/>
  <c r="AA19" i="14"/>
  <c r="AA23" i="14"/>
  <c r="AA18" i="14"/>
  <c r="T66" i="14"/>
  <c r="T4" i="14"/>
  <c r="T109" i="14"/>
  <c r="T29" i="14"/>
  <c r="M41" i="15"/>
  <c r="T56" i="14"/>
  <c r="M26" i="15"/>
  <c r="M34" i="15"/>
  <c r="M42" i="15"/>
  <c r="M24" i="15"/>
  <c r="T90" i="14"/>
  <c r="T15" i="14"/>
  <c r="T7" i="14"/>
  <c r="T10" i="14"/>
  <c r="M36" i="15"/>
  <c r="T100" i="14"/>
  <c r="M33" i="15"/>
  <c r="T17" i="14"/>
  <c r="T74" i="14"/>
  <c r="T37" i="14"/>
  <c r="T16" i="14"/>
  <c r="T85" i="14"/>
  <c r="T49" i="14"/>
  <c r="T79" i="14"/>
  <c r="T26" i="14"/>
  <c r="T93" i="14"/>
  <c r="T89" i="14"/>
  <c r="T58" i="14"/>
  <c r="T112" i="14"/>
  <c r="T41" i="14"/>
  <c r="T113" i="14"/>
  <c r="T22" i="14"/>
  <c r="T46" i="14"/>
  <c r="T13" i="14"/>
  <c r="T75" i="14"/>
  <c r="T78" i="14"/>
  <c r="T20" i="14"/>
  <c r="T63" i="14"/>
  <c r="M23" i="15"/>
  <c r="M30" i="15"/>
  <c r="M38" i="15"/>
  <c r="T19" i="14"/>
  <c r="T81" i="14"/>
  <c r="T77" i="14"/>
  <c r="T83" i="14"/>
  <c r="T21" i="14"/>
  <c r="T86" i="14"/>
  <c r="T99" i="14"/>
  <c r="T87" i="14"/>
  <c r="M40" i="15"/>
  <c r="T14" i="14"/>
  <c r="T69" i="14"/>
  <c r="T11" i="14"/>
  <c r="T70" i="14"/>
  <c r="T88" i="14"/>
  <c r="T53" i="14"/>
  <c r="T3" i="14"/>
  <c r="T108" i="14"/>
  <c r="T27" i="14"/>
  <c r="T102" i="14"/>
  <c r="T57" i="14"/>
  <c r="T32" i="14"/>
  <c r="T97" i="14"/>
  <c r="T33" i="14"/>
  <c r="T64" i="14"/>
  <c r="T110" i="14"/>
  <c r="T8" i="14"/>
  <c r="T96" i="14"/>
  <c r="M27" i="15"/>
  <c r="M43" i="15"/>
  <c r="T111" i="14"/>
  <c r="T25" i="14"/>
  <c r="M32" i="15"/>
  <c r="T67" i="14"/>
  <c r="M29" i="15"/>
  <c r="T39" i="14"/>
  <c r="T54" i="14"/>
  <c r="T48" i="14"/>
  <c r="T61" i="14"/>
  <c r="M37" i="15"/>
  <c r="T50" i="14"/>
  <c r="T24" i="14"/>
  <c r="T101" i="14"/>
  <c r="T52" i="14"/>
  <c r="T23" i="14"/>
  <c r="T18" i="14"/>
  <c r="T28" i="14"/>
  <c r="T82" i="14"/>
  <c r="T62" i="14"/>
  <c r="T95" i="14"/>
  <c r="T44" i="14"/>
  <c r="T59" i="14"/>
  <c r="T91" i="14"/>
  <c r="T103" i="14"/>
  <c r="T45" i="14"/>
  <c r="T106" i="14"/>
  <c r="T94" i="14"/>
  <c r="T6" i="14"/>
  <c r="T105" i="14"/>
  <c r="T65" i="14"/>
  <c r="T60" i="14"/>
  <c r="T5" i="14"/>
  <c r="T72" i="14"/>
  <c r="T92" i="14"/>
  <c r="T107" i="14"/>
  <c r="T55" i="14"/>
  <c r="T71" i="14"/>
  <c r="T84" i="14"/>
  <c r="T12" i="14"/>
  <c r="T40" i="14"/>
  <c r="T38" i="14"/>
  <c r="T47" i="14"/>
  <c r="T43" i="14"/>
  <c r="T9" i="14"/>
  <c r="T34" i="14"/>
  <c r="T36" i="14"/>
  <c r="M25" i="15"/>
  <c r="M31" i="15"/>
  <c r="M35" i="15"/>
  <c r="M39" i="15"/>
  <c r="D25" i="1"/>
  <c r="N41" i="15"/>
  <c r="N25" i="15"/>
  <c r="S35" i="15"/>
  <c r="T42" i="15"/>
  <c r="O28" i="15"/>
  <c r="T37" i="15"/>
  <c r="O40" i="15"/>
  <c r="T36" i="15"/>
  <c r="T39" i="15"/>
  <c r="T30" i="15"/>
  <c r="S29" i="15"/>
  <c r="S25" i="15"/>
  <c r="T35" i="15"/>
  <c r="N42" i="15"/>
  <c r="O37" i="15"/>
  <c r="N40" i="15"/>
  <c r="S39" i="15"/>
  <c r="S30" i="15"/>
  <c r="N27" i="15"/>
  <c r="S34" i="15"/>
  <c r="O31" i="15"/>
  <c r="T24" i="15"/>
  <c r="T26" i="15"/>
  <c r="O39" i="15"/>
  <c r="N29" i="15"/>
  <c r="S24" i="15"/>
  <c r="O24" i="15"/>
  <c r="S38" i="15"/>
  <c r="S27" i="15"/>
  <c r="N31" i="15"/>
  <c r="T23" i="15"/>
  <c r="S37" i="15"/>
  <c r="S41" i="15"/>
  <c r="N35" i="15"/>
  <c r="N37" i="15"/>
  <c r="N39" i="15"/>
  <c r="D24" i="1"/>
  <c r="T41" i="15"/>
  <c r="T28" i="15"/>
  <c r="S36" i="15"/>
  <c r="O29" i="15"/>
  <c r="T32" i="15"/>
  <c r="W3" i="15" a="1"/>
  <c r="T43" i="15"/>
  <c r="S32" i="15"/>
  <c r="S26" i="15"/>
  <c r="T33" i="15"/>
  <c r="O27" i="15"/>
  <c r="N32" i="15"/>
  <c r="T31" i="15"/>
  <c r="S23" i="15"/>
  <c r="N43" i="15"/>
  <c r="O32" i="15"/>
  <c r="N24" i="15"/>
  <c r="N33" i="15"/>
  <c r="T25" i="15"/>
  <c r="S28" i="15"/>
  <c r="O36" i="15"/>
  <c r="O25" i="15"/>
  <c r="O42" i="15"/>
  <c r="T40" i="15"/>
  <c r="O43" i="15"/>
  <c r="O30" i="15"/>
  <c r="T27" i="15"/>
  <c r="N34" i="15"/>
  <c r="S31" i="15"/>
  <c r="N23" i="15"/>
  <c r="T38" i="15"/>
  <c r="T34" i="15"/>
  <c r="N26" i="15"/>
  <c r="S33" i="15"/>
  <c r="O34" i="15"/>
  <c r="O26" i="15"/>
  <c r="O38" i="15"/>
  <c r="O41" i="15"/>
  <c r="O35" i="15"/>
  <c r="S42" i="15"/>
  <c r="S40" i="15"/>
  <c r="O33" i="15"/>
  <c r="N30" i="15"/>
  <c r="S43" i="15"/>
  <c r="N28" i="15"/>
  <c r="N38" i="15"/>
  <c r="N36" i="15"/>
  <c r="O23" i="15"/>
  <c r="T29" i="15"/>
  <c r="W18" i="15" l="1"/>
  <c r="W12" i="15"/>
  <c r="W9" i="15"/>
  <c r="W58" i="15"/>
  <c r="W64" i="15"/>
  <c r="W39" i="15"/>
  <c r="W38" i="15"/>
  <c r="W72" i="15"/>
  <c r="W28" i="15"/>
  <c r="W78" i="15"/>
  <c r="W57" i="15"/>
  <c r="W66" i="15"/>
  <c r="W30" i="15"/>
  <c r="W46" i="15"/>
  <c r="W83" i="15"/>
  <c r="W86" i="15"/>
  <c r="W59" i="15"/>
  <c r="W85" i="15"/>
  <c r="W8" i="15"/>
  <c r="W3" i="15"/>
  <c r="W51" i="15"/>
  <c r="W40" i="15"/>
  <c r="W16" i="15"/>
  <c r="W53" i="15"/>
  <c r="W62" i="15"/>
  <c r="W29" i="15"/>
  <c r="W10" i="15"/>
  <c r="W70" i="15"/>
  <c r="W87" i="15"/>
  <c r="W82" i="15"/>
  <c r="W7" i="15"/>
  <c r="W41" i="15"/>
  <c r="W69" i="15"/>
  <c r="W14" i="15"/>
  <c r="W88" i="15"/>
  <c r="W68" i="15"/>
  <c r="W67" i="15"/>
  <c r="W47" i="15"/>
  <c r="W80" i="15"/>
  <c r="W22" i="15"/>
  <c r="W4" i="15"/>
  <c r="W73" i="15"/>
  <c r="W45" i="15"/>
  <c r="W63" i="15"/>
  <c r="W21" i="15"/>
  <c r="W13" i="15"/>
  <c r="W36" i="15"/>
  <c r="W74" i="15"/>
  <c r="W43" i="15"/>
  <c r="W79" i="15"/>
  <c r="W11" i="15"/>
  <c r="W6" i="15"/>
  <c r="W60" i="15"/>
  <c r="W19" i="15"/>
  <c r="W42" i="15"/>
  <c r="W75" i="15"/>
  <c r="W71" i="15"/>
  <c r="W32" i="15"/>
  <c r="W44" i="15"/>
  <c r="W84" i="15"/>
  <c r="W65" i="15"/>
  <c r="W50" i="15"/>
  <c r="W35" i="15"/>
  <c r="W61" i="15"/>
  <c r="W55" i="15"/>
  <c r="W48" i="15"/>
  <c r="W76" i="15"/>
  <c r="W33" i="15"/>
  <c r="W49" i="15"/>
  <c r="W31" i="15"/>
  <c r="W54" i="15"/>
  <c r="W25" i="15"/>
  <c r="W77" i="15"/>
  <c r="W27" i="15"/>
  <c r="W23" i="15"/>
  <c r="W34" i="15"/>
  <c r="W20" i="15"/>
  <c r="W81" i="15"/>
  <c r="W26" i="15"/>
  <c r="W52" i="15"/>
  <c r="W17" i="15"/>
  <c r="W15" i="15"/>
  <c r="W56" i="15"/>
  <c r="W37" i="15"/>
  <c r="W5" i="15"/>
  <c r="W24" i="15"/>
  <c r="AB18" i="15"/>
  <c r="Z59" i="15"/>
  <c r="AA62" i="15"/>
  <c r="Z4" i="15"/>
  <c r="Z43" i="15"/>
  <c r="X55" i="15"/>
  <c r="Y17" i="15"/>
  <c r="X12" i="15"/>
  <c r="Z85" i="15"/>
  <c r="AA29" i="15"/>
  <c r="AA73" i="15"/>
  <c r="AB32" i="15"/>
  <c r="X48" i="15"/>
  <c r="Z15" i="15"/>
  <c r="X9" i="15"/>
  <c r="Z8" i="15"/>
  <c r="Z88" i="15"/>
  <c r="Z45" i="15"/>
  <c r="AB44" i="15"/>
  <c r="AA76" i="15"/>
  <c r="AA56" i="15"/>
  <c r="Y66" i="15"/>
  <c r="Z3" i="15"/>
  <c r="Y68" i="15"/>
  <c r="Y63" i="15"/>
  <c r="X84" i="15"/>
  <c r="AA34" i="15"/>
  <c r="Y37" i="15"/>
  <c r="Z30" i="15"/>
  <c r="Z51" i="15"/>
  <c r="AB67" i="15"/>
  <c r="X60" i="15"/>
  <c r="X65" i="15"/>
  <c r="Z20" i="15"/>
  <c r="Y5" i="15"/>
  <c r="AA46" i="15"/>
  <c r="X82" i="15"/>
  <c r="Z47" i="15"/>
  <c r="Y19" i="15"/>
  <c r="X50" i="15"/>
  <c r="Y81" i="15"/>
  <c r="Z38" i="15"/>
  <c r="Z83" i="15"/>
  <c r="Y7" i="15"/>
  <c r="Z80" i="15"/>
  <c r="Y42" i="15"/>
  <c r="Z54" i="15"/>
  <c r="AA26" i="15"/>
  <c r="Y86" i="15"/>
  <c r="AB53" i="15"/>
  <c r="AB22" i="15"/>
  <c r="Z75" i="15"/>
  <c r="Y61" i="15"/>
  <c r="Y52" i="15"/>
  <c r="Z18" i="15"/>
  <c r="X59" i="15"/>
  <c r="AB62" i="15"/>
  <c r="AB71" i="15"/>
  <c r="Y55" i="15"/>
  <c r="AA17" i="15"/>
  <c r="AA12" i="15"/>
  <c r="AB85" i="15"/>
  <c r="Y14" i="15"/>
  <c r="Z73" i="15"/>
  <c r="Z32" i="15"/>
  <c r="Y48" i="15"/>
  <c r="Y15" i="15"/>
  <c r="X57" i="15"/>
  <c r="AA8" i="15"/>
  <c r="AA45" i="15"/>
  <c r="Y44" i="15"/>
  <c r="AA23" i="15"/>
  <c r="AB56" i="15"/>
  <c r="AA66" i="15"/>
  <c r="AA3" i="15"/>
  <c r="Z6" i="15"/>
  <c r="Y84" i="15"/>
  <c r="AB34" i="15"/>
  <c r="Y30" i="15"/>
  <c r="Y67" i="15"/>
  <c r="Z60" i="15"/>
  <c r="AA20" i="15"/>
  <c r="AB46" i="15"/>
  <c r="AB82" i="15"/>
  <c r="AA19" i="15"/>
  <c r="AA31" i="15"/>
  <c r="AA38" i="15"/>
  <c r="AA7" i="15"/>
  <c r="X42" i="15"/>
  <c r="AA54" i="15"/>
  <c r="AB86" i="15"/>
  <c r="X41" i="15"/>
  <c r="AA75" i="15"/>
  <c r="Z52" i="15"/>
  <c r="AA59" i="15"/>
  <c r="AA4" i="15"/>
  <c r="AA55" i="15"/>
  <c r="X17" i="15"/>
  <c r="AA85" i="15"/>
  <c r="Y73" i="15"/>
  <c r="X27" i="15"/>
  <c r="AB57" i="15"/>
  <c r="Y88" i="15"/>
  <c r="AB23" i="15"/>
  <c r="X66" i="15"/>
  <c r="AB68" i="15"/>
  <c r="AB84" i="15"/>
  <c r="X34" i="15"/>
  <c r="AB30" i="15"/>
  <c r="X67" i="15"/>
  <c r="AA49" i="15"/>
  <c r="Z46" i="15"/>
  <c r="Z13" i="15"/>
  <c r="Y31" i="15"/>
  <c r="Y38" i="15"/>
  <c r="AB7" i="15"/>
  <c r="AB42" i="15"/>
  <c r="AA86" i="15"/>
  <c r="Z22" i="15"/>
  <c r="Y75" i="15"/>
  <c r="AB33" i="15"/>
  <c r="Z87" i="15"/>
  <c r="AB49" i="15"/>
  <c r="AA39" i="15"/>
  <c r="AA82" i="15"/>
  <c r="Z19" i="15"/>
  <c r="Z31" i="15"/>
  <c r="Z16" i="15"/>
  <c r="Z36" i="15"/>
  <c r="Y54" i="15"/>
  <c r="X86" i="15"/>
  <c r="Y74" i="15"/>
  <c r="AB25" i="15"/>
  <c r="AB69" i="15"/>
  <c r="Y77" i="15"/>
  <c r="AB78" i="15"/>
  <c r="Z14" i="15"/>
  <c r="X32" i="15"/>
  <c r="AA9" i="15"/>
  <c r="AA88" i="15"/>
  <c r="X76" i="15"/>
  <c r="AB66" i="15"/>
  <c r="Z63" i="15"/>
  <c r="Z34" i="15"/>
  <c r="X87" i="15"/>
  <c r="Z49" i="15"/>
  <c r="Z40" i="15"/>
  <c r="Z50" i="15"/>
  <c r="X16" i="15"/>
  <c r="AA35" i="15"/>
  <c r="Y41" i="15"/>
  <c r="X25" i="15"/>
  <c r="Y28" i="15"/>
  <c r="X71" i="15"/>
  <c r="Z78" i="15"/>
  <c r="AB29" i="15"/>
  <c r="Z27" i="15"/>
  <c r="Y10" i="15"/>
  <c r="X23" i="15"/>
  <c r="Y70" i="15"/>
  <c r="AA33" i="15"/>
  <c r="X51" i="15"/>
  <c r="Y49" i="15"/>
  <c r="AB47" i="15"/>
  <c r="AB31" i="15"/>
  <c r="AA16" i="15"/>
  <c r="Y35" i="15"/>
  <c r="AB41" i="15"/>
  <c r="AB28" i="15"/>
  <c r="AA43" i="15"/>
  <c r="AB12" i="15"/>
  <c r="AB79" i="15"/>
  <c r="X8" i="15"/>
  <c r="Z58" i="15"/>
  <c r="X63" i="15"/>
  <c r="AB37" i="15"/>
  <c r="AB21" i="15"/>
  <c r="X46" i="15"/>
  <c r="Y13" i="15"/>
  <c r="X81" i="15"/>
  <c r="Z42" i="15"/>
  <c r="Y72" i="15"/>
  <c r="Y22" i="15"/>
  <c r="X61" i="15"/>
  <c r="AB80" i="15"/>
  <c r="Z86" i="15"/>
  <c r="Y4" i="15"/>
  <c r="AB88" i="15"/>
  <c r="AA68" i="15"/>
  <c r="X37" i="15"/>
  <c r="AA87" i="15"/>
  <c r="AA65" i="15"/>
  <c r="X39" i="15"/>
  <c r="Y47" i="15"/>
  <c r="AB81" i="15"/>
  <c r="X83" i="15"/>
  <c r="AA36" i="15"/>
  <c r="AB26" i="15"/>
  <c r="AA22" i="15"/>
  <c r="AA61" i="15"/>
  <c r="Y18" i="15"/>
  <c r="AA69" i="15"/>
  <c r="Z71" i="15"/>
  <c r="X78" i="15"/>
  <c r="AB14" i="15"/>
  <c r="Y32" i="15"/>
  <c r="X15" i="15"/>
  <c r="Y8" i="15"/>
  <c r="Z11" i="15"/>
  <c r="AA44" i="15"/>
  <c r="Y56" i="15"/>
  <c r="X70" i="15"/>
  <c r="X6" i="15"/>
  <c r="Y64" i="15"/>
  <c r="AB87" i="15"/>
  <c r="AA60" i="15"/>
  <c r="AB20" i="15"/>
  <c r="Y39" i="15"/>
  <c r="Y82" i="15"/>
  <c r="AB19" i="15"/>
  <c r="AA81" i="15"/>
  <c r="AB16" i="15"/>
  <c r="X36" i="15"/>
  <c r="X54" i="15"/>
  <c r="AA72" i="15"/>
  <c r="AA41" i="15"/>
  <c r="Y25" i="15"/>
  <c r="AB52" i="15"/>
  <c r="Z64" i="15"/>
  <c r="AA30" i="15"/>
  <c r="AB60" i="15"/>
  <c r="X20" i="15"/>
  <c r="AB40" i="15"/>
  <c r="AA13" i="15"/>
  <c r="AB38" i="15"/>
  <c r="X7" i="15"/>
  <c r="X35" i="15"/>
  <c r="X72" i="15"/>
  <c r="Z41" i="15"/>
  <c r="X75" i="15"/>
  <c r="AA52" i="15"/>
  <c r="AB59" i="15"/>
  <c r="X43" i="15"/>
  <c r="Z17" i="15"/>
  <c r="X29" i="15"/>
  <c r="AA79" i="15"/>
  <c r="AB27" i="15"/>
  <c r="X10" i="15"/>
  <c r="AB11" i="15"/>
  <c r="Z23" i="15"/>
  <c r="AA70" i="15"/>
  <c r="X33" i="15"/>
  <c r="X64" i="15"/>
  <c r="Y60" i="15"/>
  <c r="AB39" i="15"/>
  <c r="Z82" i="15"/>
  <c r="X24" i="15"/>
  <c r="AA80" i="15"/>
  <c r="AB54" i="15"/>
  <c r="X74" i="15"/>
  <c r="Z62" i="15"/>
  <c r="Y43" i="15"/>
  <c r="Y12" i="15"/>
  <c r="Z79" i="15"/>
  <c r="Y9" i="15"/>
  <c r="Y76" i="15"/>
  <c r="X3" i="15"/>
  <c r="AB6" i="15"/>
  <c r="AA64" i="15"/>
  <c r="Z21" i="15"/>
  <c r="Z65" i="15"/>
  <c r="Z39" i="15"/>
  <c r="Y50" i="15"/>
  <c r="AA83" i="15"/>
  <c r="Y36" i="15"/>
  <c r="Z72" i="15"/>
  <c r="AA25" i="15"/>
  <c r="X18" i="15"/>
  <c r="X69" i="15"/>
  <c r="X77" i="15"/>
  <c r="Z48" i="15"/>
  <c r="Z9" i="15"/>
  <c r="X45" i="15"/>
  <c r="Y3" i="15"/>
  <c r="Z33" i="15"/>
  <c r="Y65" i="15"/>
  <c r="AB5" i="15"/>
  <c r="AA47" i="15"/>
  <c r="AB24" i="15"/>
  <c r="AB35" i="15"/>
  <c r="Y53" i="15"/>
  <c r="Z25" i="15"/>
  <c r="AA42" i="15"/>
  <c r="AA53" i="15"/>
  <c r="Z28" i="15"/>
  <c r="AA57" i="15"/>
  <c r="AA6" i="15"/>
  <c r="AB51" i="15"/>
  <c r="Z5" i="15"/>
  <c r="X13" i="15"/>
  <c r="X38" i="15"/>
  <c r="AB36" i="15"/>
  <c r="AB72" i="15"/>
  <c r="AB75" i="15"/>
  <c r="Z69" i="15"/>
  <c r="AB77" i="15"/>
  <c r="AA48" i="15"/>
  <c r="Y57" i="15"/>
  <c r="X11" i="15"/>
  <c r="AA58" i="15"/>
  <c r="AA63" i="15"/>
  <c r="Z37" i="15"/>
  <c r="Y87" i="15"/>
  <c r="AA5" i="15"/>
  <c r="AB13" i="15"/>
  <c r="Z24" i="15"/>
  <c r="Y80" i="15"/>
  <c r="Z26" i="15"/>
  <c r="Z61" i="15"/>
  <c r="X62" i="15"/>
  <c r="AB55" i="15"/>
  <c r="X73" i="15"/>
  <c r="AA27" i="15"/>
  <c r="Z10" i="15"/>
  <c r="X56" i="15"/>
  <c r="Z70" i="15"/>
  <c r="Z84" i="15"/>
  <c r="Z67" i="15"/>
  <c r="X49" i="15"/>
  <c r="AA40" i="15"/>
  <c r="AA50" i="15"/>
  <c r="X80" i="15"/>
  <c r="X26" i="15"/>
  <c r="AA74" i="15"/>
  <c r="Y83" i="15"/>
  <c r="Z35" i="15"/>
  <c r="X22" i="15"/>
  <c r="X28" i="15"/>
  <c r="Y59" i="15"/>
  <c r="Y69" i="15"/>
  <c r="X4" i="15"/>
  <c r="Y71" i="15"/>
  <c r="Z77" i="15"/>
  <c r="AB17" i="15"/>
  <c r="AA78" i="15"/>
  <c r="Y85" i="15"/>
  <c r="X14" i="15"/>
  <c r="Y79" i="15"/>
  <c r="AA32" i="15"/>
  <c r="Y27" i="15"/>
  <c r="AB15" i="15"/>
  <c r="Z57" i="15"/>
  <c r="AA10" i="15"/>
  <c r="X88" i="15"/>
  <c r="Y11" i="15"/>
  <c r="X44" i="15"/>
  <c r="Y23" i="15"/>
  <c r="Y58" i="15"/>
  <c r="Z66" i="15"/>
  <c r="AB70" i="15"/>
  <c r="X68" i="15"/>
  <c r="Y6" i="15"/>
  <c r="Y34" i="15"/>
  <c r="X21" i="15"/>
  <c r="Y24" i="15"/>
  <c r="AA71" i="15"/>
  <c r="X58" i="15"/>
  <c r="AA21" i="15"/>
  <c r="X31" i="15"/>
  <c r="X53" i="15"/>
  <c r="Y45" i="15"/>
  <c r="Y40" i="15"/>
  <c r="AB74" i="15"/>
  <c r="Y78" i="15"/>
  <c r="AB76" i="15"/>
  <c r="AB64" i="15"/>
  <c r="AB83" i="15"/>
  <c r="Z74" i="15"/>
  <c r="AA14" i="15"/>
  <c r="Z53" i="15"/>
  <c r="Z29" i="15"/>
  <c r="AA11" i="15"/>
  <c r="Y51" i="15"/>
  <c r="Y16" i="15"/>
  <c r="AB61" i="15"/>
  <c r="AA18" i="15"/>
  <c r="AA28" i="15"/>
  <c r="Y62" i="15"/>
  <c r="AB4" i="15"/>
  <c r="AB43" i="15"/>
  <c r="Z55" i="15"/>
  <c r="AA77" i="15"/>
  <c r="Z12" i="15"/>
  <c r="X85" i="15"/>
  <c r="Y29" i="15"/>
  <c r="AB73" i="15"/>
  <c r="X79" i="15"/>
  <c r="AB48" i="15"/>
  <c r="AA15" i="15"/>
  <c r="AB9" i="15"/>
  <c r="AB8" i="15"/>
  <c r="AB10" i="15"/>
  <c r="AB45" i="15"/>
  <c r="Z44" i="15"/>
  <c r="Z76" i="15"/>
  <c r="Z56" i="15"/>
  <c r="AB58" i="15"/>
  <c r="AB3" i="15"/>
  <c r="Z68" i="15"/>
  <c r="AB63" i="15"/>
  <c r="AA84" i="15"/>
  <c r="Y33" i="15"/>
  <c r="AA37" i="15"/>
  <c r="X30" i="15"/>
  <c r="AA51" i="15"/>
  <c r="AA67" i="15"/>
  <c r="Y21" i="15"/>
  <c r="AB65" i="15"/>
  <c r="Y20" i="15"/>
  <c r="X5" i="15"/>
  <c r="Y46" i="15"/>
  <c r="X40" i="15"/>
  <c r="X47" i="15"/>
  <c r="X19" i="15"/>
  <c r="AB50" i="15"/>
  <c r="Z81" i="15"/>
  <c r="AA24" i="15"/>
  <c r="Z7" i="15"/>
  <c r="Y26" i="15"/>
  <c r="X52" i="15"/>
  <c r="V52" i="15" l="1"/>
  <c r="V25" i="15"/>
  <c r="V61" i="15"/>
  <c r="V75" i="15"/>
  <c r="V74" i="15"/>
  <c r="V22" i="15"/>
  <c r="V41" i="15"/>
  <c r="V53" i="15"/>
  <c r="V86" i="15"/>
  <c r="V72" i="15"/>
  <c r="V26" i="15"/>
  <c r="V54" i="15"/>
  <c r="V35" i="15"/>
  <c r="V42" i="15"/>
  <c r="V36" i="15"/>
  <c r="V80" i="15"/>
  <c r="V7" i="15"/>
  <c r="V16" i="15"/>
  <c r="V83" i="15"/>
  <c r="V38" i="15"/>
  <c r="V24" i="15"/>
  <c r="V81" i="15"/>
  <c r="V31" i="15"/>
  <c r="V50" i="15"/>
  <c r="V19" i="15"/>
  <c r="V13" i="15"/>
  <c r="V47" i="15"/>
  <c r="V82" i="15"/>
  <c r="V40" i="15"/>
  <c r="V46" i="15"/>
  <c r="V39" i="15"/>
  <c r="V5" i="15"/>
  <c r="V20" i="15"/>
  <c r="V49" i="15"/>
  <c r="V65" i="15"/>
  <c r="V60" i="15"/>
  <c r="V21" i="15"/>
  <c r="V67" i="15"/>
  <c r="V87" i="15"/>
  <c r="V51" i="15"/>
  <c r="V30" i="15"/>
  <c r="V64" i="15"/>
  <c r="V37" i="15"/>
  <c r="V34" i="15"/>
  <c r="V33" i="15"/>
  <c r="V84" i="15"/>
  <c r="V6" i="15"/>
  <c r="V63" i="15"/>
  <c r="V68" i="15"/>
  <c r="V70" i="15"/>
  <c r="V3" i="15"/>
  <c r="V66" i="15"/>
  <c r="V58" i="15"/>
  <c r="V56" i="15"/>
  <c r="V23" i="15"/>
  <c r="V76" i="15"/>
  <c r="V44" i="15"/>
  <c r="V11" i="15"/>
  <c r="V45" i="15"/>
  <c r="V88" i="15"/>
  <c r="V10" i="15"/>
  <c r="V8" i="15"/>
  <c r="V57" i="15"/>
  <c r="V9" i="15"/>
  <c r="V15" i="15"/>
  <c r="V27" i="15"/>
  <c r="V48" i="15"/>
  <c r="V32" i="15"/>
  <c r="V79" i="15"/>
  <c r="V73" i="15"/>
  <c r="V14" i="15"/>
  <c r="V29" i="15"/>
  <c r="V85" i="15"/>
  <c r="V78" i="15"/>
  <c r="V12" i="15"/>
  <c r="V17" i="15"/>
  <c r="V77" i="15"/>
  <c r="V55" i="15"/>
  <c r="V71" i="15"/>
  <c r="V43" i="15"/>
  <c r="V4" i="15"/>
  <c r="V69" i="15"/>
  <c r="V62" i="15"/>
  <c r="V59" i="15"/>
  <c r="V28" i="15"/>
  <c r="V18" i="15"/>
  <c r="H41" i="1" l="1"/>
  <c r="C26" i="1"/>
  <c r="H26" i="1"/>
  <c r="C56" i="1"/>
  <c r="C41" i="1"/>
  <c r="D41" i="1"/>
  <c r="I41" i="1"/>
  <c r="D26" i="1"/>
  <c r="D56" i="1"/>
  <c r="I14" i="1" l="1"/>
  <c r="AC2" i="15" a="1"/>
  <c r="I15" i="1"/>
  <c r="H24" i="1"/>
  <c r="I24" i="1"/>
  <c r="H25" i="1"/>
  <c r="I25" i="1"/>
  <c r="I27" i="1"/>
  <c r="I26" i="1"/>
  <c r="AC17" i="15" l="1"/>
  <c r="AC81" i="15"/>
  <c r="AC4" i="15"/>
  <c r="AC28" i="15"/>
  <c r="AC14" i="15"/>
  <c r="AC44" i="15"/>
  <c r="AC45" i="15"/>
  <c r="AC66" i="15"/>
  <c r="AC18" i="15"/>
  <c r="AC52" i="15"/>
  <c r="AC51" i="15"/>
  <c r="AC2" i="15"/>
  <c r="AC10" i="15"/>
  <c r="AC76" i="15"/>
  <c r="AC50" i="15"/>
  <c r="AC27" i="15"/>
  <c r="AC32" i="15"/>
  <c r="AC56" i="15"/>
  <c r="AC80" i="15"/>
  <c r="AC63" i="15"/>
  <c r="AC72" i="15"/>
  <c r="AC48" i="15"/>
  <c r="AC31" i="15"/>
  <c r="AC53" i="15"/>
  <c r="AC3" i="15"/>
  <c r="AC15" i="15"/>
  <c r="AC84" i="15"/>
  <c r="AC88" i="15"/>
  <c r="AC83" i="15"/>
  <c r="AC59" i="15"/>
  <c r="AC33" i="15"/>
  <c r="AC49" i="15"/>
  <c r="AC42" i="15"/>
  <c r="AC64" i="15"/>
  <c r="AC71" i="15"/>
  <c r="AC25" i="15"/>
  <c r="AC58" i="15"/>
  <c r="AC5" i="15"/>
  <c r="AC35" i="15"/>
  <c r="AC34" i="15"/>
  <c r="AC70" i="15"/>
  <c r="AC8" i="15"/>
  <c r="AC20" i="15"/>
  <c r="AC47" i="15"/>
  <c r="AC78" i="15"/>
  <c r="AC57" i="15"/>
  <c r="AC43" i="15"/>
  <c r="AC86" i="15"/>
  <c r="AC29" i="15"/>
  <c r="AC73" i="15"/>
  <c r="AC11" i="15"/>
  <c r="AC61" i="15"/>
  <c r="AC74" i="15"/>
  <c r="AC40" i="15"/>
  <c r="AC75" i="15"/>
  <c r="AC41" i="15"/>
  <c r="AC22" i="15"/>
  <c r="AC55" i="15"/>
  <c r="AC68" i="15"/>
  <c r="AC79" i="15"/>
  <c r="AC82" i="15"/>
  <c r="AC24" i="15"/>
  <c r="AC54" i="15"/>
  <c r="AC6" i="15"/>
  <c r="AC30" i="15"/>
  <c r="AC39" i="15"/>
  <c r="AC13" i="15"/>
  <c r="AC36" i="15"/>
  <c r="AC77" i="15"/>
  <c r="AC60" i="15"/>
  <c r="AC65" i="15"/>
  <c r="AC16" i="15"/>
  <c r="AC23" i="15"/>
  <c r="AC12" i="15"/>
  <c r="AC67" i="15"/>
  <c r="AC7" i="15"/>
  <c r="AC85" i="15"/>
  <c r="AC9" i="15"/>
  <c r="AC19" i="15"/>
  <c r="AC21" i="15"/>
  <c r="AC62" i="15"/>
  <c r="AC26" i="15"/>
  <c r="AC37" i="15"/>
  <c r="AC38" i="15"/>
  <c r="AC69" i="15"/>
  <c r="AC46" i="15"/>
  <c r="AC87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6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7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7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<sst xmlns="http://schemas.openxmlformats.org/spreadsheetml/2006/main" count="1828" uniqueCount="172">
  <si>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</si>
  <si>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</si>
  <si>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</si>
  <si>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</si>
  <si>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</si>
  <si>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</si>
  <si>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</si>
  <si>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</si>
  <si>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</si>
  <si>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</si>
  <si>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</si>
  <si>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</si>
  <si>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</si>
  <si>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</si>
  <si>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</si>
  <si>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</si>
  <si>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</si>
  <si>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</si>
  <si>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</si>
  <si>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</si>
  <si>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</si>
  <si>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</si>
  <si>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</si>
  <si>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</si>
  <si>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</si>
  <si>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</si>
  <si>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</si>
  <si>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</si>
  <si>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</si>
  <si>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</si>
  <si>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</si>
  <si>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</si>
  <si>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</si>
  <si>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</si>
  <si>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</si>
  <si>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</si>
  <si>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</si>
  <si>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</si>
  <si>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</si>
  <si>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</si>
  <si>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</si>
  <si>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</si>
  <si>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</si>
  <si>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</si>
  <si>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</si>
  <si>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</si>
  <si>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</si>
  <si>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</si>
  <si>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</si>
  <si>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</si>
  <si>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</si>
  <si>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</si>
  <si>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</si>
  <si>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</si>
  <si>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</si>
  <si>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</si>
  <si>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</si>
  <si>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</si>
  <si>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</si>
  <si>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</si>
  <si>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</si>
  <si>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</si>
  <si>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</si>
  <si>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</si>
  <si>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</si>
  <si>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</si>
  <si>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</si>
  <si>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</si>
  <si>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</si>
  <si>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</si>
  <si>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</si>
  <si>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</si>
  <si>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</si>
  <si>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</si>
  <si>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</si>
  <si>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</si>
  <si>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</si>
  <si>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</si>
  <si>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</si>
  <si>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</si>
  <si>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</si>
  <si>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</si>
  <si>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</si>
  <si>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</si>
  <si>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</si>
  <si>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</si>
  <si>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</si>
  <si>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</si>
  <si>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</si>
  <si>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</si>
  <si>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</si>
  <si>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</si>
  <si>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</si>
  <si>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</si>
  <si>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</si>
  <si>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</si>
  <si>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</si>
  <si>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</si>
  <si>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</si>
  <si>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</si>
  <si>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</si>
  <si>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</si>
  <si>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</si>
  <si>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</si>
  <si>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</si>
  <si>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FedFunds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</si>
  <si>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</si>
  <si>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</si>
  <si>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</si>
  <si>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</si>
  <si>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</si>
  <si>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</si>
  <si>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</si>
  <si>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</si>
  <si>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</si>
  <si>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</si>
  <si>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</si>
  <si>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</si>
  <si>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</si>
  <si>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</si>
  <si>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</si>
  <si>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</si>
  <si>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</si>
  <si>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</si>
  <si>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</si>
  <si>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</si>
  <si>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</si>
  <si>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</si>
  <si>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</si>
  <si>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</si>
  <si>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</si>
  <si>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</si>
  <si>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</si>
  <si>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</si>
  <si>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</si>
  <si>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</si>
  <si>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</si>
  <si>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</si>
  <si>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</si>
  <si>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</si>
  <si>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</si>
  <si>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</si>
  <si>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</si>
  <si>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</si>
  <si>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</si>
  <si>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</si>
  <si>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</si>
  <si>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</si>
  <si>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</si>
  <si>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</si>
  <si>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</si>
  <si>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</si>
  <si>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</si>
  <si>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qlFraRateHelper(,H12,B12&amp;"M",G12,PillarDate,,Permanent,Trigger,ObjectOverwrite)</t>
  </si>
  <si>
    <t>qlSwapRateHelper2(,H90,,B90&amp;"M",JoinCalendar,USD3M!D90,USD3M!E90,USD3M!F90,USD3M!G90,USD3M!I90,USD3M!C90,Discounting,PillarDate,,Permanent,Trigger,ObjectOverwrite)</t>
  </si>
  <si>
    <t>55Y</t>
  </si>
  <si>
    <t>6L</t>
  </si>
  <si>
    <t>12M</t>
  </si>
  <si>
    <t>X1S</t>
  </si>
  <si>
    <t>1L</t>
  </si>
  <si>
    <t>BasSw</t>
  </si>
  <si>
    <t>12L</t>
  </si>
  <si>
    <t>Extrapolation</t>
  </si>
  <si>
    <t>USDFedFunds</t>
  </si>
  <si>
    <t>BasOIS</t>
  </si>
  <si>
    <t>FF</t>
  </si>
  <si>
    <t>Quarterly</t>
  </si>
  <si>
    <t>MeanReversion</t>
  </si>
  <si>
    <t>Volatility</t>
  </si>
  <si>
    <t>LI</t>
  </si>
  <si>
    <t>ExactFormula</t>
  </si>
  <si>
    <t>ArithmeticFF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</si>
</sst>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200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168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8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3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3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right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8" fontId="3" fillId="2" borderId="3" xfId="1" applyNumberFormat="1" applyFont="1" applyFill="1" applyBorder="1" applyAlignment="1">
      <alignment horizontal="center"/>
    </xf>
    <xf numFmtId="168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8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2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horizontal="left"/>
    </xf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5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5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5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8" fontId="5" fillId="0" borderId="8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3" fontId="3" fillId="9" borderId="3" xfId="1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2" borderId="16" xfId="1" applyNumberFormat="1" applyFont="1" applyFill="1" applyBorder="1" applyAlignment="1">
      <alignment horizontal="center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2" borderId="17" xfId="1" applyNumberFormat="1" applyFont="1" applyFill="1" applyBorder="1" applyAlignment="1">
      <alignment horizontal="center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0" fontId="3" fillId="7" borderId="12" xfId="0" applyFont="1" applyFill="1" applyBorder="1" applyAlignment="1">
      <alignment horizontal="center" vertical="center"/>
    </xf>
    <xf numFmtId="168" fontId="5" fillId="8" borderId="0" xfId="0" applyNumberFormat="1" applyFont="1" applyFill="1"/>
    <xf numFmtId="10" fontId="5" fillId="8" borderId="0" xfId="13" applyNumberFormat="1" applyFont="1" applyFill="1"/>
    <xf numFmtId="2" fontId="5" fillId="8" borderId="0" xfId="0" applyNumberFormat="1" applyFont="1" applyFill="1"/>
    <xf numFmtId="0" fontId="3" fillId="4" borderId="8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22" fontId="3" fillId="6" borderId="15" xfId="1" applyNumberFormat="1" applyFont="1" applyFill="1" applyBorder="1" applyAlignment="1">
      <alignment horizontal="center"/>
    </xf>
    <xf numFmtId="11" fontId="5" fillId="8" borderId="0" xfId="0" applyNumberFormat="1" applyFont="1" applyFill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F3L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6">
          <cell r="D6" t="str">
            <v>USDON#0000</v>
          </cell>
        </row>
        <row r="8">
          <cell r="D8" t="str">
            <v>USD1M#0000</v>
          </cell>
        </row>
        <row r="10">
          <cell r="D10" t="str">
            <v>USD3M#0000</v>
          </cell>
        </row>
        <row r="11">
          <cell r="D11" t="str">
            <v>USD6M#0000</v>
          </cell>
        </row>
        <row r="12">
          <cell r="D12" t="str">
            <v>USD1Y#0000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8"/>
  <sheetViews>
    <sheetView showGridLines="0" tabSelected="1" workbookViewId="0">
      <selection activeCell="D5" sqref="D5"/>
    </sheetView>
  </sheetViews>
  <sheetFormatPr defaultRowHeight="11.25" outlineLevelRow="1" x14ac:dyDescent="0.2"/>
  <cols>
    <col min="1" max="2" width="2.7109375" style="50" customWidth="1"/>
    <col min="3" max="3" width="20.28515625" style="50" bestFit="1" customWidth="1"/>
    <col min="4" max="4" width="30.7109375" style="50" customWidth="1"/>
    <col min="5" max="7" width="2.7109375" style="50" customWidth="1"/>
    <col min="8" max="8" width="20.28515625" style="50" bestFit="1" customWidth="1"/>
    <col min="9" max="9" width="30.7109375" style="50" customWidth="1"/>
    <col min="10" max="10" width="2.7109375" style="50" customWidth="1"/>
    <col min="11" max="13" width="9.140625" style="50"/>
    <col min="14" max="14" width="9.7109375" style="50" bestFit="1" customWidth="1"/>
    <col min="15" max="16384" width="9.140625" style="50"/>
  </cols>
  <sheetData>
    <row r="2" spans="1:10" x14ac:dyDescent="0.2">
      <c r="B2" s="90"/>
      <c r="C2" s="91"/>
      <c r="D2" s="91"/>
      <c r="E2" s="92"/>
      <c r="G2" s="90"/>
      <c r="H2" s="91"/>
      <c r="I2" s="91"/>
      <c r="J2" s="92"/>
    </row>
    <row r="3" spans="1:10" ht="11.25" customHeight="1" x14ac:dyDescent="0.2">
      <c r="B3" s="95"/>
      <c r="C3" s="14" t="s">
        <v>22</v>
      </c>
      <c r="D3" s="87" t="s">
        <v>36</v>
      </c>
      <c r="E3" s="93"/>
      <c r="G3" s="95"/>
      <c r="H3" s="14" t="s">
        <v>31</v>
      </c>
      <c r="I3" s="15">
        <f>_xll.qlSettingsEvaluationDate(Trigger)</f>
        <v>42480</v>
      </c>
      <c r="J3" s="93"/>
    </row>
    <row r="4" spans="1:10" ht="11.25" customHeight="1" x14ac:dyDescent="0.2">
      <c r="B4" s="95"/>
      <c r="C4" s="16" t="s">
        <v>19</v>
      </c>
      <c r="D4" s="18" t="b">
        <v>1</v>
      </c>
      <c r="E4" s="93"/>
      <c r="G4" s="95"/>
      <c r="H4" s="16" t="s">
        <v>32</v>
      </c>
      <c r="I4" s="17">
        <f>_xll.qlCalendarAdvance(Calendar,Evaluationdate,"2D","F",,Trigger)</f>
        <v>42482</v>
      </c>
      <c r="J4" s="93"/>
    </row>
    <row r="5" spans="1:10" ht="11.25" customHeight="1" x14ac:dyDescent="0.2">
      <c r="A5" s="52"/>
      <c r="B5" s="96"/>
      <c r="C5" s="22" t="s">
        <v>18</v>
      </c>
      <c r="D5" s="195"/>
      <c r="E5" s="93"/>
      <c r="G5" s="95"/>
      <c r="H5" s="16" t="s">
        <v>37</v>
      </c>
      <c r="I5" s="17" t="s">
        <v>38</v>
      </c>
      <c r="J5" s="93"/>
    </row>
    <row r="6" spans="1:10" ht="11.25" customHeight="1" x14ac:dyDescent="0.2">
      <c r="A6" s="52"/>
      <c r="B6" s="96"/>
      <c r="C6" s="16" t="s">
        <v>20</v>
      </c>
      <c r="D6" s="18" t="b">
        <v>1</v>
      </c>
      <c r="E6" s="93"/>
      <c r="G6" s="95"/>
      <c r="H6" s="16" t="s">
        <v>39</v>
      </c>
      <c r="I6" s="17" t="s">
        <v>45</v>
      </c>
      <c r="J6" s="93"/>
    </row>
    <row r="7" spans="1:10" ht="11.25" customHeight="1" x14ac:dyDescent="0.2">
      <c r="A7" s="52"/>
      <c r="B7" s="96"/>
      <c r="C7" s="16" t="s">
        <v>21</v>
      </c>
      <c r="D7" s="19" t="str">
        <f>Currency&amp;"ON"</f>
        <v>USDON</v>
      </c>
      <c r="E7" s="93"/>
      <c r="G7" s="95"/>
      <c r="H7" s="16" t="s">
        <v>40</v>
      </c>
      <c r="I7" s="17" t="s">
        <v>41</v>
      </c>
      <c r="J7" s="93"/>
    </row>
    <row r="8" spans="1:10" ht="11.25" customHeight="1" x14ac:dyDescent="0.2">
      <c r="A8" s="52"/>
      <c r="B8" s="96"/>
      <c r="C8" s="16" t="s">
        <v>43</v>
      </c>
      <c r="D8" s="19" t="s">
        <v>44</v>
      </c>
      <c r="E8" s="93"/>
      <c r="G8" s="95"/>
      <c r="H8" s="16" t="s">
        <v>42</v>
      </c>
      <c r="I8" s="89" t="str">
        <f>I5&amp;"("&amp;I6&amp;","&amp;I7&amp;")"</f>
        <v>JoinHolidays(UnitedKingdom::Exchange,UnitedStates::Settlement)</v>
      </c>
      <c r="J8" s="93" t="s">
        <v>47</v>
      </c>
    </row>
    <row r="9" spans="1:10" ht="11.25" customHeight="1" x14ac:dyDescent="0.2">
      <c r="B9" s="97"/>
      <c r="C9" s="20" t="s">
        <v>101</v>
      </c>
      <c r="D9" s="21" t="s">
        <v>102</v>
      </c>
      <c r="E9" s="93"/>
      <c r="G9" s="95"/>
      <c r="H9" s="20" t="s">
        <v>46</v>
      </c>
      <c r="I9" s="88" t="b">
        <f>IF(_xll.qlCalendarIsHoliday(LocalCalendar,_xll.qlCalendarAdvance(LiborCalendar,Evaluationdate,"2D",,,Trigger),Trigger),TRUE,FALSE)</f>
        <v>0</v>
      </c>
      <c r="J9" s="93"/>
    </row>
    <row r="10" spans="1:10" ht="11.25" customHeight="1" x14ac:dyDescent="0.2">
      <c r="B10" s="97"/>
      <c r="C10" s="20" t="s">
        <v>109</v>
      </c>
      <c r="D10" s="172" t="s">
        <v>110</v>
      </c>
      <c r="E10" s="93"/>
      <c r="G10" s="95"/>
      <c r="H10" s="22" t="s">
        <v>14</v>
      </c>
      <c r="I10" s="103" t="str">
        <f>IF(HolidayCheck,JoinCalendar,LiborCalendar)</f>
        <v>UnitedKingdom::Exchange</v>
      </c>
      <c r="J10" s="93"/>
    </row>
    <row r="11" spans="1:10" ht="11.25" customHeight="1" x14ac:dyDescent="0.2">
      <c r="B11" s="98"/>
      <c r="C11" s="99"/>
      <c r="D11" s="100"/>
      <c r="E11" s="94"/>
      <c r="G11" s="101"/>
      <c r="H11" s="99"/>
      <c r="I11" s="102"/>
      <c r="J11" s="94"/>
    </row>
    <row r="12" spans="1:10" ht="11.25" customHeight="1" x14ac:dyDescent="0.2"/>
    <row r="13" spans="1:10" x14ac:dyDescent="0.2">
      <c r="B13" s="39"/>
      <c r="C13" s="40"/>
      <c r="D13" s="40"/>
      <c r="E13" s="41"/>
      <c r="G13" s="39"/>
      <c r="H13" s="40"/>
      <c r="I13" s="40"/>
      <c r="J13" s="41"/>
    </row>
    <row r="14" spans="1:10" x14ac:dyDescent="0.2">
      <c r="B14" s="24"/>
      <c r="C14" s="23" t="s">
        <v>10</v>
      </c>
      <c r="D14" s="43" t="str">
        <f>_xll.qlPiecewiseYieldCurve($D$16,$D$17,Calendar,_xll.ohPack(USDON!U3:U56),,,,D18,D19,D20,Permanent,,ObjectOverwrite)</f>
        <v>_USDON#0020</v>
      </c>
      <c r="E14" s="44"/>
      <c r="G14" s="24"/>
      <c r="H14" s="23" t="s">
        <v>10</v>
      </c>
      <c r="I14" s="43" t="str">
        <f>_xll.qlPiecewiseYieldCurve(I16,I17,Calendar,_xll.ohPack(USD3M!W3:W88),,,,I18,I19,I20,Permanent,,ObjectOverwrite)</f>
        <v>_USD3M#0006</v>
      </c>
      <c r="J14" s="44"/>
    </row>
    <row r="15" spans="1:10" x14ac:dyDescent="0.2">
      <c r="B15" s="24"/>
      <c r="C15" s="25" t="s">
        <v>11</v>
      </c>
      <c r="D15" s="45" t="str">
        <f>_xll.ohRangeRetrieveError(YieldCurve_ON)</f>
        <v/>
      </c>
      <c r="E15" s="44"/>
      <c r="G15" s="24"/>
      <c r="H15" s="25" t="s">
        <v>11</v>
      </c>
      <c r="I15" s="45" t="str">
        <f>_xll.ohRangeRetrieveError(YieldCurve_3M)</f>
        <v/>
      </c>
      <c r="J15" s="44"/>
    </row>
    <row r="16" spans="1:10" x14ac:dyDescent="0.2">
      <c r="B16" s="24"/>
      <c r="C16" s="23" t="s">
        <v>12</v>
      </c>
      <c r="D16" s="26" t="str">
        <f>"_"&amp;Currency&amp;"ON"</f>
        <v>_USDON</v>
      </c>
      <c r="E16" s="44"/>
      <c r="G16" s="24"/>
      <c r="H16" s="23" t="s">
        <v>12</v>
      </c>
      <c r="I16" s="26" t="str">
        <f>"_"&amp;Currency&amp;"3M"</f>
        <v>_USD3M</v>
      </c>
      <c r="J16" s="44"/>
    </row>
    <row r="17" spans="1:10" x14ac:dyDescent="0.2">
      <c r="B17" s="24"/>
      <c r="C17" s="27" t="s">
        <v>13</v>
      </c>
      <c r="D17" s="28">
        <v>0</v>
      </c>
      <c r="E17" s="44"/>
      <c r="G17" s="24"/>
      <c r="H17" s="27" t="s">
        <v>13</v>
      </c>
      <c r="I17" s="28">
        <v>2</v>
      </c>
      <c r="J17" s="44"/>
    </row>
    <row r="18" spans="1:10" x14ac:dyDescent="0.2">
      <c r="B18" s="24"/>
      <c r="C18" s="27" t="s">
        <v>15</v>
      </c>
      <c r="D18" s="29"/>
      <c r="E18" s="44"/>
      <c r="G18" s="24"/>
      <c r="H18" s="27" t="s">
        <v>15</v>
      </c>
      <c r="I18" s="29"/>
      <c r="J18" s="44"/>
    </row>
    <row r="19" spans="1:10" x14ac:dyDescent="0.2">
      <c r="B19" s="24"/>
      <c r="C19" s="27" t="s">
        <v>16</v>
      </c>
      <c r="D19" s="30" t="s">
        <v>33</v>
      </c>
      <c r="E19" s="44"/>
      <c r="G19" s="24"/>
      <c r="H19" s="27" t="s">
        <v>16</v>
      </c>
      <c r="I19" s="30" t="s">
        <v>33</v>
      </c>
      <c r="J19" s="44"/>
    </row>
    <row r="20" spans="1:10" x14ac:dyDescent="0.2">
      <c r="B20" s="24"/>
      <c r="C20" s="25" t="s">
        <v>17</v>
      </c>
      <c r="D20" s="31" t="s">
        <v>48</v>
      </c>
      <c r="E20" s="44"/>
      <c r="G20" s="24"/>
      <c r="H20" s="25" t="s">
        <v>17</v>
      </c>
      <c r="I20" s="31" t="s">
        <v>48</v>
      </c>
      <c r="J20" s="44"/>
    </row>
    <row r="21" spans="1:10" outlineLevel="1" x14ac:dyDescent="0.2">
      <c r="B21" s="24"/>
      <c r="C21" s="23" t="s">
        <v>171</v>
      </c>
      <c r="D21" s="193" t="b">
        <v>1</v>
      </c>
      <c r="E21" s="44"/>
      <c r="G21" s="24"/>
      <c r="H21" s="23" t="s">
        <v>168</v>
      </c>
      <c r="I21" s="193" t="str">
        <f>Currency&amp;"HW_"&amp;H21&amp;QuoteSuffix</f>
        <v>USDHW_Volatility_Quote</v>
      </c>
      <c r="J21" s="44"/>
    </row>
    <row r="22" spans="1:10" outlineLevel="1" x14ac:dyDescent="0.2">
      <c r="B22" s="24"/>
      <c r="C22" s="25" t="s">
        <v>170</v>
      </c>
      <c r="D22" s="194" t="b">
        <v>1</v>
      </c>
      <c r="E22" s="44"/>
      <c r="G22" s="24"/>
      <c r="H22" s="25" t="s">
        <v>167</v>
      </c>
      <c r="I22" s="194" t="str">
        <f>Currency&amp;"HW_"&amp;H22&amp;QuoteSuffix</f>
        <v>USDHW_MeanReversion_Quote</v>
      </c>
      <c r="J22" s="44"/>
    </row>
    <row r="23" spans="1:10" x14ac:dyDescent="0.2">
      <c r="B23" s="24"/>
      <c r="C23" s="32"/>
      <c r="D23" s="32"/>
      <c r="E23" s="44"/>
      <c r="G23" s="24"/>
      <c r="H23" s="32"/>
      <c r="I23" s="32"/>
      <c r="J23" s="44"/>
    </row>
    <row r="24" spans="1:10" x14ac:dyDescent="0.2">
      <c r="B24" s="24"/>
      <c r="C24" s="33">
        <f>_xll.qlTermStructureReferenceDate(YieldCurve_ON)</f>
        <v>42480</v>
      </c>
      <c r="D24" s="34">
        <f>_xll.qlYieldTSDiscount(YieldCurve_ON,C24,,Trigger)</f>
        <v>1</v>
      </c>
      <c r="E24" s="44"/>
      <c r="G24" s="24"/>
      <c r="H24" s="33">
        <f>_xll.qlTermStructureReferenceDate(YieldCurve_3M)</f>
        <v>42482</v>
      </c>
      <c r="I24" s="34">
        <f>_xll.qlYieldTSDiscount(YieldCurve_3M,H24,,Trigger)</f>
        <v>1</v>
      </c>
      <c r="J24" s="44"/>
    </row>
    <row r="25" spans="1:10" x14ac:dyDescent="0.2">
      <c r="B25" s="24"/>
      <c r="C25" s="35">
        <f>_xll.qlTermStructureMaxDate(YieldCurve_ON,Trigger)</f>
        <v>60744</v>
      </c>
      <c r="D25" s="36">
        <f>_xll.qlYieldTSDiscount(YieldCurve_ON,C25,,Trigger)</f>
        <v>0.42044569279308053</v>
      </c>
      <c r="E25" s="44"/>
      <c r="G25" s="24"/>
      <c r="H25" s="35">
        <f>_xll.qlTermStructureMaxDate(YieldCurve_3M,Trigger)</f>
        <v>60744</v>
      </c>
      <c r="I25" s="36">
        <f>_xll.qlYieldTSDiscount(YieldCurve_3M,H25,,Trigger)</f>
        <v>0.34578314499312746</v>
      </c>
      <c r="J25" s="44"/>
    </row>
    <row r="26" spans="1:10" x14ac:dyDescent="0.2">
      <c r="B26" s="24"/>
      <c r="C26" s="35" t="str">
        <f>[1]Libor!$D$6</f>
        <v>USDON#0000</v>
      </c>
      <c r="D26" s="36" t="b">
        <f>_xll.qlRelinkableHandleLinkTo(C26,D14,Trigger)</f>
        <v>1</v>
      </c>
      <c r="E26" s="44"/>
      <c r="G26" s="24"/>
      <c r="H26" s="35" t="str">
        <f>[1]Libor!$D$10</f>
        <v>USD3M#0000</v>
      </c>
      <c r="I26" s="36" t="b">
        <f>_xll.qlRelinkableHandleLinkTo(H26,I14,Trigger)</f>
        <v>1</v>
      </c>
      <c r="J26" s="44"/>
    </row>
    <row r="27" spans="1:10" x14ac:dyDescent="0.2">
      <c r="B27" s="24"/>
      <c r="C27" s="37" t="s">
        <v>162</v>
      </c>
      <c r="D27" s="38" t="b">
        <f>_xll.qlExtrapolatorEnableExtrapolation(YieldCurve_ON,,Trigger)</f>
        <v>1</v>
      </c>
      <c r="E27" s="44"/>
      <c r="G27" s="24"/>
      <c r="H27" s="37" t="s">
        <v>162</v>
      </c>
      <c r="I27" s="38" t="b">
        <f>_xll.qlExtrapolatorEnableExtrapolation(YieldCurve_3M,,Trigger)</f>
        <v>1</v>
      </c>
      <c r="J27" s="44"/>
    </row>
    <row r="28" spans="1:10" x14ac:dyDescent="0.2">
      <c r="B28" s="46"/>
      <c r="C28" s="47"/>
      <c r="D28" s="47"/>
      <c r="E28" s="48"/>
      <c r="G28" s="46"/>
      <c r="H28" s="47"/>
      <c r="I28" s="47"/>
      <c r="J28" s="48"/>
    </row>
    <row r="29" spans="1:10" x14ac:dyDescent="0.2">
      <c r="A29" s="52"/>
      <c r="B29" s="52"/>
      <c r="C29" s="52"/>
      <c r="D29" s="52"/>
      <c r="E29" s="52"/>
      <c r="G29" s="52"/>
      <c r="H29" s="52"/>
      <c r="I29" s="52"/>
      <c r="J29" s="52"/>
    </row>
    <row r="30" spans="1:10" x14ac:dyDescent="0.2">
      <c r="B30" s="39"/>
      <c r="C30" s="49"/>
      <c r="D30" s="49"/>
      <c r="E30" s="41"/>
      <c r="F30" s="51"/>
      <c r="G30" s="39"/>
      <c r="H30" s="40"/>
      <c r="I30" s="40"/>
      <c r="J30" s="41"/>
    </row>
    <row r="31" spans="1:10" x14ac:dyDescent="0.2">
      <c r="B31" s="42"/>
      <c r="C31" s="23" t="s">
        <v>10</v>
      </c>
      <c r="D31" s="43" t="str">
        <f>_xll.qlPiecewiseYieldCurve(D33,D34,Calendar,_xll.ohPack(USD6M!W3:W66),,,,D35,D36,D37,Permanent,,ObjectOverwrite)</f>
        <v>_USD6M#0006</v>
      </c>
      <c r="E31" s="44"/>
      <c r="F31" s="51"/>
      <c r="G31" s="24"/>
      <c r="H31" s="23" t="s">
        <v>10</v>
      </c>
      <c r="I31" s="43" t="str">
        <f>_xll.qlPiecewiseYieldCurve(I33,I34,Calendar,_xll.ohPack(USD1M!W3:W55),,,,I35,I36,I37,Permanent,,ObjectOverwrite)</f>
        <v>_USD1M#0006</v>
      </c>
      <c r="J31" s="44"/>
    </row>
    <row r="32" spans="1:10" x14ac:dyDescent="0.2">
      <c r="B32" s="42"/>
      <c r="C32" s="25" t="s">
        <v>11</v>
      </c>
      <c r="D32" s="45" t="str">
        <f>_xll.ohRangeRetrieveError(YieldCurve_6M)</f>
        <v/>
      </c>
      <c r="E32" s="44"/>
      <c r="F32" s="51"/>
      <c r="G32" s="24"/>
      <c r="H32" s="25" t="s">
        <v>11</v>
      </c>
      <c r="I32" s="45" t="str">
        <f>_xll.ohRangeRetrieveError(YieldCurve_1M)</f>
        <v/>
      </c>
      <c r="J32" s="44"/>
    </row>
    <row r="33" spans="2:10" x14ac:dyDescent="0.2">
      <c r="B33" s="24"/>
      <c r="C33" s="23" t="s">
        <v>12</v>
      </c>
      <c r="D33" s="26" t="str">
        <f>"_"&amp;Currency&amp;"6M"</f>
        <v>_USD6M</v>
      </c>
      <c r="E33" s="44"/>
      <c r="F33" s="51"/>
      <c r="G33" s="24"/>
      <c r="H33" s="23" t="s">
        <v>12</v>
      </c>
      <c r="I33" s="26" t="str">
        <f>"_"&amp;Currency&amp;"1M"</f>
        <v>_USD1M</v>
      </c>
      <c r="J33" s="44"/>
    </row>
    <row r="34" spans="2:10" x14ac:dyDescent="0.2">
      <c r="B34" s="24"/>
      <c r="C34" s="27" t="s">
        <v>13</v>
      </c>
      <c r="D34" s="28">
        <v>2</v>
      </c>
      <c r="E34" s="44"/>
      <c r="F34" s="51"/>
      <c r="G34" s="24"/>
      <c r="H34" s="27" t="s">
        <v>13</v>
      </c>
      <c r="I34" s="28">
        <v>2</v>
      </c>
      <c r="J34" s="44"/>
    </row>
    <row r="35" spans="2:10" x14ac:dyDescent="0.2">
      <c r="B35" s="24"/>
      <c r="C35" s="27" t="s">
        <v>15</v>
      </c>
      <c r="D35" s="29"/>
      <c r="E35" s="44"/>
      <c r="F35" s="51"/>
      <c r="G35" s="24"/>
      <c r="H35" s="27" t="s">
        <v>15</v>
      </c>
      <c r="I35" s="29"/>
      <c r="J35" s="44"/>
    </row>
    <row r="36" spans="2:10" x14ac:dyDescent="0.2">
      <c r="B36" s="24"/>
      <c r="C36" s="27" t="s">
        <v>16</v>
      </c>
      <c r="D36" s="30" t="s">
        <v>33</v>
      </c>
      <c r="E36" s="44"/>
      <c r="F36" s="51"/>
      <c r="G36" s="24"/>
      <c r="H36" s="27" t="s">
        <v>16</v>
      </c>
      <c r="I36" s="30" t="s">
        <v>33</v>
      </c>
      <c r="J36" s="44"/>
    </row>
    <row r="37" spans="2:10" x14ac:dyDescent="0.2">
      <c r="B37" s="24"/>
      <c r="C37" s="25" t="s">
        <v>17</v>
      </c>
      <c r="D37" s="31" t="s">
        <v>48</v>
      </c>
      <c r="E37" s="44"/>
      <c r="F37" s="51"/>
      <c r="G37" s="24"/>
      <c r="H37" s="25" t="s">
        <v>17</v>
      </c>
      <c r="I37" s="31" t="s">
        <v>48</v>
      </c>
      <c r="J37" s="44"/>
    </row>
    <row r="38" spans="2:10" x14ac:dyDescent="0.2">
      <c r="B38" s="24"/>
      <c r="C38" s="32"/>
      <c r="D38" s="32"/>
      <c r="E38" s="44"/>
      <c r="F38" s="51"/>
      <c r="G38" s="24"/>
      <c r="H38" s="32"/>
      <c r="I38" s="32"/>
      <c r="J38" s="44"/>
    </row>
    <row r="39" spans="2:10" x14ac:dyDescent="0.2">
      <c r="B39" s="24"/>
      <c r="C39" s="33">
        <f>_xll.qlTermStructureReferenceDate(YieldCurve_6M)</f>
        <v>42482</v>
      </c>
      <c r="D39" s="34">
        <f>_xll.qlYieldTSDiscount(YieldCurve_6M,C39,,Trigger)</f>
        <v>1</v>
      </c>
      <c r="E39" s="44"/>
      <c r="F39" s="51"/>
      <c r="G39" s="24"/>
      <c r="H39" s="33">
        <f>_xll.qlTermStructureReferenceDate(YieldCurve_1M)</f>
        <v>42482</v>
      </c>
      <c r="I39" s="34">
        <f>_xll.qlYieldTSDiscount(YieldCurve_1M,H39,,Trigger)</f>
        <v>1</v>
      </c>
      <c r="J39" s="44"/>
    </row>
    <row r="40" spans="2:10" x14ac:dyDescent="0.2">
      <c r="B40" s="24"/>
      <c r="C40" s="35">
        <f>_xll.qlTermStructureMaxDate(YieldCurve_6M,Trigger)</f>
        <v>64397</v>
      </c>
      <c r="D40" s="36">
        <f>_xll.qlYieldTSDiscount(YieldCurve_6M,C40,,Trigger)</f>
        <v>0.2568235530422518</v>
      </c>
      <c r="E40" s="44"/>
      <c r="F40" s="51"/>
      <c r="G40" s="24"/>
      <c r="H40" s="35">
        <f>_xll.qlTermStructureMaxDate(YieldCurve_1M,Trigger)</f>
        <v>60744</v>
      </c>
      <c r="I40" s="36">
        <f>_xll.qlYieldTSDiscount(YieldCurve_1M,H40,,Trigger)</f>
        <v>0.36916984122777147</v>
      </c>
      <c r="J40" s="44"/>
    </row>
    <row r="41" spans="2:10" x14ac:dyDescent="0.2">
      <c r="B41" s="24"/>
      <c r="C41" s="35" t="str">
        <f>[1]Libor!$D$11</f>
        <v>USD6M#0000</v>
      </c>
      <c r="D41" s="36" t="b">
        <f>_xll.qlRelinkableHandleLinkTo(C41,D31,Trigger)</f>
        <v>1</v>
      </c>
      <c r="E41" s="44"/>
      <c r="F41" s="51"/>
      <c r="G41" s="24"/>
      <c r="H41" s="35" t="str">
        <f>[1]Libor!$D$8</f>
        <v>USD1M#0000</v>
      </c>
      <c r="I41" s="36" t="b">
        <f>_xll.qlRelinkableHandleLinkTo(H41,I31,Trigger)</f>
        <v>1</v>
      </c>
      <c r="J41" s="44"/>
    </row>
    <row r="42" spans="2:10" x14ac:dyDescent="0.2">
      <c r="B42" s="24"/>
      <c r="C42" s="37" t="s">
        <v>162</v>
      </c>
      <c r="D42" s="38" t="b">
        <v>0</v>
      </c>
      <c r="E42" s="44"/>
      <c r="F42" s="51"/>
      <c r="G42" s="24"/>
      <c r="H42" s="37" t="s">
        <v>162</v>
      </c>
      <c r="I42" s="38" t="b">
        <f>_xll.qlExtrapolatorEnableExtrapolation(YieldCurve_1M,,Trigger)</f>
        <v>1</v>
      </c>
      <c r="J42" s="44"/>
    </row>
    <row r="43" spans="2:10" x14ac:dyDescent="0.2">
      <c r="B43" s="46"/>
      <c r="C43" s="47"/>
      <c r="D43" s="47"/>
      <c r="E43" s="48"/>
      <c r="F43" s="51"/>
      <c r="G43" s="46"/>
      <c r="H43" s="47"/>
      <c r="I43" s="47"/>
      <c r="J43" s="48"/>
    </row>
    <row r="44" spans="2:10" x14ac:dyDescent="0.2">
      <c r="F44" s="51"/>
    </row>
    <row r="45" spans="2:10" x14ac:dyDescent="0.2">
      <c r="B45" s="39"/>
      <c r="C45" s="40"/>
      <c r="D45" s="40"/>
      <c r="E45" s="41"/>
      <c r="F45" s="51"/>
    </row>
    <row r="46" spans="2:10" x14ac:dyDescent="0.2">
      <c r="B46" s="24"/>
      <c r="C46" s="23" t="s">
        <v>10</v>
      </c>
      <c r="D46" s="43" t="str">
        <f>_xll.qlPiecewiseYieldCurve(D48,D49,Calendar,_xll.ohPack(USD1Y!W3:W78),,,,D50,D51,D52,Permanent,,ObjectOverwrite)</f>
        <v>_USD1Y#0006</v>
      </c>
      <c r="E46" s="44"/>
      <c r="F46" s="51"/>
    </row>
    <row r="47" spans="2:10" x14ac:dyDescent="0.2">
      <c r="B47" s="24"/>
      <c r="C47" s="25" t="s">
        <v>11</v>
      </c>
      <c r="D47" s="45" t="str">
        <f>_xll.ohRangeRetrieveError(YieldCurve_1Y)</f>
        <v/>
      </c>
      <c r="E47" s="44"/>
    </row>
    <row r="48" spans="2:10" x14ac:dyDescent="0.2">
      <c r="B48" s="24"/>
      <c r="C48" s="23" t="s">
        <v>12</v>
      </c>
      <c r="D48" s="26" t="str">
        <f>"_"&amp;Currency&amp;"1Y"</f>
        <v>_USD1Y</v>
      </c>
      <c r="E48" s="44"/>
    </row>
    <row r="49" spans="2:5" x14ac:dyDescent="0.2">
      <c r="B49" s="24"/>
      <c r="C49" s="27" t="s">
        <v>13</v>
      </c>
      <c r="D49" s="28">
        <v>2</v>
      </c>
      <c r="E49" s="44"/>
    </row>
    <row r="50" spans="2:5" x14ac:dyDescent="0.2">
      <c r="B50" s="24"/>
      <c r="C50" s="27" t="s">
        <v>15</v>
      </c>
      <c r="D50" s="29"/>
      <c r="E50" s="44"/>
    </row>
    <row r="51" spans="2:5" x14ac:dyDescent="0.2">
      <c r="B51" s="24"/>
      <c r="C51" s="27" t="s">
        <v>16</v>
      </c>
      <c r="D51" s="30" t="s">
        <v>33</v>
      </c>
      <c r="E51" s="44"/>
    </row>
    <row r="52" spans="2:5" x14ac:dyDescent="0.2">
      <c r="B52" s="24"/>
      <c r="C52" s="25" t="s">
        <v>17</v>
      </c>
      <c r="D52" s="31" t="s">
        <v>48</v>
      </c>
      <c r="E52" s="44"/>
    </row>
    <row r="53" spans="2:5" x14ac:dyDescent="0.2">
      <c r="B53" s="24"/>
      <c r="C53" s="32"/>
      <c r="D53" s="32"/>
      <c r="E53" s="44"/>
    </row>
    <row r="54" spans="2:5" x14ac:dyDescent="0.2">
      <c r="B54" s="24"/>
      <c r="C54" s="33">
        <f>_xll.qlTermStructureReferenceDate(YieldCurve_1Y)</f>
        <v>42482</v>
      </c>
      <c r="D54" s="34">
        <f>_xll.qlYieldTSDiscount(YieldCurve_1Y,C54,,Trigger)</f>
        <v>1</v>
      </c>
      <c r="E54" s="44"/>
    </row>
    <row r="55" spans="2:5" x14ac:dyDescent="0.2">
      <c r="B55" s="24"/>
      <c r="C55" s="35">
        <f>_xll.qlTermStructureMaxDate(YieldCurve_1Y,Trigger)</f>
        <v>64397</v>
      </c>
      <c r="D55" s="36">
        <f>_xll.qlYieldTSDiscount(YieldCurve_1Y,C55,,Trigger)</f>
        <v>0.22627274892729055</v>
      </c>
      <c r="E55" s="44"/>
    </row>
    <row r="56" spans="2:5" x14ac:dyDescent="0.2">
      <c r="B56" s="24"/>
      <c r="C56" s="35" t="str">
        <f>[1]Libor!$D$12</f>
        <v>USD1Y#0000</v>
      </c>
      <c r="D56" s="36" t="b">
        <f>_xll.qlRelinkableHandleLinkTo(C56,D46,Trigger)</f>
        <v>1</v>
      </c>
      <c r="E56" s="44"/>
    </row>
    <row r="57" spans="2:5" x14ac:dyDescent="0.2">
      <c r="B57" s="24"/>
      <c r="C57" s="37" t="s">
        <v>162</v>
      </c>
      <c r="D57" s="38" t="b">
        <v>0</v>
      </c>
      <c r="E57" s="44"/>
    </row>
    <row r="58" spans="2:5" x14ac:dyDescent="0.2">
      <c r="B58" s="46"/>
      <c r="C58" s="47"/>
      <c r="D58" s="47"/>
      <c r="E58" s="48"/>
    </row>
  </sheetData>
  <dataValidations count="7">
    <dataValidation type="list" allowBlank="1" showInputMessage="1" showErrorMessage="1" sqref="D36 D19 I19 I36 D51">
      <formula1>"Discount,ZeroYield,ForwardRate"</formula1>
    </dataValidation>
    <dataValidation type="list" allowBlank="1" showInputMessage="1" showErrorMessage="1" sqref="D37 D52 D20 I37 I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  <dataValidation type="list" allowBlank="1" showInputMessage="1" showErrorMessage="1" sqref="D21:D22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C142"/>
  <sheetViews>
    <sheetView showGridLines="0" topLeftCell="I1" zoomScaleNormal="100" workbookViewId="0">
      <selection activeCell="AA1" sqref="AA1"/>
    </sheetView>
  </sheetViews>
  <sheetFormatPr defaultRowHeight="11.25" outlineLevelCol="1" x14ac:dyDescent="0.2"/>
  <cols>
    <col min="1" max="1" width="7" style="50" hidden="1" customWidth="1" outlineLevel="1"/>
    <col min="2" max="2" width="6" style="55" hidden="1" customWidth="1" outlineLevel="1"/>
    <col min="3" max="4" width="10" style="54" hidden="1" customWidth="1" outlineLevel="1"/>
    <col min="5" max="5" width="12" style="56" hidden="1" customWidth="1" outlineLevel="1"/>
    <col min="6" max="6" width="16.140625" style="50" hidden="1" customWidth="1" outlineLevel="1"/>
    <col min="7" max="7" width="17.28515625" style="50" hidden="1" customWidth="1" outlineLevel="1"/>
    <col min="8" max="8" width="15.140625" style="50" hidden="1" customWidth="1" outlineLevel="1"/>
    <col min="9" max="9" width="2.7109375" style="50" customWidth="1" collapsed="1"/>
    <col min="10" max="10" width="7" style="50" hidden="1" customWidth="1" outlineLevel="1"/>
    <col min="11" max="11" width="15.140625" style="114" hidden="1" customWidth="1" outlineLevel="1"/>
    <col min="12" max="12" width="16.140625" style="114" hidden="1" customWidth="1" outlineLevel="1"/>
    <col min="13" max="13" width="8.5703125" style="114" hidden="1" customWidth="1" outlineLevel="1"/>
    <col min="14" max="14" width="7.85546875" style="114" hidden="1" customWidth="1" outlineLevel="1"/>
    <col min="15" max="15" width="9" style="114" hidden="1" customWidth="1" outlineLevel="1"/>
    <col min="16" max="16" width="5.85546875" style="114" hidden="1" customWidth="1" outlineLevel="1"/>
    <col min="17" max="18" width="10.7109375" style="114" hidden="1" customWidth="1" outlineLevel="1"/>
    <col min="19" max="19" width="2.7109375" style="52" hidden="1" customWidth="1" outlineLevel="1"/>
    <col min="20" max="20" width="6" style="50" customWidth="1" collapsed="1"/>
    <col min="21" max="21" width="10.140625" style="50" hidden="1" customWidth="1" outlineLevel="1"/>
    <col min="22" max="22" width="24.7109375" style="50" customWidth="1" collapsed="1"/>
    <col min="23" max="24" width="9.7109375" style="50" customWidth="1"/>
    <col min="25" max="26" width="17.28515625" style="50" bestFit="1" customWidth="1"/>
    <col min="27" max="27" width="12" style="50" bestFit="1" customWidth="1"/>
    <col min="28" max="55" width="17.28515625" style="50" bestFit="1" customWidth="1"/>
    <col min="56" max="80" width="9.140625" style="50"/>
    <col min="81" max="81" width="17.28515625" style="50" bestFit="1" customWidth="1"/>
    <col min="82" max="16384" width="9.140625" style="50"/>
  </cols>
  <sheetData>
    <row r="1" spans="1:81" ht="18" customHeight="1" x14ac:dyDescent="0.2">
      <c r="E1" s="54" t="s">
        <v>105</v>
      </c>
      <c r="J1" s="72" t="s">
        <v>25</v>
      </c>
      <c r="K1" s="117"/>
      <c r="L1" s="117"/>
      <c r="M1" s="117"/>
      <c r="N1" s="117"/>
      <c r="O1" s="117"/>
      <c r="P1" s="117"/>
      <c r="Q1" s="117"/>
      <c r="R1" s="107"/>
      <c r="S1" s="104"/>
      <c r="T1" s="80" t="str">
        <f>Currency&amp;Tenor</f>
        <v>USDFedFunds</v>
      </c>
      <c r="U1" s="71"/>
      <c r="V1" s="71"/>
      <c r="W1" s="74"/>
      <c r="X1" s="74"/>
      <c r="Y1" s="71"/>
      <c r="Z1" s="71"/>
      <c r="AA1" s="78" t="s">
        <v>33</v>
      </c>
    </row>
    <row r="2" spans="1:81" ht="21.75" customHeight="1" x14ac:dyDescent="0.2">
      <c r="A2" s="70" t="s">
        <v>9</v>
      </c>
      <c r="B2" s="70" t="s">
        <v>30</v>
      </c>
      <c r="C2" s="70" t="s">
        <v>108</v>
      </c>
      <c r="D2" s="70"/>
      <c r="E2" s="70" t="s">
        <v>4</v>
      </c>
      <c r="F2" s="70" t="s">
        <v>1</v>
      </c>
      <c r="G2" s="70"/>
      <c r="H2" s="70" t="s">
        <v>25</v>
      </c>
      <c r="J2" s="79" t="s">
        <v>9</v>
      </c>
      <c r="K2" s="79" t="s">
        <v>25</v>
      </c>
      <c r="L2" s="79" t="s">
        <v>112</v>
      </c>
      <c r="M2" s="79" t="s">
        <v>115</v>
      </c>
      <c r="N2" s="79" t="s">
        <v>113</v>
      </c>
      <c r="O2" s="79" t="s">
        <v>114</v>
      </c>
      <c r="P2" s="79" t="s">
        <v>116</v>
      </c>
      <c r="Q2" s="79" t="s">
        <v>23</v>
      </c>
      <c r="R2" s="79" t="s">
        <v>109</v>
      </c>
      <c r="S2" s="104"/>
      <c r="T2" s="79" t="s">
        <v>9</v>
      </c>
      <c r="U2" s="79" t="s">
        <v>25</v>
      </c>
      <c r="V2" s="79" t="s">
        <v>112</v>
      </c>
      <c r="W2" s="81" t="s">
        <v>24</v>
      </c>
      <c r="X2" s="81" t="s">
        <v>117</v>
      </c>
      <c r="Y2" s="79" t="s">
        <v>23</v>
      </c>
      <c r="Z2" s="79" t="s">
        <v>109</v>
      </c>
      <c r="AA2" s="82">
        <f t="array" ref="AA2:AA113">_xll.qlPiecewiseYieldCurveData(YieldCurve_ON,Trigger)</f>
        <v>1</v>
      </c>
      <c r="AC2" s="86"/>
      <c r="AD2" s="196"/>
    </row>
    <row r="3" spans="1:81" ht="11.25" customHeight="1" x14ac:dyDescent="0.2">
      <c r="A3" s="57" t="s">
        <v>27</v>
      </c>
      <c r="B3" s="58" t="s">
        <v>49</v>
      </c>
      <c r="C3" s="60" t="s">
        <v>6</v>
      </c>
      <c r="D3" s="135"/>
      <c r="E3" s="59" t="str">
        <f>Currency&amp;Tenor</f>
        <v>USDFedFunds</v>
      </c>
      <c r="F3" s="61" t="str">
        <f>Currency&amp;$B3&amp;"D"&amp;QuoteSuffix</f>
        <v>USDOND_Quote</v>
      </c>
      <c r="G3" s="135"/>
      <c r="H3" s="62" t="str">
        <f>_xll.qlDepositRateHelper(,F3,E3,Permanent,Trigger,ObjectOverwrite)</f>
        <v>obj_0028e#0006</v>
      </c>
      <c r="I3" s="53"/>
      <c r="J3" s="11" t="str">
        <f>A3</f>
        <v>Dp</v>
      </c>
      <c r="K3" s="105" t="str">
        <f>IF(ISBLANK(H3),"--",H3)</f>
        <v>obj_0028e#0006</v>
      </c>
      <c r="L3" s="108" t="str">
        <f>IFERROR(_xll.qlRateHelperQuoteName(K3,Trigger),"--")</f>
        <v>USDOND_Quote</v>
      </c>
      <c r="M3" s="109">
        <f>IFERROR(_xll.qlRateHelperQuoteValue($K3,Trigger),"--")</f>
        <v>3.8269999999999997E-3</v>
      </c>
      <c r="N3" s="108" t="b">
        <v>1</v>
      </c>
      <c r="O3" s="105">
        <v>70</v>
      </c>
      <c r="P3" s="105">
        <v>1</v>
      </c>
      <c r="Q3" s="110">
        <f>IFERROR(_xll.qlRateHelperEarliestDate(K3,Trigger),"--")</f>
        <v>42480</v>
      </c>
      <c r="R3" s="110">
        <f>IFERROR(_xll.qlRateHelperPillarDate(K3,Trigger),"--")</f>
        <v>42481</v>
      </c>
      <c r="T3" s="4" t="str">
        <f t="shared" ref="T3:T47" si="0">IFERROR(INDEX($J$3:$J$113,MATCH(V3,$L$3:$L$113,0),1),"")</f>
        <v>Dp</v>
      </c>
      <c r="U3" s="4" t="str">
        <f t="array" ref="U3:U113">_xll.qlRateHelperSelection(_xll.ohFilter(RateHelpers,IncludeFlag),_xll.ohFilter(Priority,IncludeFlag),,,,,_xll.ohFilter(MinDistance,IncludeFlag),Trigger)</f>
        <v>obj_0028e</v>
      </c>
      <c r="V3" s="4" t="str">
        <f>IFERROR(_xll.qlRateHelperQuoteName(U3,Trigger),"")</f>
        <v>USDOND_Quote</v>
      </c>
      <c r="W3" s="75">
        <f>IFERROR(_xll.qlRateHelperRate(U3,Trigger),"")</f>
        <v>3.8269999999999997E-3</v>
      </c>
      <c r="X3" s="115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42480</v>
      </c>
      <c r="Z3" s="5">
        <f>IFERROR(_xll.qlRateHelperPillarDate(U3,Trigger),"")</f>
        <v>42481</v>
      </c>
      <c r="AA3" s="83">
        <v>0.99998936955745188</v>
      </c>
      <c r="AC3" s="86"/>
      <c r="AD3" s="196"/>
    </row>
    <row r="4" spans="1:81" ht="11.25" customHeight="1" x14ac:dyDescent="0.2">
      <c r="A4" s="57" t="s">
        <v>27</v>
      </c>
      <c r="B4" s="58" t="s">
        <v>103</v>
      </c>
      <c r="C4" s="60" t="s">
        <v>106</v>
      </c>
      <c r="D4" s="136"/>
      <c r="E4" s="59" t="str">
        <f>Currency&amp;Tenor</f>
        <v>USDFedFunds</v>
      </c>
      <c r="F4" s="61" t="str">
        <f>Currency&amp;$B4&amp;"D"&amp;QuoteSuffix</f>
        <v>USDTND_Quote</v>
      </c>
      <c r="G4" s="136"/>
      <c r="H4" s="62"/>
      <c r="I4" s="52"/>
      <c r="J4" s="11" t="str">
        <f>A4</f>
        <v>Dp</v>
      </c>
      <c r="K4" s="105" t="str">
        <f t="shared" ref="K4:K5" si="1">IF(ISBLANK(H4),"--",H4)</f>
        <v>--</v>
      </c>
      <c r="L4" s="108" t="str">
        <f>IFERROR(_xll.qlRateHelperQuoteName(K4,Trigger),"--")</f>
        <v>--</v>
      </c>
      <c r="M4" s="109" t="str">
        <f>IFERROR(_xll.qlRateHelperQuoteValue($K4,Trigger),"--")</f>
        <v>--</v>
      </c>
      <c r="N4" s="108" t="b">
        <v>0</v>
      </c>
      <c r="O4" s="105">
        <v>70</v>
      </c>
      <c r="P4" s="105">
        <v>1</v>
      </c>
      <c r="Q4" s="110" t="str">
        <f>IFERROR(_xll.qlRateHelperEarliestDate(K4,Trigger),"--")</f>
        <v>--</v>
      </c>
      <c r="R4" s="110" t="str">
        <f>IFERROR(_xll.qlRateHelperPillarDate(K4,Trigger),"--")</f>
        <v>--</v>
      </c>
      <c r="T4" s="4" t="str">
        <f t="shared" si="0"/>
        <v>OIS</v>
      </c>
      <c r="U4" s="4" t="str">
        <v>obj_0031c</v>
      </c>
      <c r="V4" s="4" t="str">
        <f>IFERROR(_xll.qlRateHelperQuoteName(U4,Trigger),"")</f>
        <v>USDOIS1M_Quote</v>
      </c>
      <c r="W4" s="75">
        <f>IFERROR(_xll.qlRateHelperRate(U4,Trigger),"")</f>
        <v>3.63E-3</v>
      </c>
      <c r="X4" s="115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42482</v>
      </c>
      <c r="Z4" s="5">
        <f>IFERROR(_xll.qlRateHelperPillarDate(U4,Trigger),"")</f>
        <v>42513</v>
      </c>
      <c r="AA4" s="83">
        <v>0.99966630956127356</v>
      </c>
      <c r="AB4" s="190"/>
      <c r="AC4" s="86"/>
      <c r="AD4" s="196"/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190"/>
      <c r="AR4" s="190"/>
      <c r="AS4" s="190"/>
      <c r="AT4" s="190"/>
      <c r="AU4" s="190"/>
      <c r="AV4" s="190"/>
      <c r="AW4" s="190"/>
      <c r="AX4" s="190"/>
      <c r="AY4" s="190"/>
      <c r="AZ4" s="190"/>
      <c r="BA4" s="190"/>
      <c r="BB4" s="190"/>
      <c r="BC4" s="190"/>
      <c r="BD4" s="190"/>
      <c r="BE4" s="190"/>
      <c r="BF4" s="190"/>
      <c r="BG4" s="190"/>
      <c r="BH4" s="190"/>
      <c r="BI4" s="190"/>
      <c r="BJ4" s="190"/>
      <c r="BK4" s="190"/>
      <c r="BL4" s="190"/>
      <c r="BM4" s="190"/>
      <c r="BN4" s="190"/>
      <c r="BO4" s="190"/>
      <c r="BP4" s="190"/>
      <c r="BQ4" s="190"/>
      <c r="BR4" s="190"/>
      <c r="BS4" s="190"/>
      <c r="BT4" s="190"/>
      <c r="BU4" s="190"/>
      <c r="BV4" s="190"/>
      <c r="BW4" s="190"/>
      <c r="BX4" s="190"/>
      <c r="BY4" s="190"/>
      <c r="BZ4" s="190"/>
      <c r="CA4" s="190"/>
      <c r="CB4" s="190"/>
      <c r="CC4" s="190"/>
    </row>
    <row r="5" spans="1:81" ht="11.25" customHeight="1" x14ac:dyDescent="0.2">
      <c r="A5" s="1" t="s">
        <v>27</v>
      </c>
      <c r="B5" s="9" t="s">
        <v>104</v>
      </c>
      <c r="C5" s="10" t="s">
        <v>107</v>
      </c>
      <c r="D5" s="137"/>
      <c r="E5" s="7" t="str">
        <f>Currency&amp;Tenor</f>
        <v>USDFedFunds</v>
      </c>
      <c r="F5" s="2" t="str">
        <f>Currency&amp;$B5&amp;"D"&amp;QuoteSuffix</f>
        <v>USDSND_Quote</v>
      </c>
      <c r="G5" s="137"/>
      <c r="H5" s="3"/>
      <c r="I5" s="52"/>
      <c r="J5" s="12" t="str">
        <f>A5</f>
        <v>Dp</v>
      </c>
      <c r="K5" s="106" t="str">
        <f t="shared" si="1"/>
        <v>--</v>
      </c>
      <c r="L5" s="111" t="str">
        <f>IFERROR(_xll.qlRateHelperQuoteName(K5,Trigger),"--")</f>
        <v>--</v>
      </c>
      <c r="M5" s="112" t="str">
        <f>IFERROR(_xll.qlRateHelperQuoteValue($K5,Trigger),"--")</f>
        <v>--</v>
      </c>
      <c r="N5" s="111" t="b">
        <v>0</v>
      </c>
      <c r="O5" s="106">
        <v>70</v>
      </c>
      <c r="P5" s="106">
        <v>1</v>
      </c>
      <c r="Q5" s="113" t="str">
        <f>IFERROR(_xll.qlRateHelperEarliestDate(K5,Trigger),"--")</f>
        <v>--</v>
      </c>
      <c r="R5" s="113" t="str">
        <f>IFERROR(_xll.qlRateHelperPillarDate(K5,Trigger),"--")</f>
        <v>--</v>
      </c>
      <c r="T5" s="4" t="str">
        <f t="shared" si="0"/>
        <v>OIS</v>
      </c>
      <c r="U5" s="4" t="str">
        <v>obj_00322</v>
      </c>
      <c r="V5" s="4" t="str">
        <f>IFERROR(_xll.qlRateHelperQuoteName(U5,Trigger),"")</f>
        <v>USDOIS2M_Quote</v>
      </c>
      <c r="W5" s="75">
        <f>IFERROR(_xll.qlRateHelperRate(U5,Trigger),"")</f>
        <v>3.6900000000000001E-3</v>
      </c>
      <c r="X5" s="115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42482</v>
      </c>
      <c r="Z5" s="5">
        <f>IFERROR(_xll.qlRateHelperPillarDate(U5,Trigger),"")</f>
        <v>42543</v>
      </c>
      <c r="AA5" s="83">
        <v>0.99935394253517518</v>
      </c>
      <c r="AB5" s="190"/>
      <c r="AC5" s="86"/>
      <c r="AD5" s="196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0"/>
      <c r="AS5" s="190"/>
      <c r="AT5" s="190"/>
      <c r="AU5" s="190"/>
      <c r="AV5" s="190"/>
      <c r="AW5" s="190"/>
      <c r="AX5" s="190"/>
      <c r="AY5" s="190"/>
      <c r="AZ5" s="190"/>
      <c r="BA5" s="190"/>
      <c r="BB5" s="190"/>
      <c r="BC5" s="190"/>
    </row>
    <row r="6" spans="1:81" ht="11.25" customHeight="1" x14ac:dyDescent="0.2">
      <c r="I6" s="52"/>
      <c r="J6" s="11" t="str">
        <f t="shared" ref="J6:J37" si="2">A8</f>
        <v>OIS</v>
      </c>
      <c r="K6" s="105" t="str">
        <f>IF(ISBLANK(H8),"--",H8)</f>
        <v>obj_0031e#0006</v>
      </c>
      <c r="L6" s="108" t="str">
        <f>IFERROR(_xll.qlRateHelperQuoteName(K6,Trigger),"--")</f>
        <v>USDOISSW_Quote</v>
      </c>
      <c r="M6" s="109">
        <f>IFERROR(_xll.qlRateHelperQuoteValue($K6,Trigger),"--")</f>
        <v>3.5199999999999997E-3</v>
      </c>
      <c r="N6" s="108" t="b">
        <v>0</v>
      </c>
      <c r="O6" s="105">
        <v>50</v>
      </c>
      <c r="P6" s="105">
        <v>1</v>
      </c>
      <c r="Q6" s="110">
        <f>IFERROR(_xll.qlRateHelperEarliestDate(K6,Trigger),"--")</f>
        <v>42482</v>
      </c>
      <c r="R6" s="110">
        <f>IFERROR(_xll.qlRateHelperPillarDate(K6,Trigger),"--")</f>
        <v>42489</v>
      </c>
      <c r="T6" s="4" t="str">
        <f t="shared" si="0"/>
        <v>OIS</v>
      </c>
      <c r="U6" s="4" t="str">
        <v>obj_00324</v>
      </c>
      <c r="V6" s="4" t="str">
        <f>IFERROR(_xll.qlRateHelperQuoteName(U6,Trigger),"")</f>
        <v>USDOIS3M_Quote</v>
      </c>
      <c r="W6" s="75">
        <f>IFERROR(_xll.qlRateHelperRate(U6,Trigger),"")</f>
        <v>3.82E-3</v>
      </c>
      <c r="X6" s="115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42482</v>
      </c>
      <c r="Z6" s="5">
        <f>IFERROR(_xll.qlRateHelperPillarDate(U6,Trigger),"")</f>
        <v>42573</v>
      </c>
      <c r="AA6" s="83">
        <v>0.9990141294445517</v>
      </c>
      <c r="AB6" s="190"/>
      <c r="AC6" s="86"/>
      <c r="AD6" s="196"/>
      <c r="AE6" s="190"/>
      <c r="AF6" s="190"/>
      <c r="AG6" s="190"/>
      <c r="AH6" s="190"/>
      <c r="AI6" s="190"/>
      <c r="AJ6" s="190"/>
      <c r="AK6" s="190"/>
      <c r="AL6" s="190"/>
      <c r="AM6" s="190"/>
      <c r="AN6" s="190"/>
      <c r="AO6" s="190"/>
      <c r="AP6" s="190"/>
      <c r="AQ6" s="190"/>
      <c r="AR6" s="190"/>
      <c r="AS6" s="190"/>
      <c r="AT6" s="190"/>
      <c r="AU6" s="190"/>
      <c r="AV6" s="190"/>
      <c r="AW6" s="190"/>
      <c r="AX6" s="190"/>
      <c r="AY6" s="190"/>
      <c r="AZ6" s="190"/>
      <c r="BA6" s="190"/>
      <c r="BB6" s="190"/>
      <c r="BC6" s="190"/>
    </row>
    <row r="7" spans="1:81" ht="11.25" customHeight="1" x14ac:dyDescent="0.2">
      <c r="A7" s="70" t="s">
        <v>9</v>
      </c>
      <c r="B7" s="70" t="s">
        <v>30</v>
      </c>
      <c r="C7" s="70" t="s">
        <v>111</v>
      </c>
      <c r="D7" s="70"/>
      <c r="E7" s="70" t="s">
        <v>4</v>
      </c>
      <c r="F7" s="70" t="s">
        <v>1</v>
      </c>
      <c r="G7" s="70"/>
      <c r="H7" s="70" t="s">
        <v>25</v>
      </c>
      <c r="I7" s="52"/>
      <c r="J7" s="11" t="str">
        <f t="shared" si="2"/>
        <v>OIS</v>
      </c>
      <c r="K7" s="105" t="str">
        <f t="shared" ref="K7:K55" si="3">IF(ISBLANK(H9),"--",H9)</f>
        <v>obj_00326#0006</v>
      </c>
      <c r="L7" s="108" t="str">
        <f>IFERROR(_xll.qlRateHelperQuoteName(K7,Trigger),"--")</f>
        <v>USDOIS2W_Quote</v>
      </c>
      <c r="M7" s="109">
        <f>IFERROR(_xll.qlRateHelperQuoteValue($K7,Trigger),"--")</f>
        <v>3.4699999999999996E-3</v>
      </c>
      <c r="N7" s="108" t="b">
        <v>0</v>
      </c>
      <c r="O7" s="105">
        <v>50</v>
      </c>
      <c r="P7" s="105">
        <v>1</v>
      </c>
      <c r="Q7" s="110">
        <f>IFERROR(_xll.qlRateHelperEarliestDate(K7,Trigger),"--")</f>
        <v>42482</v>
      </c>
      <c r="R7" s="110">
        <f>IFERROR(_xll.qlRateHelperPillarDate(K7,Trigger),"--")</f>
        <v>42496</v>
      </c>
      <c r="T7" s="4" t="str">
        <f t="shared" si="0"/>
        <v>OIS</v>
      </c>
      <c r="U7" s="4" t="str">
        <v>obj_00321</v>
      </c>
      <c r="V7" s="4" t="str">
        <f>IFERROR(_xll.qlRateHelperQuoteName(U7,Trigger),"")</f>
        <v>USDOIS4M_Quote</v>
      </c>
      <c r="W7" s="75">
        <f>IFERROR(_xll.qlRateHelperRate(U7,Trigger),"")</f>
        <v>3.96E-3</v>
      </c>
      <c r="X7" s="115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42482</v>
      </c>
      <c r="Z7" s="5">
        <f>IFERROR(_xll.qlRateHelperPillarDate(U7,Trigger),"")</f>
        <v>42604</v>
      </c>
      <c r="AA7" s="83">
        <v>0.99863861556599776</v>
      </c>
      <c r="AB7" s="190"/>
      <c r="AC7" s="86"/>
      <c r="AD7" s="196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0"/>
      <c r="BC7" s="190"/>
    </row>
    <row r="8" spans="1:81" ht="11.25" customHeight="1" x14ac:dyDescent="0.2">
      <c r="A8" s="57" t="s">
        <v>100</v>
      </c>
      <c r="B8" s="58" t="s">
        <v>50</v>
      </c>
      <c r="C8" s="59">
        <f>IF(B8="O/N",0,IF(B8="T/N",1,2))</f>
        <v>2</v>
      </c>
      <c r="D8" s="136"/>
      <c r="E8" s="66" t="str">
        <f t="shared" ref="E8:E39" si="4">Currency&amp;Tenor</f>
        <v>USDFedFunds</v>
      </c>
      <c r="F8" s="61" t="str">
        <f t="shared" ref="F8:F39" si="5">Currency&amp;$A8&amp;IF($B8="1W","SW",$B8)&amp;QuoteSuffix</f>
        <v>USDOISSW_Quote</v>
      </c>
      <c r="G8" s="136"/>
      <c r="H8" s="62" t="str">
        <f>_xll.qlOISRateHelper(,C8,B8,F8,$E8,,Permanent,Trigger,ObjectOverwrite)</f>
        <v>obj_0031e#0006</v>
      </c>
      <c r="I8" s="52"/>
      <c r="J8" s="11" t="str">
        <f t="shared" si="2"/>
        <v>OIS</v>
      </c>
      <c r="K8" s="105" t="str">
        <f t="shared" si="3"/>
        <v>obj_00319#0006</v>
      </c>
      <c r="L8" s="108" t="str">
        <f>IFERROR(_xll.qlRateHelperQuoteName(K8,Trigger),"--")</f>
        <v>USDOIS3W_Quote</v>
      </c>
      <c r="M8" s="109">
        <f>IFERROR(_xll.qlRateHelperQuoteValue($K8,Trigger),"--")</f>
        <v>3.5499999999999998E-3</v>
      </c>
      <c r="N8" s="108" t="b">
        <v>0</v>
      </c>
      <c r="O8" s="105">
        <v>50</v>
      </c>
      <c r="P8" s="105">
        <v>1</v>
      </c>
      <c r="Q8" s="110">
        <f>IFERROR(_xll.qlRateHelperEarliestDate(K8,Trigger),"--")</f>
        <v>42482</v>
      </c>
      <c r="R8" s="110">
        <f>IFERROR(_xll.qlRateHelperPillarDate(K8,Trigger),"--")</f>
        <v>42503</v>
      </c>
      <c r="T8" s="4" t="str">
        <f t="shared" si="0"/>
        <v>OIS</v>
      </c>
      <c r="U8" s="4" t="str">
        <v>obj_00323</v>
      </c>
      <c r="V8" s="4" t="str">
        <f>IFERROR(_xll.qlRateHelperQuoteName(U8,Trigger),"")</f>
        <v>USDOIS5M_Quote</v>
      </c>
      <c r="W8" s="75">
        <f>IFERROR(_xll.qlRateHelperRate(U8,Trigger),"")</f>
        <v>4.0599999999999994E-3</v>
      </c>
      <c r="X8" s="115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42482</v>
      </c>
      <c r="Z8" s="5">
        <f>IFERROR(_xll.qlRateHelperPillarDate(U8,Trigger),"")</f>
        <v>42635</v>
      </c>
      <c r="AA8" s="83">
        <v>0.99825629734701904</v>
      </c>
      <c r="AB8" s="190"/>
      <c r="AC8" s="86"/>
      <c r="AD8" s="196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0"/>
      <c r="AS8" s="190"/>
      <c r="AT8" s="190"/>
      <c r="AU8" s="190"/>
      <c r="AV8" s="190"/>
      <c r="AW8" s="190"/>
      <c r="AX8" s="190"/>
      <c r="AY8" s="190"/>
      <c r="AZ8" s="190"/>
      <c r="BA8" s="190"/>
      <c r="BB8" s="190"/>
      <c r="BC8" s="190"/>
    </row>
    <row r="9" spans="1:81" ht="11.25" customHeight="1" x14ac:dyDescent="0.2">
      <c r="A9" s="63" t="s">
        <v>100</v>
      </c>
      <c r="B9" s="64" t="s">
        <v>51</v>
      </c>
      <c r="C9" s="65">
        <f t="shared" ref="C9:C22" si="6">IF(B9="O/N",0,IF(B9="T/N",1,2))</f>
        <v>2</v>
      </c>
      <c r="D9" s="136"/>
      <c r="E9" s="66" t="str">
        <f t="shared" si="4"/>
        <v>USDFedFunds</v>
      </c>
      <c r="F9" s="68" t="str">
        <f t="shared" si="5"/>
        <v>USDOIS2W_Quote</v>
      </c>
      <c r="G9" s="136"/>
      <c r="H9" s="69" t="str">
        <f>_xll.qlOISRateHelper(,C9,B9,F9,$E9,,Permanent,Trigger,ObjectOverwrite)</f>
        <v>obj_00326#0006</v>
      </c>
      <c r="I9" s="52"/>
      <c r="J9" s="11" t="str">
        <f t="shared" si="2"/>
        <v>OIS</v>
      </c>
      <c r="K9" s="105" t="str">
        <f t="shared" si="3"/>
        <v>obj_0031c#0006</v>
      </c>
      <c r="L9" s="108" t="str">
        <f>IFERROR(_xll.qlRateHelperQuoteName(K9,Trigger),"--")</f>
        <v>USDOIS1M_Quote</v>
      </c>
      <c r="M9" s="109">
        <f>IFERROR(_xll.qlRateHelperQuoteValue($K9,Trigger),"--")</f>
        <v>3.63E-3</v>
      </c>
      <c r="N9" s="108" t="b">
        <v>1</v>
      </c>
      <c r="O9" s="105">
        <v>50</v>
      </c>
      <c r="P9" s="105">
        <v>1</v>
      </c>
      <c r="Q9" s="110">
        <f>IFERROR(_xll.qlRateHelperEarliestDate(K9,Trigger),"--")</f>
        <v>42482</v>
      </c>
      <c r="R9" s="110">
        <f>IFERROR(_xll.qlRateHelperPillarDate(K9,Trigger),"--")</f>
        <v>42513</v>
      </c>
      <c r="T9" s="4" t="str">
        <f t="shared" si="0"/>
        <v>OIS</v>
      </c>
      <c r="U9" s="4" t="str">
        <v>obj_00325</v>
      </c>
      <c r="V9" s="4" t="str">
        <f>IFERROR(_xll.qlRateHelperQuoteName(U9,Trigger),"")</f>
        <v>USDOIS6M_Quote</v>
      </c>
      <c r="W9" s="75">
        <f>IFERROR(_xll.qlRateHelperRate(U9,Trigger),"")</f>
        <v>4.2000000000000006E-3</v>
      </c>
      <c r="X9" s="115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42482</v>
      </c>
      <c r="Z9" s="5">
        <f>IFERROR(_xll.qlRateHelperPillarDate(U9,Trigger),"")</f>
        <v>42667</v>
      </c>
      <c r="AA9" s="83">
        <v>0.99782514930750232</v>
      </c>
      <c r="AB9" s="190"/>
      <c r="AC9" s="86"/>
      <c r="AD9" s="196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0"/>
      <c r="BC9" s="190"/>
    </row>
    <row r="10" spans="1:81" ht="11.25" customHeight="1" x14ac:dyDescent="0.2">
      <c r="A10" s="63" t="s">
        <v>100</v>
      </c>
      <c r="B10" s="64" t="s">
        <v>52</v>
      </c>
      <c r="C10" s="65">
        <f t="shared" si="6"/>
        <v>2</v>
      </c>
      <c r="D10" s="136"/>
      <c r="E10" s="66" t="str">
        <f t="shared" si="4"/>
        <v>USDFedFunds</v>
      </c>
      <c r="F10" s="68" t="str">
        <f t="shared" si="5"/>
        <v>USDOIS3W_Quote</v>
      </c>
      <c r="G10" s="136"/>
      <c r="H10" s="69" t="str">
        <f>_xll.qlOISRateHelper(,C10,B10,F10,$E10,,Permanent,Trigger,ObjectOverwrite)</f>
        <v>obj_00319#0006</v>
      </c>
      <c r="I10" s="52"/>
      <c r="J10" s="11" t="str">
        <f t="shared" si="2"/>
        <v>OIS</v>
      </c>
      <c r="K10" s="105" t="str">
        <f t="shared" si="3"/>
        <v>obj_00322#0006</v>
      </c>
      <c r="L10" s="108" t="str">
        <f>IFERROR(_xll.qlRateHelperQuoteName(K10,Trigger),"--")</f>
        <v>USDOIS2M_Quote</v>
      </c>
      <c r="M10" s="109">
        <f>IFERROR(_xll.qlRateHelperQuoteValue($K10,Trigger),"--")</f>
        <v>3.6900000000000001E-3</v>
      </c>
      <c r="N10" s="108" t="b">
        <v>1</v>
      </c>
      <c r="O10" s="105">
        <v>50</v>
      </c>
      <c r="P10" s="105">
        <v>1</v>
      </c>
      <c r="Q10" s="110">
        <f>IFERROR(_xll.qlRateHelperEarliestDate(K10,Trigger),"--")</f>
        <v>42482</v>
      </c>
      <c r="R10" s="110">
        <f>IFERROR(_xll.qlRateHelperPillarDate(K10,Trigger),"--")</f>
        <v>42543</v>
      </c>
      <c r="T10" s="4" t="str">
        <f t="shared" si="0"/>
        <v>OIS</v>
      </c>
      <c r="U10" s="4" t="str">
        <v>obj_0031d</v>
      </c>
      <c r="V10" s="4" t="str">
        <f>IFERROR(_xll.qlRateHelperQuoteName(U10,Trigger),"")</f>
        <v>USDOIS7M_Quote</v>
      </c>
      <c r="W10" s="75">
        <f>IFERROR(_xll.qlRateHelperRate(U10,Trigger),"")</f>
        <v>4.2999999999999991E-3</v>
      </c>
      <c r="X10" s="115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42482</v>
      </c>
      <c r="Z10" s="5">
        <f>IFERROR(_xll.qlRateHelperPillarDate(U10,Trigger),"")</f>
        <v>42696</v>
      </c>
      <c r="AA10" s="83">
        <v>0.99742924860318938</v>
      </c>
      <c r="AB10" s="190"/>
      <c r="AC10" s="86"/>
      <c r="AD10" s="196"/>
      <c r="AE10" s="190"/>
      <c r="AF10" s="190"/>
      <c r="AG10" s="190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0"/>
      <c r="AS10" s="190"/>
      <c r="AT10" s="190"/>
      <c r="AU10" s="190"/>
      <c r="AV10" s="190"/>
      <c r="AW10" s="190"/>
      <c r="AX10" s="190"/>
      <c r="AY10" s="190"/>
      <c r="AZ10" s="190"/>
      <c r="BA10" s="190"/>
      <c r="BB10" s="190"/>
      <c r="BC10" s="190"/>
    </row>
    <row r="11" spans="1:81" ht="11.25" customHeight="1" x14ac:dyDescent="0.2">
      <c r="A11" s="63" t="s">
        <v>100</v>
      </c>
      <c r="B11" s="64" t="s">
        <v>2</v>
      </c>
      <c r="C11" s="65">
        <f t="shared" si="6"/>
        <v>2</v>
      </c>
      <c r="D11" s="136"/>
      <c r="E11" s="66" t="str">
        <f t="shared" si="4"/>
        <v>USDFedFunds</v>
      </c>
      <c r="F11" s="68" t="str">
        <f t="shared" si="5"/>
        <v>USDOIS1M_Quote</v>
      </c>
      <c r="G11" s="136"/>
      <c r="H11" s="69" t="str">
        <f>_xll.qlOISRateHelper(,C11,B11,F11,$E11,,Permanent,Trigger,ObjectOverwrite)</f>
        <v>obj_0031c#0006</v>
      </c>
      <c r="I11" s="52"/>
      <c r="J11" s="11" t="str">
        <f t="shared" si="2"/>
        <v>OIS</v>
      </c>
      <c r="K11" s="105" t="str">
        <f t="shared" si="3"/>
        <v>obj_00324#0006</v>
      </c>
      <c r="L11" s="108" t="str">
        <f>IFERROR(_xll.qlRateHelperQuoteName(K11,Trigger),"--")</f>
        <v>USDOIS3M_Quote</v>
      </c>
      <c r="M11" s="109">
        <f>IFERROR(_xll.qlRateHelperQuoteValue($K11,Trigger),"--")</f>
        <v>3.82E-3</v>
      </c>
      <c r="N11" s="108" t="b">
        <v>1</v>
      </c>
      <c r="O11" s="105">
        <v>50</v>
      </c>
      <c r="P11" s="105">
        <v>1</v>
      </c>
      <c r="Q11" s="110">
        <f>IFERROR(_xll.qlRateHelperEarliestDate(K11,Trigger),"--")</f>
        <v>42482</v>
      </c>
      <c r="R11" s="110">
        <f>IFERROR(_xll.qlRateHelperPillarDate(K11,Trigger),"--")</f>
        <v>42573</v>
      </c>
      <c r="T11" s="4" t="str">
        <f t="shared" si="0"/>
        <v>OIS</v>
      </c>
      <c r="U11" s="4" t="str">
        <v>obj_0031f</v>
      </c>
      <c r="V11" s="4" t="str">
        <f>IFERROR(_xll.qlRateHelperQuoteName(U11,Trigger),"")</f>
        <v>USDOIS8M_Quote</v>
      </c>
      <c r="W11" s="75">
        <f>IFERROR(_xll.qlRateHelperRate(U11,Trigger),"")</f>
        <v>4.4000000000000003E-3</v>
      </c>
      <c r="X11" s="115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42482</v>
      </c>
      <c r="Z11" s="5">
        <f>IFERROR(_xll.qlRateHelperPillarDate(U11,Trigger),"")</f>
        <v>42726</v>
      </c>
      <c r="AA11" s="83">
        <v>0.99700549664033267</v>
      </c>
      <c r="AB11" s="190"/>
      <c r="AC11" s="86"/>
      <c r="AD11" s="196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</row>
    <row r="12" spans="1:81" ht="11.25" customHeight="1" x14ac:dyDescent="0.2">
      <c r="A12" s="63" t="s">
        <v>100</v>
      </c>
      <c r="B12" s="64" t="s">
        <v>53</v>
      </c>
      <c r="C12" s="65">
        <f t="shared" si="6"/>
        <v>2</v>
      </c>
      <c r="D12" s="136"/>
      <c r="E12" s="66" t="str">
        <f t="shared" si="4"/>
        <v>USDFedFunds</v>
      </c>
      <c r="F12" s="68" t="str">
        <f t="shared" si="5"/>
        <v>USDOIS2M_Quote</v>
      </c>
      <c r="G12" s="136"/>
      <c r="H12" s="69" t="str">
        <f>_xll.qlOISRateHelper(,C12,B12,F12,$E12,,Permanent,Trigger,ObjectOverwrite)</f>
        <v>obj_00322#0006</v>
      </c>
      <c r="I12" s="52"/>
      <c r="J12" s="11" t="str">
        <f t="shared" si="2"/>
        <v>OIS</v>
      </c>
      <c r="K12" s="105" t="str">
        <f t="shared" si="3"/>
        <v>obj_00321#0006</v>
      </c>
      <c r="L12" s="108" t="str">
        <f>IFERROR(_xll.qlRateHelperQuoteName(K12,Trigger),"--")</f>
        <v>USDOIS4M_Quote</v>
      </c>
      <c r="M12" s="109">
        <f>IFERROR(_xll.qlRateHelperQuoteValue($K12,Trigger),"--")</f>
        <v>3.96E-3</v>
      </c>
      <c r="N12" s="108" t="b">
        <v>1</v>
      </c>
      <c r="O12" s="105">
        <v>50</v>
      </c>
      <c r="P12" s="105">
        <v>1</v>
      </c>
      <c r="Q12" s="110">
        <f>IFERROR(_xll.qlRateHelperEarliestDate(K12,Trigger),"--")</f>
        <v>42482</v>
      </c>
      <c r="R12" s="110">
        <f>IFERROR(_xll.qlRateHelperPillarDate(K12,Trigger),"--")</f>
        <v>42604</v>
      </c>
      <c r="T12" s="4" t="str">
        <f t="shared" si="0"/>
        <v>OIS</v>
      </c>
      <c r="U12" s="4" t="str">
        <v>obj_0031b</v>
      </c>
      <c r="V12" s="4" t="str">
        <f>IFERROR(_xll.qlRateHelperQuoteName(U12,Trigger),"")</f>
        <v>USDOIS9M_Quote</v>
      </c>
      <c r="W12" s="75">
        <f>IFERROR(_xll.qlRateHelperRate(U12,Trigger),"")</f>
        <v>4.5199999999999997E-3</v>
      </c>
      <c r="X12" s="115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42482</v>
      </c>
      <c r="Z12" s="5">
        <f>IFERROR(_xll.qlRateHelperPillarDate(U12,Trigger),"")</f>
        <v>42758</v>
      </c>
      <c r="AA12" s="83">
        <v>0.99652549557077319</v>
      </c>
      <c r="AB12" s="190"/>
      <c r="AC12" s="86"/>
      <c r="AD12" s="196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</row>
    <row r="13" spans="1:81" ht="11.25" customHeight="1" x14ac:dyDescent="0.2">
      <c r="A13" s="63" t="s">
        <v>100</v>
      </c>
      <c r="B13" s="64" t="s">
        <v>0</v>
      </c>
      <c r="C13" s="65">
        <f t="shared" si="6"/>
        <v>2</v>
      </c>
      <c r="D13" s="136"/>
      <c r="E13" s="66" t="str">
        <f t="shared" si="4"/>
        <v>USDFedFunds</v>
      </c>
      <c r="F13" s="68" t="str">
        <f t="shared" si="5"/>
        <v>USDOIS3M_Quote</v>
      </c>
      <c r="G13" s="136"/>
      <c r="H13" s="69" t="str">
        <f>_xll.qlOISRateHelper(,C13,B13,F13,$E13,,Permanent,Trigger,ObjectOverwrite)</f>
        <v>obj_00324#0006</v>
      </c>
      <c r="I13" s="52"/>
      <c r="J13" s="11" t="str">
        <f t="shared" si="2"/>
        <v>OIS</v>
      </c>
      <c r="K13" s="105" t="str">
        <f t="shared" si="3"/>
        <v>obj_00323#0006</v>
      </c>
      <c r="L13" s="108" t="str">
        <f>IFERROR(_xll.qlRateHelperQuoteName(K13,Trigger),"--")</f>
        <v>USDOIS5M_Quote</v>
      </c>
      <c r="M13" s="109">
        <f>IFERROR(_xll.qlRateHelperQuoteValue($K13,Trigger),"--")</f>
        <v>4.0599999999999994E-3</v>
      </c>
      <c r="N13" s="108" t="b">
        <v>1</v>
      </c>
      <c r="O13" s="105">
        <v>50</v>
      </c>
      <c r="P13" s="105">
        <v>1</v>
      </c>
      <c r="Q13" s="110">
        <f>IFERROR(_xll.qlRateHelperEarliestDate(K13,Trigger),"--")</f>
        <v>42482</v>
      </c>
      <c r="R13" s="110">
        <f>IFERROR(_xll.qlRateHelperPillarDate(K13,Trigger),"--")</f>
        <v>42635</v>
      </c>
      <c r="T13" s="4" t="str">
        <f t="shared" si="0"/>
        <v>OIS</v>
      </c>
      <c r="U13" s="4" t="str">
        <v>obj_00320</v>
      </c>
      <c r="V13" s="4" t="str">
        <f>IFERROR(_xll.qlRateHelperQuoteName(U13,Trigger),"")</f>
        <v>USDOIS10M_Quote</v>
      </c>
      <c r="W13" s="75">
        <f>IFERROR(_xll.qlRateHelperRate(U13,Trigger),"")</f>
        <v>4.62E-3</v>
      </c>
      <c r="X13" s="115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42482</v>
      </c>
      <c r="Z13" s="5">
        <f>IFERROR(_xll.qlRateHelperPillarDate(U13,Trigger),"")</f>
        <v>42788</v>
      </c>
      <c r="AA13" s="83">
        <v>0.99606723256580509</v>
      </c>
      <c r="AB13" s="190"/>
      <c r="AC13" s="86"/>
      <c r="AD13" s="196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</row>
    <row r="14" spans="1:81" ht="11.25" customHeight="1" x14ac:dyDescent="0.2">
      <c r="A14" s="63" t="s">
        <v>100</v>
      </c>
      <c r="B14" s="64" t="s">
        <v>54</v>
      </c>
      <c r="C14" s="65">
        <f t="shared" si="6"/>
        <v>2</v>
      </c>
      <c r="D14" s="136"/>
      <c r="E14" s="66" t="str">
        <f t="shared" si="4"/>
        <v>USDFedFunds</v>
      </c>
      <c r="F14" s="68" t="str">
        <f t="shared" si="5"/>
        <v>USDOIS4M_Quote</v>
      </c>
      <c r="G14" s="136"/>
      <c r="H14" s="69" t="str">
        <f>_xll.qlOISRateHelper(,C14,B14,F14,$E14,,Permanent,Trigger,ObjectOverwrite)</f>
        <v>obj_00321#0006</v>
      </c>
      <c r="I14" s="52"/>
      <c r="J14" s="11" t="str">
        <f t="shared" si="2"/>
        <v>OIS</v>
      </c>
      <c r="K14" s="105" t="str">
        <f t="shared" si="3"/>
        <v>obj_00325#0006</v>
      </c>
      <c r="L14" s="108" t="str">
        <f>IFERROR(_xll.qlRateHelperQuoteName(K14,Trigger),"--")</f>
        <v>USDOIS6M_Quote</v>
      </c>
      <c r="M14" s="109">
        <f>IFERROR(_xll.qlRateHelperQuoteValue($K14,Trigger),"--")</f>
        <v>4.2000000000000006E-3</v>
      </c>
      <c r="N14" s="108" t="b">
        <v>1</v>
      </c>
      <c r="O14" s="105">
        <v>50</v>
      </c>
      <c r="P14" s="105">
        <v>1</v>
      </c>
      <c r="Q14" s="110">
        <f>IFERROR(_xll.qlRateHelperEarliestDate(K14,Trigger),"--")</f>
        <v>42482</v>
      </c>
      <c r="R14" s="110">
        <f>IFERROR(_xll.qlRateHelperPillarDate(K14,Trigger),"--")</f>
        <v>42667</v>
      </c>
      <c r="T14" s="4" t="str">
        <f t="shared" si="0"/>
        <v>OIS</v>
      </c>
      <c r="U14" s="4" t="str">
        <v>obj_0031a</v>
      </c>
      <c r="V14" s="4" t="str">
        <f>IFERROR(_xll.qlRateHelperQuoteName(U14,Trigger),"")</f>
        <v>USDOIS11M_Quote</v>
      </c>
      <c r="W14" s="75">
        <f>IFERROR(_xll.qlRateHelperRate(U14,Trigger),"")</f>
        <v>4.7099999999999998E-3</v>
      </c>
      <c r="X14" s="115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42482</v>
      </c>
      <c r="Z14" s="5">
        <f>IFERROR(_xll.qlRateHelperPillarDate(U14,Trigger),"")</f>
        <v>42816</v>
      </c>
      <c r="AA14" s="83">
        <v>0.99562805990431924</v>
      </c>
      <c r="AB14" s="190"/>
      <c r="AC14" s="86"/>
      <c r="AD14" s="196"/>
      <c r="AE14" s="190"/>
      <c r="AF14" s="190"/>
      <c r="AG14" s="190"/>
      <c r="AH14" s="190"/>
      <c r="AI14" s="190"/>
      <c r="AJ14" s="190"/>
      <c r="AK14" s="190"/>
      <c r="AL14" s="190"/>
      <c r="AM14" s="190"/>
      <c r="AN14" s="190"/>
      <c r="AO14" s="190"/>
      <c r="AP14" s="190"/>
      <c r="AQ14" s="190"/>
      <c r="AR14" s="190"/>
      <c r="AS14" s="190"/>
      <c r="AT14" s="190"/>
      <c r="AU14" s="190"/>
      <c r="AV14" s="190"/>
      <c r="AW14" s="190"/>
      <c r="AX14" s="190"/>
      <c r="AY14" s="190"/>
      <c r="AZ14" s="190"/>
      <c r="BA14" s="190"/>
      <c r="BB14" s="190"/>
      <c r="BC14" s="190"/>
    </row>
    <row r="15" spans="1:81" ht="11.25" customHeight="1" x14ac:dyDescent="0.2">
      <c r="A15" s="63" t="s">
        <v>100</v>
      </c>
      <c r="B15" s="64" t="s">
        <v>55</v>
      </c>
      <c r="C15" s="65">
        <f t="shared" si="6"/>
        <v>2</v>
      </c>
      <c r="D15" s="136"/>
      <c r="E15" s="66" t="str">
        <f t="shared" si="4"/>
        <v>USDFedFunds</v>
      </c>
      <c r="F15" s="68" t="str">
        <f t="shared" si="5"/>
        <v>USDOIS5M_Quote</v>
      </c>
      <c r="G15" s="136"/>
      <c r="H15" s="69" t="str">
        <f>_xll.qlOISRateHelper(,C15,B15,F15,$E15,,Permanent,Trigger,ObjectOverwrite)</f>
        <v>obj_00323#0006</v>
      </c>
      <c r="I15" s="52"/>
      <c r="J15" s="11" t="str">
        <f t="shared" si="2"/>
        <v>OIS</v>
      </c>
      <c r="K15" s="105" t="str">
        <f t="shared" si="3"/>
        <v>obj_0031d#0006</v>
      </c>
      <c r="L15" s="108" t="str">
        <f>IFERROR(_xll.qlRateHelperQuoteName(K15,Trigger),"--")</f>
        <v>USDOIS7M_Quote</v>
      </c>
      <c r="M15" s="109">
        <f>IFERROR(_xll.qlRateHelperQuoteValue($K15,Trigger),"--")</f>
        <v>4.2999999999999991E-3</v>
      </c>
      <c r="N15" s="108" t="b">
        <v>1</v>
      </c>
      <c r="O15" s="105">
        <v>50</v>
      </c>
      <c r="P15" s="105">
        <v>1</v>
      </c>
      <c r="Q15" s="110">
        <f>IFERROR(_xll.qlRateHelperEarliestDate(K15,Trigger),"--")</f>
        <v>42482</v>
      </c>
      <c r="R15" s="110">
        <f>IFERROR(_xll.qlRateHelperPillarDate(K15,Trigger),"--")</f>
        <v>42696</v>
      </c>
      <c r="T15" s="4" t="str">
        <f t="shared" si="0"/>
        <v>BasOIS</v>
      </c>
      <c r="U15" s="4" t="str">
        <v>obj_00271</v>
      </c>
      <c r="V15" s="4" t="str">
        <f>IFERROR(_xll.qlRateHelperQuoteName(U15,Trigger),"")</f>
        <v>USDAM3L1Y_Quote</v>
      </c>
      <c r="W15" s="75">
        <f>IFERROR(_xll.qlRateHelperRate(U15,Trigger),"")</f>
        <v>7.5799999999999999E-3</v>
      </c>
      <c r="X15" s="115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42482</v>
      </c>
      <c r="Z15" s="5">
        <f>IFERROR(_xll.qlRateHelperPillarDate(U15,Trigger),"")</f>
        <v>42849</v>
      </c>
      <c r="AA15" s="83">
        <v>0.99507615863784826</v>
      </c>
      <c r="AB15" s="190"/>
      <c r="AC15" s="86"/>
      <c r="AD15" s="196"/>
      <c r="AE15" s="190"/>
      <c r="AF15" s="190"/>
      <c r="AG15" s="190"/>
      <c r="AH15" s="190"/>
      <c r="AI15" s="190"/>
      <c r="AJ15" s="190"/>
      <c r="AK15" s="190"/>
      <c r="AL15" s="190"/>
      <c r="AM15" s="190"/>
      <c r="AN15" s="190"/>
      <c r="AO15" s="190"/>
      <c r="AP15" s="190"/>
      <c r="AQ15" s="190"/>
      <c r="AR15" s="190"/>
      <c r="AS15" s="190"/>
      <c r="AT15" s="190"/>
      <c r="AU15" s="190"/>
      <c r="AV15" s="190"/>
      <c r="AW15" s="190"/>
      <c r="AX15" s="190"/>
      <c r="AY15" s="190"/>
      <c r="AZ15" s="190"/>
      <c r="BA15" s="190"/>
      <c r="BB15" s="190"/>
      <c r="BC15" s="190"/>
    </row>
    <row r="16" spans="1:81" ht="11.25" customHeight="1" x14ac:dyDescent="0.2">
      <c r="A16" s="63" t="s">
        <v>100</v>
      </c>
      <c r="B16" s="64" t="s">
        <v>3</v>
      </c>
      <c r="C16" s="65">
        <f t="shared" si="6"/>
        <v>2</v>
      </c>
      <c r="D16" s="136"/>
      <c r="E16" s="66" t="str">
        <f t="shared" si="4"/>
        <v>USDFedFunds</v>
      </c>
      <c r="F16" s="68" t="str">
        <f t="shared" si="5"/>
        <v>USDOIS6M_Quote</v>
      </c>
      <c r="G16" s="136"/>
      <c r="H16" s="69" t="str">
        <f>_xll.qlOISRateHelper(,C16,B16,F16,$E16,,Permanent,Trigger,ObjectOverwrite)</f>
        <v>obj_00325#0006</v>
      </c>
      <c r="I16" s="52"/>
      <c r="J16" s="11" t="str">
        <f t="shared" si="2"/>
        <v>OIS</v>
      </c>
      <c r="K16" s="105" t="str">
        <f t="shared" si="3"/>
        <v>obj_0031f#0006</v>
      </c>
      <c r="L16" s="108" t="str">
        <f>IFERROR(_xll.qlRateHelperQuoteName(K16,Trigger),"--")</f>
        <v>USDOIS8M_Quote</v>
      </c>
      <c r="M16" s="109">
        <f>IFERROR(_xll.qlRateHelperQuoteValue($K16,Trigger),"--")</f>
        <v>4.4000000000000003E-3</v>
      </c>
      <c r="N16" s="108" t="b">
        <v>1</v>
      </c>
      <c r="O16" s="105">
        <v>50</v>
      </c>
      <c r="P16" s="105">
        <v>1</v>
      </c>
      <c r="Q16" s="110">
        <f>IFERROR(_xll.qlRateHelperEarliestDate(K16,Trigger),"--")</f>
        <v>42482</v>
      </c>
      <c r="R16" s="110">
        <f>IFERROR(_xll.qlRateHelperPillarDate(K16,Trigger),"--")</f>
        <v>42726</v>
      </c>
      <c r="T16" s="4" t="str">
        <f t="shared" si="0"/>
        <v>BasOIS</v>
      </c>
      <c r="U16" s="4" t="str">
        <v>obj_00275</v>
      </c>
      <c r="V16" s="4" t="str">
        <f>IFERROR(_xll.qlRateHelperQuoteName(U16,Trigger),"")</f>
        <v>USDAM3L2Y_Quote</v>
      </c>
      <c r="W16" s="75">
        <f>IFERROR(_xll.qlRateHelperRate(U16,Trigger),"")</f>
        <v>8.7399999999999995E-3</v>
      </c>
      <c r="X16" s="115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42482</v>
      </c>
      <c r="Z16" s="5">
        <f>IFERROR(_xll.qlRateHelperPillarDate(U16,Trigger),"")</f>
        <v>43213</v>
      </c>
      <c r="AA16" s="83">
        <v>0.98816201122280278</v>
      </c>
      <c r="AB16" s="190"/>
      <c r="AC16" s="86"/>
      <c r="AD16" s="196"/>
      <c r="AE16" s="190"/>
      <c r="AF16" s="190"/>
      <c r="AG16" s="190"/>
      <c r="AH16" s="190"/>
      <c r="AI16" s="190"/>
      <c r="AJ16" s="190"/>
      <c r="AK16" s="190"/>
      <c r="AL16" s="190"/>
      <c r="AM16" s="190"/>
      <c r="AN16" s="190"/>
      <c r="AO16" s="190"/>
      <c r="AP16" s="190"/>
      <c r="AQ16" s="190"/>
      <c r="AR16" s="190"/>
      <c r="AS16" s="190"/>
      <c r="AT16" s="190"/>
      <c r="AU16" s="190"/>
      <c r="AV16" s="190"/>
      <c r="AW16" s="190"/>
      <c r="AX16" s="190"/>
      <c r="AY16" s="190"/>
      <c r="AZ16" s="190"/>
      <c r="BA16" s="190"/>
      <c r="BB16" s="190"/>
      <c r="BC16" s="190"/>
    </row>
    <row r="17" spans="1:55" ht="11.25" customHeight="1" x14ac:dyDescent="0.2">
      <c r="A17" s="63" t="s">
        <v>100</v>
      </c>
      <c r="B17" s="64" t="s">
        <v>56</v>
      </c>
      <c r="C17" s="65">
        <f t="shared" si="6"/>
        <v>2</v>
      </c>
      <c r="D17" s="136"/>
      <c r="E17" s="66" t="str">
        <f t="shared" si="4"/>
        <v>USDFedFunds</v>
      </c>
      <c r="F17" s="68" t="str">
        <f t="shared" si="5"/>
        <v>USDOIS7M_Quote</v>
      </c>
      <c r="G17" s="136"/>
      <c r="H17" s="69" t="str">
        <f>_xll.qlOISRateHelper(,C17,B17,F17,$E17,,Permanent,Trigger,ObjectOverwrite)</f>
        <v>obj_0031d#0006</v>
      </c>
      <c r="I17" s="52"/>
      <c r="J17" s="11" t="str">
        <f t="shared" si="2"/>
        <v>OIS</v>
      </c>
      <c r="K17" s="105" t="str">
        <f t="shared" si="3"/>
        <v>obj_0031b#0006</v>
      </c>
      <c r="L17" s="108" t="str">
        <f>IFERROR(_xll.qlRateHelperQuoteName(K17,Trigger),"--")</f>
        <v>USDOIS9M_Quote</v>
      </c>
      <c r="M17" s="109">
        <f>IFERROR(_xll.qlRateHelperQuoteValue($K17,Trigger),"--")</f>
        <v>4.5199999999999997E-3</v>
      </c>
      <c r="N17" s="108" t="b">
        <v>1</v>
      </c>
      <c r="O17" s="105">
        <v>50</v>
      </c>
      <c r="P17" s="105">
        <v>1</v>
      </c>
      <c r="Q17" s="110">
        <f>IFERROR(_xll.qlRateHelperEarliestDate(K17,Trigger),"--")</f>
        <v>42482</v>
      </c>
      <c r="R17" s="110">
        <f>IFERROR(_xll.qlRateHelperPillarDate(K17,Trigger),"--")</f>
        <v>42758</v>
      </c>
      <c r="T17" s="4" t="str">
        <f t="shared" si="0"/>
        <v>BasOIS</v>
      </c>
      <c r="U17" s="4" t="str">
        <v>obj_00273</v>
      </c>
      <c r="V17" s="4" t="str">
        <f>IFERROR(_xll.qlRateHelperQuoteName(U17,Trigger),"")</f>
        <v>USDAM3L3Y_Quote</v>
      </c>
      <c r="W17" s="75">
        <f>IFERROR(_xll.qlRateHelperRate(U17,Trigger),"")</f>
        <v>9.7700000000000009E-3</v>
      </c>
      <c r="X17" s="115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42482</v>
      </c>
      <c r="Z17" s="5">
        <f>IFERROR(_xll.qlRateHelperPillarDate(U17,Trigger),"")</f>
        <v>43577</v>
      </c>
      <c r="AA17" s="83">
        <v>0.97953712802374604</v>
      </c>
      <c r="AB17" s="190"/>
      <c r="AC17" s="86"/>
      <c r="AD17" s="196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0"/>
      <c r="AT17" s="190"/>
      <c r="AU17" s="190"/>
      <c r="AV17" s="190"/>
      <c r="AW17" s="190"/>
      <c r="AX17" s="190"/>
      <c r="AY17" s="190"/>
      <c r="AZ17" s="190"/>
      <c r="BA17" s="190"/>
      <c r="BB17" s="190"/>
      <c r="BC17" s="190"/>
    </row>
    <row r="18" spans="1:55" ht="11.25" customHeight="1" x14ac:dyDescent="0.2">
      <c r="A18" s="63" t="s">
        <v>100</v>
      </c>
      <c r="B18" s="64" t="s">
        <v>57</v>
      </c>
      <c r="C18" s="65">
        <f t="shared" si="6"/>
        <v>2</v>
      </c>
      <c r="D18" s="136"/>
      <c r="E18" s="66" t="str">
        <f t="shared" si="4"/>
        <v>USDFedFunds</v>
      </c>
      <c r="F18" s="68" t="str">
        <f t="shared" si="5"/>
        <v>USDOIS8M_Quote</v>
      </c>
      <c r="G18" s="136"/>
      <c r="H18" s="69" t="str">
        <f>_xll.qlOISRateHelper(,C18,B18,F18,$E18,,Permanent,Trigger,ObjectOverwrite)</f>
        <v>obj_0031f#0006</v>
      </c>
      <c r="I18" s="52"/>
      <c r="J18" s="11" t="str">
        <f t="shared" si="2"/>
        <v>OIS</v>
      </c>
      <c r="K18" s="105" t="str">
        <f t="shared" si="3"/>
        <v>obj_00320#0006</v>
      </c>
      <c r="L18" s="108" t="str">
        <f>IFERROR(_xll.qlRateHelperQuoteName(K18,Trigger),"--")</f>
        <v>USDOIS10M_Quote</v>
      </c>
      <c r="M18" s="109">
        <f>IFERROR(_xll.qlRateHelperQuoteValue($K18,Trigger),"--")</f>
        <v>4.62E-3</v>
      </c>
      <c r="N18" s="108" t="b">
        <v>1</v>
      </c>
      <c r="O18" s="105">
        <v>50</v>
      </c>
      <c r="P18" s="105">
        <v>1</v>
      </c>
      <c r="Q18" s="110">
        <f>IFERROR(_xll.qlRateHelperEarliestDate(K18,Trigger),"--")</f>
        <v>42482</v>
      </c>
      <c r="R18" s="110">
        <f>IFERROR(_xll.qlRateHelperPillarDate(K18,Trigger),"--")</f>
        <v>42788</v>
      </c>
      <c r="T18" s="4" t="str">
        <f t="shared" si="0"/>
        <v>BasOIS</v>
      </c>
      <c r="U18" s="4" t="str">
        <v>obj_00272</v>
      </c>
      <c r="V18" s="4" t="str">
        <f>IFERROR(_xll.qlRateHelperQuoteName(U18,Trigger),"")</f>
        <v>USDAM3L4Y_Quote</v>
      </c>
      <c r="W18" s="75">
        <f>IFERROR(_xll.qlRateHelperRate(U18,Trigger),"")</f>
        <v>1.0789999999999999E-2</v>
      </c>
      <c r="X18" s="115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42482</v>
      </c>
      <c r="Z18" s="5">
        <f>IFERROR(_xll.qlRateHelperPillarDate(U18,Trigger),"")</f>
        <v>43943</v>
      </c>
      <c r="AA18" s="83">
        <v>0.96913344019122294</v>
      </c>
      <c r="AB18" s="190"/>
      <c r="AC18" s="86"/>
      <c r="AD18" s="196"/>
      <c r="AE18" s="190"/>
      <c r="AF18" s="190"/>
      <c r="AG18" s="190"/>
      <c r="AH18" s="190"/>
      <c r="AI18" s="190"/>
      <c r="AJ18" s="190"/>
      <c r="AK18" s="190"/>
      <c r="AL18" s="190"/>
      <c r="AM18" s="190"/>
      <c r="AN18" s="190"/>
      <c r="AO18" s="190"/>
      <c r="AP18" s="190"/>
      <c r="AQ18" s="190"/>
      <c r="AR18" s="190"/>
      <c r="AS18" s="190"/>
      <c r="AT18" s="190"/>
      <c r="AU18" s="190"/>
      <c r="AV18" s="190"/>
      <c r="AW18" s="190"/>
      <c r="AX18" s="190"/>
      <c r="AY18" s="190"/>
      <c r="AZ18" s="190"/>
      <c r="BA18" s="190"/>
      <c r="BB18" s="190"/>
      <c r="BC18" s="190"/>
    </row>
    <row r="19" spans="1:55" ht="11.25" customHeight="1" x14ac:dyDescent="0.2">
      <c r="A19" s="63" t="s">
        <v>100</v>
      </c>
      <c r="B19" s="64" t="s">
        <v>58</v>
      </c>
      <c r="C19" s="65">
        <f t="shared" si="6"/>
        <v>2</v>
      </c>
      <c r="D19" s="136"/>
      <c r="E19" s="66" t="str">
        <f t="shared" si="4"/>
        <v>USDFedFunds</v>
      </c>
      <c r="F19" s="68" t="str">
        <f t="shared" si="5"/>
        <v>USDOIS9M_Quote</v>
      </c>
      <c r="G19" s="136"/>
      <c r="H19" s="69" t="str">
        <f>_xll.qlOISRateHelper(,C19,B19,F19,$E19,,Permanent,Trigger,ObjectOverwrite)</f>
        <v>obj_0031b#0006</v>
      </c>
      <c r="I19" s="52"/>
      <c r="J19" s="11" t="str">
        <f t="shared" si="2"/>
        <v>OIS</v>
      </c>
      <c r="K19" s="105" t="str">
        <f t="shared" si="3"/>
        <v>obj_0031a#0006</v>
      </c>
      <c r="L19" s="108" t="str">
        <f>IFERROR(_xll.qlRateHelperQuoteName(K19,Trigger),"--")</f>
        <v>USDOIS11M_Quote</v>
      </c>
      <c r="M19" s="109">
        <f>IFERROR(_xll.qlRateHelperQuoteValue($K19,Trigger),"--")</f>
        <v>4.7099999999999998E-3</v>
      </c>
      <c r="N19" s="108" t="b">
        <v>1</v>
      </c>
      <c r="O19" s="105">
        <v>50</v>
      </c>
      <c r="P19" s="105">
        <v>1</v>
      </c>
      <c r="Q19" s="110">
        <f>IFERROR(_xll.qlRateHelperEarliestDate(K19,Trigger),"--")</f>
        <v>42482</v>
      </c>
      <c r="R19" s="110">
        <f>IFERROR(_xll.qlRateHelperPillarDate(K19,Trigger),"--")</f>
        <v>42816</v>
      </c>
      <c r="T19" s="4" t="str">
        <f t="shared" si="0"/>
        <v>BasOIS</v>
      </c>
      <c r="U19" s="4" t="str">
        <v>obj_0027a</v>
      </c>
      <c r="V19" s="4" t="str">
        <f>IFERROR(_xll.qlRateHelperQuoteName(U19,Trigger),"")</f>
        <v>USDAM3L5Y_Quote</v>
      </c>
      <c r="W19" s="75">
        <f>IFERROR(_xll.qlRateHelperRate(U19,Trigger),"")</f>
        <v>1.1810000000000001E-2</v>
      </c>
      <c r="X19" s="115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42482</v>
      </c>
      <c r="Z19" s="5">
        <f>IFERROR(_xll.qlRateHelperPillarDate(U19,Trigger),"")</f>
        <v>44308</v>
      </c>
      <c r="AA19" s="83">
        <v>0.95692845927475634</v>
      </c>
      <c r="AB19" s="190"/>
      <c r="AC19" s="86"/>
      <c r="AD19" s="196"/>
      <c r="AE19" s="190"/>
      <c r="AF19" s="190"/>
      <c r="AG19" s="190"/>
      <c r="AH19" s="190"/>
      <c r="AI19" s="190"/>
      <c r="AJ19" s="190"/>
      <c r="AK19" s="190"/>
      <c r="AL19" s="190"/>
      <c r="AM19" s="190"/>
      <c r="AN19" s="190"/>
      <c r="AO19" s="190"/>
      <c r="AP19" s="190"/>
      <c r="AQ19" s="190"/>
      <c r="AR19" s="190"/>
      <c r="AS19" s="190"/>
      <c r="AT19" s="190"/>
      <c r="AU19" s="190"/>
      <c r="AV19" s="190"/>
      <c r="AW19" s="190"/>
      <c r="AX19" s="190"/>
      <c r="AY19" s="190"/>
      <c r="AZ19" s="190"/>
      <c r="BA19" s="190"/>
      <c r="BB19" s="190"/>
      <c r="BC19" s="190"/>
    </row>
    <row r="20" spans="1:55" ht="11.25" customHeight="1" x14ac:dyDescent="0.2">
      <c r="A20" s="63" t="s">
        <v>100</v>
      </c>
      <c r="B20" s="64" t="s">
        <v>59</v>
      </c>
      <c r="C20" s="65">
        <f t="shared" si="6"/>
        <v>2</v>
      </c>
      <c r="D20" s="136"/>
      <c r="E20" s="66" t="str">
        <f t="shared" si="4"/>
        <v>USDFedFunds</v>
      </c>
      <c r="F20" s="68" t="str">
        <f t="shared" si="5"/>
        <v>USDOIS10M_Quote</v>
      </c>
      <c r="G20" s="136"/>
      <c r="H20" s="69" t="str">
        <f>_xll.qlOISRateHelper(,C20,B20,F20,$E20,,Permanent,Trigger,ObjectOverwrite)</f>
        <v>obj_00320#0006</v>
      </c>
      <c r="I20" s="52"/>
      <c r="J20" s="11" t="str">
        <f t="shared" si="2"/>
        <v>OIS</v>
      </c>
      <c r="K20" s="105" t="str">
        <f t="shared" si="3"/>
        <v>obj_00317#0006</v>
      </c>
      <c r="L20" s="108" t="str">
        <f>IFERROR(_xll.qlRateHelperQuoteName(K20,Trigger),"--")</f>
        <v>USDOIS1Y_Quote</v>
      </c>
      <c r="M20" s="109">
        <f>IFERROR(_xll.qlRateHelperQuoteValue($K20,Trigger),"--")</f>
        <v>4.81E-3</v>
      </c>
      <c r="N20" s="108" t="b">
        <v>1</v>
      </c>
      <c r="O20" s="105">
        <v>50</v>
      </c>
      <c r="P20" s="105">
        <v>1</v>
      </c>
      <c r="Q20" s="110">
        <f>IFERROR(_xll.qlRateHelperEarliestDate(K20,Trigger),"--")</f>
        <v>42482</v>
      </c>
      <c r="R20" s="110">
        <f>IFERROR(_xll.qlRateHelperPillarDate(K20,Trigger),"--")</f>
        <v>42849</v>
      </c>
      <c r="T20" s="4" t="str">
        <f t="shared" si="0"/>
        <v>BasOIS</v>
      </c>
      <c r="U20" s="4" t="str">
        <v>obj_00274</v>
      </c>
      <c r="V20" s="4" t="str">
        <f>IFERROR(_xll.qlRateHelperQuoteName(U20,Trigger),"")</f>
        <v>USDAM3L6Y_Quote</v>
      </c>
      <c r="W20" s="75">
        <f>IFERROR(_xll.qlRateHelperRate(U20,Trigger),"")</f>
        <v>1.2810000000000002E-2</v>
      </c>
      <c r="X20" s="115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42482</v>
      </c>
      <c r="Z20" s="5">
        <f>IFERROR(_xll.qlRateHelperPillarDate(U20,Trigger),"")</f>
        <v>44673</v>
      </c>
      <c r="AA20" s="83">
        <v>0.9431911519816667</v>
      </c>
      <c r="AB20" s="190"/>
      <c r="AC20" s="86"/>
      <c r="AD20" s="196"/>
      <c r="AE20" s="190"/>
      <c r="AF20" s="190"/>
      <c r="AG20" s="190"/>
      <c r="AH20" s="190"/>
      <c r="AI20" s="190"/>
      <c r="AJ20" s="190"/>
      <c r="AK20" s="190"/>
      <c r="AL20" s="190"/>
      <c r="AM20" s="190"/>
      <c r="AN20" s="190"/>
      <c r="AO20" s="190"/>
      <c r="AP20" s="190"/>
      <c r="AQ20" s="190"/>
      <c r="AR20" s="190"/>
      <c r="AS20" s="190"/>
      <c r="AT20" s="190"/>
      <c r="AU20" s="190"/>
      <c r="AV20" s="190"/>
      <c r="AW20" s="190"/>
      <c r="AX20" s="190"/>
      <c r="AY20" s="190"/>
      <c r="AZ20" s="190"/>
      <c r="BA20" s="190"/>
      <c r="BB20" s="190"/>
      <c r="BC20" s="190"/>
    </row>
    <row r="21" spans="1:55" ht="11.25" customHeight="1" x14ac:dyDescent="0.2">
      <c r="A21" s="63" t="s">
        <v>100</v>
      </c>
      <c r="B21" s="64" t="s">
        <v>60</v>
      </c>
      <c r="C21" s="65">
        <f t="shared" si="6"/>
        <v>2</v>
      </c>
      <c r="D21" s="136"/>
      <c r="E21" s="66" t="str">
        <f t="shared" si="4"/>
        <v>USDFedFunds</v>
      </c>
      <c r="F21" s="68" t="str">
        <f t="shared" si="5"/>
        <v>USDOIS11M_Quote</v>
      </c>
      <c r="G21" s="136"/>
      <c r="H21" s="69" t="str">
        <f>_xll.qlOISRateHelper(,C21,B21,F21,$E21,,Permanent,Trigger,ObjectOverwrite)</f>
        <v>obj_0031a#0006</v>
      </c>
      <c r="I21" s="52"/>
      <c r="J21" s="11" t="str">
        <f t="shared" si="2"/>
        <v>OIS</v>
      </c>
      <c r="K21" s="105" t="str">
        <f t="shared" si="3"/>
        <v>--</v>
      </c>
      <c r="L21" s="108" t="str">
        <f>IFERROR(_xll.qlRateHelperQuoteName(K21,Trigger),"--")</f>
        <v>--</v>
      </c>
      <c r="M21" s="109" t="str">
        <f>IFERROR(_xll.qlRateHelperQuoteValue($K21,Trigger),"--")</f>
        <v>--</v>
      </c>
      <c r="N21" s="108" t="b">
        <v>0</v>
      </c>
      <c r="O21" s="105">
        <v>50</v>
      </c>
      <c r="P21" s="105">
        <v>1</v>
      </c>
      <c r="Q21" s="110" t="str">
        <f>IFERROR(_xll.qlRateHelperEarliestDate(K21,Trigger),"--")</f>
        <v>--</v>
      </c>
      <c r="R21" s="110" t="str">
        <f>IFERROR(_xll.qlRateHelperPillarDate(K21,Trigger),"--")</f>
        <v>--</v>
      </c>
      <c r="T21" s="4" t="str">
        <f t="shared" si="0"/>
        <v>BasOIS</v>
      </c>
      <c r="U21" s="4" t="str">
        <v>obj_0027c</v>
      </c>
      <c r="V21" s="4" t="str">
        <f>IFERROR(_xll.qlRateHelperQuoteName(U21,Trigger),"")</f>
        <v>USDAM3L7Y_Quote</v>
      </c>
      <c r="W21" s="75">
        <f>IFERROR(_xll.qlRateHelperRate(U21,Trigger),"")</f>
        <v>1.375E-2</v>
      </c>
      <c r="X21" s="115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42482</v>
      </c>
      <c r="Z21" s="5">
        <f>IFERROR(_xll.qlRateHelperPillarDate(U21,Trigger),"")</f>
        <v>45040</v>
      </c>
      <c r="AA21" s="83">
        <v>0.92800594071580322</v>
      </c>
      <c r="AB21" s="190"/>
      <c r="AC21" s="86"/>
      <c r="AD21" s="196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0"/>
      <c r="BC21" s="190"/>
    </row>
    <row r="22" spans="1:55" ht="11.25" customHeight="1" x14ac:dyDescent="0.2">
      <c r="A22" s="63" t="s">
        <v>100</v>
      </c>
      <c r="B22" s="64" t="s">
        <v>29</v>
      </c>
      <c r="C22" s="65">
        <f t="shared" si="6"/>
        <v>2</v>
      </c>
      <c r="D22" s="136"/>
      <c r="E22" s="66" t="str">
        <f t="shared" si="4"/>
        <v>USDFedFunds</v>
      </c>
      <c r="F22" s="68" t="str">
        <f t="shared" si="5"/>
        <v>USDOIS1Y_Quote</v>
      </c>
      <c r="G22" s="136"/>
      <c r="H22" s="69" t="str">
        <f>_xll.qlOISRateHelper(,C22,B22,F22,$E22,,Permanent,Trigger,ObjectOverwrite)</f>
        <v>obj_00317#0006</v>
      </c>
      <c r="J22" s="11" t="str">
        <f t="shared" si="2"/>
        <v>OIS</v>
      </c>
      <c r="K22" s="105" t="str">
        <f t="shared" si="3"/>
        <v>--</v>
      </c>
      <c r="L22" s="108" t="str">
        <f>IFERROR(_xll.qlRateHelperQuoteName(K22,Trigger),"--")</f>
        <v>--</v>
      </c>
      <c r="M22" s="109" t="str">
        <f>IFERROR(_xll.qlRateHelperQuoteValue($K22,Trigger),"--")</f>
        <v>--</v>
      </c>
      <c r="N22" s="108" t="b">
        <v>0</v>
      </c>
      <c r="O22" s="105">
        <v>50</v>
      </c>
      <c r="P22" s="105">
        <v>1</v>
      </c>
      <c r="Q22" s="110" t="str">
        <f>IFERROR(_xll.qlRateHelperEarliestDate(K22,Trigger),"--")</f>
        <v>--</v>
      </c>
      <c r="R22" s="110" t="str">
        <f>IFERROR(_xll.qlRateHelperPillarDate(K22,Trigger),"--")</f>
        <v>--</v>
      </c>
      <c r="T22" s="4" t="str">
        <f t="shared" si="0"/>
        <v>BasOIS</v>
      </c>
      <c r="U22" s="4" t="str">
        <v>obj_00279</v>
      </c>
      <c r="V22" s="4" t="str">
        <f>IFERROR(_xll.qlRateHelperQuoteName(U22,Trigger),"")</f>
        <v>USDAM3L8Y_Quote</v>
      </c>
      <c r="W22" s="75">
        <f>IFERROR(_xll.qlRateHelperRate(U22,Trigger),"")</f>
        <v>1.4569999999999998E-2</v>
      </c>
      <c r="X22" s="115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42482</v>
      </c>
      <c r="Z22" s="5">
        <f>IFERROR(_xll.qlRateHelperPillarDate(U22,Trigger),"")</f>
        <v>45404</v>
      </c>
      <c r="AA22" s="83">
        <v>0.91234641466261068</v>
      </c>
      <c r="AB22" s="190"/>
      <c r="AC22" s="86"/>
      <c r="AD22" s="196"/>
      <c r="AE22" s="190"/>
      <c r="AF22" s="190"/>
      <c r="AG22" s="190"/>
      <c r="AH22" s="190"/>
      <c r="AI22" s="190"/>
      <c r="AJ22" s="190"/>
      <c r="AK22" s="190"/>
      <c r="AL22" s="190"/>
      <c r="AM22" s="190"/>
      <c r="AN22" s="190"/>
      <c r="AO22" s="190"/>
      <c r="AP22" s="190"/>
      <c r="AQ22" s="190"/>
      <c r="AR22" s="190"/>
      <c r="AS22" s="190"/>
      <c r="AT22" s="190"/>
      <c r="AU22" s="190"/>
      <c r="AV22" s="190"/>
      <c r="AW22" s="190"/>
      <c r="AX22" s="190"/>
      <c r="AY22" s="190"/>
      <c r="AZ22" s="190"/>
      <c r="BA22" s="190"/>
      <c r="BB22" s="190"/>
      <c r="BC22" s="190"/>
    </row>
    <row r="23" spans="1:55" ht="11.25" customHeight="1" x14ac:dyDescent="0.2">
      <c r="A23" s="63" t="s">
        <v>100</v>
      </c>
      <c r="B23" s="64" t="s">
        <v>61</v>
      </c>
      <c r="C23" s="65">
        <f t="shared" ref="C23:C61" si="7">IF(B23="O/N",0,IF(B23="T/N",1,2))</f>
        <v>2</v>
      </c>
      <c r="D23" s="136"/>
      <c r="E23" s="66" t="str">
        <f t="shared" si="4"/>
        <v>USDFedFunds</v>
      </c>
      <c r="F23" s="68" t="str">
        <f t="shared" si="5"/>
        <v>USDOIS13M_Quote</v>
      </c>
      <c r="G23" s="136"/>
      <c r="H23" s="69"/>
      <c r="J23" s="11" t="str">
        <f t="shared" si="2"/>
        <v>OIS</v>
      </c>
      <c r="K23" s="105" t="str">
        <f t="shared" si="3"/>
        <v>obj_002bd#0006</v>
      </c>
      <c r="L23" s="108" t="str">
        <f>IFERROR(_xll.qlRateHelperQuoteName(K23,Trigger),"--")</f>
        <v>USDOIS15M_Quote</v>
      </c>
      <c r="M23" s="109">
        <f>IFERROR(_xll.qlRateHelperQuoteValue($K23,Trigger),"--")</f>
        <v>5.0899999999999999E-3</v>
      </c>
      <c r="N23" s="199" t="b">
        <f>NOT(ArithmeticFF)</f>
        <v>0</v>
      </c>
      <c r="O23" s="105">
        <v>50</v>
      </c>
      <c r="P23" s="105">
        <v>1</v>
      </c>
      <c r="Q23" s="110">
        <f>IFERROR(_xll.qlRateHelperEarliestDate(K23,Trigger),"--")</f>
        <v>42482</v>
      </c>
      <c r="R23" s="110">
        <f>IFERROR(_xll.qlRateHelperPillarDate(K23,Trigger),"--")</f>
        <v>42940</v>
      </c>
      <c r="T23" s="4" t="str">
        <f t="shared" si="0"/>
        <v>BasOIS</v>
      </c>
      <c r="U23" s="4" t="str">
        <v>obj_0027b</v>
      </c>
      <c r="V23" s="4" t="str">
        <f>IFERROR(_xll.qlRateHelperQuoteName(U23,Trigger),"")</f>
        <v>USDAM3L9Y_Quote</v>
      </c>
      <c r="W23" s="75">
        <f>IFERROR(_xll.qlRateHelperRate(U23,Trigger),"")</f>
        <v>1.532E-2</v>
      </c>
      <c r="X23" s="115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42482</v>
      </c>
      <c r="Z23" s="5">
        <f>IFERROR(_xll.qlRateHelperPillarDate(U23,Trigger),"")</f>
        <v>45769</v>
      </c>
      <c r="AA23" s="83">
        <v>0.89587334486068959</v>
      </c>
      <c r="AB23" s="190"/>
      <c r="AC23" s="86"/>
      <c r="AD23" s="196"/>
      <c r="AE23" s="190"/>
      <c r="AF23" s="190"/>
      <c r="AG23" s="190"/>
      <c r="AH23" s="190"/>
      <c r="AI23" s="190"/>
      <c r="AJ23" s="190"/>
      <c r="AK23" s="190"/>
      <c r="AL23" s="190"/>
      <c r="AM23" s="190"/>
      <c r="AN23" s="190"/>
      <c r="AO23" s="190"/>
      <c r="AP23" s="190"/>
      <c r="AQ23" s="190"/>
      <c r="AR23" s="190"/>
      <c r="AS23" s="190"/>
      <c r="AT23" s="190"/>
      <c r="AU23" s="190"/>
      <c r="AV23" s="190"/>
      <c r="AW23" s="190"/>
      <c r="AX23" s="190"/>
      <c r="AY23" s="190"/>
      <c r="AZ23" s="190"/>
      <c r="BA23" s="190"/>
      <c r="BB23" s="190"/>
      <c r="BC23" s="190"/>
    </row>
    <row r="24" spans="1:55" ht="11.25" customHeight="1" x14ac:dyDescent="0.2">
      <c r="A24" s="63" t="s">
        <v>100</v>
      </c>
      <c r="B24" s="64" t="s">
        <v>62</v>
      </c>
      <c r="C24" s="65">
        <f t="shared" si="7"/>
        <v>2</v>
      </c>
      <c r="D24" s="136"/>
      <c r="E24" s="66" t="str">
        <f t="shared" si="4"/>
        <v>USDFedFunds</v>
      </c>
      <c r="F24" s="68" t="str">
        <f t="shared" si="5"/>
        <v>USDOIS14M_Quote</v>
      </c>
      <c r="G24" s="136"/>
      <c r="H24" s="69"/>
      <c r="J24" s="11" t="str">
        <f t="shared" si="2"/>
        <v>OIS</v>
      </c>
      <c r="K24" s="105" t="str">
        <f t="shared" si="3"/>
        <v>--</v>
      </c>
      <c r="L24" s="108" t="str">
        <f>IFERROR(_xll.qlRateHelperQuoteName(K24,Trigger),"--")</f>
        <v>--</v>
      </c>
      <c r="M24" s="109" t="str">
        <f>IFERROR(_xll.qlRateHelperQuoteValue($K24,Trigger),"--")</f>
        <v>--</v>
      </c>
      <c r="N24" s="108" t="b">
        <v>0</v>
      </c>
      <c r="O24" s="105">
        <v>50</v>
      </c>
      <c r="P24" s="105">
        <v>1</v>
      </c>
      <c r="Q24" s="110" t="str">
        <f>IFERROR(_xll.qlRateHelperEarliestDate(K24,Trigger),"--")</f>
        <v>--</v>
      </c>
      <c r="R24" s="110" t="str">
        <f>IFERROR(_xll.qlRateHelperPillarDate(K24,Trigger),"--")</f>
        <v>--</v>
      </c>
      <c r="T24" s="4" t="str">
        <f t="shared" si="0"/>
        <v>BasOIS</v>
      </c>
      <c r="U24" s="4" t="str">
        <v>obj_00278</v>
      </c>
      <c r="V24" s="4" t="str">
        <f>IFERROR(_xll.qlRateHelperQuoteName(U24,Trigger),"")</f>
        <v>USDAM3L10Y_Quote</v>
      </c>
      <c r="W24" s="75">
        <f>IFERROR(_xll.qlRateHelperRate(U24,Trigger),"")</f>
        <v>1.602E-2</v>
      </c>
      <c r="X24" s="115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42482</v>
      </c>
      <c r="Z24" s="5">
        <f>IFERROR(_xll.qlRateHelperPillarDate(U24,Trigger),"")</f>
        <v>46134</v>
      </c>
      <c r="AA24" s="83">
        <v>0.87879518667529033</v>
      </c>
      <c r="AB24" s="190"/>
      <c r="AC24" s="86"/>
      <c r="AD24" s="196"/>
      <c r="AE24" s="190"/>
      <c r="AF24" s="190"/>
      <c r="AG24" s="190"/>
      <c r="AH24" s="190"/>
      <c r="AI24" s="190"/>
      <c r="AJ24" s="190"/>
      <c r="AK24" s="190"/>
      <c r="AL24" s="190"/>
      <c r="AM24" s="190"/>
      <c r="AN24" s="190"/>
      <c r="AO24" s="190"/>
      <c r="AP24" s="190"/>
      <c r="AQ24" s="190"/>
      <c r="AR24" s="190"/>
      <c r="AS24" s="190"/>
      <c r="AT24" s="190"/>
      <c r="AU24" s="190"/>
      <c r="AV24" s="190"/>
      <c r="AW24" s="190"/>
      <c r="AX24" s="190"/>
      <c r="AY24" s="190"/>
      <c r="AZ24" s="190"/>
      <c r="BA24" s="190"/>
      <c r="BB24" s="190"/>
      <c r="BC24" s="190"/>
    </row>
    <row r="25" spans="1:55" ht="11.25" customHeight="1" x14ac:dyDescent="0.2">
      <c r="A25" s="63" t="s">
        <v>100</v>
      </c>
      <c r="B25" s="64" t="s">
        <v>63</v>
      </c>
      <c r="C25" s="65">
        <f t="shared" si="7"/>
        <v>2</v>
      </c>
      <c r="D25" s="136"/>
      <c r="E25" s="66" t="str">
        <f t="shared" si="4"/>
        <v>USDFedFunds</v>
      </c>
      <c r="F25" s="68" t="str">
        <f t="shared" si="5"/>
        <v>USDOIS15M_Quote</v>
      </c>
      <c r="G25" s="136"/>
      <c r="H25" s="69" t="str">
        <f>_xll.qlOISRateHelper(,C25,B25,F25,$E25,,Permanent,Trigger,ObjectOverwrite)</f>
        <v>obj_002bd#0006</v>
      </c>
      <c r="J25" s="11" t="str">
        <f t="shared" si="2"/>
        <v>OIS</v>
      </c>
      <c r="K25" s="105" t="str">
        <f t="shared" si="3"/>
        <v>--</v>
      </c>
      <c r="L25" s="108" t="str">
        <f>IFERROR(_xll.qlRateHelperQuoteName(K25,Trigger),"--")</f>
        <v>--</v>
      </c>
      <c r="M25" s="109" t="str">
        <f>IFERROR(_xll.qlRateHelperQuoteValue($K25,Trigger),"--")</f>
        <v>--</v>
      </c>
      <c r="N25" s="108" t="b">
        <v>0</v>
      </c>
      <c r="O25" s="105">
        <v>50</v>
      </c>
      <c r="P25" s="105">
        <v>1</v>
      </c>
      <c r="Q25" s="110" t="str">
        <f>IFERROR(_xll.qlRateHelperEarliestDate(K25,Trigger),"--")</f>
        <v>--</v>
      </c>
      <c r="R25" s="110" t="str">
        <f>IFERROR(_xll.qlRateHelperPillarDate(K25,Trigger),"--")</f>
        <v>--</v>
      </c>
      <c r="T25" s="4" t="str">
        <f t="shared" si="0"/>
        <v>BasOIS</v>
      </c>
      <c r="U25" s="4" t="str">
        <v>obj_0027f</v>
      </c>
      <c r="V25" s="4" t="str">
        <f>IFERROR(_xll.qlRateHelperQuoteName(U25,Trigger),"")</f>
        <v>USDAM3L12Y_Quote</v>
      </c>
      <c r="W25" s="75">
        <f>IFERROR(_xll.qlRateHelperRate(U25,Trigger),"")</f>
        <v>1.7219999999999999E-2</v>
      </c>
      <c r="X25" s="115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42482</v>
      </c>
      <c r="Z25" s="5">
        <f>IFERROR(_xll.qlRateHelperPillarDate(U25,Trigger),"")</f>
        <v>46867</v>
      </c>
      <c r="AA25" s="83">
        <v>0.8436494918769526</v>
      </c>
      <c r="AB25" s="190"/>
      <c r="AC25" s="86"/>
      <c r="AD25" s="196"/>
      <c r="AE25" s="190"/>
      <c r="AF25" s="190"/>
      <c r="AG25" s="190"/>
      <c r="AH25" s="190"/>
      <c r="AI25" s="190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0"/>
      <c r="AU25" s="190"/>
      <c r="AV25" s="190"/>
      <c r="AW25" s="190"/>
      <c r="AX25" s="190"/>
      <c r="AY25" s="190"/>
      <c r="AZ25" s="190"/>
      <c r="BA25" s="190"/>
      <c r="BB25" s="190"/>
      <c r="BC25" s="190"/>
    </row>
    <row r="26" spans="1:55" ht="11.25" customHeight="1" x14ac:dyDescent="0.2">
      <c r="A26" s="63" t="s">
        <v>100</v>
      </c>
      <c r="B26" s="64" t="s">
        <v>64</v>
      </c>
      <c r="C26" s="65">
        <f t="shared" si="7"/>
        <v>2</v>
      </c>
      <c r="D26" s="136"/>
      <c r="E26" s="66" t="str">
        <f t="shared" si="4"/>
        <v>USDFedFunds</v>
      </c>
      <c r="F26" s="68" t="str">
        <f t="shared" si="5"/>
        <v>USDOIS16M_Quote</v>
      </c>
      <c r="G26" s="136"/>
      <c r="H26" s="69"/>
      <c r="J26" s="11" t="str">
        <f t="shared" si="2"/>
        <v>OIS</v>
      </c>
      <c r="K26" s="105" t="str">
        <f t="shared" si="3"/>
        <v>obj_002c2#0006</v>
      </c>
      <c r="L26" s="108" t="str">
        <f>IFERROR(_xll.qlRateHelperQuoteName(K26,Trigger),"--")</f>
        <v>USDOIS18M_Quote</v>
      </c>
      <c r="M26" s="109">
        <f>IFERROR(_xll.qlRateHelperQuoteValue($K26,Trigger),"--")</f>
        <v>5.3400000000000001E-3</v>
      </c>
      <c r="N26" s="199" t="b">
        <f>NOT(ArithmeticFF)</f>
        <v>0</v>
      </c>
      <c r="O26" s="105">
        <v>50</v>
      </c>
      <c r="P26" s="105">
        <v>1</v>
      </c>
      <c r="Q26" s="110">
        <f>IFERROR(_xll.qlRateHelperEarliestDate(K26,Trigger),"--")</f>
        <v>42482</v>
      </c>
      <c r="R26" s="110">
        <f>IFERROR(_xll.qlRateHelperPillarDate(K26,Trigger),"--")</f>
        <v>43031</v>
      </c>
      <c r="T26" s="4" t="str">
        <f t="shared" si="0"/>
        <v>BasOIS</v>
      </c>
      <c r="U26" s="4" t="str">
        <v>obj_00276</v>
      </c>
      <c r="V26" s="4" t="str">
        <f>IFERROR(_xll.qlRateHelperQuoteName(U26,Trigger),"")</f>
        <v>USDAM3L15Y_Quote</v>
      </c>
      <c r="W26" s="75">
        <f>IFERROR(_xll.qlRateHelperRate(U26,Trigger),"")</f>
        <v>1.8489999999999999E-2</v>
      </c>
      <c r="X26" s="115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42482</v>
      </c>
      <c r="Z26" s="5">
        <f>IFERROR(_xll.qlRateHelperPillarDate(U26,Trigger),"")</f>
        <v>47960</v>
      </c>
      <c r="AA26" s="83">
        <v>0.79251583855610253</v>
      </c>
      <c r="AB26" s="190"/>
      <c r="AC26" s="86"/>
      <c r="AD26" s="196"/>
      <c r="AE26" s="190"/>
      <c r="AF26" s="190"/>
      <c r="AG26" s="190"/>
      <c r="AH26" s="190"/>
      <c r="AI26" s="190"/>
      <c r="AJ26" s="190"/>
      <c r="AK26" s="190"/>
      <c r="AL26" s="190"/>
      <c r="AM26" s="190"/>
      <c r="AN26" s="190"/>
      <c r="AO26" s="190"/>
      <c r="AP26" s="190"/>
      <c r="AQ26" s="190"/>
      <c r="AR26" s="190"/>
      <c r="AS26" s="190"/>
      <c r="AT26" s="190"/>
      <c r="AU26" s="190"/>
      <c r="AV26" s="190"/>
      <c r="AW26" s="190"/>
      <c r="AX26" s="190"/>
      <c r="AY26" s="190"/>
      <c r="AZ26" s="190"/>
      <c r="BA26" s="190"/>
      <c r="BB26" s="190"/>
      <c r="BC26" s="190"/>
    </row>
    <row r="27" spans="1:55" ht="11.25" customHeight="1" x14ac:dyDescent="0.2">
      <c r="A27" s="63" t="s">
        <v>100</v>
      </c>
      <c r="B27" s="64" t="s">
        <v>65</v>
      </c>
      <c r="C27" s="65">
        <f t="shared" si="7"/>
        <v>2</v>
      </c>
      <c r="D27" s="136"/>
      <c r="E27" s="66" t="str">
        <f t="shared" si="4"/>
        <v>USDFedFunds</v>
      </c>
      <c r="F27" s="68" t="str">
        <f t="shared" si="5"/>
        <v>USDOIS17M_Quote</v>
      </c>
      <c r="G27" s="136"/>
      <c r="H27" s="69"/>
      <c r="J27" s="11" t="str">
        <f t="shared" si="2"/>
        <v>OIS</v>
      </c>
      <c r="K27" s="105" t="str">
        <f t="shared" si="3"/>
        <v>--</v>
      </c>
      <c r="L27" s="108" t="str">
        <f>IFERROR(_xll.qlRateHelperQuoteName(K27,Trigger),"--")</f>
        <v>--</v>
      </c>
      <c r="M27" s="109" t="str">
        <f>IFERROR(_xll.qlRateHelperQuoteValue($K27,Trigger),"--")</f>
        <v>--</v>
      </c>
      <c r="N27" s="108" t="b">
        <v>0</v>
      </c>
      <c r="O27" s="105">
        <v>50</v>
      </c>
      <c r="P27" s="105">
        <v>1</v>
      </c>
      <c r="Q27" s="110" t="str">
        <f>IFERROR(_xll.qlRateHelperEarliestDate(K27,Trigger),"--")</f>
        <v>--</v>
      </c>
      <c r="R27" s="110" t="str">
        <f>IFERROR(_xll.qlRateHelperPillarDate(K27,Trigger),"--")</f>
        <v>--</v>
      </c>
      <c r="T27" s="4" t="str">
        <f t="shared" si="0"/>
        <v>BasOIS</v>
      </c>
      <c r="U27" s="4" t="str">
        <v>obj_0027e</v>
      </c>
      <c r="V27" s="4" t="str">
        <f>IFERROR(_xll.qlRateHelperQuoteName(U27,Trigger),"")</f>
        <v>USDAM3L20Y_Quote</v>
      </c>
      <c r="W27" s="75">
        <f>IFERROR(_xll.qlRateHelperRate(U27,Trigger),"")</f>
        <v>1.9779999999999999E-2</v>
      </c>
      <c r="X27" s="115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42482</v>
      </c>
      <c r="Z27" s="5">
        <f>IFERROR(_xll.qlRateHelperPillarDate(U27,Trigger),"")</f>
        <v>49787</v>
      </c>
      <c r="AA27" s="83">
        <v>0.7131781488446044</v>
      </c>
      <c r="AB27" s="190"/>
      <c r="AC27" s="86"/>
      <c r="AD27" s="196"/>
      <c r="AE27" s="190"/>
      <c r="AF27" s="190"/>
      <c r="AG27" s="190"/>
      <c r="AH27" s="190"/>
      <c r="AI27" s="190"/>
      <c r="AJ27" s="190"/>
      <c r="AK27" s="190"/>
      <c r="AL27" s="190"/>
      <c r="AM27" s="190"/>
      <c r="AN27" s="190"/>
      <c r="AO27" s="190"/>
      <c r="AP27" s="190"/>
      <c r="AQ27" s="190"/>
      <c r="AR27" s="190"/>
      <c r="AS27" s="190"/>
      <c r="AT27" s="190"/>
      <c r="AU27" s="190"/>
      <c r="AV27" s="190"/>
      <c r="AW27" s="190"/>
      <c r="AX27" s="190"/>
      <c r="AY27" s="190"/>
      <c r="AZ27" s="190"/>
      <c r="BA27" s="190"/>
      <c r="BB27" s="190"/>
      <c r="BC27" s="190"/>
    </row>
    <row r="28" spans="1:55" ht="11.25" customHeight="1" x14ac:dyDescent="0.2">
      <c r="A28" s="63" t="s">
        <v>100</v>
      </c>
      <c r="B28" s="64" t="s">
        <v>66</v>
      </c>
      <c r="C28" s="65">
        <f t="shared" si="7"/>
        <v>2</v>
      </c>
      <c r="D28" s="136"/>
      <c r="E28" s="66" t="str">
        <f t="shared" si="4"/>
        <v>USDFedFunds</v>
      </c>
      <c r="F28" s="68" t="str">
        <f t="shared" si="5"/>
        <v>USDOIS18M_Quote</v>
      </c>
      <c r="G28" s="136"/>
      <c r="H28" s="69" t="str">
        <f>_xll.qlOISRateHelper(,C28,B28,F28,$E28,,Permanent,Trigger,ObjectOverwrite)</f>
        <v>obj_002c2#0006</v>
      </c>
      <c r="J28" s="11" t="str">
        <f t="shared" si="2"/>
        <v>OIS</v>
      </c>
      <c r="K28" s="105" t="str">
        <f t="shared" si="3"/>
        <v>--</v>
      </c>
      <c r="L28" s="108" t="str">
        <f>IFERROR(_xll.qlRateHelperQuoteName(K28,Trigger),"--")</f>
        <v>--</v>
      </c>
      <c r="M28" s="109" t="str">
        <f>IFERROR(_xll.qlRateHelperQuoteValue($K28,Trigger),"--")</f>
        <v>--</v>
      </c>
      <c r="N28" s="108" t="b">
        <v>0</v>
      </c>
      <c r="O28" s="105">
        <v>50</v>
      </c>
      <c r="P28" s="105">
        <v>1</v>
      </c>
      <c r="Q28" s="110" t="str">
        <f>IFERROR(_xll.qlRateHelperEarliestDate(K28,Trigger),"--")</f>
        <v>--</v>
      </c>
      <c r="R28" s="110" t="str">
        <f>IFERROR(_xll.qlRateHelperPillarDate(K28,Trigger),"--")</f>
        <v>--</v>
      </c>
      <c r="T28" s="4" t="str">
        <f t="shared" si="0"/>
        <v>BasOIS</v>
      </c>
      <c r="U28" s="4" t="str">
        <v>obj_0027d</v>
      </c>
      <c r="V28" s="4" t="str">
        <f>IFERROR(_xll.qlRateHelperQuoteName(U28,Trigger),"")</f>
        <v>USDAM3L25Y_Quote</v>
      </c>
      <c r="W28" s="75">
        <f>IFERROR(_xll.qlRateHelperRate(U28,Trigger),"")</f>
        <v>2.0419999999999997E-2</v>
      </c>
      <c r="X28" s="115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42482</v>
      </c>
      <c r="Z28" s="5">
        <f>IFERROR(_xll.qlRateHelperPillarDate(U28,Trigger),"")</f>
        <v>51613</v>
      </c>
      <c r="AA28" s="83">
        <v>0.6441496912578053</v>
      </c>
      <c r="AB28" s="190"/>
      <c r="AC28" s="86"/>
      <c r="AD28" s="196"/>
      <c r="AE28" s="190"/>
      <c r="AF28" s="190"/>
      <c r="AG28" s="190"/>
      <c r="AH28" s="190"/>
      <c r="AI28" s="190"/>
      <c r="AJ28" s="190"/>
      <c r="AK28" s="190"/>
      <c r="AL28" s="190"/>
      <c r="AM28" s="190"/>
      <c r="AN28" s="190"/>
      <c r="AO28" s="190"/>
      <c r="AP28" s="190"/>
      <c r="AQ28" s="190"/>
      <c r="AR28" s="190"/>
      <c r="AS28" s="190"/>
      <c r="AT28" s="190"/>
      <c r="AU28" s="190"/>
      <c r="AV28" s="190"/>
      <c r="AW28" s="190"/>
      <c r="AX28" s="190"/>
      <c r="AY28" s="190"/>
      <c r="AZ28" s="190"/>
      <c r="BA28" s="190"/>
      <c r="BB28" s="190"/>
      <c r="BC28" s="190"/>
    </row>
    <row r="29" spans="1:55" ht="11.25" customHeight="1" x14ac:dyDescent="0.2">
      <c r="A29" s="63" t="s">
        <v>100</v>
      </c>
      <c r="B29" s="64" t="s">
        <v>67</v>
      </c>
      <c r="C29" s="65">
        <f t="shared" si="7"/>
        <v>2</v>
      </c>
      <c r="D29" s="136"/>
      <c r="E29" s="66" t="str">
        <f t="shared" si="4"/>
        <v>USDFedFunds</v>
      </c>
      <c r="F29" s="68" t="str">
        <f t="shared" si="5"/>
        <v>USDOIS19M_Quote</v>
      </c>
      <c r="G29" s="136"/>
      <c r="H29" s="69"/>
      <c r="J29" s="11" t="str">
        <f t="shared" si="2"/>
        <v>OIS</v>
      </c>
      <c r="K29" s="105" t="str">
        <f t="shared" si="3"/>
        <v>obj_00304#0006</v>
      </c>
      <c r="L29" s="108" t="str">
        <f>IFERROR(_xll.qlRateHelperQuoteName(K29,Trigger),"--")</f>
        <v>USDOIS21M_Quote</v>
      </c>
      <c r="M29" s="109">
        <f>IFERROR(_xll.qlRateHelperQuoteValue($K29,Trigger),"--")</f>
        <v>5.5899999999999995E-3</v>
      </c>
      <c r="N29" s="199" t="b">
        <f>NOT(ArithmeticFF)</f>
        <v>0</v>
      </c>
      <c r="O29" s="105">
        <v>50</v>
      </c>
      <c r="P29" s="105">
        <v>1</v>
      </c>
      <c r="Q29" s="110">
        <f>IFERROR(_xll.qlRateHelperEarliestDate(K29,Trigger),"--")</f>
        <v>42482</v>
      </c>
      <c r="R29" s="110">
        <f>IFERROR(_xll.qlRateHelperPillarDate(K29,Trigger),"--")</f>
        <v>43122</v>
      </c>
      <c r="T29" s="4" t="str">
        <f t="shared" si="0"/>
        <v>BasOIS</v>
      </c>
      <c r="U29" s="4" t="str">
        <v>obj_00277</v>
      </c>
      <c r="V29" s="4" t="str">
        <f>IFERROR(_xll.qlRateHelperQuoteName(U29,Trigger),"")</f>
        <v>USDAM3L30Y_Quote</v>
      </c>
      <c r="W29" s="75">
        <f>IFERROR(_xll.qlRateHelperRate(U29,Trigger),"")</f>
        <v>2.077E-2</v>
      </c>
      <c r="X29" s="115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42482</v>
      </c>
      <c r="Z29" s="5">
        <f>IFERROR(_xll.qlRateHelperPillarDate(U29,Trigger),"")</f>
        <v>53440</v>
      </c>
      <c r="AA29" s="83">
        <v>0.58330059135050227</v>
      </c>
      <c r="AB29" s="190"/>
      <c r="AC29" s="86"/>
      <c r="AD29" s="196"/>
      <c r="AE29" s="190"/>
      <c r="AF29" s="190"/>
      <c r="AG29" s="190"/>
      <c r="AH29" s="190"/>
      <c r="AI29" s="190"/>
      <c r="AJ29" s="190"/>
      <c r="AK29" s="190"/>
      <c r="AL29" s="190"/>
      <c r="AM29" s="190"/>
      <c r="AN29" s="190"/>
      <c r="AO29" s="190"/>
      <c r="AP29" s="190"/>
      <c r="AQ29" s="190"/>
      <c r="AR29" s="190"/>
      <c r="AS29" s="190"/>
      <c r="AT29" s="190"/>
      <c r="AU29" s="190"/>
      <c r="AV29" s="190"/>
      <c r="AW29" s="190"/>
      <c r="AX29" s="190"/>
      <c r="AY29" s="190"/>
      <c r="AZ29" s="190"/>
      <c r="BA29" s="190"/>
      <c r="BB29" s="190"/>
      <c r="BC29" s="190"/>
    </row>
    <row r="30" spans="1:55" ht="11.25" customHeight="1" x14ac:dyDescent="0.2">
      <c r="A30" s="63" t="s">
        <v>100</v>
      </c>
      <c r="B30" s="64" t="s">
        <v>68</v>
      </c>
      <c r="C30" s="65">
        <f t="shared" si="7"/>
        <v>2</v>
      </c>
      <c r="D30" s="136"/>
      <c r="E30" s="66" t="str">
        <f t="shared" si="4"/>
        <v>USDFedFunds</v>
      </c>
      <c r="F30" s="68" t="str">
        <f t="shared" si="5"/>
        <v>USDOIS20M_Quote</v>
      </c>
      <c r="G30" s="136"/>
      <c r="H30" s="69"/>
      <c r="J30" s="11" t="str">
        <f t="shared" si="2"/>
        <v>OIS</v>
      </c>
      <c r="K30" s="105" t="str">
        <f t="shared" si="3"/>
        <v>--</v>
      </c>
      <c r="L30" s="108" t="str">
        <f>IFERROR(_xll.qlRateHelperQuoteName(K30,Trigger),"--")</f>
        <v>--</v>
      </c>
      <c r="M30" s="109" t="str">
        <f>IFERROR(_xll.qlRateHelperQuoteValue($K30,Trigger),"--")</f>
        <v>--</v>
      </c>
      <c r="N30" s="108" t="b">
        <v>0</v>
      </c>
      <c r="O30" s="105">
        <v>50</v>
      </c>
      <c r="P30" s="105">
        <v>1</v>
      </c>
      <c r="Q30" s="110" t="str">
        <f>IFERROR(_xll.qlRateHelperEarliestDate(K30,Trigger),"--")</f>
        <v>--</v>
      </c>
      <c r="R30" s="110" t="str">
        <f>IFERROR(_xll.qlRateHelperPillarDate(K30,Trigger),"--")</f>
        <v>--</v>
      </c>
      <c r="T30" s="4" t="str">
        <f t="shared" si="0"/>
        <v>OIS</v>
      </c>
      <c r="U30" s="4" t="str">
        <v>obj_00306</v>
      </c>
      <c r="V30" s="4" t="str">
        <f>IFERROR(_xll.qlRateHelperQuoteName(U30,Trigger),"")</f>
        <v>USDOIS40Y_Quote</v>
      </c>
      <c r="W30" s="75">
        <f>IFERROR(_xll.qlRateHelperRate(U30,Trigger),"")</f>
        <v>1.736E-2</v>
      </c>
      <c r="X30" s="115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42482</v>
      </c>
      <c r="Z30" s="5">
        <f>IFERROR(_xll.qlRateHelperPillarDate(U30,Trigger),"")</f>
        <v>57094</v>
      </c>
      <c r="AA30" s="83">
        <v>0.48949071899375712</v>
      </c>
      <c r="AB30" s="190"/>
      <c r="AC30" s="86"/>
      <c r="AD30" s="196"/>
      <c r="AE30" s="190"/>
      <c r="AF30" s="190"/>
      <c r="AG30" s="190"/>
      <c r="AH30" s="190"/>
      <c r="AI30" s="190"/>
      <c r="AJ30" s="190"/>
      <c r="AK30" s="190"/>
      <c r="AL30" s="190"/>
      <c r="AM30" s="190"/>
      <c r="AN30" s="190"/>
      <c r="AO30" s="190"/>
      <c r="AP30" s="190"/>
      <c r="AQ30" s="190"/>
      <c r="AR30" s="190"/>
      <c r="AS30" s="190"/>
      <c r="AT30" s="190"/>
      <c r="AU30" s="190"/>
      <c r="AV30" s="190"/>
      <c r="AW30" s="190"/>
      <c r="AX30" s="190"/>
      <c r="AY30" s="190"/>
      <c r="AZ30" s="190"/>
      <c r="BA30" s="190"/>
      <c r="BB30" s="190"/>
      <c r="BC30" s="190"/>
    </row>
    <row r="31" spans="1:55" ht="11.25" customHeight="1" x14ac:dyDescent="0.2">
      <c r="A31" s="63" t="s">
        <v>100</v>
      </c>
      <c r="B31" s="64" t="s">
        <v>69</v>
      </c>
      <c r="C31" s="65">
        <f t="shared" si="7"/>
        <v>2</v>
      </c>
      <c r="D31" s="136"/>
      <c r="E31" s="66" t="str">
        <f t="shared" si="4"/>
        <v>USDFedFunds</v>
      </c>
      <c r="F31" s="68" t="str">
        <f t="shared" si="5"/>
        <v>USDOIS21M_Quote</v>
      </c>
      <c r="G31" s="136"/>
      <c r="H31" s="69" t="str">
        <f>_xll.qlOISRateHelper(,C31,B31,F31,$E31,,Permanent,Trigger,ObjectOverwrite)</f>
        <v>obj_00304#0006</v>
      </c>
      <c r="J31" s="11" t="str">
        <f t="shared" si="2"/>
        <v>OIS</v>
      </c>
      <c r="K31" s="105" t="str">
        <f t="shared" si="3"/>
        <v>--</v>
      </c>
      <c r="L31" s="108" t="str">
        <f>IFERROR(_xll.qlRateHelperQuoteName(K31,Trigger),"--")</f>
        <v>--</v>
      </c>
      <c r="M31" s="109" t="str">
        <f>IFERROR(_xll.qlRateHelperQuoteValue($K31,Trigger),"--")</f>
        <v>--</v>
      </c>
      <c r="N31" s="108" t="b">
        <v>0</v>
      </c>
      <c r="O31" s="105">
        <v>50</v>
      </c>
      <c r="P31" s="105">
        <v>1</v>
      </c>
      <c r="Q31" s="110" t="str">
        <f>IFERROR(_xll.qlRateHelperEarliestDate(K31,Trigger),"--")</f>
        <v>--</v>
      </c>
      <c r="R31" s="110" t="str">
        <f>IFERROR(_xll.qlRateHelperPillarDate(K31,Trigger),"--")</f>
        <v>--</v>
      </c>
      <c r="T31" s="4" t="str">
        <f t="shared" si="0"/>
        <v>OIS</v>
      </c>
      <c r="U31" s="4" t="str">
        <v>obj_002b7</v>
      </c>
      <c r="V31" s="4" t="str">
        <f>IFERROR(_xll.qlRateHelperQuoteName(U31,Trigger),"")</f>
        <v>USDOIS50Y_Quote</v>
      </c>
      <c r="W31" s="75">
        <f>IFERROR(_xll.qlRateHelperRate(U31,Trigger),"")</f>
        <v>1.7060000000000006E-2</v>
      </c>
      <c r="X31" s="115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42482</v>
      </c>
      <c r="Z31" s="5">
        <f>IFERROR(_xll.qlRateHelperPillarDate(U31,Trigger),"")</f>
        <v>60744</v>
      </c>
      <c r="AA31" s="83">
        <v>0.42044569279308053</v>
      </c>
      <c r="AB31" s="190"/>
      <c r="AC31" s="86"/>
      <c r="AD31" s="196"/>
      <c r="AE31" s="190"/>
      <c r="AF31" s="190"/>
      <c r="AG31" s="190"/>
      <c r="AH31" s="190"/>
      <c r="AI31" s="190"/>
      <c r="AJ31" s="190"/>
      <c r="AK31" s="190"/>
      <c r="AL31" s="190"/>
      <c r="AM31" s="190"/>
      <c r="AN31" s="190"/>
      <c r="AO31" s="190"/>
      <c r="AP31" s="190"/>
      <c r="AQ31" s="190"/>
      <c r="AR31" s="190"/>
      <c r="AS31" s="190"/>
      <c r="AT31" s="190"/>
      <c r="AU31" s="190"/>
      <c r="AV31" s="190"/>
      <c r="AW31" s="190"/>
      <c r="AX31" s="190"/>
      <c r="AY31" s="190"/>
      <c r="AZ31" s="190"/>
      <c r="BA31" s="190"/>
      <c r="BB31" s="190"/>
      <c r="BC31" s="190"/>
    </row>
    <row r="32" spans="1:55" ht="11.25" customHeight="1" x14ac:dyDescent="0.2">
      <c r="A32" s="63" t="s">
        <v>100</v>
      </c>
      <c r="B32" s="64" t="s">
        <v>70</v>
      </c>
      <c r="C32" s="65">
        <f t="shared" si="7"/>
        <v>2</v>
      </c>
      <c r="D32" s="136"/>
      <c r="E32" s="66" t="str">
        <f t="shared" si="4"/>
        <v>USDFedFunds</v>
      </c>
      <c r="F32" s="68" t="str">
        <f t="shared" si="5"/>
        <v>USDOIS22M_Quote</v>
      </c>
      <c r="G32" s="136"/>
      <c r="H32" s="69"/>
      <c r="J32" s="11" t="str">
        <f t="shared" si="2"/>
        <v>OIS</v>
      </c>
      <c r="K32" s="105" t="str">
        <f t="shared" si="3"/>
        <v>obj_00292#0006</v>
      </c>
      <c r="L32" s="108" t="str">
        <f>IFERROR(_xll.qlRateHelperQuoteName(K32,Trigger),"--")</f>
        <v>USDOIS2Y_Quote</v>
      </c>
      <c r="M32" s="109">
        <f>IFERROR(_xll.qlRateHelperQuoteValue($K32,Trigger),"--")</f>
        <v>5.8399999999999997E-3</v>
      </c>
      <c r="N32" s="108" t="b">
        <v>1</v>
      </c>
      <c r="O32" s="105">
        <v>50</v>
      </c>
      <c r="P32" s="105">
        <v>1</v>
      </c>
      <c r="Q32" s="110">
        <f>IFERROR(_xll.qlRateHelperEarliestDate(K32,Trigger),"--")</f>
        <v>42482</v>
      </c>
      <c r="R32" s="110">
        <f>IFERROR(_xll.qlRateHelperPillarDate(K32,Trigger),"--")</f>
        <v>43213</v>
      </c>
      <c r="T32" s="4" t="str">
        <f t="shared" si="0"/>
        <v/>
      </c>
      <c r="U32" s="4" t="e">
        <v>#N/A</v>
      </c>
      <c r="V32" s="4" t="str">
        <f>IFERROR(_xll.qlRateHelperQuoteName(U32,Trigger),"")</f>
        <v/>
      </c>
      <c r="W32" s="75" t="str">
        <f>IFERROR(_xll.qlRateHelperRate(U32,Trigger),"")</f>
        <v/>
      </c>
      <c r="X32" s="115" t="str">
        <f>IF(ISERROR(_xll.qlSwapRateHelperSpread($U32)),IF(ISERROR(_xll.qlFuturesRateHelperConvexityAdjustment($U32)),"",_xll.qlFuturesRateHelperConvexityAdjustment($U32)),_xll.qlSwapRateHelperSpread($U32))</f>
        <v/>
      </c>
      <c r="Y32" s="5" t="str">
        <f>IFERROR(_xll.qlRateHelperEarliestDate(U32,Trigger),"")</f>
        <v/>
      </c>
      <c r="Z32" s="5" t="str">
        <f>IFERROR(_xll.qlRateHelperPillarDate(U32,Trigger),"")</f>
        <v/>
      </c>
      <c r="AA32" s="83" t="e">
        <v>#N/A</v>
      </c>
      <c r="AB32" s="190"/>
      <c r="AC32" s="86"/>
      <c r="AD32" s="196"/>
      <c r="AE32" s="190"/>
      <c r="AF32" s="190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190"/>
      <c r="BC32" s="190"/>
    </row>
    <row r="33" spans="1:55" ht="11.25" customHeight="1" x14ac:dyDescent="0.2">
      <c r="A33" s="63" t="s">
        <v>100</v>
      </c>
      <c r="B33" s="64" t="s">
        <v>71</v>
      </c>
      <c r="C33" s="65">
        <f t="shared" si="7"/>
        <v>2</v>
      </c>
      <c r="D33" s="136"/>
      <c r="E33" s="66" t="str">
        <f t="shared" si="4"/>
        <v>USDFedFunds</v>
      </c>
      <c r="F33" s="68" t="str">
        <f t="shared" si="5"/>
        <v>USDOIS23M_Quote</v>
      </c>
      <c r="G33" s="136"/>
      <c r="H33" s="69"/>
      <c r="J33" s="11" t="str">
        <f t="shared" si="2"/>
        <v>OIS</v>
      </c>
      <c r="K33" s="105" t="str">
        <f t="shared" si="3"/>
        <v>--</v>
      </c>
      <c r="L33" s="108" t="str">
        <f>IFERROR(_xll.qlRateHelperQuoteName(K33,Trigger),"--")</f>
        <v>--</v>
      </c>
      <c r="M33" s="109" t="str">
        <f>IFERROR(_xll.qlRateHelperQuoteValue($K33,Trigger),"--")</f>
        <v>--</v>
      </c>
      <c r="N33" s="108" t="b">
        <v>0</v>
      </c>
      <c r="O33" s="105">
        <v>50</v>
      </c>
      <c r="P33" s="105">
        <v>1</v>
      </c>
      <c r="Q33" s="110" t="str">
        <f>IFERROR(_xll.qlRateHelperEarliestDate(K33,Trigger),"--")</f>
        <v>--</v>
      </c>
      <c r="R33" s="110" t="str">
        <f>IFERROR(_xll.qlRateHelperPillarDate(K33,Trigger),"--")</f>
        <v>--</v>
      </c>
      <c r="T33" s="4" t="str">
        <f t="shared" si="0"/>
        <v/>
      </c>
      <c r="U33" s="4" t="e">
        <v>#N/A</v>
      </c>
      <c r="V33" s="4" t="str">
        <f>IFERROR(_xll.qlRateHelperQuoteName(U33,Trigger),"")</f>
        <v/>
      </c>
      <c r="W33" s="75" t="str">
        <f>IFERROR(_xll.qlRateHelperRate(U33,Trigger),"")</f>
        <v/>
      </c>
      <c r="X33" s="115" t="str">
        <f>IF(ISERROR(_xll.qlSwapRateHelperSpread($U33)),IF(ISERROR(_xll.qlFuturesRateHelperConvexityAdjustment($U33)),"",_xll.qlFuturesRateHelperConvexityAdjustment($U33)),_xll.qlSwapRateHelperSpread($U33))</f>
        <v/>
      </c>
      <c r="Y33" s="5" t="str">
        <f>IFERROR(_xll.qlRateHelperEarliestDate(U33,Trigger),"")</f>
        <v/>
      </c>
      <c r="Z33" s="5" t="str">
        <f>IFERROR(_xll.qlRateHelperPillarDate(U33,Trigger),"")</f>
        <v/>
      </c>
      <c r="AA33" s="83" t="e">
        <v>#N/A</v>
      </c>
      <c r="AB33" s="190"/>
      <c r="AC33" s="86"/>
      <c r="AD33" s="196"/>
      <c r="AE33" s="190"/>
      <c r="AF33" s="190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</row>
    <row r="34" spans="1:55" ht="11.25" customHeight="1" x14ac:dyDescent="0.2">
      <c r="A34" s="63" t="s">
        <v>100</v>
      </c>
      <c r="B34" s="64" t="s">
        <v>72</v>
      </c>
      <c r="C34" s="65">
        <f t="shared" si="7"/>
        <v>2</v>
      </c>
      <c r="D34" s="136"/>
      <c r="E34" s="66" t="str">
        <f t="shared" si="4"/>
        <v>USDFedFunds</v>
      </c>
      <c r="F34" s="68" t="str">
        <f t="shared" si="5"/>
        <v>USDOIS2Y_Quote</v>
      </c>
      <c r="G34" s="136"/>
      <c r="H34" s="69" t="str">
        <f>_xll.qlOISRateHelper(,C34,B34,F34,$E34,,Permanent,Trigger,ObjectOverwrite)</f>
        <v>obj_00292#0006</v>
      </c>
      <c r="J34" s="11" t="str">
        <f t="shared" si="2"/>
        <v>OIS</v>
      </c>
      <c r="K34" s="105" t="str">
        <f t="shared" si="3"/>
        <v>--</v>
      </c>
      <c r="L34" s="108" t="str">
        <f>IFERROR(_xll.qlRateHelperQuoteName(K34,Trigger),"--")</f>
        <v>--</v>
      </c>
      <c r="M34" s="109" t="str">
        <f>IFERROR(_xll.qlRateHelperQuoteValue($K34,Trigger),"--")</f>
        <v>--</v>
      </c>
      <c r="N34" s="108" t="b">
        <v>0</v>
      </c>
      <c r="O34" s="105">
        <v>50</v>
      </c>
      <c r="P34" s="105">
        <v>1</v>
      </c>
      <c r="Q34" s="110" t="str">
        <f>IFERROR(_xll.qlRateHelperEarliestDate(K34,Trigger),"--")</f>
        <v>--</v>
      </c>
      <c r="R34" s="110" t="str">
        <f>IFERROR(_xll.qlRateHelperPillarDate(K34,Trigger),"--")</f>
        <v>--</v>
      </c>
      <c r="T34" s="4" t="str">
        <f t="shared" si="0"/>
        <v/>
      </c>
      <c r="U34" s="4" t="e">
        <v>#N/A</v>
      </c>
      <c r="V34" s="4" t="str">
        <f>IFERROR(_xll.qlRateHelperQuoteName(U34,Trigger),"")</f>
        <v/>
      </c>
      <c r="W34" s="75" t="str">
        <f>IFERROR(_xll.qlRateHelperRate(U34,Trigger),"")</f>
        <v/>
      </c>
      <c r="X34" s="115" t="str">
        <f>IF(ISERROR(_xll.qlSwapRateHelperSpread($U34)),IF(ISERROR(_xll.qlFuturesRateHelperConvexityAdjustment($U34)),"",_xll.qlFuturesRateHelperConvexityAdjustment($U34)),_xll.qlSwapRateHelperSpread($U34))</f>
        <v/>
      </c>
      <c r="Y34" s="5" t="str">
        <f>IFERROR(_xll.qlRateHelperEarliestDate(U34,Trigger),"")</f>
        <v/>
      </c>
      <c r="Z34" s="5" t="str">
        <f>IFERROR(_xll.qlRateHelperPillarDate(U34,Trigger),"")</f>
        <v/>
      </c>
      <c r="AA34" s="83" t="e">
        <v>#N/A</v>
      </c>
      <c r="AB34" s="190"/>
      <c r="AC34" s="86"/>
      <c r="AD34" s="196"/>
      <c r="AE34" s="190"/>
      <c r="AF34" s="190"/>
      <c r="AG34" s="190"/>
      <c r="AH34" s="190"/>
      <c r="AI34" s="190"/>
      <c r="AJ34" s="190"/>
      <c r="AK34" s="190"/>
      <c r="AL34" s="190"/>
      <c r="AM34" s="190"/>
      <c r="AN34" s="190"/>
      <c r="AO34" s="190"/>
      <c r="AP34" s="190"/>
      <c r="AQ34" s="190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</row>
    <row r="35" spans="1:55" ht="11.25" customHeight="1" x14ac:dyDescent="0.2">
      <c r="A35" s="63" t="s">
        <v>100</v>
      </c>
      <c r="B35" s="64" t="s">
        <v>73</v>
      </c>
      <c r="C35" s="65">
        <f t="shared" si="7"/>
        <v>2</v>
      </c>
      <c r="D35" s="136"/>
      <c r="E35" s="66" t="str">
        <f t="shared" si="4"/>
        <v>USDFedFunds</v>
      </c>
      <c r="F35" s="68" t="str">
        <f t="shared" si="5"/>
        <v>USDOIS27M_Quote</v>
      </c>
      <c r="G35" s="136"/>
      <c r="H35" s="69"/>
      <c r="J35" s="11" t="str">
        <f t="shared" si="2"/>
        <v>OIS</v>
      </c>
      <c r="K35" s="105" t="str">
        <f t="shared" si="3"/>
        <v>--</v>
      </c>
      <c r="L35" s="108" t="str">
        <f>IFERROR(_xll.qlRateHelperQuoteName(K35,Trigger),"--")</f>
        <v>--</v>
      </c>
      <c r="M35" s="109" t="str">
        <f>IFERROR(_xll.qlRateHelperQuoteValue($K35,Trigger),"--")</f>
        <v>--</v>
      </c>
      <c r="N35" s="108" t="b">
        <v>0</v>
      </c>
      <c r="O35" s="105">
        <v>50</v>
      </c>
      <c r="P35" s="105">
        <v>1</v>
      </c>
      <c r="Q35" s="110" t="str">
        <f>IFERROR(_xll.qlRateHelperEarliestDate(K35,Trigger),"--")</f>
        <v>--</v>
      </c>
      <c r="R35" s="110" t="str">
        <f>IFERROR(_xll.qlRateHelperPillarDate(K35,Trigger),"--")</f>
        <v>--</v>
      </c>
      <c r="T35" s="4" t="str">
        <f t="shared" si="0"/>
        <v/>
      </c>
      <c r="U35" s="4" t="e">
        <v>#N/A</v>
      </c>
      <c r="V35" s="4" t="str">
        <f>IFERROR(_xll.qlRateHelperQuoteName(U35,Trigger),"")</f>
        <v/>
      </c>
      <c r="W35" s="75" t="str">
        <f>IFERROR(_xll.qlRateHelperRate(U35,Trigger),"")</f>
        <v/>
      </c>
      <c r="X35" s="115" t="str">
        <f>IF(ISERROR(_xll.qlSwapRateHelperSpread($U35)),IF(ISERROR(_xll.qlFuturesRateHelperConvexityAdjustment($U35)),"",_xll.qlFuturesRateHelperConvexityAdjustment($U35)),_xll.qlSwapRateHelperSpread($U35))</f>
        <v/>
      </c>
      <c r="Y35" s="5" t="str">
        <f>IFERROR(_xll.qlRateHelperEarliestDate(U35,Trigger),"")</f>
        <v/>
      </c>
      <c r="Z35" s="5" t="str">
        <f>IFERROR(_xll.qlRateHelperPillarDate(U35,Trigger),"")</f>
        <v/>
      </c>
      <c r="AA35" s="83" t="e">
        <v>#N/A</v>
      </c>
      <c r="AB35" s="190"/>
      <c r="AC35" s="86"/>
      <c r="AD35" s="196"/>
      <c r="AE35" s="190"/>
      <c r="AF35" s="190"/>
      <c r="AG35" s="190"/>
      <c r="AH35" s="190"/>
      <c r="AI35" s="190"/>
      <c r="AJ35" s="190"/>
      <c r="AK35" s="190"/>
      <c r="AL35" s="190"/>
      <c r="AM35" s="190"/>
      <c r="AN35" s="190"/>
      <c r="AO35" s="190"/>
      <c r="AP35" s="190"/>
      <c r="AQ35" s="190"/>
      <c r="AR35" s="190"/>
      <c r="AS35" s="190"/>
      <c r="AT35" s="190"/>
      <c r="AU35" s="190"/>
      <c r="AV35" s="190"/>
      <c r="AW35" s="190"/>
      <c r="AX35" s="190"/>
      <c r="AY35" s="190"/>
      <c r="AZ35" s="190"/>
      <c r="BA35" s="190"/>
      <c r="BB35" s="190"/>
      <c r="BC35" s="190"/>
    </row>
    <row r="36" spans="1:55" ht="11.25" customHeight="1" x14ac:dyDescent="0.2">
      <c r="A36" s="63" t="s">
        <v>100</v>
      </c>
      <c r="B36" s="64" t="s">
        <v>74</v>
      </c>
      <c r="C36" s="65">
        <f t="shared" si="7"/>
        <v>2</v>
      </c>
      <c r="D36" s="136"/>
      <c r="E36" s="66" t="str">
        <f t="shared" si="4"/>
        <v>USDFedFunds</v>
      </c>
      <c r="F36" s="68" t="str">
        <f t="shared" si="5"/>
        <v>USDOIS30M_Quote</v>
      </c>
      <c r="G36" s="136"/>
      <c r="H36" s="69"/>
      <c r="J36" s="11" t="str">
        <f t="shared" si="2"/>
        <v>OIS</v>
      </c>
      <c r="K36" s="105" t="str">
        <f t="shared" si="3"/>
        <v>obj_002cd#0006</v>
      </c>
      <c r="L36" s="108" t="str">
        <f>IFERROR(_xll.qlRateHelperQuoteName(K36,Trigger),"--")</f>
        <v>USDOIS3Y_Quote</v>
      </c>
      <c r="M36" s="109">
        <f>IFERROR(_xll.qlRateHelperQuoteValue($K36,Trigger),"--")</f>
        <v>6.7699999999999991E-3</v>
      </c>
      <c r="N36" s="108" t="b">
        <v>1</v>
      </c>
      <c r="O36" s="105">
        <v>50</v>
      </c>
      <c r="P36" s="105">
        <v>1</v>
      </c>
      <c r="Q36" s="110">
        <f>IFERROR(_xll.qlRateHelperEarliestDate(K36,Trigger),"--")</f>
        <v>42482</v>
      </c>
      <c r="R36" s="110">
        <f>IFERROR(_xll.qlRateHelperPillarDate(K36,Trigger),"--")</f>
        <v>43577</v>
      </c>
      <c r="T36" s="4" t="str">
        <f t="shared" si="0"/>
        <v/>
      </c>
      <c r="U36" s="4" t="e">
        <v>#N/A</v>
      </c>
      <c r="V36" s="4" t="str">
        <f>IFERROR(_xll.qlRateHelperQuoteName(U36,Trigger),"")</f>
        <v/>
      </c>
      <c r="W36" s="75" t="str">
        <f>IFERROR(_xll.qlRateHelperRate(U36,Trigger),"")</f>
        <v/>
      </c>
      <c r="X36" s="115" t="str">
        <f>IF(ISERROR(_xll.qlSwapRateHelperSpread($U36)),IF(ISERROR(_xll.qlFuturesRateHelperConvexityAdjustment($U36)),"",_xll.qlFuturesRateHelperConvexityAdjustment($U36)),_xll.qlSwapRateHelperSpread($U36))</f>
        <v/>
      </c>
      <c r="Y36" s="5" t="str">
        <f>IFERROR(_xll.qlRateHelperEarliestDate(U36,Trigger),"")</f>
        <v/>
      </c>
      <c r="Z36" s="5" t="str">
        <f>IFERROR(_xll.qlRateHelperPillarDate(U36,Trigger),"")</f>
        <v/>
      </c>
      <c r="AA36" s="83" t="e">
        <v>#N/A</v>
      </c>
      <c r="AB36" s="190"/>
      <c r="AC36" s="86"/>
      <c r="AD36" s="196"/>
      <c r="AE36" s="190"/>
      <c r="AF36" s="190"/>
      <c r="AG36" s="190"/>
      <c r="AH36" s="190"/>
      <c r="AI36" s="190"/>
      <c r="AJ36" s="190"/>
      <c r="AK36" s="190"/>
      <c r="AL36" s="190"/>
      <c r="AM36" s="190"/>
      <c r="AN36" s="190"/>
      <c r="AO36" s="190"/>
      <c r="AP36" s="190"/>
      <c r="AQ36" s="190"/>
      <c r="AR36" s="190"/>
      <c r="AS36" s="190"/>
      <c r="AT36" s="190"/>
      <c r="AU36" s="190"/>
      <c r="AV36" s="190"/>
      <c r="AW36" s="190"/>
      <c r="AX36" s="190"/>
      <c r="AY36" s="190"/>
      <c r="AZ36" s="190"/>
      <c r="BA36" s="190"/>
      <c r="BB36" s="190"/>
      <c r="BC36" s="190"/>
    </row>
    <row r="37" spans="1:55" ht="11.25" customHeight="1" x14ac:dyDescent="0.2">
      <c r="A37" s="63" t="s">
        <v>100</v>
      </c>
      <c r="B37" s="64" t="s">
        <v>75</v>
      </c>
      <c r="C37" s="65">
        <f t="shared" si="7"/>
        <v>2</v>
      </c>
      <c r="D37" s="136"/>
      <c r="E37" s="66" t="str">
        <f t="shared" si="4"/>
        <v>USDFedFunds</v>
      </c>
      <c r="F37" s="68" t="str">
        <f t="shared" si="5"/>
        <v>USDOIS33M_Quote</v>
      </c>
      <c r="G37" s="136"/>
      <c r="H37" s="69"/>
      <c r="J37" s="11" t="str">
        <f t="shared" si="2"/>
        <v>OIS</v>
      </c>
      <c r="K37" s="105" t="str">
        <f t="shared" si="3"/>
        <v>--</v>
      </c>
      <c r="L37" s="108" t="str">
        <f>IFERROR(_xll.qlRateHelperQuoteName(K37,Trigger),"--")</f>
        <v>--</v>
      </c>
      <c r="M37" s="109" t="str">
        <f>IFERROR(_xll.qlRateHelperQuoteValue($K37,Trigger),"--")</f>
        <v>--</v>
      </c>
      <c r="N37" s="108" t="b">
        <v>0</v>
      </c>
      <c r="O37" s="105">
        <v>50</v>
      </c>
      <c r="P37" s="105">
        <v>1</v>
      </c>
      <c r="Q37" s="110" t="str">
        <f>IFERROR(_xll.qlRateHelperEarliestDate(K37,Trigger),"--")</f>
        <v>--</v>
      </c>
      <c r="R37" s="110" t="str">
        <f>IFERROR(_xll.qlRateHelperPillarDate(K37,Trigger),"--")</f>
        <v>--</v>
      </c>
      <c r="T37" s="4" t="str">
        <f t="shared" si="0"/>
        <v/>
      </c>
      <c r="U37" s="4" t="e">
        <v>#N/A</v>
      </c>
      <c r="V37" s="4" t="str">
        <f>IFERROR(_xll.qlRateHelperQuoteName(U37,Trigger),"")</f>
        <v/>
      </c>
      <c r="W37" s="75" t="str">
        <f>IFERROR(_xll.qlRateHelperRate(U37,Trigger),"")</f>
        <v/>
      </c>
      <c r="X37" s="115" t="str">
        <f>IF(ISERROR(_xll.qlSwapRateHelperSpread($U37)),IF(ISERROR(_xll.qlFuturesRateHelperConvexityAdjustment($U37)),"",_xll.qlFuturesRateHelperConvexityAdjustment($U37)),_xll.qlSwapRateHelperSpread($U37))</f>
        <v/>
      </c>
      <c r="Y37" s="5" t="str">
        <f>IFERROR(_xll.qlRateHelperEarliestDate(U37,Trigger),"")</f>
        <v/>
      </c>
      <c r="Z37" s="5" t="str">
        <f>IFERROR(_xll.qlRateHelperPillarDate(U37,Trigger),"")</f>
        <v/>
      </c>
      <c r="AA37" s="83" t="e">
        <v>#N/A</v>
      </c>
      <c r="AB37" s="190"/>
      <c r="AC37" s="86"/>
      <c r="AD37" s="196"/>
      <c r="AE37" s="190"/>
      <c r="AF37" s="190"/>
      <c r="AG37" s="190"/>
      <c r="AH37" s="190"/>
      <c r="AI37" s="190"/>
      <c r="AJ37" s="190"/>
      <c r="AK37" s="190"/>
      <c r="AL37" s="190"/>
      <c r="AM37" s="190"/>
      <c r="AN37" s="190"/>
      <c r="AO37" s="190"/>
      <c r="AP37" s="190"/>
      <c r="AQ37" s="190"/>
      <c r="AR37" s="190"/>
      <c r="AS37" s="190"/>
      <c r="AT37" s="190"/>
      <c r="AU37" s="190"/>
      <c r="AV37" s="190"/>
      <c r="AW37" s="190"/>
      <c r="AX37" s="190"/>
      <c r="AY37" s="190"/>
      <c r="AZ37" s="190"/>
      <c r="BA37" s="190"/>
      <c r="BB37" s="190"/>
      <c r="BC37" s="190"/>
    </row>
    <row r="38" spans="1:55" ht="11.25" customHeight="1" x14ac:dyDescent="0.2">
      <c r="A38" s="63" t="s">
        <v>100</v>
      </c>
      <c r="B38" s="64" t="s">
        <v>76</v>
      </c>
      <c r="C38" s="65">
        <f t="shared" si="7"/>
        <v>2</v>
      </c>
      <c r="D38" s="136"/>
      <c r="E38" s="66" t="str">
        <f t="shared" si="4"/>
        <v>USDFedFunds</v>
      </c>
      <c r="F38" s="68" t="str">
        <f t="shared" si="5"/>
        <v>USDOIS3Y_Quote</v>
      </c>
      <c r="G38" s="136"/>
      <c r="H38" s="69" t="str">
        <f>_xll.qlOISRateHelper(,C38,B38,F38,$E38,,Permanent,Trigger,ObjectOverwrite)</f>
        <v>obj_002cd#0006</v>
      </c>
      <c r="J38" s="11" t="str">
        <f t="shared" ref="J38:J55" si="8">A40</f>
        <v>OIS</v>
      </c>
      <c r="K38" s="105" t="str">
        <f t="shared" si="3"/>
        <v>--</v>
      </c>
      <c r="L38" s="108" t="str">
        <f>IFERROR(_xll.qlRateHelperQuoteName(K38,Trigger),"--")</f>
        <v>--</v>
      </c>
      <c r="M38" s="109" t="str">
        <f>IFERROR(_xll.qlRateHelperQuoteValue($K38,Trigger),"--")</f>
        <v>--</v>
      </c>
      <c r="N38" s="108" t="b">
        <v>0</v>
      </c>
      <c r="O38" s="105">
        <v>50</v>
      </c>
      <c r="P38" s="105">
        <v>1</v>
      </c>
      <c r="Q38" s="110" t="str">
        <f>IFERROR(_xll.qlRateHelperEarliestDate(K38,Trigger),"--")</f>
        <v>--</v>
      </c>
      <c r="R38" s="110" t="str">
        <f>IFERROR(_xll.qlRateHelperPillarDate(K38,Trigger),"--")</f>
        <v>--</v>
      </c>
      <c r="T38" s="4" t="str">
        <f t="shared" si="0"/>
        <v/>
      </c>
      <c r="U38" s="4" t="e">
        <v>#N/A</v>
      </c>
      <c r="V38" s="4" t="str">
        <f>IFERROR(_xll.qlRateHelperQuoteName(U38,Trigger),"")</f>
        <v/>
      </c>
      <c r="W38" s="75" t="str">
        <f>IFERROR(_xll.qlRateHelperRate(U38,Trigger),"")</f>
        <v/>
      </c>
      <c r="X38" s="115" t="str">
        <f>IF(ISERROR(_xll.qlSwapRateHelperSpread($U38)),IF(ISERROR(_xll.qlFuturesRateHelperConvexityAdjustment($U38)),"",_xll.qlFuturesRateHelperConvexityAdjustment($U38)),_xll.qlSwapRateHelperSpread($U38))</f>
        <v/>
      </c>
      <c r="Y38" s="5" t="str">
        <f>IFERROR(_xll.qlRateHelperEarliestDate(U38,Trigger),"")</f>
        <v/>
      </c>
      <c r="Z38" s="5" t="str">
        <f>IFERROR(_xll.qlRateHelperPillarDate(U38,Trigger),"")</f>
        <v/>
      </c>
      <c r="AA38" s="83" t="e">
        <v>#N/A</v>
      </c>
      <c r="AB38" s="190"/>
      <c r="AC38" s="86"/>
      <c r="AD38" s="196"/>
      <c r="AE38" s="190"/>
      <c r="AF38" s="190"/>
      <c r="AG38" s="190"/>
      <c r="AH38" s="190"/>
      <c r="AI38" s="190"/>
      <c r="AJ38" s="190"/>
      <c r="AK38" s="190"/>
      <c r="AL38" s="190"/>
      <c r="AM38" s="190"/>
      <c r="AN38" s="190"/>
      <c r="AO38" s="190"/>
      <c r="AP38" s="190"/>
      <c r="AQ38" s="190"/>
      <c r="AR38" s="190"/>
      <c r="AS38" s="190"/>
      <c r="AT38" s="190"/>
      <c r="AU38" s="190"/>
      <c r="AV38" s="190"/>
      <c r="AW38" s="190"/>
      <c r="AX38" s="190"/>
      <c r="AY38" s="190"/>
      <c r="AZ38" s="190"/>
      <c r="BA38" s="190"/>
      <c r="BB38" s="190"/>
      <c r="BC38" s="190"/>
    </row>
    <row r="39" spans="1:55" ht="11.25" customHeight="1" x14ac:dyDescent="0.2">
      <c r="A39" s="63" t="s">
        <v>100</v>
      </c>
      <c r="B39" s="64" t="s">
        <v>77</v>
      </c>
      <c r="C39" s="65">
        <f t="shared" si="7"/>
        <v>2</v>
      </c>
      <c r="D39" s="136"/>
      <c r="E39" s="66" t="str">
        <f t="shared" si="4"/>
        <v>USDFedFunds</v>
      </c>
      <c r="F39" s="68" t="str">
        <f t="shared" si="5"/>
        <v>USDOIS39M_Quote</v>
      </c>
      <c r="G39" s="136"/>
      <c r="H39" s="69"/>
      <c r="J39" s="11" t="str">
        <f t="shared" si="8"/>
        <v>OIS</v>
      </c>
      <c r="K39" s="105" t="str">
        <f t="shared" si="3"/>
        <v>--</v>
      </c>
      <c r="L39" s="108" t="str">
        <f>IFERROR(_xll.qlRateHelperQuoteName(K39,Trigger),"--")</f>
        <v>--</v>
      </c>
      <c r="M39" s="109" t="str">
        <f>IFERROR(_xll.qlRateHelperQuoteValue($K39,Trigger),"--")</f>
        <v>--</v>
      </c>
      <c r="N39" s="108" t="b">
        <v>0</v>
      </c>
      <c r="O39" s="105">
        <v>50</v>
      </c>
      <c r="P39" s="105">
        <v>1</v>
      </c>
      <c r="Q39" s="110" t="str">
        <f>IFERROR(_xll.qlRateHelperEarliestDate(K39,Trigger),"--")</f>
        <v>--</v>
      </c>
      <c r="R39" s="110" t="str">
        <f>IFERROR(_xll.qlRateHelperPillarDate(K39,Trigger),"--")</f>
        <v>--</v>
      </c>
      <c r="T39" s="4" t="str">
        <f t="shared" si="0"/>
        <v/>
      </c>
      <c r="U39" s="4" t="e">
        <v>#N/A</v>
      </c>
      <c r="V39" s="4" t="str">
        <f>IFERROR(_xll.qlRateHelperQuoteName(U39,Trigger),"")</f>
        <v/>
      </c>
      <c r="W39" s="75" t="str">
        <f>IFERROR(_xll.qlRateHelperRate(U39,Trigger),"")</f>
        <v/>
      </c>
      <c r="X39" s="115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83" t="e">
        <v>#N/A</v>
      </c>
      <c r="AB39" s="190"/>
      <c r="AC39" s="86"/>
      <c r="AD39" s="196"/>
      <c r="AE39" s="190"/>
      <c r="AF39" s="190"/>
      <c r="AG39" s="190"/>
      <c r="AH39" s="190"/>
      <c r="AI39" s="190"/>
      <c r="AJ39" s="190"/>
      <c r="AK39" s="190"/>
      <c r="AL39" s="190"/>
      <c r="AM39" s="190"/>
      <c r="AN39" s="190"/>
      <c r="AO39" s="190"/>
      <c r="AP39" s="190"/>
      <c r="AQ39" s="190"/>
      <c r="AR39" s="190"/>
      <c r="AS39" s="190"/>
      <c r="AT39" s="190"/>
      <c r="AU39" s="190"/>
      <c r="AV39" s="190"/>
      <c r="AW39" s="190"/>
      <c r="AX39" s="190"/>
      <c r="AY39" s="190"/>
      <c r="AZ39" s="190"/>
      <c r="BA39" s="190"/>
      <c r="BB39" s="190"/>
      <c r="BC39" s="190"/>
    </row>
    <row r="40" spans="1:55" ht="11.25" customHeight="1" x14ac:dyDescent="0.2">
      <c r="A40" s="63" t="s">
        <v>100</v>
      </c>
      <c r="B40" s="64" t="s">
        <v>78</v>
      </c>
      <c r="C40" s="65">
        <f t="shared" si="7"/>
        <v>2</v>
      </c>
      <c r="D40" s="136"/>
      <c r="E40" s="66" t="str">
        <f t="shared" ref="E40:E61" si="9">Currency&amp;Tenor</f>
        <v>USDFedFunds</v>
      </c>
      <c r="F40" s="68" t="str">
        <f t="shared" ref="F40:F61" si="10">Currency&amp;$A40&amp;IF($B40="1W","SW",$B40)&amp;QuoteSuffix</f>
        <v>USDOIS42M_Quote</v>
      </c>
      <c r="G40" s="136"/>
      <c r="H40" s="69"/>
      <c r="J40" s="11" t="str">
        <f t="shared" si="8"/>
        <v>OIS</v>
      </c>
      <c r="K40" s="105" t="str">
        <f t="shared" si="3"/>
        <v>obj_002a5#0006</v>
      </c>
      <c r="L40" s="108" t="str">
        <f>IFERROR(_xll.qlRateHelperQuoteName(K40,Trigger),"--")</f>
        <v>USDOIS4Y_Quote</v>
      </c>
      <c r="M40" s="109">
        <f>IFERROR(_xll.qlRateHelperQuoteValue($K40,Trigger),"--")</f>
        <v>7.7000000000000002E-3</v>
      </c>
      <c r="N40" s="108" t="b">
        <v>1</v>
      </c>
      <c r="O40" s="105">
        <v>50</v>
      </c>
      <c r="P40" s="105">
        <v>1</v>
      </c>
      <c r="Q40" s="110">
        <f>IFERROR(_xll.qlRateHelperEarliestDate(K40,Trigger),"--")</f>
        <v>42482</v>
      </c>
      <c r="R40" s="110">
        <f>IFERROR(_xll.qlRateHelperPillarDate(K40,Trigger),"--")</f>
        <v>43943</v>
      </c>
      <c r="T40" s="4" t="str">
        <f t="shared" si="0"/>
        <v/>
      </c>
      <c r="U40" s="4" t="e">
        <v>#N/A</v>
      </c>
      <c r="V40" s="4" t="str">
        <f>IFERROR(_xll.qlRateHelperQuoteName(U40,Trigger),"")</f>
        <v/>
      </c>
      <c r="W40" s="75" t="str">
        <f>IFERROR(_xll.qlRateHelperRate(U40,Trigger),"")</f>
        <v/>
      </c>
      <c r="X40" s="115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83" t="e">
        <v>#N/A</v>
      </c>
      <c r="AB40" s="190"/>
      <c r="AC40" s="86"/>
      <c r="AD40" s="196"/>
      <c r="AE40" s="190"/>
      <c r="AF40" s="190"/>
      <c r="AG40" s="190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90"/>
      <c r="AS40" s="190"/>
      <c r="AT40" s="190"/>
      <c r="AU40" s="190"/>
      <c r="AV40" s="190"/>
      <c r="AW40" s="190"/>
      <c r="AX40" s="190"/>
      <c r="AY40" s="190"/>
      <c r="AZ40" s="190"/>
      <c r="BA40" s="190"/>
      <c r="BB40" s="190"/>
      <c r="BC40" s="190"/>
    </row>
    <row r="41" spans="1:55" ht="11.25" customHeight="1" x14ac:dyDescent="0.2">
      <c r="A41" s="63" t="s">
        <v>100</v>
      </c>
      <c r="B41" s="64" t="s">
        <v>79</v>
      </c>
      <c r="C41" s="65">
        <f t="shared" si="7"/>
        <v>2</v>
      </c>
      <c r="D41" s="136"/>
      <c r="E41" s="66" t="str">
        <f t="shared" si="9"/>
        <v>USDFedFunds</v>
      </c>
      <c r="F41" s="68" t="str">
        <f t="shared" si="10"/>
        <v>USDOIS45M_Quote</v>
      </c>
      <c r="G41" s="136"/>
      <c r="H41" s="69"/>
      <c r="J41" s="11" t="str">
        <f t="shared" si="8"/>
        <v>OIS</v>
      </c>
      <c r="K41" s="105" t="str">
        <f t="shared" si="3"/>
        <v>--</v>
      </c>
      <c r="L41" s="108" t="str">
        <f>IFERROR(_xll.qlRateHelperQuoteName(K41,Trigger),"--")</f>
        <v>--</v>
      </c>
      <c r="M41" s="109" t="str">
        <f>IFERROR(_xll.qlRateHelperQuoteValue($K41,Trigger),"--")</f>
        <v>--</v>
      </c>
      <c r="N41" s="108" t="b">
        <v>0</v>
      </c>
      <c r="O41" s="105">
        <v>50</v>
      </c>
      <c r="P41" s="105">
        <v>1</v>
      </c>
      <c r="Q41" s="110" t="str">
        <f>IFERROR(_xll.qlRateHelperEarliestDate(K41,Trigger),"--")</f>
        <v>--</v>
      </c>
      <c r="R41" s="110" t="str">
        <f>IFERROR(_xll.qlRateHelperPillarDate(K41,Trigger),"--")</f>
        <v>--</v>
      </c>
      <c r="T41" s="4" t="str">
        <f t="shared" si="0"/>
        <v/>
      </c>
      <c r="U41" s="4" t="e">
        <v>#N/A</v>
      </c>
      <c r="V41" s="4" t="str">
        <f>IFERROR(_xll.qlRateHelperQuoteName(U41,Trigger),"")</f>
        <v/>
      </c>
      <c r="W41" s="75" t="str">
        <f>IFERROR(_xll.qlRateHelperRate(U41,Trigger),"")</f>
        <v/>
      </c>
      <c r="X41" s="115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83" t="e">
        <v>#N/A</v>
      </c>
      <c r="AB41" s="190"/>
      <c r="AC41" s="86"/>
      <c r="AD41" s="196"/>
      <c r="AE41" s="190"/>
      <c r="AF41" s="190"/>
      <c r="AG41" s="190"/>
      <c r="AH41" s="190"/>
      <c r="AI41" s="190"/>
      <c r="AJ41" s="190"/>
      <c r="AK41" s="190"/>
      <c r="AL41" s="190"/>
      <c r="AM41" s="190"/>
      <c r="AN41" s="190"/>
      <c r="AO41" s="190"/>
      <c r="AP41" s="190"/>
      <c r="AQ41" s="190"/>
      <c r="AR41" s="190"/>
      <c r="AS41" s="190"/>
      <c r="AT41" s="190"/>
      <c r="AU41" s="190"/>
      <c r="AV41" s="190"/>
      <c r="AW41" s="190"/>
      <c r="AX41" s="190"/>
      <c r="AY41" s="190"/>
      <c r="AZ41" s="190"/>
      <c r="BA41" s="190"/>
      <c r="BB41" s="190"/>
      <c r="BC41" s="190"/>
    </row>
    <row r="42" spans="1:55" ht="11.25" customHeight="1" x14ac:dyDescent="0.2">
      <c r="A42" s="63" t="s">
        <v>100</v>
      </c>
      <c r="B42" s="64" t="s">
        <v>80</v>
      </c>
      <c r="C42" s="65">
        <f t="shared" si="7"/>
        <v>2</v>
      </c>
      <c r="D42" s="136"/>
      <c r="E42" s="66" t="str">
        <f t="shared" si="9"/>
        <v>USDFedFunds</v>
      </c>
      <c r="F42" s="68" t="str">
        <f t="shared" si="10"/>
        <v>USDOIS4Y_Quote</v>
      </c>
      <c r="G42" s="136"/>
      <c r="H42" s="69" t="str">
        <f>_xll.qlOISRateHelper(,C42,B42,F42,$E42,,Permanent,Trigger,ObjectOverwrite)</f>
        <v>obj_002a5#0006</v>
      </c>
      <c r="J42" s="11" t="str">
        <f t="shared" si="8"/>
        <v>OIS</v>
      </c>
      <c r="K42" s="105" t="str">
        <f t="shared" si="3"/>
        <v>--</v>
      </c>
      <c r="L42" s="108" t="str">
        <f>IFERROR(_xll.qlRateHelperQuoteName(K42,Trigger),"--")</f>
        <v>--</v>
      </c>
      <c r="M42" s="109" t="str">
        <f>IFERROR(_xll.qlRateHelperQuoteValue($K42,Trigger),"--")</f>
        <v>--</v>
      </c>
      <c r="N42" s="108" t="b">
        <v>0</v>
      </c>
      <c r="O42" s="105">
        <v>50</v>
      </c>
      <c r="P42" s="105">
        <v>1</v>
      </c>
      <c r="Q42" s="110" t="str">
        <f>IFERROR(_xll.qlRateHelperEarliestDate(K42,Trigger),"--")</f>
        <v>--</v>
      </c>
      <c r="R42" s="110" t="str">
        <f>IFERROR(_xll.qlRateHelperPillarDate(K42,Trigger),"--")</f>
        <v>--</v>
      </c>
      <c r="T42" s="4" t="str">
        <f t="shared" si="0"/>
        <v/>
      </c>
      <c r="U42" s="4" t="e">
        <v>#N/A</v>
      </c>
      <c r="V42" s="4" t="str">
        <f>IFERROR(_xll.qlRateHelperQuoteName(U42,Trigger),"")</f>
        <v/>
      </c>
      <c r="W42" s="75" t="str">
        <f>IFERROR(_xll.qlRateHelperRate(U42,Trigger),"")</f>
        <v/>
      </c>
      <c r="X42" s="115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83" t="e">
        <v>#N/A</v>
      </c>
      <c r="AB42" s="190"/>
      <c r="AC42" s="86"/>
      <c r="AD42" s="196"/>
      <c r="AE42" s="190"/>
      <c r="AF42" s="190"/>
      <c r="AG42" s="190"/>
      <c r="AH42" s="190"/>
      <c r="AI42" s="190"/>
      <c r="AJ42" s="190"/>
      <c r="AK42" s="190"/>
      <c r="AL42" s="190"/>
      <c r="AM42" s="190"/>
      <c r="AN42" s="190"/>
      <c r="AO42" s="190"/>
      <c r="AP42" s="190"/>
      <c r="AQ42" s="190"/>
      <c r="AR42" s="190"/>
      <c r="AS42" s="190"/>
      <c r="AT42" s="190"/>
      <c r="AU42" s="190"/>
      <c r="AV42" s="190"/>
      <c r="AW42" s="190"/>
      <c r="AX42" s="190"/>
      <c r="AY42" s="190"/>
      <c r="AZ42" s="190"/>
      <c r="BA42" s="190"/>
      <c r="BB42" s="190"/>
      <c r="BC42" s="190"/>
    </row>
    <row r="43" spans="1:55" ht="11.25" customHeight="1" x14ac:dyDescent="0.2">
      <c r="A43" s="63" t="s">
        <v>100</v>
      </c>
      <c r="B43" s="64" t="s">
        <v>81</v>
      </c>
      <c r="C43" s="65">
        <f t="shared" si="7"/>
        <v>2</v>
      </c>
      <c r="D43" s="136"/>
      <c r="E43" s="66" t="str">
        <f t="shared" si="9"/>
        <v>USDFedFunds</v>
      </c>
      <c r="F43" s="68" t="str">
        <f t="shared" si="10"/>
        <v>USDOIS51M_Quote</v>
      </c>
      <c r="G43" s="136"/>
      <c r="H43" s="69"/>
      <c r="J43" s="11" t="str">
        <f t="shared" si="8"/>
        <v>OIS</v>
      </c>
      <c r="K43" s="105" t="str">
        <f t="shared" si="3"/>
        <v>--</v>
      </c>
      <c r="L43" s="108" t="str">
        <f>IFERROR(_xll.qlRateHelperQuoteName(K43,Trigger),"--")</f>
        <v>--</v>
      </c>
      <c r="M43" s="109" t="str">
        <f>IFERROR(_xll.qlRateHelperQuoteValue($K43,Trigger),"--")</f>
        <v>--</v>
      </c>
      <c r="N43" s="108" t="b">
        <v>0</v>
      </c>
      <c r="O43" s="105">
        <v>50</v>
      </c>
      <c r="P43" s="105">
        <v>1</v>
      </c>
      <c r="Q43" s="110" t="str">
        <f>IFERROR(_xll.qlRateHelperEarliestDate(K43,Trigger),"--")</f>
        <v>--</v>
      </c>
      <c r="R43" s="110" t="str">
        <f>IFERROR(_xll.qlRateHelperPillarDate(K43,Trigger),"--")</f>
        <v>--</v>
      </c>
      <c r="T43" s="4" t="str">
        <f t="shared" si="0"/>
        <v/>
      </c>
      <c r="U43" s="4" t="e">
        <v>#N/A</v>
      </c>
      <c r="V43" s="4" t="str">
        <f>IFERROR(_xll.qlRateHelperQuoteName(U43,Trigger),"")</f>
        <v/>
      </c>
      <c r="W43" s="75" t="str">
        <f>IFERROR(_xll.qlRateHelperRate(U43,Trigger),"")</f>
        <v/>
      </c>
      <c r="X43" s="115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83" t="e">
        <v>#N/A</v>
      </c>
      <c r="AB43" s="190"/>
      <c r="AC43" s="86"/>
      <c r="AD43" s="196"/>
      <c r="AE43" s="190"/>
      <c r="AF43" s="190"/>
      <c r="AG43" s="190"/>
      <c r="AH43" s="190"/>
      <c r="AI43" s="190"/>
      <c r="AJ43" s="190"/>
      <c r="AK43" s="190"/>
      <c r="AL43" s="190"/>
      <c r="AM43" s="190"/>
      <c r="AN43" s="190"/>
      <c r="AO43" s="190"/>
      <c r="AP43" s="190"/>
      <c r="AQ43" s="190"/>
      <c r="AR43" s="190"/>
      <c r="AS43" s="190"/>
      <c r="AT43" s="190"/>
      <c r="AU43" s="190"/>
      <c r="AV43" s="190"/>
      <c r="AW43" s="190"/>
      <c r="AX43" s="190"/>
      <c r="AY43" s="190"/>
      <c r="AZ43" s="190"/>
      <c r="BA43" s="190"/>
      <c r="BB43" s="190"/>
      <c r="BC43" s="190"/>
    </row>
    <row r="44" spans="1:55" ht="11.25" customHeight="1" x14ac:dyDescent="0.2">
      <c r="A44" s="63" t="s">
        <v>100</v>
      </c>
      <c r="B44" s="64" t="s">
        <v>82</v>
      </c>
      <c r="C44" s="65">
        <f t="shared" si="7"/>
        <v>2</v>
      </c>
      <c r="D44" s="136"/>
      <c r="E44" s="66" t="str">
        <f t="shared" si="9"/>
        <v>USDFedFunds</v>
      </c>
      <c r="F44" s="68" t="str">
        <f t="shared" si="10"/>
        <v>USDOIS54M_Quote</v>
      </c>
      <c r="G44" s="136"/>
      <c r="H44" s="69"/>
      <c r="J44" s="11" t="str">
        <f t="shared" si="8"/>
        <v>OIS</v>
      </c>
      <c r="K44" s="105" t="str">
        <f t="shared" si="3"/>
        <v>obj_002b8#0006</v>
      </c>
      <c r="L44" s="108" t="str">
        <f>IFERROR(_xll.qlRateHelperQuoteName(K44,Trigger),"--")</f>
        <v>USDOIS5Y_Quote</v>
      </c>
      <c r="M44" s="109">
        <f>IFERROR(_xll.qlRateHelperQuoteValue($K44,Trigger),"--")</f>
        <v>8.6400000000000018E-3</v>
      </c>
      <c r="N44" s="108" t="b">
        <v>1</v>
      </c>
      <c r="O44" s="105">
        <v>50</v>
      </c>
      <c r="P44" s="105">
        <v>1</v>
      </c>
      <c r="Q44" s="110">
        <f>IFERROR(_xll.qlRateHelperEarliestDate(K44,Trigger),"--")</f>
        <v>42482</v>
      </c>
      <c r="R44" s="110">
        <f>IFERROR(_xll.qlRateHelperPillarDate(K44,Trigger),"--")</f>
        <v>44308</v>
      </c>
      <c r="T44" s="4" t="str">
        <f t="shared" si="0"/>
        <v/>
      </c>
      <c r="U44" s="4" t="e">
        <v>#N/A</v>
      </c>
      <c r="V44" s="4" t="str">
        <f>IFERROR(_xll.qlRateHelperQuoteName(U44,Trigger),"")</f>
        <v/>
      </c>
      <c r="W44" s="75" t="str">
        <f>IFERROR(_xll.qlRateHelperRate(U44,Trigger),"")</f>
        <v/>
      </c>
      <c r="X44" s="115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83" t="e">
        <v>#N/A</v>
      </c>
      <c r="AB44" s="190"/>
      <c r="AC44" s="86"/>
      <c r="AD44" s="196"/>
      <c r="AE44" s="190"/>
      <c r="AF44" s="190"/>
      <c r="AG44" s="190"/>
      <c r="AH44" s="190"/>
      <c r="AI44" s="190"/>
      <c r="AJ44" s="190"/>
      <c r="AK44" s="190"/>
      <c r="AL44" s="190"/>
      <c r="AM44" s="190"/>
      <c r="AN44" s="190"/>
      <c r="AO44" s="190"/>
      <c r="AP44" s="190"/>
      <c r="AQ44" s="190"/>
      <c r="AR44" s="190"/>
      <c r="AS44" s="190"/>
      <c r="AT44" s="190"/>
      <c r="AU44" s="190"/>
      <c r="AV44" s="190"/>
      <c r="AW44" s="190"/>
      <c r="AX44" s="190"/>
      <c r="AY44" s="190"/>
      <c r="AZ44" s="190"/>
      <c r="BA44" s="190"/>
      <c r="BB44" s="190"/>
      <c r="BC44" s="190"/>
    </row>
    <row r="45" spans="1:55" ht="11.25" customHeight="1" x14ac:dyDescent="0.2">
      <c r="A45" s="63" t="s">
        <v>100</v>
      </c>
      <c r="B45" s="64" t="s">
        <v>83</v>
      </c>
      <c r="C45" s="65">
        <f t="shared" si="7"/>
        <v>2</v>
      </c>
      <c r="D45" s="136"/>
      <c r="E45" s="66" t="str">
        <f t="shared" si="9"/>
        <v>USDFedFunds</v>
      </c>
      <c r="F45" s="68" t="str">
        <f t="shared" si="10"/>
        <v>USDOIS57M_Quote</v>
      </c>
      <c r="G45" s="136"/>
      <c r="H45" s="69"/>
      <c r="J45" s="11" t="str">
        <f t="shared" si="8"/>
        <v>OIS</v>
      </c>
      <c r="K45" s="105" t="str">
        <f t="shared" si="3"/>
        <v>obj_002c3#0006</v>
      </c>
      <c r="L45" s="108" t="str">
        <f>IFERROR(_xll.qlRateHelperQuoteName(K45,Trigger),"--")</f>
        <v>USDOIS6Y_Quote</v>
      </c>
      <c r="M45" s="109">
        <f>IFERROR(_xll.qlRateHelperQuoteValue($K45,Trigger),"--")</f>
        <v>9.5600000000000008E-3</v>
      </c>
      <c r="N45" s="108" t="b">
        <v>1</v>
      </c>
      <c r="O45" s="105">
        <v>50</v>
      </c>
      <c r="P45" s="105">
        <v>1</v>
      </c>
      <c r="Q45" s="110">
        <f>IFERROR(_xll.qlRateHelperEarliestDate(K45,Trigger),"--")</f>
        <v>42482</v>
      </c>
      <c r="R45" s="110">
        <f>IFERROR(_xll.qlRateHelperPillarDate(K45,Trigger),"--")</f>
        <v>44673</v>
      </c>
      <c r="T45" s="4" t="str">
        <f t="shared" si="0"/>
        <v/>
      </c>
      <c r="U45" s="4" t="e">
        <v>#N/A</v>
      </c>
      <c r="V45" s="4" t="str">
        <f>IFERROR(_xll.qlRateHelperQuoteName(U45,Trigger),"")</f>
        <v/>
      </c>
      <c r="W45" s="75" t="str">
        <f>IFERROR(_xll.qlRateHelperRate(U45,Trigger),"")</f>
        <v/>
      </c>
      <c r="X45" s="115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83" t="e">
        <v>#N/A</v>
      </c>
      <c r="AB45" s="190"/>
      <c r="AC45" s="86"/>
      <c r="AD45" s="196"/>
      <c r="AE45" s="190"/>
      <c r="AF45" s="190"/>
      <c r="AG45" s="190"/>
      <c r="AH45" s="190"/>
      <c r="AI45" s="190"/>
      <c r="AJ45" s="190"/>
      <c r="AK45" s="190"/>
      <c r="AL45" s="190"/>
      <c r="AM45" s="190"/>
      <c r="AN45" s="190"/>
      <c r="AO45" s="190"/>
      <c r="AP45" s="190"/>
      <c r="AQ45" s="190"/>
      <c r="AR45" s="190"/>
      <c r="AS45" s="190"/>
      <c r="AT45" s="190"/>
      <c r="AU45" s="190"/>
      <c r="AV45" s="190"/>
      <c r="AW45" s="190"/>
      <c r="AX45" s="190"/>
      <c r="AY45" s="190"/>
      <c r="AZ45" s="190"/>
      <c r="BA45" s="190"/>
      <c r="BB45" s="190"/>
      <c r="BC45" s="190"/>
    </row>
    <row r="46" spans="1:55" ht="11.25" customHeight="1" x14ac:dyDescent="0.2">
      <c r="A46" s="63" t="s">
        <v>100</v>
      </c>
      <c r="B46" s="64" t="s">
        <v>84</v>
      </c>
      <c r="C46" s="65">
        <f t="shared" si="7"/>
        <v>2</v>
      </c>
      <c r="D46" s="136"/>
      <c r="E46" s="66" t="str">
        <f t="shared" si="9"/>
        <v>USDFedFunds</v>
      </c>
      <c r="F46" s="68" t="str">
        <f t="shared" si="10"/>
        <v>USDOIS5Y_Quote</v>
      </c>
      <c r="G46" s="136"/>
      <c r="H46" s="69" t="str">
        <f>_xll.qlOISRateHelper(,C46,B46,F46,$E46,,Permanent,Trigger,ObjectOverwrite)</f>
        <v>obj_002b8#0006</v>
      </c>
      <c r="J46" s="11" t="str">
        <f t="shared" si="8"/>
        <v>OIS</v>
      </c>
      <c r="K46" s="105" t="str">
        <f t="shared" si="3"/>
        <v>obj_002a4#0006</v>
      </c>
      <c r="L46" s="108" t="str">
        <f>IFERROR(_xll.qlRateHelperQuoteName(K46,Trigger),"--")</f>
        <v>USDOIS7Y_Quote</v>
      </c>
      <c r="M46" s="109">
        <f>IFERROR(_xll.qlRateHelperQuoteValue($K46,Trigger),"--")</f>
        <v>1.0419999999999999E-2</v>
      </c>
      <c r="N46" s="108" t="b">
        <v>1</v>
      </c>
      <c r="O46" s="105">
        <v>50</v>
      </c>
      <c r="P46" s="105">
        <v>1</v>
      </c>
      <c r="Q46" s="110">
        <f>IFERROR(_xll.qlRateHelperEarliestDate(K46,Trigger),"--")</f>
        <v>42482</v>
      </c>
      <c r="R46" s="110">
        <f>IFERROR(_xll.qlRateHelperPillarDate(K46,Trigger),"--")</f>
        <v>45040</v>
      </c>
      <c r="T46" s="4" t="str">
        <f t="shared" si="0"/>
        <v/>
      </c>
      <c r="U46" s="4" t="e">
        <v>#N/A</v>
      </c>
      <c r="V46" s="4" t="str">
        <f>IFERROR(_xll.qlRateHelperQuoteName(U46,Trigger),"")</f>
        <v/>
      </c>
      <c r="W46" s="75" t="str">
        <f>IFERROR(_xll.qlRateHelperRate(U46,Trigger),"")</f>
        <v/>
      </c>
      <c r="X46" s="115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83" t="e">
        <v>#N/A</v>
      </c>
      <c r="AB46" s="190"/>
      <c r="AC46" s="86"/>
      <c r="AD46" s="196"/>
      <c r="AE46" s="190"/>
      <c r="AF46" s="190"/>
      <c r="AG46" s="190"/>
      <c r="AH46" s="190"/>
      <c r="AI46" s="190"/>
      <c r="AJ46" s="190"/>
      <c r="AK46" s="190"/>
      <c r="AL46" s="190"/>
      <c r="AM46" s="190"/>
      <c r="AN46" s="190"/>
      <c r="AO46" s="190"/>
      <c r="AP46" s="190"/>
      <c r="AQ46" s="190"/>
      <c r="AR46" s="190"/>
      <c r="AS46" s="190"/>
      <c r="AT46" s="190"/>
      <c r="AU46" s="190"/>
      <c r="AV46" s="190"/>
      <c r="AW46" s="190"/>
      <c r="AX46" s="190"/>
      <c r="AY46" s="190"/>
      <c r="AZ46" s="190"/>
      <c r="BA46" s="190"/>
      <c r="BB46" s="190"/>
      <c r="BC46" s="190"/>
    </row>
    <row r="47" spans="1:55" ht="11.25" customHeight="1" x14ac:dyDescent="0.2">
      <c r="A47" s="63" t="s">
        <v>100</v>
      </c>
      <c r="B47" s="64" t="s">
        <v>85</v>
      </c>
      <c r="C47" s="65">
        <f t="shared" si="7"/>
        <v>2</v>
      </c>
      <c r="D47" s="136"/>
      <c r="E47" s="66" t="str">
        <f t="shared" si="9"/>
        <v>USDFedFunds</v>
      </c>
      <c r="F47" s="68" t="str">
        <f t="shared" si="10"/>
        <v>USDOIS6Y_Quote</v>
      </c>
      <c r="G47" s="136"/>
      <c r="H47" s="69" t="str">
        <f>_xll.qlOISRateHelper(,C47,B47,F47,$E47,,Permanent,Trigger,ObjectOverwrite)</f>
        <v>obj_002c3#0006</v>
      </c>
      <c r="J47" s="11" t="str">
        <f t="shared" si="8"/>
        <v>OIS</v>
      </c>
      <c r="K47" s="105" t="str">
        <f t="shared" si="3"/>
        <v>obj_002ce#0006</v>
      </c>
      <c r="L47" s="108" t="str">
        <f>IFERROR(_xll.qlRateHelperQuoteName(K47,Trigger),"--")</f>
        <v>USDOIS8Y_Quote</v>
      </c>
      <c r="M47" s="109">
        <f>IFERROR(_xll.qlRateHelperQuoteValue($K47,Trigger),"--")</f>
        <v>1.119E-2</v>
      </c>
      <c r="N47" s="108" t="b">
        <v>1</v>
      </c>
      <c r="O47" s="105">
        <v>50</v>
      </c>
      <c r="P47" s="105">
        <v>1</v>
      </c>
      <c r="Q47" s="110">
        <f>IFERROR(_xll.qlRateHelperEarliestDate(K47,Trigger),"--")</f>
        <v>42482</v>
      </c>
      <c r="R47" s="110">
        <f>IFERROR(_xll.qlRateHelperPillarDate(K47,Trigger),"--")</f>
        <v>45404</v>
      </c>
      <c r="T47" s="4" t="str">
        <f t="shared" si="0"/>
        <v/>
      </c>
      <c r="U47" s="4" t="e">
        <v>#N/A</v>
      </c>
      <c r="V47" s="4" t="str">
        <f>IFERROR(_xll.qlRateHelperQuoteName(U47,Trigger),"")</f>
        <v/>
      </c>
      <c r="W47" s="75" t="str">
        <f>IFERROR(_xll.qlRateHelperRate(U47,Trigger),"")</f>
        <v/>
      </c>
      <c r="X47" s="115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83" t="e">
        <v>#N/A</v>
      </c>
      <c r="AB47" s="190"/>
      <c r="AC47" s="86"/>
      <c r="AD47" s="196"/>
      <c r="AE47" s="190"/>
      <c r="AF47" s="190"/>
      <c r="AG47" s="190"/>
      <c r="AH47" s="190"/>
      <c r="AI47" s="190"/>
      <c r="AJ47" s="190"/>
      <c r="AK47" s="190"/>
      <c r="AL47" s="190"/>
      <c r="AM47" s="190"/>
      <c r="AN47" s="190"/>
      <c r="AO47" s="190"/>
      <c r="AP47" s="190"/>
      <c r="AQ47" s="190"/>
      <c r="AR47" s="190"/>
      <c r="AS47" s="190"/>
      <c r="AT47" s="190"/>
      <c r="AU47" s="190"/>
      <c r="AV47" s="190"/>
      <c r="AW47" s="190"/>
      <c r="AX47" s="190"/>
      <c r="AY47" s="190"/>
      <c r="AZ47" s="190"/>
      <c r="BA47" s="190"/>
      <c r="BB47" s="190"/>
      <c r="BC47" s="190"/>
    </row>
    <row r="48" spans="1:55" ht="11.25" customHeight="1" x14ac:dyDescent="0.2">
      <c r="A48" s="63" t="s">
        <v>100</v>
      </c>
      <c r="B48" s="64" t="s">
        <v>86</v>
      </c>
      <c r="C48" s="65">
        <f t="shared" si="7"/>
        <v>2</v>
      </c>
      <c r="D48" s="136"/>
      <c r="E48" s="66" t="str">
        <f t="shared" si="9"/>
        <v>USDFedFunds</v>
      </c>
      <c r="F48" s="68" t="str">
        <f t="shared" si="10"/>
        <v>USDOIS7Y_Quote</v>
      </c>
      <c r="G48" s="136"/>
      <c r="H48" s="69" t="str">
        <f>_xll.qlOISRateHelper(,C48,B48,F48,$E48,,Permanent,Trigger,ObjectOverwrite)</f>
        <v>obj_002a4#0006</v>
      </c>
      <c r="J48" s="11" t="str">
        <f t="shared" si="8"/>
        <v>OIS</v>
      </c>
      <c r="K48" s="105" t="str">
        <f t="shared" si="3"/>
        <v>obj_0028f#0006</v>
      </c>
      <c r="L48" s="108" t="str">
        <f>IFERROR(_xll.qlRateHelperQuoteName(K48,Trigger),"--")</f>
        <v>USDOIS9Y_Quote</v>
      </c>
      <c r="M48" s="109">
        <f>IFERROR(_xll.qlRateHelperQuoteValue($K48,Trigger),"--")</f>
        <v>1.1899999999999999E-2</v>
      </c>
      <c r="N48" s="108" t="b">
        <v>1</v>
      </c>
      <c r="O48" s="105">
        <v>50</v>
      </c>
      <c r="P48" s="105">
        <v>1</v>
      </c>
      <c r="Q48" s="110">
        <f>IFERROR(_xll.qlRateHelperEarliestDate(K48,Trigger),"--")</f>
        <v>42482</v>
      </c>
      <c r="R48" s="110">
        <f>IFERROR(_xll.qlRateHelperPillarDate(K48,Trigger),"--")</f>
        <v>45769</v>
      </c>
      <c r="T48" s="4" t="str">
        <f t="shared" ref="T48:T111" si="11">IFERROR(INDEX($J$3:$J$113,MATCH(V48,$L$3:$L$113,0),1),"")</f>
        <v/>
      </c>
      <c r="U48" s="4" t="e">
        <v>#N/A</v>
      </c>
      <c r="V48" s="4" t="str">
        <f>IFERROR(_xll.qlRateHelperQuoteName(U48,Trigger),"")</f>
        <v/>
      </c>
      <c r="W48" s="75" t="str">
        <f>IFERROR(_xll.qlRateHelperRate(U48,Trigger),"")</f>
        <v/>
      </c>
      <c r="X48" s="115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83" t="e">
        <v>#N/A</v>
      </c>
      <c r="AB48" s="190"/>
      <c r="AC48" s="86"/>
      <c r="AD48" s="196"/>
      <c r="AE48" s="190"/>
      <c r="AF48" s="190"/>
      <c r="AG48" s="190"/>
      <c r="AH48" s="190"/>
      <c r="AI48" s="190"/>
      <c r="AJ48" s="190"/>
      <c r="AK48" s="190"/>
      <c r="AL48" s="190"/>
      <c r="AM48" s="190"/>
      <c r="AN48" s="190"/>
      <c r="AO48" s="190"/>
      <c r="AP48" s="190"/>
      <c r="AQ48" s="190"/>
      <c r="AR48" s="190"/>
      <c r="AS48" s="190"/>
      <c r="AT48" s="190"/>
      <c r="AU48" s="190"/>
      <c r="AV48" s="190"/>
      <c r="AW48" s="190"/>
      <c r="AX48" s="190"/>
      <c r="AY48" s="190"/>
      <c r="AZ48" s="190"/>
      <c r="BA48" s="190"/>
      <c r="BB48" s="190"/>
      <c r="BC48" s="190"/>
    </row>
    <row r="49" spans="1:55" ht="11.25" customHeight="1" x14ac:dyDescent="0.2">
      <c r="A49" s="63" t="s">
        <v>100</v>
      </c>
      <c r="B49" s="64" t="s">
        <v>87</v>
      </c>
      <c r="C49" s="65">
        <f t="shared" si="7"/>
        <v>2</v>
      </c>
      <c r="D49" s="136"/>
      <c r="E49" s="66" t="str">
        <f t="shared" si="9"/>
        <v>USDFedFunds</v>
      </c>
      <c r="F49" s="68" t="str">
        <f t="shared" si="10"/>
        <v>USDOIS8Y_Quote</v>
      </c>
      <c r="G49" s="136"/>
      <c r="H49" s="69" t="str">
        <f>_xll.qlOISRateHelper(,C49,B49,F49,$E49,,Permanent,Trigger,ObjectOverwrite)</f>
        <v>obj_002ce#0006</v>
      </c>
      <c r="J49" s="11" t="str">
        <f t="shared" si="8"/>
        <v>OIS</v>
      </c>
      <c r="K49" s="105" t="str">
        <f t="shared" si="3"/>
        <v>obj_00307#0006</v>
      </c>
      <c r="L49" s="108" t="str">
        <f>IFERROR(_xll.qlRateHelperQuoteName(K49,Trigger),"--")</f>
        <v>USDOIS10Y_Quote</v>
      </c>
      <c r="M49" s="109">
        <f>IFERROR(_xll.qlRateHelperQuoteValue($K49,Trigger),"--")</f>
        <v>1.2570000000000001E-2</v>
      </c>
      <c r="N49" s="108" t="b">
        <v>1</v>
      </c>
      <c r="O49" s="105">
        <v>50</v>
      </c>
      <c r="P49" s="105">
        <v>1</v>
      </c>
      <c r="Q49" s="110">
        <f>IFERROR(_xll.qlRateHelperEarliestDate(K49,Trigger),"--")</f>
        <v>42482</v>
      </c>
      <c r="R49" s="110">
        <f>IFERROR(_xll.qlRateHelperPillarDate(K49,Trigger),"--")</f>
        <v>46134</v>
      </c>
      <c r="T49" s="4" t="str">
        <f t="shared" si="11"/>
        <v/>
      </c>
      <c r="U49" s="4" t="e">
        <v>#N/A</v>
      </c>
      <c r="V49" s="4" t="str">
        <f>IFERROR(_xll.qlRateHelperQuoteName(U49,Trigger),"")</f>
        <v/>
      </c>
      <c r="W49" s="75" t="str">
        <f>IFERROR(_xll.qlRateHelperRate(U49,Trigger),"")</f>
        <v/>
      </c>
      <c r="X49" s="115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83" t="e">
        <v>#N/A</v>
      </c>
      <c r="AB49" s="190"/>
      <c r="AC49" s="86"/>
      <c r="AD49" s="196"/>
      <c r="AE49" s="190"/>
      <c r="AF49" s="190"/>
      <c r="AG49" s="190"/>
      <c r="AH49" s="190"/>
      <c r="AI49" s="190"/>
      <c r="AJ49" s="190"/>
      <c r="AK49" s="190"/>
      <c r="AL49" s="190"/>
      <c r="AM49" s="190"/>
      <c r="AN49" s="190"/>
      <c r="AO49" s="190"/>
      <c r="AP49" s="190"/>
      <c r="AQ49" s="190"/>
      <c r="AR49" s="190"/>
      <c r="AS49" s="190"/>
      <c r="AT49" s="190"/>
      <c r="AU49" s="190"/>
      <c r="AV49" s="190"/>
      <c r="AW49" s="190"/>
      <c r="AX49" s="190"/>
      <c r="AY49" s="190"/>
      <c r="AZ49" s="190"/>
      <c r="BA49" s="190"/>
      <c r="BB49" s="190"/>
      <c r="BC49" s="190"/>
    </row>
    <row r="50" spans="1:55" ht="11.25" customHeight="1" x14ac:dyDescent="0.2">
      <c r="A50" s="63" t="s">
        <v>100</v>
      </c>
      <c r="B50" s="64" t="s">
        <v>88</v>
      </c>
      <c r="C50" s="65">
        <f t="shared" si="7"/>
        <v>2</v>
      </c>
      <c r="D50" s="136"/>
      <c r="E50" s="66" t="str">
        <f t="shared" si="9"/>
        <v>USDFedFunds</v>
      </c>
      <c r="F50" s="68" t="str">
        <f t="shared" si="10"/>
        <v>USDOIS9Y_Quote</v>
      </c>
      <c r="G50" s="136"/>
      <c r="H50" s="69" t="str">
        <f>_xll.qlOISRateHelper(,C50,B50,F50,$E50,,Permanent,Trigger,ObjectOverwrite)</f>
        <v>obj_0028f#0006</v>
      </c>
      <c r="J50" s="11" t="str">
        <f t="shared" si="8"/>
        <v>OIS</v>
      </c>
      <c r="K50" s="105" t="str">
        <f t="shared" si="3"/>
        <v>obj_002ba#0006</v>
      </c>
      <c r="L50" s="108" t="str">
        <f>IFERROR(_xll.qlRateHelperQuoteName(K50,Trigger),"--")</f>
        <v>USDOIS12Y_Quote</v>
      </c>
      <c r="M50" s="109">
        <f>IFERROR(_xll.qlRateHelperQuoteValue($K50,Trigger),"--")</f>
        <v>1.372E-2</v>
      </c>
      <c r="N50" s="108" t="b">
        <v>1</v>
      </c>
      <c r="O50" s="105">
        <v>50</v>
      </c>
      <c r="P50" s="105">
        <v>1</v>
      </c>
      <c r="Q50" s="110">
        <f>IFERROR(_xll.qlRateHelperEarliestDate(K50,Trigger),"--")</f>
        <v>42482</v>
      </c>
      <c r="R50" s="110">
        <f>IFERROR(_xll.qlRateHelperPillarDate(K50,Trigger),"--")</f>
        <v>46867</v>
      </c>
      <c r="T50" s="4" t="str">
        <f t="shared" si="11"/>
        <v/>
      </c>
      <c r="U50" s="4" t="e">
        <v>#N/A</v>
      </c>
      <c r="V50" s="4" t="str">
        <f>IFERROR(_xll.qlRateHelperQuoteName(U50,Trigger),"")</f>
        <v/>
      </c>
      <c r="W50" s="75" t="str">
        <f>IFERROR(_xll.qlRateHelperRate(U50,Trigger),"")</f>
        <v/>
      </c>
      <c r="X50" s="115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83" t="e">
        <v>#N/A</v>
      </c>
      <c r="AB50" s="190"/>
      <c r="AC50" s="86"/>
      <c r="AD50" s="196"/>
      <c r="AE50" s="190"/>
      <c r="AF50" s="190"/>
      <c r="AG50" s="190"/>
      <c r="AH50" s="190"/>
      <c r="AI50" s="190"/>
      <c r="AJ50" s="190"/>
      <c r="AK50" s="190"/>
      <c r="AL50" s="190"/>
      <c r="AM50" s="190"/>
      <c r="AN50" s="190"/>
      <c r="AO50" s="190"/>
      <c r="AP50" s="190"/>
      <c r="AQ50" s="190"/>
      <c r="AR50" s="190"/>
      <c r="AS50" s="190"/>
      <c r="AT50" s="190"/>
      <c r="AU50" s="190"/>
      <c r="AV50" s="190"/>
      <c r="AW50" s="190"/>
      <c r="AX50" s="190"/>
      <c r="AY50" s="190"/>
      <c r="AZ50" s="190"/>
      <c r="BA50" s="190"/>
      <c r="BB50" s="190"/>
      <c r="BC50" s="190"/>
    </row>
    <row r="51" spans="1:55" ht="11.25" customHeight="1" x14ac:dyDescent="0.2">
      <c r="A51" s="63" t="s">
        <v>100</v>
      </c>
      <c r="B51" s="64" t="s">
        <v>89</v>
      </c>
      <c r="C51" s="65">
        <f t="shared" si="7"/>
        <v>2</v>
      </c>
      <c r="D51" s="136"/>
      <c r="E51" s="66" t="str">
        <f t="shared" si="9"/>
        <v>USDFedFunds</v>
      </c>
      <c r="F51" s="68" t="str">
        <f t="shared" si="10"/>
        <v>USDOIS10Y_Quote</v>
      </c>
      <c r="G51" s="136"/>
      <c r="H51" s="69" t="str">
        <f>_xll.qlOISRateHelper(,C51,B51,F51,$E51,,Permanent,Trigger,ObjectOverwrite)</f>
        <v>obj_00307#0006</v>
      </c>
      <c r="J51" s="11" t="str">
        <f t="shared" si="8"/>
        <v>OIS</v>
      </c>
      <c r="K51" s="105" t="str">
        <f t="shared" si="3"/>
        <v>obj_002dd#0006</v>
      </c>
      <c r="L51" s="108" t="str">
        <f>IFERROR(_xll.qlRateHelperQuoteName(K51,Trigger),"--")</f>
        <v>USDOIS15Y_Quote</v>
      </c>
      <c r="M51" s="109">
        <f>IFERROR(_xll.qlRateHelperQuoteValue($K51,Trigger),"--")</f>
        <v>1.4940000000000002E-2</v>
      </c>
      <c r="N51" s="108" t="b">
        <v>1</v>
      </c>
      <c r="O51" s="105">
        <v>50</v>
      </c>
      <c r="P51" s="105">
        <v>1</v>
      </c>
      <c r="Q51" s="110">
        <f>IFERROR(_xll.qlRateHelperEarliestDate(K51,Trigger),"--")</f>
        <v>42482</v>
      </c>
      <c r="R51" s="110">
        <f>IFERROR(_xll.qlRateHelperPillarDate(K51,Trigger),"--")</f>
        <v>47960</v>
      </c>
      <c r="T51" s="4" t="str">
        <f t="shared" si="11"/>
        <v/>
      </c>
      <c r="U51" s="4" t="e">
        <v>#N/A</v>
      </c>
      <c r="V51" s="4" t="str">
        <f>IFERROR(_xll.qlRateHelperQuoteName(U51,Trigger),"")</f>
        <v/>
      </c>
      <c r="W51" s="75" t="str">
        <f>IFERROR(_xll.qlRateHelperRate(U51,Trigger),"")</f>
        <v/>
      </c>
      <c r="X51" s="115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5" t="e">
        <v>#N/A</v>
      </c>
      <c r="AB51" s="190"/>
      <c r="AC51" s="86"/>
      <c r="AD51" s="196"/>
      <c r="AE51" s="190"/>
      <c r="AF51" s="190"/>
      <c r="AG51" s="190"/>
      <c r="AH51" s="190"/>
      <c r="AI51" s="190"/>
      <c r="AJ51" s="190"/>
      <c r="AK51" s="190"/>
      <c r="AL51" s="190"/>
      <c r="AM51" s="190"/>
      <c r="AN51" s="190"/>
      <c r="AO51" s="190"/>
      <c r="AP51" s="190"/>
      <c r="AQ51" s="190"/>
      <c r="AR51" s="190"/>
      <c r="AS51" s="190"/>
      <c r="AT51" s="190"/>
      <c r="AU51" s="190"/>
      <c r="AV51" s="190"/>
      <c r="AW51" s="190"/>
      <c r="AX51" s="190"/>
      <c r="AY51" s="190"/>
      <c r="AZ51" s="190"/>
      <c r="BA51" s="190"/>
      <c r="BB51" s="190"/>
      <c r="BC51" s="190"/>
    </row>
    <row r="52" spans="1:55" ht="11.25" customHeight="1" x14ac:dyDescent="0.2">
      <c r="A52" s="63" t="s">
        <v>100</v>
      </c>
      <c r="B52" s="64" t="s">
        <v>90</v>
      </c>
      <c r="C52" s="65">
        <f t="shared" si="7"/>
        <v>2</v>
      </c>
      <c r="D52" s="136"/>
      <c r="E52" s="66" t="str">
        <f t="shared" si="9"/>
        <v>USDFedFunds</v>
      </c>
      <c r="F52" s="68" t="str">
        <f t="shared" si="10"/>
        <v>USDOIS12Y_Quote</v>
      </c>
      <c r="G52" s="136"/>
      <c r="H52" s="69" t="str">
        <f>_xll.qlOISRateHelper(,C52,B52,F52,$E52,,Permanent,Trigger,ObjectOverwrite)</f>
        <v>obj_002ba#0006</v>
      </c>
      <c r="J52" s="11" t="str">
        <f t="shared" si="8"/>
        <v>OIS</v>
      </c>
      <c r="K52" s="105" t="str">
        <f t="shared" si="3"/>
        <v>obj_002e1#0006</v>
      </c>
      <c r="L52" s="108" t="str">
        <f>IFERROR(_xll.qlRateHelperQuoteName(K52,Trigger),"--")</f>
        <v>USDOIS20Y_Quote</v>
      </c>
      <c r="M52" s="109">
        <f>IFERROR(_xll.qlRateHelperQuoteValue($K52,Trigger),"--")</f>
        <v>1.6190000000000003E-2</v>
      </c>
      <c r="N52" s="108" t="b">
        <v>1</v>
      </c>
      <c r="O52" s="105">
        <v>50</v>
      </c>
      <c r="P52" s="105">
        <v>1</v>
      </c>
      <c r="Q52" s="110">
        <f>IFERROR(_xll.qlRateHelperEarliestDate(K52,Trigger),"--")</f>
        <v>42482</v>
      </c>
      <c r="R52" s="110">
        <f>IFERROR(_xll.qlRateHelperPillarDate(K52,Trigger),"--")</f>
        <v>49787</v>
      </c>
      <c r="T52" s="4" t="str">
        <f t="shared" si="11"/>
        <v/>
      </c>
      <c r="U52" s="4" t="e">
        <v>#N/A</v>
      </c>
      <c r="V52" s="4" t="str">
        <f>IFERROR(_xll.qlRateHelperQuoteName(U52,Trigger),"")</f>
        <v/>
      </c>
      <c r="W52" s="75" t="str">
        <f>IFERROR(_xll.qlRateHelperRate(U52,Trigger),"")</f>
        <v/>
      </c>
      <c r="X52" s="115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5" t="e">
        <v>#N/A</v>
      </c>
      <c r="AB52" s="190"/>
      <c r="AC52" s="86"/>
      <c r="AD52" s="196"/>
      <c r="AE52" s="190"/>
      <c r="AF52" s="190"/>
      <c r="AG52" s="190"/>
      <c r="AH52" s="190"/>
      <c r="AI52" s="190"/>
      <c r="AJ52" s="190"/>
      <c r="AK52" s="190"/>
      <c r="AL52" s="190"/>
      <c r="AM52" s="190"/>
      <c r="AN52" s="190"/>
      <c r="AO52" s="190"/>
      <c r="AP52" s="190"/>
      <c r="AQ52" s="190"/>
      <c r="AR52" s="190"/>
      <c r="AS52" s="190"/>
      <c r="AT52" s="190"/>
      <c r="AU52" s="190"/>
      <c r="AV52" s="190"/>
      <c r="AW52" s="190"/>
      <c r="AX52" s="190"/>
      <c r="AY52" s="190"/>
      <c r="AZ52" s="190"/>
      <c r="BA52" s="190"/>
      <c r="BB52" s="190"/>
      <c r="BC52" s="190"/>
    </row>
    <row r="53" spans="1:55" ht="11.25" customHeight="1" x14ac:dyDescent="0.2">
      <c r="A53" s="63" t="s">
        <v>100</v>
      </c>
      <c r="B53" s="64" t="s">
        <v>91</v>
      </c>
      <c r="C53" s="65">
        <f t="shared" si="7"/>
        <v>2</v>
      </c>
      <c r="D53" s="136"/>
      <c r="E53" s="66" t="str">
        <f t="shared" si="9"/>
        <v>USDFedFunds</v>
      </c>
      <c r="F53" s="68" t="str">
        <f t="shared" si="10"/>
        <v>USDOIS15Y_Quote</v>
      </c>
      <c r="G53" s="136"/>
      <c r="H53" s="69" t="str">
        <f>_xll.qlOISRateHelper(,C53,B53,F53,$E53,,Permanent,Trigger,ObjectOverwrite)</f>
        <v>obj_002dd#0006</v>
      </c>
      <c r="J53" s="11" t="str">
        <f t="shared" si="8"/>
        <v>OIS</v>
      </c>
      <c r="K53" s="105" t="str">
        <f t="shared" si="3"/>
        <v>obj_002ca#0006</v>
      </c>
      <c r="L53" s="108" t="str">
        <f>IFERROR(_xll.qlRateHelperQuoteName(K53,Trigger),"--")</f>
        <v>USDOIS25Y_Quote</v>
      </c>
      <c r="M53" s="109">
        <f>IFERROR(_xll.qlRateHelperQuoteValue($K53,Trigger),"--")</f>
        <v>1.6829999999999998E-2</v>
      </c>
      <c r="N53" s="108" t="b">
        <v>1</v>
      </c>
      <c r="O53" s="105">
        <v>50</v>
      </c>
      <c r="P53" s="105">
        <v>1</v>
      </c>
      <c r="Q53" s="110">
        <f>IFERROR(_xll.qlRateHelperEarliestDate(K53,Trigger),"--")</f>
        <v>42482</v>
      </c>
      <c r="R53" s="110">
        <f>IFERROR(_xll.qlRateHelperPillarDate(K53,Trigger),"--")</f>
        <v>51613</v>
      </c>
      <c r="T53" s="4" t="str">
        <f t="shared" si="11"/>
        <v/>
      </c>
      <c r="U53" s="4" t="e">
        <v>#N/A</v>
      </c>
      <c r="V53" s="4" t="str">
        <f>IFERROR(_xll.qlRateHelperQuoteName(U53,Trigger),"")</f>
        <v/>
      </c>
      <c r="W53" s="75" t="str">
        <f>IFERROR(_xll.qlRateHelperRate(U53,Trigger),"")</f>
        <v/>
      </c>
      <c r="X53" s="115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5" t="e">
        <v>#N/A</v>
      </c>
      <c r="AB53" s="190"/>
      <c r="AC53" s="86"/>
      <c r="AD53" s="196"/>
      <c r="AE53" s="190"/>
      <c r="AF53" s="190"/>
      <c r="AG53" s="190"/>
      <c r="AH53" s="190"/>
      <c r="AI53" s="190"/>
      <c r="AJ53" s="190"/>
      <c r="AK53" s="190"/>
      <c r="AL53" s="190"/>
      <c r="AM53" s="190"/>
      <c r="AN53" s="190"/>
      <c r="AO53" s="190"/>
      <c r="AP53" s="190"/>
      <c r="AQ53" s="190"/>
      <c r="AR53" s="190"/>
      <c r="AS53" s="190"/>
      <c r="AT53" s="190"/>
      <c r="AU53" s="190"/>
      <c r="AV53" s="190"/>
      <c r="AW53" s="190"/>
      <c r="AX53" s="190"/>
      <c r="AY53" s="190"/>
      <c r="AZ53" s="190"/>
      <c r="BA53" s="190"/>
      <c r="BB53" s="190"/>
      <c r="BC53" s="190"/>
    </row>
    <row r="54" spans="1:55" ht="11.25" customHeight="1" x14ac:dyDescent="0.2">
      <c r="A54" s="63" t="s">
        <v>100</v>
      </c>
      <c r="B54" s="64" t="s">
        <v>92</v>
      </c>
      <c r="C54" s="65">
        <f t="shared" si="7"/>
        <v>2</v>
      </c>
      <c r="D54" s="136"/>
      <c r="E54" s="66" t="str">
        <f t="shared" si="9"/>
        <v>USDFedFunds</v>
      </c>
      <c r="F54" s="68" t="str">
        <f t="shared" si="10"/>
        <v>USDOIS20Y_Quote</v>
      </c>
      <c r="G54" s="136"/>
      <c r="H54" s="69" t="str">
        <f>_xll.qlOISRateHelper(,C54,B54,F54,$E54,,Permanent,Trigger,ObjectOverwrite)</f>
        <v>obj_002e1#0006</v>
      </c>
      <c r="J54" s="11" t="str">
        <f t="shared" si="8"/>
        <v>OIS</v>
      </c>
      <c r="K54" s="105" t="str">
        <f t="shared" si="3"/>
        <v>--</v>
      </c>
      <c r="L54" s="108" t="str">
        <f>IFERROR(_xll.qlRateHelperQuoteName(K54,Trigger),"--")</f>
        <v>--</v>
      </c>
      <c r="M54" s="109" t="str">
        <f>IFERROR(_xll.qlRateHelperQuoteValue($K54,Trigger),"--")</f>
        <v>--</v>
      </c>
      <c r="N54" s="108" t="b">
        <v>0</v>
      </c>
      <c r="O54" s="105">
        <v>50</v>
      </c>
      <c r="P54" s="105">
        <v>1</v>
      </c>
      <c r="Q54" s="110" t="str">
        <f>IFERROR(_xll.qlRateHelperEarliestDate(K54,Trigger),"--")</f>
        <v>--</v>
      </c>
      <c r="R54" s="110" t="str">
        <f>IFERROR(_xll.qlRateHelperPillarDate(K54,Trigger),"--")</f>
        <v>--</v>
      </c>
      <c r="T54" s="4" t="str">
        <f t="shared" si="11"/>
        <v/>
      </c>
      <c r="U54" s="4" t="e">
        <v>#N/A</v>
      </c>
      <c r="V54" s="4" t="str">
        <f>IFERROR(_xll.qlRateHelperQuoteName(U54,Trigger),"")</f>
        <v/>
      </c>
      <c r="W54" s="75" t="str">
        <f>IFERROR(_xll.qlRateHelperRate(U54,Trigger),"")</f>
        <v/>
      </c>
      <c r="X54" s="115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5" t="e">
        <v>#N/A</v>
      </c>
      <c r="AB54" s="190"/>
      <c r="AC54" s="86"/>
      <c r="AD54" s="196"/>
      <c r="AE54" s="190"/>
      <c r="AF54" s="190"/>
      <c r="AG54" s="190"/>
      <c r="AH54" s="190"/>
      <c r="AI54" s="190"/>
      <c r="AJ54" s="190"/>
      <c r="AK54" s="190"/>
      <c r="AL54" s="190"/>
      <c r="AM54" s="190"/>
      <c r="AN54" s="190"/>
      <c r="AO54" s="190"/>
      <c r="AP54" s="190"/>
      <c r="AQ54" s="190"/>
      <c r="AR54" s="190"/>
      <c r="AS54" s="190"/>
      <c r="AT54" s="190"/>
      <c r="AU54" s="190"/>
      <c r="AV54" s="190"/>
      <c r="AW54" s="190"/>
      <c r="AX54" s="190"/>
      <c r="AY54" s="190"/>
      <c r="AZ54" s="190"/>
      <c r="BA54" s="190"/>
      <c r="BB54" s="190"/>
      <c r="BC54" s="190"/>
    </row>
    <row r="55" spans="1:55" ht="11.25" customHeight="1" x14ac:dyDescent="0.2">
      <c r="A55" s="63" t="s">
        <v>100</v>
      </c>
      <c r="B55" s="64" t="s">
        <v>93</v>
      </c>
      <c r="C55" s="65">
        <f t="shared" si="7"/>
        <v>2</v>
      </c>
      <c r="D55" s="136"/>
      <c r="E55" s="66" t="str">
        <f t="shared" si="9"/>
        <v>USDFedFunds</v>
      </c>
      <c r="F55" s="68" t="str">
        <f t="shared" si="10"/>
        <v>USDOIS25Y_Quote</v>
      </c>
      <c r="G55" s="136"/>
      <c r="H55" s="69" t="str">
        <f>_xll.qlOISRateHelper(,C55,B55,F55,$E55,,Permanent,Trigger,ObjectOverwrite)</f>
        <v>obj_002ca#0006</v>
      </c>
      <c r="J55" s="11" t="str">
        <f t="shared" si="8"/>
        <v>OIS</v>
      </c>
      <c r="K55" s="105" t="str">
        <f t="shared" si="3"/>
        <v>obj_002bb#0006</v>
      </c>
      <c r="L55" s="108" t="str">
        <f>IFERROR(_xll.qlRateHelperQuoteName(K55,Trigger),"--")</f>
        <v>USDOIS30Y_Quote</v>
      </c>
      <c r="M55" s="109">
        <f>IFERROR(_xll.qlRateHelperQuoteValue($K55,Trigger),"--")</f>
        <v>1.7200000000000003E-2</v>
      </c>
      <c r="N55" s="108" t="b">
        <v>1</v>
      </c>
      <c r="O55" s="105">
        <v>50</v>
      </c>
      <c r="P55" s="105">
        <v>1</v>
      </c>
      <c r="Q55" s="110">
        <f>IFERROR(_xll.qlRateHelperEarliestDate(K55,Trigger),"--")</f>
        <v>42482</v>
      </c>
      <c r="R55" s="110">
        <f>IFERROR(_xll.qlRateHelperPillarDate(K55,Trigger),"--")</f>
        <v>53440</v>
      </c>
      <c r="T55" s="4" t="str">
        <f t="shared" si="11"/>
        <v/>
      </c>
      <c r="U55" s="4" t="e">
        <v>#N/A</v>
      </c>
      <c r="V55" s="4" t="str">
        <f>IFERROR(_xll.qlRateHelperQuoteName(U55,Trigger),"")</f>
        <v/>
      </c>
      <c r="W55" s="75" t="str">
        <f>IFERROR(_xll.qlRateHelperRate(U55,Trigger),"")</f>
        <v/>
      </c>
      <c r="X55" s="115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5" t="e">
        <v>#N/A</v>
      </c>
      <c r="AB55" s="190"/>
      <c r="AC55" s="86"/>
      <c r="AD55" s="196"/>
      <c r="AE55" s="190"/>
      <c r="AF55" s="190"/>
      <c r="AG55" s="190"/>
      <c r="AH55" s="190"/>
      <c r="AI55" s="190"/>
      <c r="AJ55" s="190"/>
      <c r="AK55" s="190"/>
      <c r="AL55" s="190"/>
      <c r="AM55" s="190"/>
      <c r="AN55" s="190"/>
      <c r="AO55" s="190"/>
      <c r="AP55" s="190"/>
      <c r="AQ55" s="190"/>
      <c r="AR55" s="190"/>
      <c r="AS55" s="190"/>
      <c r="AT55" s="190"/>
      <c r="AU55" s="190"/>
      <c r="AV55" s="190"/>
      <c r="AW55" s="190"/>
      <c r="AX55" s="190"/>
      <c r="AY55" s="190"/>
      <c r="AZ55" s="190"/>
      <c r="BA55" s="190"/>
      <c r="BB55" s="190"/>
      <c r="BC55" s="190"/>
    </row>
    <row r="56" spans="1:55" ht="11.25" customHeight="1" x14ac:dyDescent="0.2">
      <c r="A56" s="63" t="s">
        <v>100</v>
      </c>
      <c r="B56" s="64" t="s">
        <v>94</v>
      </c>
      <c r="C56" s="65">
        <f t="shared" si="7"/>
        <v>2</v>
      </c>
      <c r="D56" s="136"/>
      <c r="E56" s="66" t="str">
        <f t="shared" si="9"/>
        <v>USDFedFunds</v>
      </c>
      <c r="F56" s="68" t="str">
        <f t="shared" si="10"/>
        <v>USDOIS27Y_Quote</v>
      </c>
      <c r="G56" s="136"/>
      <c r="H56" s="69"/>
      <c r="J56" s="11" t="str">
        <f t="shared" ref="J56:J57" si="12">A58</f>
        <v>OIS</v>
      </c>
      <c r="K56" s="105" t="str">
        <f t="shared" ref="K56:K57" si="13">IF(ISBLANK(H58),"--",H58)</f>
        <v>--</v>
      </c>
      <c r="L56" s="108" t="str">
        <f>IFERROR(_xll.qlRateHelperQuoteName(K56,Trigger),"--")</f>
        <v>--</v>
      </c>
      <c r="M56" s="109" t="str">
        <f>IFERROR(_xll.qlRateHelperQuoteValue($K56,Trigger),"--")</f>
        <v>--</v>
      </c>
      <c r="N56" s="108" t="b">
        <v>0</v>
      </c>
      <c r="O56" s="105">
        <v>50</v>
      </c>
      <c r="P56" s="105">
        <v>1</v>
      </c>
      <c r="Q56" s="110" t="str">
        <f>IFERROR(_xll.qlRateHelperEarliestDate(K56,Trigger),"--")</f>
        <v>--</v>
      </c>
      <c r="R56" s="110" t="str">
        <f>IFERROR(_xll.qlRateHelperPillarDate(K56,Trigger),"--")</f>
        <v>--</v>
      </c>
      <c r="T56" s="4" t="str">
        <f t="shared" si="11"/>
        <v/>
      </c>
      <c r="U56" s="4" t="e">
        <v>#N/A</v>
      </c>
      <c r="V56" s="4" t="str">
        <f>IFERROR(_xll.qlRateHelperQuoteName(U56,Trigger),"")</f>
        <v/>
      </c>
      <c r="W56" s="75" t="str">
        <f>IFERROR(_xll.qlRateHelperRate(U56,Trigger),"")</f>
        <v/>
      </c>
      <c r="X56" s="115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5" t="e">
        <v>#N/A</v>
      </c>
      <c r="AB56" s="190"/>
      <c r="AC56" s="86"/>
      <c r="AD56" s="196"/>
      <c r="AE56" s="190"/>
      <c r="AF56" s="190"/>
      <c r="AG56" s="190"/>
      <c r="AH56" s="190"/>
      <c r="AI56" s="190"/>
      <c r="AJ56" s="190"/>
      <c r="AK56" s="190"/>
      <c r="AL56" s="190"/>
      <c r="AM56" s="190"/>
      <c r="AN56" s="190"/>
      <c r="AO56" s="190"/>
      <c r="AP56" s="190"/>
      <c r="AQ56" s="190"/>
      <c r="AR56" s="190"/>
      <c r="AS56" s="190"/>
      <c r="AT56" s="190"/>
      <c r="AU56" s="190"/>
      <c r="AV56" s="190"/>
      <c r="AW56" s="190"/>
      <c r="AX56" s="190"/>
      <c r="AY56" s="190"/>
      <c r="AZ56" s="190"/>
      <c r="BA56" s="190"/>
      <c r="BB56" s="190"/>
      <c r="BC56" s="190"/>
    </row>
    <row r="57" spans="1:55" ht="11.25" customHeight="1" x14ac:dyDescent="0.2">
      <c r="A57" s="63" t="s">
        <v>100</v>
      </c>
      <c r="B57" s="64" t="s">
        <v>95</v>
      </c>
      <c r="C57" s="65">
        <f t="shared" si="7"/>
        <v>2</v>
      </c>
      <c r="D57" s="136"/>
      <c r="E57" s="66" t="str">
        <f t="shared" si="9"/>
        <v>USDFedFunds</v>
      </c>
      <c r="F57" s="68" t="str">
        <f t="shared" si="10"/>
        <v>USDOIS30Y_Quote</v>
      </c>
      <c r="G57" s="136"/>
      <c r="H57" s="69" t="str">
        <f>_xll.qlOISRateHelper(,C57,B57,F57,$E57,,Permanent,Trigger,ObjectOverwrite)</f>
        <v>obj_002bb#0006</v>
      </c>
      <c r="J57" s="11" t="str">
        <f t="shared" si="12"/>
        <v>OIS</v>
      </c>
      <c r="K57" s="105" t="str">
        <f t="shared" si="13"/>
        <v>obj_00306#0006</v>
      </c>
      <c r="L57" s="108" t="str">
        <f>IFERROR(_xll.qlRateHelperQuoteName(K57,Trigger),"--")</f>
        <v>USDOIS40Y_Quote</v>
      </c>
      <c r="M57" s="109">
        <f>IFERROR(_xll.qlRateHelperQuoteValue($K57,Trigger),"--")</f>
        <v>1.736E-2</v>
      </c>
      <c r="N57" s="108" t="b">
        <v>1</v>
      </c>
      <c r="O57" s="105">
        <v>50</v>
      </c>
      <c r="P57" s="105">
        <v>1</v>
      </c>
      <c r="Q57" s="110">
        <f>IFERROR(_xll.qlRateHelperEarliestDate(K57,Trigger),"--")</f>
        <v>42482</v>
      </c>
      <c r="R57" s="110">
        <f>IFERROR(_xll.qlRateHelperPillarDate(K57,Trigger),"--")</f>
        <v>57094</v>
      </c>
      <c r="T57" s="4" t="str">
        <f t="shared" si="11"/>
        <v/>
      </c>
      <c r="U57" s="4" t="e">
        <v>#N/A</v>
      </c>
      <c r="V57" s="4" t="str">
        <f>IFERROR(_xll.qlRateHelperQuoteName(U57,Trigger),"")</f>
        <v/>
      </c>
      <c r="W57" s="75" t="str">
        <f>IFERROR(_xll.qlRateHelperRate(U57,Trigger),"")</f>
        <v/>
      </c>
      <c r="X57" s="115" t="str">
        <f>IF(ISERROR(_xll.qlSwapRateHelperSpread($U57)),IF(ISERROR(_xll.qlFuturesRateHelperConvexityAdjustment($U57)),"",_xll.qlFuturesRateHelperConvexityAdjustment($U57)),_xll.qlSwapRateHelperSpread($U57))</f>
        <v/>
      </c>
      <c r="Y57" s="5" t="str">
        <f>IFERROR(_xll.qlRateHelperEarliestDate(U57,Trigger),"")</f>
        <v/>
      </c>
      <c r="Z57" s="5" t="str">
        <f>IFERROR(_xll.qlRateHelperPillarDate(U57,Trigger),"")</f>
        <v/>
      </c>
      <c r="AA57" s="5" t="e">
        <v>#N/A</v>
      </c>
      <c r="AB57" s="190"/>
      <c r="AC57" s="86"/>
      <c r="AD57" s="196"/>
      <c r="AE57" s="190"/>
      <c r="AF57" s="190"/>
      <c r="AG57" s="190"/>
      <c r="AH57" s="190"/>
      <c r="AI57" s="190"/>
      <c r="AJ57" s="190"/>
      <c r="AK57" s="190"/>
      <c r="AL57" s="190"/>
      <c r="AM57" s="190"/>
      <c r="AN57" s="190"/>
      <c r="AO57" s="190"/>
      <c r="AP57" s="190"/>
      <c r="AQ57" s="190"/>
      <c r="AR57" s="190"/>
      <c r="AS57" s="190"/>
      <c r="AT57" s="190"/>
      <c r="AU57" s="190"/>
      <c r="AV57" s="190"/>
      <c r="AW57" s="190"/>
      <c r="AX57" s="190"/>
      <c r="AY57" s="190"/>
      <c r="AZ57" s="190"/>
      <c r="BA57" s="190"/>
      <c r="BB57" s="190"/>
      <c r="BC57" s="190"/>
    </row>
    <row r="58" spans="1:55" ht="11.25" customHeight="1" x14ac:dyDescent="0.2">
      <c r="A58" s="63" t="s">
        <v>100</v>
      </c>
      <c r="B58" s="64" t="s">
        <v>96</v>
      </c>
      <c r="C58" s="65">
        <f t="shared" si="7"/>
        <v>2</v>
      </c>
      <c r="D58" s="136"/>
      <c r="E58" s="66" t="str">
        <f t="shared" si="9"/>
        <v>USDFedFunds</v>
      </c>
      <c r="F58" s="68" t="str">
        <f t="shared" si="10"/>
        <v>USDOIS35Y_Quote</v>
      </c>
      <c r="G58" s="136"/>
      <c r="H58" s="69"/>
      <c r="J58" s="11" t="str">
        <f t="shared" ref="J58:J59" si="14">A60</f>
        <v>OIS</v>
      </c>
      <c r="K58" s="105" t="str">
        <f t="shared" ref="K58:K59" si="15">IF(ISBLANK(H60),"--",H60)</f>
        <v>--</v>
      </c>
      <c r="L58" s="108" t="str">
        <f>IFERROR(_xll.qlRateHelperQuoteName(K58,Trigger),"--")</f>
        <v>--</v>
      </c>
      <c r="M58" s="109" t="str">
        <f>IFERROR(_xll.qlRateHelperQuoteValue($K58,Trigger),"--")</f>
        <v>--</v>
      </c>
      <c r="N58" s="108" t="b">
        <v>0</v>
      </c>
      <c r="O58" s="105">
        <v>50</v>
      </c>
      <c r="P58" s="105">
        <v>1</v>
      </c>
      <c r="Q58" s="110" t="str">
        <f>IFERROR(_xll.qlRateHelperEarliestDate(K58,Trigger),"--")</f>
        <v>--</v>
      </c>
      <c r="R58" s="110" t="str">
        <f>IFERROR(_xll.qlRateHelperPillarDate(K58,Trigger),"--")</f>
        <v>--</v>
      </c>
      <c r="T58" s="4" t="str">
        <f t="shared" si="11"/>
        <v/>
      </c>
      <c r="U58" s="4" t="e">
        <v>#N/A</v>
      </c>
      <c r="V58" s="4" t="str">
        <f>IFERROR(_xll.qlRateHelperQuoteName(U58,Trigger),"")</f>
        <v/>
      </c>
      <c r="W58" s="75" t="str">
        <f>IFERROR(_xll.qlRateHelperRate(U58,Trigger),"")</f>
        <v/>
      </c>
      <c r="X58" s="115" t="str">
        <f>IF(ISERROR(_xll.qlSwapRateHelperSpread($U58)),IF(ISERROR(_xll.qlFuturesRateHelperConvexityAdjustment($U58)),"",_xll.qlFuturesRateHelperConvexityAdjustment($U58)),_xll.qlSwapRateHelperSpread($U58))</f>
        <v/>
      </c>
      <c r="Y58" s="5" t="str">
        <f>IFERROR(_xll.qlRateHelperEarliestDate(U58,Trigger),"")</f>
        <v/>
      </c>
      <c r="Z58" s="5" t="str">
        <f>IFERROR(_xll.qlRateHelperPillarDate(U58,Trigger),"")</f>
        <v/>
      </c>
      <c r="AA58" s="5" t="e">
        <v>#N/A</v>
      </c>
      <c r="AB58" s="190"/>
      <c r="AC58" s="86"/>
      <c r="AD58" s="196"/>
      <c r="AE58" s="190"/>
      <c r="AF58" s="190"/>
      <c r="AG58" s="190"/>
      <c r="AH58" s="190"/>
      <c r="AI58" s="190"/>
      <c r="AJ58" s="190"/>
      <c r="AK58" s="190"/>
      <c r="AL58" s="190"/>
      <c r="AM58" s="190"/>
      <c r="AN58" s="190"/>
      <c r="AO58" s="190"/>
      <c r="AP58" s="190"/>
      <c r="AQ58" s="190"/>
      <c r="AR58" s="190"/>
      <c r="AS58" s="190"/>
      <c r="AT58" s="190"/>
      <c r="AU58" s="190"/>
      <c r="AV58" s="190"/>
      <c r="AW58" s="190"/>
      <c r="AX58" s="190"/>
      <c r="AY58" s="190"/>
      <c r="AZ58" s="190"/>
      <c r="BA58" s="190"/>
      <c r="BB58" s="190"/>
      <c r="BC58" s="190"/>
    </row>
    <row r="59" spans="1:55" ht="11.25" customHeight="1" x14ac:dyDescent="0.2">
      <c r="A59" s="63" t="s">
        <v>100</v>
      </c>
      <c r="B59" s="64" t="s">
        <v>97</v>
      </c>
      <c r="C59" s="65">
        <f t="shared" si="7"/>
        <v>2</v>
      </c>
      <c r="D59" s="136"/>
      <c r="E59" s="66" t="str">
        <f t="shared" si="9"/>
        <v>USDFedFunds</v>
      </c>
      <c r="F59" s="68" t="str">
        <f t="shared" si="10"/>
        <v>USDOIS40Y_Quote</v>
      </c>
      <c r="G59" s="136"/>
      <c r="H59" s="69" t="str">
        <f>_xll.qlOISRateHelper(,C59,B59,F59,$E59,,Permanent,Trigger,ObjectOverwrite)</f>
        <v>obj_00306#0006</v>
      </c>
      <c r="J59" s="11" t="str">
        <f t="shared" si="14"/>
        <v>OIS</v>
      </c>
      <c r="K59" s="105" t="str">
        <f t="shared" si="15"/>
        <v>obj_002b7#0006</v>
      </c>
      <c r="L59" s="108" t="str">
        <f>IFERROR(_xll.qlRateHelperQuoteName(K59,Trigger),"--")</f>
        <v>USDOIS50Y_Quote</v>
      </c>
      <c r="M59" s="109">
        <f>IFERROR(_xll.qlRateHelperQuoteValue($K59,Trigger),"--")</f>
        <v>1.7060000000000006E-2</v>
      </c>
      <c r="N59" s="108" t="b">
        <v>1</v>
      </c>
      <c r="O59" s="105">
        <v>50</v>
      </c>
      <c r="P59" s="105">
        <v>1</v>
      </c>
      <c r="Q59" s="110">
        <f>IFERROR(_xll.qlRateHelperEarliestDate(K59,Trigger),"--")</f>
        <v>42482</v>
      </c>
      <c r="R59" s="110">
        <f>IFERROR(_xll.qlRateHelperPillarDate(K59,Trigger),"--")</f>
        <v>60744</v>
      </c>
      <c r="T59" s="4" t="str">
        <f t="shared" si="11"/>
        <v/>
      </c>
      <c r="U59" s="4" t="e">
        <v>#N/A</v>
      </c>
      <c r="V59" s="4" t="str">
        <f>IFERROR(_xll.qlRateHelperQuoteName(U59,Trigger),"")</f>
        <v/>
      </c>
      <c r="W59" s="75" t="str">
        <f>IFERROR(_xll.qlRateHelperRate(U59,Trigger),"")</f>
        <v/>
      </c>
      <c r="X59" s="115" t="str">
        <f>IF(ISERROR(_xll.qlSwapRateHelperSpread($U59)),IF(ISERROR(_xll.qlFuturesRateHelperConvexityAdjustment($U59)),"",_xll.qlFuturesRateHelperConvexityAdjustment($U59)),_xll.qlSwapRateHelperSpread($U59))</f>
        <v/>
      </c>
      <c r="Y59" s="5" t="str">
        <f>IFERROR(_xll.qlRateHelperEarliestDate(U59,Trigger),"")</f>
        <v/>
      </c>
      <c r="Z59" s="5" t="str">
        <f>IFERROR(_xll.qlRateHelperPillarDate(U59,Trigger),"")</f>
        <v/>
      </c>
      <c r="AA59" s="5" t="e">
        <v>#N/A</v>
      </c>
      <c r="AB59" s="190"/>
      <c r="AC59" s="86"/>
      <c r="AD59" s="196"/>
      <c r="AE59" s="190"/>
      <c r="AF59" s="190"/>
      <c r="AG59" s="190"/>
      <c r="AH59" s="190"/>
      <c r="AI59" s="190"/>
      <c r="AJ59" s="190"/>
      <c r="AK59" s="190"/>
      <c r="AL59" s="190"/>
      <c r="AM59" s="190"/>
      <c r="AN59" s="190"/>
      <c r="AO59" s="190"/>
      <c r="AP59" s="190"/>
      <c r="AQ59" s="190"/>
      <c r="AR59" s="190"/>
      <c r="AS59" s="190"/>
      <c r="AT59" s="190"/>
      <c r="AU59" s="190"/>
      <c r="AV59" s="190"/>
      <c r="AW59" s="190"/>
      <c r="AX59" s="190"/>
      <c r="AY59" s="190"/>
      <c r="AZ59" s="190"/>
      <c r="BA59" s="190"/>
      <c r="BB59" s="190"/>
      <c r="BC59" s="190"/>
    </row>
    <row r="60" spans="1:55" ht="11.25" customHeight="1" x14ac:dyDescent="0.2">
      <c r="A60" s="63" t="s">
        <v>100</v>
      </c>
      <c r="B60" s="64" t="s">
        <v>98</v>
      </c>
      <c r="C60" s="65">
        <f t="shared" si="7"/>
        <v>2</v>
      </c>
      <c r="D60" s="136"/>
      <c r="E60" s="66" t="str">
        <f t="shared" si="9"/>
        <v>USDFedFunds</v>
      </c>
      <c r="F60" s="68" t="str">
        <f t="shared" si="10"/>
        <v>USDOIS45Y_Quote</v>
      </c>
      <c r="G60" s="136"/>
      <c r="H60" s="69"/>
      <c r="J60" s="73" t="str">
        <f>A64</f>
        <v>BasOIS</v>
      </c>
      <c r="K60" s="144" t="str">
        <f>IF(ISBLANK(H64),"--",H64)</f>
        <v>--</v>
      </c>
      <c r="L60" s="145" t="str">
        <f>IFERROR(_xll.qlRateHelperQuoteName(K60,Trigger),"--")</f>
        <v>--</v>
      </c>
      <c r="M60" s="146" t="str">
        <f>IFERROR(_xll.qlRateHelperQuoteValue($K60,Trigger),"--")</f>
        <v>--</v>
      </c>
      <c r="N60" s="145" t="b">
        <v>0</v>
      </c>
      <c r="O60" s="144">
        <v>60</v>
      </c>
      <c r="P60" s="144">
        <v>1</v>
      </c>
      <c r="Q60" s="147" t="str">
        <f>IFERROR(_xll.qlRateHelperEarliestDate(K60,Trigger),"--")</f>
        <v>--</v>
      </c>
      <c r="R60" s="147" t="str">
        <f>IFERROR(_xll.qlRateHelperPillarDate(K60,Trigger),"--")</f>
        <v>--</v>
      </c>
      <c r="T60" s="4" t="str">
        <f t="shared" si="11"/>
        <v/>
      </c>
      <c r="U60" s="4" t="e">
        <v>#N/A</v>
      </c>
      <c r="V60" s="4" t="str">
        <f>IFERROR(_xll.qlRateHelperQuoteName(U60,Trigger),"")</f>
        <v/>
      </c>
      <c r="W60" s="75" t="str">
        <f>IFERROR(_xll.qlRateHelperRate(U60,Trigger),"")</f>
        <v/>
      </c>
      <c r="X60" s="115" t="str">
        <f>IF(ISERROR(_xll.qlSwapRateHelperSpread($U60)),IF(ISERROR(_xll.qlFuturesRateHelperConvexityAdjustment($U60)),"",_xll.qlFuturesRateHelperConvexityAdjustment($U60)),_xll.qlSwapRateHelperSpread($U60))</f>
        <v/>
      </c>
      <c r="Y60" s="5" t="str">
        <f>IFERROR(_xll.qlRateHelperEarliestDate(U60,Trigger),"")</f>
        <v/>
      </c>
      <c r="Z60" s="5" t="str">
        <f>IFERROR(_xll.qlRateHelperPillarDate(U60,Trigger),"")</f>
        <v/>
      </c>
      <c r="AA60" s="5" t="e">
        <v>#N/A</v>
      </c>
      <c r="AB60" s="190"/>
      <c r="AC60" s="86"/>
      <c r="AD60" s="196"/>
      <c r="AE60" s="190"/>
      <c r="AF60" s="190"/>
      <c r="AG60" s="190"/>
      <c r="AH60" s="190"/>
      <c r="AI60" s="190"/>
      <c r="AJ60" s="190"/>
      <c r="AK60" s="190"/>
      <c r="AL60" s="190"/>
      <c r="AM60" s="190"/>
      <c r="AN60" s="190"/>
      <c r="AO60" s="190"/>
      <c r="AP60" s="190"/>
      <c r="AQ60" s="190"/>
      <c r="AR60" s="190"/>
      <c r="AS60" s="190"/>
      <c r="AT60" s="190"/>
      <c r="AU60" s="190"/>
      <c r="AV60" s="190"/>
      <c r="AW60" s="190"/>
      <c r="AX60" s="190"/>
      <c r="AY60" s="190"/>
      <c r="AZ60" s="190"/>
      <c r="BA60" s="190"/>
      <c r="BB60" s="190"/>
      <c r="BC60" s="190"/>
    </row>
    <row r="61" spans="1:55" ht="11.25" customHeight="1" x14ac:dyDescent="0.2">
      <c r="A61" s="1" t="s">
        <v>100</v>
      </c>
      <c r="B61" s="9" t="s">
        <v>99</v>
      </c>
      <c r="C61" s="7">
        <f t="shared" si="7"/>
        <v>2</v>
      </c>
      <c r="D61" s="137"/>
      <c r="E61" s="8" t="str">
        <f t="shared" si="9"/>
        <v>USDFedFunds</v>
      </c>
      <c r="F61" s="2" t="str">
        <f t="shared" si="10"/>
        <v>USDOIS50Y_Quote</v>
      </c>
      <c r="G61" s="137"/>
      <c r="H61" s="3" t="str">
        <f>_xll.qlOISRateHelper(,C61,B61,F61,$E61,,Permanent,Trigger,ObjectOverwrite)</f>
        <v>obj_002b7#0006</v>
      </c>
      <c r="J61" s="11" t="str">
        <f t="shared" ref="J61:J113" si="16">A65</f>
        <v>BasOIS</v>
      </c>
      <c r="K61" s="105" t="str">
        <f t="shared" ref="K61:K113" si="17">IF(ISBLANK(H65),"--",H65)</f>
        <v>--</v>
      </c>
      <c r="L61" s="108" t="str">
        <f>IFERROR(_xll.qlRateHelperQuoteName(K61,Trigger),"--")</f>
        <v>--</v>
      </c>
      <c r="M61" s="109" t="str">
        <f>IFERROR(_xll.qlRateHelperQuoteValue($K61,Trigger),"--")</f>
        <v>--</v>
      </c>
      <c r="N61" s="108" t="b">
        <v>0</v>
      </c>
      <c r="O61" s="105">
        <v>60</v>
      </c>
      <c r="P61" s="105">
        <v>1</v>
      </c>
      <c r="Q61" s="110" t="str">
        <f>IFERROR(_xll.qlRateHelperEarliestDate(K61,Trigger),"--")</f>
        <v>--</v>
      </c>
      <c r="R61" s="110" t="str">
        <f>IFERROR(_xll.qlRateHelperPillarDate(K61,Trigger),"--")</f>
        <v>--</v>
      </c>
      <c r="T61" s="4" t="str">
        <f t="shared" si="11"/>
        <v/>
      </c>
      <c r="U61" s="4" t="e">
        <v>#N/A</v>
      </c>
      <c r="V61" s="4" t="str">
        <f>IFERROR(_xll.qlRateHelperQuoteName(U61,Trigger),"")</f>
        <v/>
      </c>
      <c r="W61" s="75" t="str">
        <f>IFERROR(_xll.qlRateHelperRate(U61,Trigger),"")</f>
        <v/>
      </c>
      <c r="X61" s="115" t="str">
        <f>IF(ISERROR(_xll.qlSwapRateHelperSpread($U61)),IF(ISERROR(_xll.qlFuturesRateHelperConvexityAdjustment($U61)),"",_xll.qlFuturesRateHelperConvexityAdjustment($U61)),_xll.qlSwapRateHelperSpread($U61))</f>
        <v/>
      </c>
      <c r="Y61" s="5" t="str">
        <f>IFERROR(_xll.qlRateHelperEarliestDate(U61,Trigger),"")</f>
        <v/>
      </c>
      <c r="Z61" s="5" t="str">
        <f>IFERROR(_xll.qlRateHelperPillarDate(U61,Trigger),"")</f>
        <v/>
      </c>
      <c r="AA61" s="5" t="e">
        <v>#N/A</v>
      </c>
      <c r="AB61" s="190"/>
      <c r="AC61" s="86"/>
      <c r="AD61" s="196"/>
      <c r="AE61" s="190"/>
      <c r="AF61" s="190"/>
      <c r="AG61" s="190"/>
      <c r="AH61" s="190"/>
      <c r="AI61" s="190"/>
      <c r="AJ61" s="190"/>
      <c r="AK61" s="190"/>
      <c r="AL61" s="190"/>
      <c r="AM61" s="190"/>
      <c r="AN61" s="190"/>
      <c r="AO61" s="190"/>
      <c r="AP61" s="190"/>
      <c r="AQ61" s="190"/>
      <c r="AR61" s="190"/>
      <c r="AS61" s="190"/>
      <c r="AT61" s="190"/>
      <c r="AU61" s="190"/>
      <c r="AV61" s="190"/>
      <c r="AW61" s="190"/>
      <c r="AX61" s="190"/>
      <c r="AY61" s="190"/>
      <c r="AZ61" s="190"/>
      <c r="BA61" s="190"/>
      <c r="BB61" s="190"/>
      <c r="BC61" s="190"/>
    </row>
    <row r="62" spans="1:55" ht="11.25" customHeight="1" x14ac:dyDescent="0.2">
      <c r="D62" s="54" t="s">
        <v>169</v>
      </c>
      <c r="E62" s="56" t="s">
        <v>165</v>
      </c>
      <c r="F62" s="50" t="s">
        <v>150</v>
      </c>
      <c r="G62" s="192">
        <f>_xll.qlQuoteValue(MeanReversion,Trigger)</f>
        <v>0.03</v>
      </c>
      <c r="H62" s="191">
        <f>_xll.qlQuoteValue(Volatility,Trigger)</f>
        <v>6.5657149999999997E-3</v>
      </c>
      <c r="J62" s="11" t="str">
        <f t="shared" si="16"/>
        <v>BasOIS</v>
      </c>
      <c r="K62" s="105" t="str">
        <f t="shared" si="17"/>
        <v>--</v>
      </c>
      <c r="L62" s="108" t="str">
        <f>IFERROR(_xll.qlRateHelperQuoteName(K62,Trigger),"--")</f>
        <v>--</v>
      </c>
      <c r="M62" s="109" t="str">
        <f>IFERROR(_xll.qlRateHelperQuoteValue($K62,Trigger),"--")</f>
        <v>--</v>
      </c>
      <c r="N62" s="108" t="b">
        <v>0</v>
      </c>
      <c r="O62" s="105">
        <v>60</v>
      </c>
      <c r="P62" s="105">
        <v>1</v>
      </c>
      <c r="Q62" s="110" t="str">
        <f>IFERROR(_xll.qlRateHelperEarliestDate(K62,Trigger),"--")</f>
        <v>--</v>
      </c>
      <c r="R62" s="110" t="str">
        <f>IFERROR(_xll.qlRateHelperPillarDate(K62,Trigger),"--")</f>
        <v>--</v>
      </c>
      <c r="T62" s="4" t="str">
        <f t="shared" si="11"/>
        <v/>
      </c>
      <c r="U62" s="4" t="e">
        <v>#N/A</v>
      </c>
      <c r="V62" s="4" t="str">
        <f>IFERROR(_xll.qlRateHelperQuoteName(U62,Trigger),"")</f>
        <v/>
      </c>
      <c r="W62" s="75" t="str">
        <f>IFERROR(_xll.qlRateHelperRate(U62,Trigger),"")</f>
        <v/>
      </c>
      <c r="X62" s="115" t="str">
        <f>IF(ISERROR(_xll.qlSwapRateHelperSpread($U62)),IF(ISERROR(_xll.qlFuturesRateHelperConvexityAdjustment($U62)),"",_xll.qlFuturesRateHelperConvexityAdjustment($U62)),_xll.qlSwapRateHelperSpread($U62))</f>
        <v/>
      </c>
      <c r="Y62" s="5" t="str">
        <f>IFERROR(_xll.qlRateHelperEarliestDate(U62,Trigger),"")</f>
        <v/>
      </c>
      <c r="Z62" s="5" t="str">
        <f>IFERROR(_xll.qlRateHelperPillarDate(U62,Trigger),"")</f>
        <v/>
      </c>
      <c r="AA62" s="5" t="e">
        <v>#N/A</v>
      </c>
      <c r="AB62" s="190"/>
      <c r="AC62" s="86"/>
      <c r="AD62" s="196"/>
      <c r="AE62" s="190"/>
      <c r="AF62" s="190"/>
      <c r="AG62" s="190"/>
      <c r="AH62" s="190"/>
      <c r="AI62" s="190"/>
      <c r="AJ62" s="190"/>
      <c r="AK62" s="190"/>
      <c r="AL62" s="190"/>
      <c r="AM62" s="190"/>
      <c r="AN62" s="190"/>
      <c r="AO62" s="190"/>
      <c r="AP62" s="190"/>
      <c r="AQ62" s="190"/>
      <c r="AR62" s="190"/>
      <c r="AS62" s="190"/>
      <c r="AT62" s="190"/>
      <c r="AU62" s="190"/>
      <c r="AV62" s="190"/>
      <c r="AW62" s="190"/>
      <c r="AX62" s="190"/>
      <c r="AY62" s="190"/>
      <c r="AZ62" s="190"/>
      <c r="BA62" s="190"/>
      <c r="BB62" s="190"/>
      <c r="BC62" s="190"/>
    </row>
    <row r="63" spans="1:55" ht="11.25" customHeight="1" x14ac:dyDescent="0.2">
      <c r="A63" s="70" t="s">
        <v>9</v>
      </c>
      <c r="B63" s="70" t="s">
        <v>30</v>
      </c>
      <c r="C63" s="70" t="s">
        <v>111</v>
      </c>
      <c r="D63" s="70" t="s">
        <v>5</v>
      </c>
      <c r="E63" s="70" t="s">
        <v>4</v>
      </c>
      <c r="F63" s="70" t="s">
        <v>1</v>
      </c>
      <c r="G63" s="70" t="s">
        <v>148</v>
      </c>
      <c r="H63" s="70" t="s">
        <v>25</v>
      </c>
      <c r="J63" s="11" t="str">
        <f t="shared" si="16"/>
        <v>BasOIS</v>
      </c>
      <c r="K63" s="105" t="str">
        <f t="shared" si="17"/>
        <v>--</v>
      </c>
      <c r="L63" s="108" t="str">
        <f>IFERROR(_xll.qlRateHelperQuoteName(K63,Trigger),"--")</f>
        <v>--</v>
      </c>
      <c r="M63" s="109" t="str">
        <f>IFERROR(_xll.qlRateHelperQuoteValue($K63,Trigger),"--")</f>
        <v>--</v>
      </c>
      <c r="N63" s="108" t="b">
        <v>0</v>
      </c>
      <c r="O63" s="105">
        <v>60</v>
      </c>
      <c r="P63" s="105">
        <v>1</v>
      </c>
      <c r="Q63" s="110" t="str">
        <f>IFERROR(_xll.qlRateHelperEarliestDate(K63,Trigger),"--")</f>
        <v>--</v>
      </c>
      <c r="R63" s="110" t="str">
        <f>IFERROR(_xll.qlRateHelperPillarDate(K63,Trigger),"--")</f>
        <v>--</v>
      </c>
      <c r="T63" s="4" t="str">
        <f t="shared" si="11"/>
        <v/>
      </c>
      <c r="U63" s="4" t="e">
        <v>#N/A</v>
      </c>
      <c r="V63" s="4" t="str">
        <f>IFERROR(_xll.qlRateHelperQuoteName(U63,Trigger),"")</f>
        <v/>
      </c>
      <c r="W63" s="75" t="str">
        <f>IFERROR(_xll.qlRateHelperRate(U63,Trigger),"")</f>
        <v/>
      </c>
      <c r="X63" s="115" t="str">
        <f>IF(ISERROR(_xll.qlSwapRateHelperSpread($U63)),IF(ISERROR(_xll.qlFuturesRateHelperConvexityAdjustment($U63)),"",_xll.qlFuturesRateHelperConvexityAdjustment($U63)),_xll.qlSwapRateHelperSpread($U63))</f>
        <v/>
      </c>
      <c r="Y63" s="5" t="str">
        <f>IFERROR(_xll.qlRateHelperEarliestDate(U63,Trigger),"")</f>
        <v/>
      </c>
      <c r="Z63" s="5" t="str">
        <f>IFERROR(_xll.qlRateHelperPillarDate(U63,Trigger),"")</f>
        <v/>
      </c>
      <c r="AA63" s="5" t="e">
        <v>#N/A</v>
      </c>
      <c r="AB63" s="190"/>
      <c r="AC63" s="86"/>
      <c r="AD63" s="196"/>
      <c r="AE63" s="190"/>
      <c r="AF63" s="190"/>
      <c r="AG63" s="190"/>
      <c r="AH63" s="190"/>
      <c r="AI63" s="190"/>
      <c r="AJ63" s="190"/>
      <c r="AK63" s="190"/>
      <c r="AL63" s="190"/>
      <c r="AM63" s="190"/>
      <c r="AN63" s="190"/>
      <c r="AO63" s="190"/>
      <c r="AP63" s="190"/>
      <c r="AQ63" s="190"/>
      <c r="AR63" s="190"/>
      <c r="AS63" s="190"/>
      <c r="AT63" s="190"/>
      <c r="AU63" s="190"/>
      <c r="AV63" s="190"/>
      <c r="AW63" s="190"/>
      <c r="AX63" s="190"/>
      <c r="AY63" s="190"/>
      <c r="AZ63" s="190"/>
      <c r="BA63" s="190"/>
      <c r="BB63" s="190"/>
      <c r="BC63" s="190"/>
    </row>
    <row r="64" spans="1:55" ht="11.25" customHeight="1" x14ac:dyDescent="0.2">
      <c r="A64" s="57" t="s">
        <v>164</v>
      </c>
      <c r="B64" s="58" t="s">
        <v>50</v>
      </c>
      <c r="C64" s="59">
        <v>2</v>
      </c>
      <c r="D64" s="65" t="s">
        <v>166</v>
      </c>
      <c r="E64" s="66" t="s">
        <v>163</v>
      </c>
      <c r="F64" s="61" t="str">
        <f t="shared" ref="F64:F95" si="18">Currency&amp;"AM"&amp;$F$62&amp;B64&amp;QuoteSuffix</f>
        <v>USDAM3L1W_Quote</v>
      </c>
      <c r="G64" s="61" t="str">
        <f t="shared" ref="G64:G95" si="19">Currency&amp;$E$62&amp;$F$62&amp;B64&amp;QuoteSuffix</f>
        <v>USDFF3L1W_Quote</v>
      </c>
      <c r="H64" s="62"/>
      <c r="J64" s="11" t="str">
        <f t="shared" si="16"/>
        <v>BasOIS</v>
      </c>
      <c r="K64" s="105" t="str">
        <f t="shared" si="17"/>
        <v>--</v>
      </c>
      <c r="L64" s="108" t="str">
        <f>IFERROR(_xll.qlRateHelperQuoteName(K64,Trigger),"--")</f>
        <v>--</v>
      </c>
      <c r="M64" s="109" t="str">
        <f>IFERROR(_xll.qlRateHelperQuoteValue($K64,Trigger),"--")</f>
        <v>--</v>
      </c>
      <c r="N64" s="108" t="b">
        <v>0</v>
      </c>
      <c r="O64" s="105">
        <v>60</v>
      </c>
      <c r="P64" s="105">
        <v>1</v>
      </c>
      <c r="Q64" s="110" t="str">
        <f>IFERROR(_xll.qlRateHelperEarliestDate(K64,Trigger),"--")</f>
        <v>--</v>
      </c>
      <c r="R64" s="110" t="str">
        <f>IFERROR(_xll.qlRateHelperPillarDate(K64,Trigger),"--")</f>
        <v>--</v>
      </c>
      <c r="T64" s="4" t="str">
        <f t="shared" si="11"/>
        <v/>
      </c>
      <c r="U64" s="4" t="e">
        <v>#N/A</v>
      </c>
      <c r="V64" s="4" t="str">
        <f>IFERROR(_xll.qlRateHelperQuoteName(U64,Trigger),"")</f>
        <v/>
      </c>
      <c r="W64" s="75" t="str">
        <f>IFERROR(_xll.qlRateHelperRate(U64,Trigger),"")</f>
        <v/>
      </c>
      <c r="X64" s="115" t="str">
        <f>IF(ISERROR(_xll.qlSwapRateHelperSpread($U64)),IF(ISERROR(_xll.qlFuturesRateHelperConvexityAdjustment($U64)),"",_xll.qlFuturesRateHelperConvexityAdjustment($U64)),_xll.qlSwapRateHelperSpread($U64))</f>
        <v/>
      </c>
      <c r="Y64" s="5" t="str">
        <f>IFERROR(_xll.qlRateHelperEarliestDate(U64,Trigger),"")</f>
        <v/>
      </c>
      <c r="Z64" s="5" t="str">
        <f>IFERROR(_xll.qlRateHelperPillarDate(U64,Trigger),"")</f>
        <v/>
      </c>
      <c r="AA64" s="5" t="e">
        <v>#N/A</v>
      </c>
      <c r="AB64" s="190"/>
      <c r="AC64" s="86"/>
      <c r="AD64" s="196"/>
      <c r="AE64" s="190"/>
      <c r="AF64" s="190"/>
      <c r="AG64" s="190"/>
      <c r="AH64" s="190"/>
      <c r="AI64" s="190"/>
      <c r="AJ64" s="190"/>
      <c r="AK64" s="190"/>
      <c r="AL64" s="190"/>
      <c r="AM64" s="190"/>
      <c r="AN64" s="190"/>
      <c r="AO64" s="190"/>
      <c r="AP64" s="190"/>
      <c r="AQ64" s="190"/>
      <c r="AR64" s="190"/>
      <c r="AS64" s="190"/>
      <c r="AT64" s="190"/>
      <c r="AU64" s="190"/>
      <c r="AV64" s="190"/>
      <c r="AW64" s="190"/>
      <c r="AX64" s="190"/>
      <c r="AY64" s="190"/>
      <c r="AZ64" s="190"/>
      <c r="BA64" s="190"/>
      <c r="BB64" s="190"/>
      <c r="BC64" s="190"/>
    </row>
    <row r="65" spans="1:55" ht="11.25" customHeight="1" x14ac:dyDescent="0.2">
      <c r="A65" s="63" t="s">
        <v>164</v>
      </c>
      <c r="B65" s="64" t="s">
        <v>51</v>
      </c>
      <c r="C65" s="65">
        <v>2</v>
      </c>
      <c r="D65" s="65" t="s">
        <v>166</v>
      </c>
      <c r="E65" s="66" t="s">
        <v>163</v>
      </c>
      <c r="F65" s="68" t="str">
        <f t="shared" si="18"/>
        <v>USDAM3L2W_Quote</v>
      </c>
      <c r="G65" s="68" t="str">
        <f t="shared" si="19"/>
        <v>USDFF3L2W_Quote</v>
      </c>
      <c r="H65" s="69"/>
      <c r="J65" s="11" t="str">
        <f t="shared" si="16"/>
        <v>BasOIS</v>
      </c>
      <c r="K65" s="105" t="str">
        <f t="shared" si="17"/>
        <v>--</v>
      </c>
      <c r="L65" s="108" t="str">
        <f>IFERROR(_xll.qlRateHelperQuoteName(K65,Trigger),"--")</f>
        <v>--</v>
      </c>
      <c r="M65" s="109" t="str">
        <f>IFERROR(_xll.qlRateHelperQuoteValue($K65,Trigger),"--")</f>
        <v>--</v>
      </c>
      <c r="N65" s="108" t="b">
        <v>0</v>
      </c>
      <c r="O65" s="105">
        <v>60</v>
      </c>
      <c r="P65" s="105">
        <v>1</v>
      </c>
      <c r="Q65" s="110" t="str">
        <f>IFERROR(_xll.qlRateHelperEarliestDate(K65,Trigger),"--")</f>
        <v>--</v>
      </c>
      <c r="R65" s="110" t="str">
        <f>IFERROR(_xll.qlRateHelperPillarDate(K65,Trigger),"--")</f>
        <v>--</v>
      </c>
      <c r="T65" s="4" t="str">
        <f t="shared" si="11"/>
        <v/>
      </c>
      <c r="U65" s="4" t="e">
        <v>#N/A</v>
      </c>
      <c r="V65" s="4" t="str">
        <f>IFERROR(_xll.qlRateHelperQuoteName(U65,Trigger),"")</f>
        <v/>
      </c>
      <c r="W65" s="75" t="str">
        <f>IFERROR(_xll.qlRateHelperRate(U65,Trigger),"")</f>
        <v/>
      </c>
      <c r="X65" s="115" t="str">
        <f>IF(ISERROR(_xll.qlSwapRateHelperSpread($U65)),IF(ISERROR(_xll.qlFuturesRateHelperConvexityAdjustment($U65)),"",_xll.qlFuturesRateHelperConvexityAdjustment($U65)),_xll.qlSwapRateHelperSpread($U65))</f>
        <v/>
      </c>
      <c r="Y65" s="5" t="str">
        <f>IFERROR(_xll.qlRateHelperEarliestDate(U65,Trigger),"")</f>
        <v/>
      </c>
      <c r="Z65" s="5" t="str">
        <f>IFERROR(_xll.qlRateHelperPillarDate(U65,Trigger),"")</f>
        <v/>
      </c>
      <c r="AA65" s="5" t="e">
        <v>#N/A</v>
      </c>
      <c r="AB65" s="190"/>
      <c r="AC65" s="86"/>
      <c r="AD65" s="196"/>
      <c r="AE65" s="190"/>
      <c r="AF65" s="190"/>
      <c r="AG65" s="190"/>
      <c r="AH65" s="190"/>
      <c r="AI65" s="190"/>
      <c r="AJ65" s="190"/>
      <c r="AK65" s="190"/>
      <c r="AL65" s="190"/>
      <c r="AM65" s="190"/>
      <c r="AN65" s="190"/>
      <c r="AO65" s="190"/>
      <c r="AP65" s="190"/>
      <c r="AQ65" s="190"/>
      <c r="AR65" s="190"/>
      <c r="AS65" s="190"/>
      <c r="AT65" s="190"/>
      <c r="AU65" s="190"/>
      <c r="AV65" s="190"/>
      <c r="AW65" s="190"/>
      <c r="AX65" s="190"/>
      <c r="AY65" s="190"/>
      <c r="AZ65" s="190"/>
      <c r="BA65" s="190"/>
      <c r="BB65" s="190"/>
      <c r="BC65" s="190"/>
    </row>
    <row r="66" spans="1:55" ht="11.25" customHeight="1" x14ac:dyDescent="0.2">
      <c r="A66" s="63" t="s">
        <v>164</v>
      </c>
      <c r="B66" s="64" t="s">
        <v>52</v>
      </c>
      <c r="C66" s="65">
        <v>2</v>
      </c>
      <c r="D66" s="65" t="s">
        <v>166</v>
      </c>
      <c r="E66" s="66" t="s">
        <v>163</v>
      </c>
      <c r="F66" s="68" t="str">
        <f t="shared" si="18"/>
        <v>USDAM3L3W_Quote</v>
      </c>
      <c r="G66" s="68" t="str">
        <f t="shared" si="19"/>
        <v>USDFF3L3W_Quote</v>
      </c>
      <c r="H66" s="69"/>
      <c r="J66" s="11" t="str">
        <f t="shared" si="16"/>
        <v>BasOIS</v>
      </c>
      <c r="K66" s="105" t="str">
        <f t="shared" si="17"/>
        <v>--</v>
      </c>
      <c r="L66" s="108" t="str">
        <f>IFERROR(_xll.qlRateHelperQuoteName(K66,Trigger),"--")</f>
        <v>--</v>
      </c>
      <c r="M66" s="109" t="str">
        <f>IFERROR(_xll.qlRateHelperQuoteValue($K66,Trigger),"--")</f>
        <v>--</v>
      </c>
      <c r="N66" s="108" t="b">
        <v>0</v>
      </c>
      <c r="O66" s="105">
        <v>60</v>
      </c>
      <c r="P66" s="105">
        <v>1</v>
      </c>
      <c r="Q66" s="110" t="str">
        <f>IFERROR(_xll.qlRateHelperEarliestDate(K66,Trigger),"--")</f>
        <v>--</v>
      </c>
      <c r="R66" s="110" t="str">
        <f>IFERROR(_xll.qlRateHelperPillarDate(K66,Trigger),"--")</f>
        <v>--</v>
      </c>
      <c r="T66" s="4" t="str">
        <f t="shared" si="11"/>
        <v/>
      </c>
      <c r="U66" s="4" t="e">
        <v>#N/A</v>
      </c>
      <c r="V66" s="4" t="str">
        <f>IFERROR(_xll.qlRateHelperQuoteName(U66,Trigger),"")</f>
        <v/>
      </c>
      <c r="W66" s="75" t="str">
        <f>IFERROR(_xll.qlRateHelperRate(U66,Trigger),"")</f>
        <v/>
      </c>
      <c r="X66" s="115" t="str">
        <f>IF(ISERROR(_xll.qlSwapRateHelperSpread($U66)),IF(ISERROR(_xll.qlFuturesRateHelperConvexityAdjustment($U66)),"",_xll.qlFuturesRateHelperConvexityAdjustment($U66)),_xll.qlSwapRateHelperSpread($U66))</f>
        <v/>
      </c>
      <c r="Y66" s="5" t="str">
        <f>IFERROR(_xll.qlRateHelperEarliestDate(U66,Trigger),"")</f>
        <v/>
      </c>
      <c r="Z66" s="5" t="str">
        <f>IFERROR(_xll.qlRateHelperPillarDate(U66,Trigger),"")</f>
        <v/>
      </c>
      <c r="AA66" s="5" t="e">
        <v>#N/A</v>
      </c>
      <c r="AB66" s="190"/>
      <c r="AC66" s="86"/>
      <c r="AD66" s="196"/>
      <c r="AE66" s="190"/>
      <c r="AF66" s="190"/>
      <c r="AG66" s="190"/>
      <c r="AH66" s="190"/>
      <c r="AI66" s="190"/>
      <c r="AJ66" s="190"/>
      <c r="AK66" s="190"/>
      <c r="AL66" s="190"/>
      <c r="AM66" s="190"/>
      <c r="AN66" s="190"/>
      <c r="AO66" s="190"/>
      <c r="AP66" s="190"/>
      <c r="AQ66" s="190"/>
      <c r="AR66" s="190"/>
      <c r="AS66" s="190"/>
      <c r="AT66" s="190"/>
      <c r="AU66" s="190"/>
      <c r="AV66" s="190"/>
      <c r="AW66" s="190"/>
      <c r="AX66" s="190"/>
      <c r="AY66" s="190"/>
      <c r="AZ66" s="190"/>
      <c r="BA66" s="190"/>
      <c r="BB66" s="190"/>
      <c r="BC66" s="190"/>
    </row>
    <row r="67" spans="1:55" ht="11.25" customHeight="1" x14ac:dyDescent="0.2">
      <c r="A67" s="63" t="s">
        <v>164</v>
      </c>
      <c r="B67" s="64" t="s">
        <v>2</v>
      </c>
      <c r="C67" s="65">
        <v>2</v>
      </c>
      <c r="D67" s="65" t="s">
        <v>166</v>
      </c>
      <c r="E67" s="66" t="s">
        <v>163</v>
      </c>
      <c r="F67" s="68" t="str">
        <f t="shared" si="18"/>
        <v>USDAM3L1M_Quote</v>
      </c>
      <c r="G67" s="68" t="str">
        <f t="shared" si="19"/>
        <v>USDFF3L1M_Quote</v>
      </c>
      <c r="H67" s="69"/>
      <c r="J67" s="11" t="str">
        <f t="shared" si="16"/>
        <v>BasOIS</v>
      </c>
      <c r="K67" s="105" t="str">
        <f t="shared" si="17"/>
        <v>--</v>
      </c>
      <c r="L67" s="108" t="str">
        <f>IFERROR(_xll.qlRateHelperQuoteName(K67,Trigger),"--")</f>
        <v>--</v>
      </c>
      <c r="M67" s="109" t="str">
        <f>IFERROR(_xll.qlRateHelperQuoteValue($K67,Trigger),"--")</f>
        <v>--</v>
      </c>
      <c r="N67" s="108" t="b">
        <v>0</v>
      </c>
      <c r="O67" s="105">
        <v>60</v>
      </c>
      <c r="P67" s="105">
        <v>1</v>
      </c>
      <c r="Q67" s="110" t="str">
        <f>IFERROR(_xll.qlRateHelperEarliestDate(K67,Trigger),"--")</f>
        <v>--</v>
      </c>
      <c r="R67" s="110" t="str">
        <f>IFERROR(_xll.qlRateHelperPillarDate(K67,Trigger),"--")</f>
        <v>--</v>
      </c>
      <c r="T67" s="4" t="str">
        <f t="shared" si="11"/>
        <v/>
      </c>
      <c r="U67" s="4" t="e">
        <v>#N/A</v>
      </c>
      <c r="V67" s="4" t="str">
        <f>IFERROR(_xll.qlRateHelperQuoteName(U67,Trigger),"")</f>
        <v/>
      </c>
      <c r="W67" s="75" t="str">
        <f>IFERROR(_xll.qlRateHelperRate(U67,Trigger),"")</f>
        <v/>
      </c>
      <c r="X67" s="115" t="str">
        <f>IF(ISERROR(_xll.qlSwapRateHelperSpread($U67)),IF(ISERROR(_xll.qlFuturesRateHelperConvexityAdjustment($U67)),"",_xll.qlFuturesRateHelperConvexityAdjustment($U67)),_xll.qlSwapRateHelperSpread($U67))</f>
        <v/>
      </c>
      <c r="Y67" s="5" t="str">
        <f>IFERROR(_xll.qlRateHelperEarliestDate(U67,Trigger),"")</f>
        <v/>
      </c>
      <c r="Z67" s="5" t="str">
        <f>IFERROR(_xll.qlRateHelperPillarDate(U67,Trigger),"")</f>
        <v/>
      </c>
      <c r="AA67" s="5" t="e">
        <v>#N/A</v>
      </c>
      <c r="AB67" s="190"/>
      <c r="AC67" s="86"/>
      <c r="AD67" s="196"/>
      <c r="AE67" s="190"/>
      <c r="AF67" s="190"/>
      <c r="AG67" s="190"/>
      <c r="AH67" s="190"/>
      <c r="AI67" s="190"/>
      <c r="AJ67" s="190"/>
      <c r="AK67" s="190"/>
      <c r="AL67" s="190"/>
      <c r="AM67" s="190"/>
      <c r="AN67" s="190"/>
      <c r="AO67" s="190"/>
      <c r="AP67" s="190"/>
      <c r="AQ67" s="190"/>
      <c r="AR67" s="190"/>
      <c r="AS67" s="190"/>
      <c r="AT67" s="190"/>
      <c r="AU67" s="190"/>
      <c r="AV67" s="190"/>
      <c r="AW67" s="190"/>
      <c r="AX67" s="190"/>
      <c r="AY67" s="190"/>
      <c r="AZ67" s="190"/>
      <c r="BA67" s="190"/>
      <c r="BB67" s="190"/>
      <c r="BC67" s="190"/>
    </row>
    <row r="68" spans="1:55" ht="11.25" customHeight="1" x14ac:dyDescent="0.2">
      <c r="A68" s="63" t="s">
        <v>164</v>
      </c>
      <c r="B68" s="64" t="s">
        <v>53</v>
      </c>
      <c r="C68" s="65">
        <v>2</v>
      </c>
      <c r="D68" s="65" t="s">
        <v>166</v>
      </c>
      <c r="E68" s="66" t="s">
        <v>163</v>
      </c>
      <c r="F68" s="68" t="str">
        <f t="shared" si="18"/>
        <v>USDAM3L2M_Quote</v>
      </c>
      <c r="G68" s="68" t="str">
        <f t="shared" si="19"/>
        <v>USDFF3L2M_Quote</v>
      </c>
      <c r="H68" s="69"/>
      <c r="J68" s="11" t="str">
        <f t="shared" si="16"/>
        <v>BasOIS</v>
      </c>
      <c r="K68" s="105" t="str">
        <f t="shared" si="17"/>
        <v>--</v>
      </c>
      <c r="L68" s="108" t="str">
        <f>IFERROR(_xll.qlRateHelperQuoteName(K68,Trigger),"--")</f>
        <v>--</v>
      </c>
      <c r="M68" s="109" t="str">
        <f>IFERROR(_xll.qlRateHelperQuoteValue($K68,Trigger),"--")</f>
        <v>--</v>
      </c>
      <c r="N68" s="108" t="b">
        <v>0</v>
      </c>
      <c r="O68" s="105">
        <v>60</v>
      </c>
      <c r="P68" s="105">
        <v>1</v>
      </c>
      <c r="Q68" s="110" t="str">
        <f>IFERROR(_xll.qlRateHelperEarliestDate(K68,Trigger),"--")</f>
        <v>--</v>
      </c>
      <c r="R68" s="110" t="str">
        <f>IFERROR(_xll.qlRateHelperPillarDate(K68,Trigger),"--")</f>
        <v>--</v>
      </c>
      <c r="T68" s="4" t="str">
        <f t="shared" si="11"/>
        <v/>
      </c>
      <c r="U68" s="4" t="e">
        <v>#N/A</v>
      </c>
      <c r="V68" s="4" t="str">
        <f>IFERROR(_xll.qlRateHelperQuoteName(U68,Trigger),"")</f>
        <v/>
      </c>
      <c r="W68" s="75" t="str">
        <f>IFERROR(_xll.qlRateHelperRate(U68,Trigger),"")</f>
        <v/>
      </c>
      <c r="X68" s="115" t="str">
        <f>IF(ISERROR(_xll.qlSwapRateHelperSpread($U68)),IF(ISERROR(_xll.qlFuturesRateHelperConvexityAdjustment($U68)),"",_xll.qlFuturesRateHelperConvexityAdjustment($U68)),_xll.qlSwapRateHelperSpread($U68))</f>
        <v/>
      </c>
      <c r="Y68" s="5" t="str">
        <f>IFERROR(_xll.qlRateHelperEarliestDate(U68,Trigger),"")</f>
        <v/>
      </c>
      <c r="Z68" s="5" t="str">
        <f>IFERROR(_xll.qlRateHelperPillarDate(U68,Trigger),"")</f>
        <v/>
      </c>
      <c r="AA68" s="5" t="e">
        <v>#N/A</v>
      </c>
      <c r="AB68" s="190"/>
      <c r="AC68" s="86"/>
      <c r="AD68" s="196"/>
      <c r="AE68" s="190"/>
      <c r="AF68" s="190"/>
      <c r="AG68" s="190"/>
      <c r="AH68" s="190"/>
      <c r="AI68" s="190"/>
      <c r="AJ68" s="190"/>
      <c r="AK68" s="190"/>
      <c r="AL68" s="190"/>
      <c r="AM68" s="190"/>
      <c r="AN68" s="190"/>
      <c r="AO68" s="190"/>
      <c r="AP68" s="190"/>
      <c r="AQ68" s="190"/>
      <c r="AR68" s="190"/>
      <c r="AS68" s="190"/>
      <c r="AT68" s="190"/>
      <c r="AU68" s="190"/>
      <c r="AV68" s="190"/>
      <c r="AW68" s="190"/>
      <c r="AX68" s="190"/>
      <c r="AY68" s="190"/>
      <c r="AZ68" s="190"/>
      <c r="BA68" s="190"/>
      <c r="BB68" s="190"/>
      <c r="BC68" s="190"/>
    </row>
    <row r="69" spans="1:55" ht="11.25" customHeight="1" x14ac:dyDescent="0.2">
      <c r="A69" s="63" t="s">
        <v>164</v>
      </c>
      <c r="B69" s="64" t="s">
        <v>0</v>
      </c>
      <c r="C69" s="65">
        <v>2</v>
      </c>
      <c r="D69" s="65" t="s">
        <v>166</v>
      </c>
      <c r="E69" s="66" t="s">
        <v>163</v>
      </c>
      <c r="F69" s="68" t="str">
        <f t="shared" si="18"/>
        <v>USDAM3L3M_Quote</v>
      </c>
      <c r="G69" s="68" t="str">
        <f t="shared" si="19"/>
        <v>USDFF3L3M_Quote</v>
      </c>
      <c r="H69" s="69"/>
      <c r="J69" s="11" t="str">
        <f t="shared" si="16"/>
        <v>BasOIS</v>
      </c>
      <c r="K69" s="105" t="str">
        <f t="shared" si="17"/>
        <v>--</v>
      </c>
      <c r="L69" s="108" t="str">
        <f>IFERROR(_xll.qlRateHelperQuoteName(K69,Trigger),"--")</f>
        <v>--</v>
      </c>
      <c r="M69" s="109" t="str">
        <f>IFERROR(_xll.qlRateHelperQuoteValue($K69,Trigger),"--")</f>
        <v>--</v>
      </c>
      <c r="N69" s="108" t="b">
        <v>0</v>
      </c>
      <c r="O69" s="105">
        <v>60</v>
      </c>
      <c r="P69" s="105">
        <v>1</v>
      </c>
      <c r="Q69" s="110" t="str">
        <f>IFERROR(_xll.qlRateHelperEarliestDate(K69,Trigger),"--")</f>
        <v>--</v>
      </c>
      <c r="R69" s="110" t="str">
        <f>IFERROR(_xll.qlRateHelperPillarDate(K69,Trigger),"--")</f>
        <v>--</v>
      </c>
      <c r="T69" s="4" t="str">
        <f t="shared" si="11"/>
        <v/>
      </c>
      <c r="U69" s="4" t="e">
        <v>#N/A</v>
      </c>
      <c r="V69" s="4" t="str">
        <f>IFERROR(_xll.qlRateHelperQuoteName(U69,Trigger),"")</f>
        <v/>
      </c>
      <c r="W69" s="75" t="str">
        <f>IFERROR(_xll.qlRateHelperRate(U69,Trigger),"")</f>
        <v/>
      </c>
      <c r="X69" s="115" t="str">
        <f>IF(ISERROR(_xll.qlSwapRateHelperSpread($U69)),IF(ISERROR(_xll.qlFuturesRateHelperConvexityAdjustment($U69)),"",_xll.qlFuturesRateHelperConvexityAdjustment($U69)),_xll.qlSwapRateHelperSpread($U69))</f>
        <v/>
      </c>
      <c r="Y69" s="5" t="str">
        <f>IFERROR(_xll.qlRateHelperEarliestDate(U69,Trigger),"")</f>
        <v/>
      </c>
      <c r="Z69" s="5" t="str">
        <f>IFERROR(_xll.qlRateHelperPillarDate(U69,Trigger),"")</f>
        <v/>
      </c>
      <c r="AA69" s="5" t="e">
        <v>#N/A</v>
      </c>
      <c r="AB69" s="190"/>
      <c r="AC69" s="86"/>
      <c r="AD69" s="196"/>
      <c r="AE69" s="190"/>
      <c r="AF69" s="190"/>
      <c r="AG69" s="190"/>
      <c r="AH69" s="190"/>
      <c r="AI69" s="190"/>
      <c r="AJ69" s="190"/>
      <c r="AK69" s="190"/>
      <c r="AL69" s="190"/>
      <c r="AM69" s="190"/>
      <c r="AN69" s="190"/>
      <c r="AO69" s="190"/>
      <c r="AP69" s="190"/>
      <c r="AQ69" s="190"/>
      <c r="AR69" s="190"/>
      <c r="AS69" s="190"/>
      <c r="AT69" s="190"/>
      <c r="AU69" s="190"/>
      <c r="AV69" s="190"/>
      <c r="AW69" s="190"/>
      <c r="AX69" s="190"/>
      <c r="AY69" s="190"/>
      <c r="AZ69" s="190"/>
      <c r="BA69" s="190"/>
      <c r="BB69" s="190"/>
      <c r="BC69" s="190"/>
    </row>
    <row r="70" spans="1:55" ht="11.25" customHeight="1" x14ac:dyDescent="0.2">
      <c r="A70" s="63" t="s">
        <v>164</v>
      </c>
      <c r="B70" s="64" t="s">
        <v>54</v>
      </c>
      <c r="C70" s="65">
        <v>2</v>
      </c>
      <c r="D70" s="65" t="s">
        <v>166</v>
      </c>
      <c r="E70" s="66" t="s">
        <v>163</v>
      </c>
      <c r="F70" s="68" t="str">
        <f t="shared" si="18"/>
        <v>USDAM3L4M_Quote</v>
      </c>
      <c r="G70" s="68" t="str">
        <f t="shared" si="19"/>
        <v>USDFF3L4M_Quote</v>
      </c>
      <c r="H70" s="69"/>
      <c r="J70" s="11" t="str">
        <f t="shared" si="16"/>
        <v>BasOIS</v>
      </c>
      <c r="K70" s="105" t="str">
        <f t="shared" si="17"/>
        <v>--</v>
      </c>
      <c r="L70" s="108" t="str">
        <f>IFERROR(_xll.qlRateHelperQuoteName(K70,Trigger),"--")</f>
        <v>--</v>
      </c>
      <c r="M70" s="109" t="str">
        <f>IFERROR(_xll.qlRateHelperQuoteValue($K70,Trigger),"--")</f>
        <v>--</v>
      </c>
      <c r="N70" s="108" t="b">
        <v>0</v>
      </c>
      <c r="O70" s="105">
        <v>60</v>
      </c>
      <c r="P70" s="105">
        <v>1</v>
      </c>
      <c r="Q70" s="110" t="str">
        <f>IFERROR(_xll.qlRateHelperEarliestDate(K70,Trigger),"--")</f>
        <v>--</v>
      </c>
      <c r="R70" s="110" t="str">
        <f>IFERROR(_xll.qlRateHelperPillarDate(K70,Trigger),"--")</f>
        <v>--</v>
      </c>
      <c r="T70" s="4" t="str">
        <f t="shared" si="11"/>
        <v/>
      </c>
      <c r="U70" s="4" t="e">
        <v>#N/A</v>
      </c>
      <c r="V70" s="4" t="str">
        <f>IFERROR(_xll.qlRateHelperQuoteName(U70,Trigger),"")</f>
        <v/>
      </c>
      <c r="W70" s="75" t="str">
        <f>IFERROR(_xll.qlRateHelperRate(U70,Trigger),"")</f>
        <v/>
      </c>
      <c r="X70" s="115" t="str">
        <f>IF(ISERROR(_xll.qlSwapRateHelperSpread($U70)),IF(ISERROR(_xll.qlFuturesRateHelperConvexityAdjustment($U70)),"",_xll.qlFuturesRateHelperConvexityAdjustment($U70)),_xll.qlSwapRateHelperSpread($U70))</f>
        <v/>
      </c>
      <c r="Y70" s="5" t="str">
        <f>IFERROR(_xll.qlRateHelperEarliestDate(U70,Trigger),"")</f>
        <v/>
      </c>
      <c r="Z70" s="5" t="str">
        <f>IFERROR(_xll.qlRateHelperPillarDate(U70,Trigger),"")</f>
        <v/>
      </c>
      <c r="AA70" s="5" t="e">
        <v>#N/A</v>
      </c>
      <c r="AB70" s="190"/>
      <c r="AC70" s="86"/>
      <c r="AD70" s="196"/>
      <c r="AE70" s="190"/>
      <c r="AF70" s="190"/>
      <c r="AG70" s="190"/>
      <c r="AH70" s="190"/>
      <c r="AI70" s="190"/>
      <c r="AJ70" s="190"/>
      <c r="AK70" s="190"/>
      <c r="AL70" s="190"/>
      <c r="AM70" s="190"/>
      <c r="AN70" s="190"/>
      <c r="AO70" s="190"/>
      <c r="AP70" s="190"/>
      <c r="AQ70" s="190"/>
      <c r="AR70" s="190"/>
      <c r="AS70" s="190"/>
      <c r="AT70" s="190"/>
      <c r="AU70" s="190"/>
      <c r="AV70" s="190"/>
      <c r="AW70" s="190"/>
      <c r="AX70" s="190"/>
      <c r="AY70" s="190"/>
      <c r="AZ70" s="190"/>
      <c r="BA70" s="190"/>
      <c r="BB70" s="190"/>
      <c r="BC70" s="190"/>
    </row>
    <row r="71" spans="1:55" ht="11.25" customHeight="1" x14ac:dyDescent="0.2">
      <c r="A71" s="63" t="s">
        <v>164</v>
      </c>
      <c r="B71" s="64" t="s">
        <v>55</v>
      </c>
      <c r="C71" s="65">
        <v>2</v>
      </c>
      <c r="D71" s="65" t="s">
        <v>166</v>
      </c>
      <c r="E71" s="66" t="s">
        <v>163</v>
      </c>
      <c r="F71" s="68" t="str">
        <f t="shared" si="18"/>
        <v>USDAM3L5M_Quote</v>
      </c>
      <c r="G71" s="68" t="str">
        <f t="shared" si="19"/>
        <v>USDFF3L5M_Quote</v>
      </c>
      <c r="H71" s="69"/>
      <c r="J71" s="11" t="str">
        <f t="shared" si="16"/>
        <v>BasOIS</v>
      </c>
      <c r="K71" s="105" t="str">
        <f t="shared" si="17"/>
        <v>--</v>
      </c>
      <c r="L71" s="108" t="str">
        <f>IFERROR(_xll.qlRateHelperQuoteName(K71,Trigger),"--")</f>
        <v>--</v>
      </c>
      <c r="M71" s="109" t="str">
        <f>IFERROR(_xll.qlRateHelperQuoteValue($K71,Trigger),"--")</f>
        <v>--</v>
      </c>
      <c r="N71" s="108" t="b">
        <v>0</v>
      </c>
      <c r="O71" s="105">
        <v>60</v>
      </c>
      <c r="P71" s="105">
        <v>1</v>
      </c>
      <c r="Q71" s="110" t="str">
        <f>IFERROR(_xll.qlRateHelperEarliestDate(K71,Trigger),"--")</f>
        <v>--</v>
      </c>
      <c r="R71" s="110" t="str">
        <f>IFERROR(_xll.qlRateHelperPillarDate(K71,Trigger),"--")</f>
        <v>--</v>
      </c>
      <c r="T71" s="4" t="str">
        <f t="shared" si="11"/>
        <v/>
      </c>
      <c r="U71" s="4" t="e">
        <v>#N/A</v>
      </c>
      <c r="V71" s="4" t="str">
        <f>IFERROR(_xll.qlRateHelperQuoteName(U71,Trigger),"")</f>
        <v/>
      </c>
      <c r="W71" s="75" t="str">
        <f>IFERROR(_xll.qlRateHelperRate(U71,Trigger),"")</f>
        <v/>
      </c>
      <c r="X71" s="115" t="str">
        <f>IF(ISERROR(_xll.qlSwapRateHelperSpread($U71)),IF(ISERROR(_xll.qlFuturesRateHelperConvexityAdjustment($U71)),"",_xll.qlFuturesRateHelperConvexityAdjustment($U71)),_xll.qlSwapRateHelperSpread($U71))</f>
        <v/>
      </c>
      <c r="Y71" s="5" t="str">
        <f>IFERROR(_xll.qlRateHelperEarliestDate(U71,Trigger),"")</f>
        <v/>
      </c>
      <c r="Z71" s="5" t="str">
        <f>IFERROR(_xll.qlRateHelperPillarDate(U71,Trigger),"")</f>
        <v/>
      </c>
      <c r="AA71" s="5" t="e">
        <v>#N/A</v>
      </c>
      <c r="AB71" s="190"/>
      <c r="AC71" s="86"/>
      <c r="AD71" s="196"/>
      <c r="AE71" s="190"/>
      <c r="AF71" s="190"/>
      <c r="AG71" s="190"/>
      <c r="AH71" s="190"/>
      <c r="AI71" s="190"/>
      <c r="AJ71" s="190"/>
      <c r="AK71" s="190"/>
      <c r="AL71" s="190"/>
      <c r="AM71" s="190"/>
      <c r="AN71" s="190"/>
      <c r="AO71" s="190"/>
      <c r="AP71" s="190"/>
      <c r="AQ71" s="190"/>
      <c r="AR71" s="190"/>
      <c r="AS71" s="190"/>
      <c r="AT71" s="190"/>
      <c r="AU71" s="190"/>
      <c r="AV71" s="190"/>
      <c r="AW71" s="190"/>
      <c r="AX71" s="190"/>
      <c r="AY71" s="190"/>
      <c r="AZ71" s="190"/>
      <c r="BA71" s="190"/>
      <c r="BB71" s="190"/>
      <c r="BC71" s="190"/>
    </row>
    <row r="72" spans="1:55" ht="11.25" customHeight="1" x14ac:dyDescent="0.2">
      <c r="A72" s="63" t="s">
        <v>164</v>
      </c>
      <c r="B72" s="64" t="s">
        <v>3</v>
      </c>
      <c r="C72" s="65">
        <v>2</v>
      </c>
      <c r="D72" s="65" t="s">
        <v>166</v>
      </c>
      <c r="E72" s="66" t="s">
        <v>163</v>
      </c>
      <c r="F72" s="68" t="str">
        <f t="shared" si="18"/>
        <v>USDAM3L6M_Quote</v>
      </c>
      <c r="G72" s="68" t="str">
        <f t="shared" si="19"/>
        <v>USDFF3L6M_Quote</v>
      </c>
      <c r="H72" s="69"/>
      <c r="J72" s="11" t="str">
        <f t="shared" si="16"/>
        <v>BasOIS</v>
      </c>
      <c r="K72" s="105" t="str">
        <f t="shared" si="17"/>
        <v>--</v>
      </c>
      <c r="L72" s="108" t="str">
        <f>IFERROR(_xll.qlRateHelperQuoteName(K72,Trigger),"--")</f>
        <v>--</v>
      </c>
      <c r="M72" s="109" t="str">
        <f>IFERROR(_xll.qlRateHelperQuoteValue($K72,Trigger),"--")</f>
        <v>--</v>
      </c>
      <c r="N72" s="108" t="b">
        <v>0</v>
      </c>
      <c r="O72" s="105">
        <v>60</v>
      </c>
      <c r="P72" s="105">
        <v>1</v>
      </c>
      <c r="Q72" s="110" t="str">
        <f>IFERROR(_xll.qlRateHelperEarliestDate(K72,Trigger),"--")</f>
        <v>--</v>
      </c>
      <c r="R72" s="110" t="str">
        <f>IFERROR(_xll.qlRateHelperPillarDate(K72,Trigger),"--")</f>
        <v>--</v>
      </c>
      <c r="T72" s="4" t="str">
        <f t="shared" si="11"/>
        <v/>
      </c>
      <c r="U72" s="4" t="e">
        <v>#N/A</v>
      </c>
      <c r="V72" s="4" t="str">
        <f>IFERROR(_xll.qlRateHelperQuoteName(U72,Trigger),"")</f>
        <v/>
      </c>
      <c r="W72" s="75" t="str">
        <f>IFERROR(_xll.qlRateHelperRate(U72,Trigger),"")</f>
        <v/>
      </c>
      <c r="X72" s="115" t="str">
        <f>IF(ISERROR(_xll.qlSwapRateHelperSpread($U72)),IF(ISERROR(_xll.qlFuturesRateHelperConvexityAdjustment($U72)),"",_xll.qlFuturesRateHelperConvexityAdjustment($U72)),_xll.qlSwapRateHelperSpread($U72))</f>
        <v/>
      </c>
      <c r="Y72" s="5" t="str">
        <f>IFERROR(_xll.qlRateHelperEarliestDate(U72,Trigger),"")</f>
        <v/>
      </c>
      <c r="Z72" s="5" t="str">
        <f>IFERROR(_xll.qlRateHelperPillarDate(U72,Trigger),"")</f>
        <v/>
      </c>
      <c r="AA72" s="5" t="e">
        <v>#N/A</v>
      </c>
      <c r="AB72" s="190"/>
      <c r="AC72" s="86"/>
      <c r="AD72" s="196"/>
      <c r="AE72" s="190"/>
      <c r="AF72" s="190"/>
      <c r="AG72" s="190"/>
      <c r="AH72" s="190"/>
      <c r="AI72" s="190"/>
      <c r="AJ72" s="190"/>
      <c r="AK72" s="190"/>
      <c r="AL72" s="190"/>
      <c r="AM72" s="190"/>
      <c r="AN72" s="190"/>
      <c r="AO72" s="190"/>
      <c r="AP72" s="190"/>
      <c r="AQ72" s="190"/>
      <c r="AR72" s="190"/>
      <c r="AS72" s="190"/>
      <c r="AT72" s="190"/>
      <c r="AU72" s="190"/>
      <c r="AV72" s="190"/>
      <c r="AW72" s="190"/>
      <c r="AX72" s="190"/>
      <c r="AY72" s="190"/>
      <c r="AZ72" s="190"/>
      <c r="BA72" s="190"/>
      <c r="BB72" s="190"/>
      <c r="BC72" s="190"/>
    </row>
    <row r="73" spans="1:55" ht="11.25" customHeight="1" x14ac:dyDescent="0.2">
      <c r="A73" s="63" t="s">
        <v>164</v>
      </c>
      <c r="B73" s="64" t="s">
        <v>56</v>
      </c>
      <c r="C73" s="65">
        <v>2</v>
      </c>
      <c r="D73" s="65" t="s">
        <v>166</v>
      </c>
      <c r="E73" s="66" t="s">
        <v>163</v>
      </c>
      <c r="F73" s="68" t="str">
        <f t="shared" si="18"/>
        <v>USDAM3L7M_Quote</v>
      </c>
      <c r="G73" s="68" t="str">
        <f t="shared" si="19"/>
        <v>USDFF3L7M_Quote</v>
      </c>
      <c r="H73" s="69"/>
      <c r="J73" s="11" t="str">
        <f t="shared" si="16"/>
        <v>BasOIS</v>
      </c>
      <c r="K73" s="105" t="str">
        <f t="shared" si="17"/>
        <v>--</v>
      </c>
      <c r="L73" s="108" t="str">
        <f>IFERROR(_xll.qlRateHelperQuoteName(K73,Trigger),"--")</f>
        <v>--</v>
      </c>
      <c r="M73" s="109" t="str">
        <f>IFERROR(_xll.qlRateHelperQuoteValue($K73,Trigger),"--")</f>
        <v>--</v>
      </c>
      <c r="N73" s="108" t="b">
        <v>0</v>
      </c>
      <c r="O73" s="105">
        <v>60</v>
      </c>
      <c r="P73" s="105">
        <v>1</v>
      </c>
      <c r="Q73" s="110" t="str">
        <f>IFERROR(_xll.qlRateHelperEarliestDate(K73,Trigger),"--")</f>
        <v>--</v>
      </c>
      <c r="R73" s="110" t="str">
        <f>IFERROR(_xll.qlRateHelperPillarDate(K73,Trigger),"--")</f>
        <v>--</v>
      </c>
      <c r="T73" s="4" t="str">
        <f t="shared" si="11"/>
        <v/>
      </c>
      <c r="U73" s="4" t="e">
        <v>#N/A</v>
      </c>
      <c r="V73" s="4" t="str">
        <f>IFERROR(_xll.qlRateHelperQuoteName(U73,Trigger),"")</f>
        <v/>
      </c>
      <c r="W73" s="75" t="str">
        <f>IFERROR(_xll.qlRateHelperRate(U73,Trigger),"")</f>
        <v/>
      </c>
      <c r="X73" s="115" t="str">
        <f>IF(ISERROR(_xll.qlSwapRateHelperSpread($U73)),IF(ISERROR(_xll.qlFuturesRateHelperConvexityAdjustment($U73)),"",_xll.qlFuturesRateHelperConvexityAdjustment($U73)),_xll.qlSwapRateHelperSpread($U73))</f>
        <v/>
      </c>
      <c r="Y73" s="5" t="str">
        <f>IFERROR(_xll.qlRateHelperEarliestDate(U73,Trigger),"")</f>
        <v/>
      </c>
      <c r="Z73" s="5" t="str">
        <f>IFERROR(_xll.qlRateHelperPillarDate(U73,Trigger),"")</f>
        <v/>
      </c>
      <c r="AA73" s="5" t="e">
        <v>#N/A</v>
      </c>
      <c r="AB73" s="190"/>
      <c r="AC73" s="86"/>
      <c r="AD73" s="196"/>
      <c r="AE73" s="190"/>
      <c r="AF73" s="190"/>
      <c r="AG73" s="190"/>
      <c r="AH73" s="190"/>
      <c r="AI73" s="190"/>
      <c r="AJ73" s="190"/>
      <c r="AK73" s="190"/>
      <c r="AL73" s="190"/>
      <c r="AM73" s="190"/>
      <c r="AN73" s="190"/>
      <c r="AO73" s="190"/>
      <c r="AP73" s="190"/>
      <c r="AQ73" s="190"/>
      <c r="AR73" s="190"/>
      <c r="AS73" s="190"/>
      <c r="AT73" s="190"/>
      <c r="AU73" s="190"/>
      <c r="AV73" s="190"/>
      <c r="AW73" s="190"/>
      <c r="AX73" s="190"/>
      <c r="AY73" s="190"/>
      <c r="AZ73" s="190"/>
      <c r="BA73" s="190"/>
      <c r="BB73" s="190"/>
      <c r="BC73" s="190"/>
    </row>
    <row r="74" spans="1:55" ht="11.25" customHeight="1" x14ac:dyDescent="0.2">
      <c r="A74" s="63" t="s">
        <v>164</v>
      </c>
      <c r="B74" s="64" t="s">
        <v>57</v>
      </c>
      <c r="C74" s="65">
        <v>2</v>
      </c>
      <c r="D74" s="65" t="s">
        <v>166</v>
      </c>
      <c r="E74" s="66" t="s">
        <v>163</v>
      </c>
      <c r="F74" s="68" t="str">
        <f t="shared" si="18"/>
        <v>USDAM3L8M_Quote</v>
      </c>
      <c r="G74" s="68" t="str">
        <f t="shared" si="19"/>
        <v>USDFF3L8M_Quote</v>
      </c>
      <c r="H74" s="69"/>
      <c r="J74" s="11" t="str">
        <f t="shared" si="16"/>
        <v>BasOIS</v>
      </c>
      <c r="K74" s="105" t="str">
        <f t="shared" si="17"/>
        <v>obj_00271#0012</v>
      </c>
      <c r="L74" s="108" t="str">
        <f>IFERROR(_xll.qlRateHelperQuoteName(K74,Trigger),"--")</f>
        <v>USDAM3L1Y_Quote</v>
      </c>
      <c r="M74" s="109">
        <f>IFERROR(_xll.qlRateHelperQuoteValue($K74,Trigger),"--")</f>
        <v>7.5799999999999999E-3</v>
      </c>
      <c r="N74" s="199" t="b">
        <f>ArithmeticFF</f>
        <v>1</v>
      </c>
      <c r="O74" s="105">
        <v>60</v>
      </c>
      <c r="P74" s="105">
        <v>1</v>
      </c>
      <c r="Q74" s="110">
        <f>IFERROR(_xll.qlRateHelperEarliestDate(K74,Trigger),"--")</f>
        <v>42482</v>
      </c>
      <c r="R74" s="110">
        <f>IFERROR(_xll.qlRateHelperPillarDate(K74,Trigger),"--")</f>
        <v>42849</v>
      </c>
      <c r="T74" s="4" t="str">
        <f t="shared" si="11"/>
        <v/>
      </c>
      <c r="U74" s="4" t="e">
        <v>#N/A</v>
      </c>
      <c r="V74" s="4" t="str">
        <f>IFERROR(_xll.qlRateHelperQuoteName(U74,Trigger),"")</f>
        <v/>
      </c>
      <c r="W74" s="75" t="str">
        <f>IFERROR(_xll.qlRateHelperRate(U74,Trigger),"")</f>
        <v/>
      </c>
      <c r="X74" s="115" t="str">
        <f>IF(ISERROR(_xll.qlSwapRateHelperSpread($U74)),IF(ISERROR(_xll.qlFuturesRateHelperConvexityAdjustment($U74)),"",_xll.qlFuturesRateHelperConvexityAdjustment($U74)),_xll.qlSwapRateHelperSpread($U74))</f>
        <v/>
      </c>
      <c r="Y74" s="5" t="str">
        <f>IFERROR(_xll.qlRateHelperEarliestDate(U74,Trigger),"")</f>
        <v/>
      </c>
      <c r="Z74" s="5" t="str">
        <f>IFERROR(_xll.qlRateHelperPillarDate(U74,Trigger),"")</f>
        <v/>
      </c>
      <c r="AA74" s="5" t="e">
        <v>#N/A</v>
      </c>
      <c r="AB74" s="190"/>
      <c r="AC74" s="86"/>
      <c r="AD74" s="196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</row>
    <row r="75" spans="1:55" ht="11.25" customHeight="1" x14ac:dyDescent="0.2">
      <c r="A75" s="63" t="s">
        <v>164</v>
      </c>
      <c r="B75" s="64" t="s">
        <v>58</v>
      </c>
      <c r="C75" s="65">
        <v>2</v>
      </c>
      <c r="D75" s="65" t="s">
        <v>166</v>
      </c>
      <c r="E75" s="66" t="s">
        <v>163</v>
      </c>
      <c r="F75" s="68" t="str">
        <f t="shared" si="18"/>
        <v>USDAM3L9M_Quote</v>
      </c>
      <c r="G75" s="68" t="str">
        <f t="shared" si="19"/>
        <v>USDFF3L9M_Quote</v>
      </c>
      <c r="H75" s="69"/>
      <c r="J75" s="11" t="str">
        <f t="shared" si="16"/>
        <v>BasOIS</v>
      </c>
      <c r="K75" s="105" t="str">
        <f t="shared" si="17"/>
        <v>--</v>
      </c>
      <c r="L75" s="108" t="str">
        <f>IFERROR(_xll.qlRateHelperQuoteName(K75,Trigger),"--")</f>
        <v>--</v>
      </c>
      <c r="M75" s="109" t="str">
        <f>IFERROR(_xll.qlRateHelperQuoteValue($K75,Trigger),"--")</f>
        <v>--</v>
      </c>
      <c r="N75" s="108" t="b">
        <v>0</v>
      </c>
      <c r="O75" s="105">
        <v>60</v>
      </c>
      <c r="P75" s="105">
        <v>1</v>
      </c>
      <c r="Q75" s="110" t="str">
        <f>IFERROR(_xll.qlRateHelperEarliestDate(K75,Trigger),"--")</f>
        <v>--</v>
      </c>
      <c r="R75" s="110" t="str">
        <f>IFERROR(_xll.qlRateHelperPillarDate(K75,Trigger),"--")</f>
        <v>--</v>
      </c>
      <c r="T75" s="4" t="str">
        <f t="shared" si="11"/>
        <v/>
      </c>
      <c r="U75" s="4" t="e">
        <v>#N/A</v>
      </c>
      <c r="V75" s="4" t="str">
        <f>IFERROR(_xll.qlRateHelperQuoteName(U75,Trigger),"")</f>
        <v/>
      </c>
      <c r="W75" s="75" t="str">
        <f>IFERROR(_xll.qlRateHelperRate(U75,Trigger),"")</f>
        <v/>
      </c>
      <c r="X75" s="115" t="str">
        <f>IF(ISERROR(_xll.qlSwapRateHelperSpread($U75)),IF(ISERROR(_xll.qlFuturesRateHelperConvexityAdjustment($U75)),"",_xll.qlFuturesRateHelperConvexityAdjustment($U75)),_xll.qlSwapRateHelperSpread($U75))</f>
        <v/>
      </c>
      <c r="Y75" s="5" t="str">
        <f>IFERROR(_xll.qlRateHelperEarliestDate(U75,Trigger),"")</f>
        <v/>
      </c>
      <c r="Z75" s="5" t="str">
        <f>IFERROR(_xll.qlRateHelperPillarDate(U75,Trigger),"")</f>
        <v/>
      </c>
      <c r="AA75" s="5" t="e">
        <v>#N/A</v>
      </c>
      <c r="AB75" s="190"/>
      <c r="AC75" s="86"/>
      <c r="AD75" s="196"/>
      <c r="AE75" s="190"/>
      <c r="AF75" s="190"/>
      <c r="AG75" s="190"/>
      <c r="AH75" s="190"/>
      <c r="AI75" s="190"/>
      <c r="AJ75" s="190"/>
      <c r="AK75" s="190"/>
      <c r="AL75" s="190"/>
      <c r="AM75" s="190"/>
      <c r="AN75" s="190"/>
      <c r="AO75" s="190"/>
      <c r="AP75" s="190"/>
      <c r="AQ75" s="190"/>
      <c r="AR75" s="190"/>
      <c r="AS75" s="190"/>
      <c r="AT75" s="190"/>
      <c r="AU75" s="190"/>
      <c r="AV75" s="190"/>
      <c r="AW75" s="190"/>
      <c r="AX75" s="190"/>
      <c r="AY75" s="190"/>
      <c r="AZ75" s="190"/>
      <c r="BA75" s="190"/>
      <c r="BB75" s="190"/>
      <c r="BC75" s="190"/>
    </row>
    <row r="76" spans="1:55" ht="11.25" customHeight="1" x14ac:dyDescent="0.2">
      <c r="A76" s="63" t="s">
        <v>164</v>
      </c>
      <c r="B76" s="64" t="s">
        <v>59</v>
      </c>
      <c r="C76" s="65">
        <v>2</v>
      </c>
      <c r="D76" s="65" t="s">
        <v>166</v>
      </c>
      <c r="E76" s="66" t="s">
        <v>163</v>
      </c>
      <c r="F76" s="68" t="str">
        <f t="shared" si="18"/>
        <v>USDAM3L10M_Quote</v>
      </c>
      <c r="G76" s="68" t="str">
        <f t="shared" si="19"/>
        <v>USDFF3L10M_Quote</v>
      </c>
      <c r="H76" s="69"/>
      <c r="J76" s="11" t="str">
        <f t="shared" si="16"/>
        <v>BasOIS</v>
      </c>
      <c r="K76" s="105" t="str">
        <f t="shared" si="17"/>
        <v>--</v>
      </c>
      <c r="L76" s="108" t="str">
        <f>IFERROR(_xll.qlRateHelperQuoteName(K76,Trigger),"--")</f>
        <v>--</v>
      </c>
      <c r="M76" s="109" t="str">
        <f>IFERROR(_xll.qlRateHelperQuoteValue($K76,Trigger),"--")</f>
        <v>--</v>
      </c>
      <c r="N76" s="108" t="b">
        <v>0</v>
      </c>
      <c r="O76" s="105">
        <v>60</v>
      </c>
      <c r="P76" s="105">
        <v>1</v>
      </c>
      <c r="Q76" s="110" t="str">
        <f>IFERROR(_xll.qlRateHelperEarliestDate(K76,Trigger),"--")</f>
        <v>--</v>
      </c>
      <c r="R76" s="110" t="str">
        <f>IFERROR(_xll.qlRateHelperPillarDate(K76,Trigger),"--")</f>
        <v>--</v>
      </c>
      <c r="T76" s="4" t="str">
        <f t="shared" si="11"/>
        <v/>
      </c>
      <c r="U76" s="4" t="e">
        <v>#N/A</v>
      </c>
      <c r="V76" s="4" t="str">
        <f>IFERROR(_xll.qlRateHelperQuoteName(U76,Trigger),"")</f>
        <v/>
      </c>
      <c r="W76" s="75" t="str">
        <f>IFERROR(_xll.qlRateHelperRate(U76,Trigger),"")</f>
        <v/>
      </c>
      <c r="X76" s="115" t="str">
        <f>IF(ISERROR(_xll.qlSwapRateHelperSpread($U76)),IF(ISERROR(_xll.qlFuturesRateHelperConvexityAdjustment($U76)),"",_xll.qlFuturesRateHelperConvexityAdjustment($U76)),_xll.qlSwapRateHelperSpread($U76))</f>
        <v/>
      </c>
      <c r="Y76" s="5" t="str">
        <f>IFERROR(_xll.qlRateHelperEarliestDate(U76,Trigger),"")</f>
        <v/>
      </c>
      <c r="Z76" s="5" t="str">
        <f>IFERROR(_xll.qlRateHelperPillarDate(U76,Trigger),"")</f>
        <v/>
      </c>
      <c r="AA76" s="5" t="e">
        <v>#N/A</v>
      </c>
      <c r="AB76" s="190"/>
      <c r="AC76" s="86"/>
      <c r="AD76" s="196"/>
      <c r="AE76" s="190"/>
      <c r="AF76" s="190"/>
      <c r="AG76" s="190"/>
      <c r="AH76" s="190"/>
      <c r="AI76" s="190"/>
      <c r="AJ76" s="190"/>
      <c r="AK76" s="190"/>
      <c r="AL76" s="190"/>
      <c r="AM76" s="190"/>
      <c r="AN76" s="190"/>
      <c r="AO76" s="190"/>
      <c r="AP76" s="190"/>
      <c r="AQ76" s="190"/>
      <c r="AR76" s="190"/>
      <c r="AS76" s="190"/>
      <c r="AT76" s="190"/>
      <c r="AU76" s="190"/>
      <c r="AV76" s="190"/>
      <c r="AW76" s="190"/>
      <c r="AX76" s="190"/>
      <c r="AY76" s="190"/>
      <c r="AZ76" s="190"/>
      <c r="BA76" s="190"/>
      <c r="BB76" s="190"/>
      <c r="BC76" s="190"/>
    </row>
    <row r="77" spans="1:55" ht="11.25" customHeight="1" x14ac:dyDescent="0.2">
      <c r="A77" s="63" t="s">
        <v>164</v>
      </c>
      <c r="B77" s="64" t="s">
        <v>60</v>
      </c>
      <c r="C77" s="65">
        <v>2</v>
      </c>
      <c r="D77" s="65" t="s">
        <v>166</v>
      </c>
      <c r="E77" s="66" t="s">
        <v>163</v>
      </c>
      <c r="F77" s="68" t="str">
        <f t="shared" si="18"/>
        <v>USDAM3L11M_Quote</v>
      </c>
      <c r="G77" s="68" t="str">
        <f t="shared" si="19"/>
        <v>USDFF3L11M_Quote</v>
      </c>
      <c r="H77" s="69"/>
      <c r="J77" s="11" t="str">
        <f t="shared" si="16"/>
        <v>BasOIS</v>
      </c>
      <c r="K77" s="105" t="str">
        <f t="shared" si="17"/>
        <v>--</v>
      </c>
      <c r="L77" s="108" t="str">
        <f>IFERROR(_xll.qlRateHelperQuoteName(K77,Trigger),"--")</f>
        <v>--</v>
      </c>
      <c r="M77" s="109" t="str">
        <f>IFERROR(_xll.qlRateHelperQuoteValue($K77,Trigger),"--")</f>
        <v>--</v>
      </c>
      <c r="N77" s="108" t="b">
        <v>0</v>
      </c>
      <c r="O77" s="105">
        <v>60</v>
      </c>
      <c r="P77" s="105">
        <v>1</v>
      </c>
      <c r="Q77" s="110" t="str">
        <f>IFERROR(_xll.qlRateHelperEarliestDate(K77,Trigger),"--")</f>
        <v>--</v>
      </c>
      <c r="R77" s="110" t="str">
        <f>IFERROR(_xll.qlRateHelperPillarDate(K77,Trigger),"--")</f>
        <v>--</v>
      </c>
      <c r="T77" s="4" t="str">
        <f t="shared" si="11"/>
        <v/>
      </c>
      <c r="U77" s="4" t="e">
        <v>#N/A</v>
      </c>
      <c r="V77" s="4" t="str">
        <f>IFERROR(_xll.qlRateHelperQuoteName(U77,Trigger),"")</f>
        <v/>
      </c>
      <c r="W77" s="75" t="str">
        <f>IFERROR(_xll.qlRateHelperRate(U77,Trigger),"")</f>
        <v/>
      </c>
      <c r="X77" s="115" t="str">
        <f>IF(ISERROR(_xll.qlSwapRateHelperSpread($U77)),IF(ISERROR(_xll.qlFuturesRateHelperConvexityAdjustment($U77)),"",_xll.qlFuturesRateHelperConvexityAdjustment($U77)),_xll.qlSwapRateHelperSpread($U77))</f>
        <v/>
      </c>
      <c r="Y77" s="5" t="str">
        <f>IFERROR(_xll.qlRateHelperEarliestDate(U77,Trigger),"")</f>
        <v/>
      </c>
      <c r="Z77" s="5" t="str">
        <f>IFERROR(_xll.qlRateHelperPillarDate(U77,Trigger),"")</f>
        <v/>
      </c>
      <c r="AA77" s="5" t="e">
        <v>#N/A</v>
      </c>
      <c r="AB77" s="190"/>
      <c r="AC77" s="86"/>
      <c r="AD77" s="196"/>
      <c r="AE77" s="190"/>
      <c r="AF77" s="190"/>
      <c r="AG77" s="190"/>
      <c r="AH77" s="190"/>
      <c r="AI77" s="190"/>
      <c r="AJ77" s="190"/>
      <c r="AK77" s="190"/>
      <c r="AL77" s="190"/>
      <c r="AM77" s="190"/>
      <c r="AN77" s="190"/>
      <c r="AO77" s="190"/>
      <c r="AP77" s="190"/>
      <c r="AQ77" s="190"/>
      <c r="AR77" s="190"/>
      <c r="AS77" s="190"/>
      <c r="AT77" s="190"/>
      <c r="AU77" s="190"/>
      <c r="AV77" s="190"/>
      <c r="AW77" s="190"/>
      <c r="AX77" s="190"/>
      <c r="AY77" s="190"/>
      <c r="AZ77" s="190"/>
      <c r="BA77" s="190"/>
      <c r="BB77" s="190"/>
      <c r="BC77" s="190"/>
    </row>
    <row r="78" spans="1:55" ht="11.25" customHeight="1" x14ac:dyDescent="0.2">
      <c r="A78" s="63" t="s">
        <v>164</v>
      </c>
      <c r="B78" s="64" t="s">
        <v>29</v>
      </c>
      <c r="C78" s="65">
        <v>2</v>
      </c>
      <c r="D78" s="65" t="s">
        <v>166</v>
      </c>
      <c r="E78" s="66" t="s">
        <v>163</v>
      </c>
      <c r="F78" s="68" t="str">
        <f t="shared" si="18"/>
        <v>USDAM3L1Y_Quote</v>
      </c>
      <c r="G78" s="68" t="str">
        <f t="shared" si="19"/>
        <v>USDFF3L1Y_Quote</v>
      </c>
      <c r="H78" s="69" t="str">
        <f>_xll.qlOISAARateHelper(,C78,B78,F78,E78,G78,D78,TRUE,$G$62,$H$62,ExactFormula,,Permanent,Trigger,ObjectOverwrite)</f>
        <v>obj_00271#0012</v>
      </c>
      <c r="J78" s="11" t="str">
        <f t="shared" si="16"/>
        <v>BasOIS</v>
      </c>
      <c r="K78" s="105" t="str">
        <f t="shared" si="17"/>
        <v>--</v>
      </c>
      <c r="L78" s="108" t="str">
        <f>IFERROR(_xll.qlRateHelperQuoteName(K78,Trigger),"--")</f>
        <v>--</v>
      </c>
      <c r="M78" s="109" t="str">
        <f>IFERROR(_xll.qlRateHelperQuoteValue($K78,Trigger),"--")</f>
        <v>--</v>
      </c>
      <c r="N78" s="108" t="b">
        <v>0</v>
      </c>
      <c r="O78" s="105">
        <v>60</v>
      </c>
      <c r="P78" s="105">
        <v>1</v>
      </c>
      <c r="Q78" s="110" t="str">
        <f>IFERROR(_xll.qlRateHelperEarliestDate(K78,Trigger),"--")</f>
        <v>--</v>
      </c>
      <c r="R78" s="110" t="str">
        <f>IFERROR(_xll.qlRateHelperPillarDate(K78,Trigger),"--")</f>
        <v>--</v>
      </c>
      <c r="T78" s="4" t="str">
        <f t="shared" si="11"/>
        <v/>
      </c>
      <c r="U78" s="4" t="e">
        <v>#N/A</v>
      </c>
      <c r="V78" s="4" t="str">
        <f>IFERROR(_xll.qlRateHelperQuoteName(U78,Trigger),"")</f>
        <v/>
      </c>
      <c r="W78" s="75" t="str">
        <f>IFERROR(_xll.qlRateHelperRate(U78,Trigger),"")</f>
        <v/>
      </c>
      <c r="X78" s="115" t="str">
        <f>IF(ISERROR(_xll.qlSwapRateHelperSpread($U78)),IF(ISERROR(_xll.qlFuturesRateHelperConvexityAdjustment($U78)),"",_xll.qlFuturesRateHelperConvexityAdjustment($U78)),_xll.qlSwapRateHelperSpread($U78))</f>
        <v/>
      </c>
      <c r="Y78" s="5" t="str">
        <f>IFERROR(_xll.qlRateHelperEarliestDate(U78,Trigger),"")</f>
        <v/>
      </c>
      <c r="Z78" s="5" t="str">
        <f>IFERROR(_xll.qlRateHelperPillarDate(U78,Trigger),"")</f>
        <v/>
      </c>
      <c r="AA78" s="5" t="e">
        <v>#N/A</v>
      </c>
      <c r="AB78" s="190"/>
      <c r="AC78" s="86"/>
      <c r="AD78" s="196"/>
      <c r="AE78" s="190"/>
      <c r="AF78" s="190"/>
      <c r="AG78" s="190"/>
      <c r="AH78" s="190"/>
      <c r="AI78" s="190"/>
      <c r="AJ78" s="190"/>
      <c r="AK78" s="190"/>
      <c r="AL78" s="190"/>
      <c r="AM78" s="190"/>
      <c r="AN78" s="190"/>
      <c r="AO78" s="190"/>
      <c r="AP78" s="190"/>
      <c r="AQ78" s="190"/>
      <c r="AR78" s="190"/>
      <c r="AS78" s="190"/>
      <c r="AT78" s="190"/>
      <c r="AU78" s="190"/>
      <c r="AV78" s="190"/>
      <c r="AW78" s="190"/>
      <c r="AX78" s="190"/>
      <c r="AY78" s="190"/>
      <c r="AZ78" s="190"/>
      <c r="BA78" s="190"/>
      <c r="BB78" s="190"/>
      <c r="BC78" s="190"/>
    </row>
    <row r="79" spans="1:55" ht="11.25" customHeight="1" x14ac:dyDescent="0.2">
      <c r="A79" s="63" t="s">
        <v>164</v>
      </c>
      <c r="B79" s="64" t="s">
        <v>61</v>
      </c>
      <c r="C79" s="65">
        <v>2</v>
      </c>
      <c r="D79" s="65" t="s">
        <v>166</v>
      </c>
      <c r="E79" s="66" t="s">
        <v>163</v>
      </c>
      <c r="F79" s="68" t="str">
        <f t="shared" si="18"/>
        <v>USDAM3L13M_Quote</v>
      </c>
      <c r="G79" s="68" t="str">
        <f t="shared" si="19"/>
        <v>USDFF3L13M_Quote</v>
      </c>
      <c r="H79" s="69"/>
      <c r="J79" s="11" t="str">
        <f t="shared" si="16"/>
        <v>BasOIS</v>
      </c>
      <c r="K79" s="105" t="str">
        <f t="shared" si="17"/>
        <v>--</v>
      </c>
      <c r="L79" s="108" t="str">
        <f>IFERROR(_xll.qlRateHelperQuoteName(K79,Trigger),"--")</f>
        <v>--</v>
      </c>
      <c r="M79" s="109" t="str">
        <f>IFERROR(_xll.qlRateHelperQuoteValue($K79,Trigger),"--")</f>
        <v>--</v>
      </c>
      <c r="N79" s="108" t="b">
        <v>0</v>
      </c>
      <c r="O79" s="105">
        <v>60</v>
      </c>
      <c r="P79" s="105">
        <v>1</v>
      </c>
      <c r="Q79" s="110" t="str">
        <f>IFERROR(_xll.qlRateHelperEarliestDate(K79,Trigger),"--")</f>
        <v>--</v>
      </c>
      <c r="R79" s="110" t="str">
        <f>IFERROR(_xll.qlRateHelperPillarDate(K79,Trigger),"--")</f>
        <v>--</v>
      </c>
      <c r="T79" s="4" t="str">
        <f t="shared" si="11"/>
        <v/>
      </c>
      <c r="U79" s="4" t="e">
        <v>#N/A</v>
      </c>
      <c r="V79" s="4" t="str">
        <f>IFERROR(_xll.qlRateHelperQuoteName(U79,Trigger),"")</f>
        <v/>
      </c>
      <c r="W79" s="75" t="str">
        <f>IFERROR(_xll.qlRateHelperRate(U79,Trigger),"")</f>
        <v/>
      </c>
      <c r="X79" s="115" t="str">
        <f>IF(ISERROR(_xll.qlSwapRateHelperSpread($U79)),IF(ISERROR(_xll.qlFuturesRateHelperConvexityAdjustment($U79)),"",_xll.qlFuturesRateHelperConvexityAdjustment($U79)),_xll.qlSwapRateHelperSpread($U79))</f>
        <v/>
      </c>
      <c r="Y79" s="5" t="str">
        <f>IFERROR(_xll.qlRateHelperEarliestDate(U79,Trigger),"")</f>
        <v/>
      </c>
      <c r="Z79" s="5" t="str">
        <f>IFERROR(_xll.qlRateHelperPillarDate(U79,Trigger),"")</f>
        <v/>
      </c>
      <c r="AA79" s="5" t="e">
        <v>#N/A</v>
      </c>
      <c r="AB79" s="190"/>
      <c r="AC79" s="86"/>
      <c r="AD79" s="196"/>
      <c r="AE79" s="190"/>
      <c r="AF79" s="190"/>
      <c r="AG79" s="190"/>
      <c r="AH79" s="190"/>
      <c r="AI79" s="190"/>
      <c r="AJ79" s="190"/>
      <c r="AK79" s="190"/>
      <c r="AL79" s="190"/>
      <c r="AM79" s="190"/>
      <c r="AN79" s="190"/>
      <c r="AO79" s="190"/>
      <c r="AP79" s="190"/>
      <c r="AQ79" s="190"/>
      <c r="AR79" s="190"/>
      <c r="AS79" s="190"/>
      <c r="AT79" s="190"/>
      <c r="AU79" s="190"/>
      <c r="AV79" s="190"/>
      <c r="AW79" s="190"/>
      <c r="AX79" s="190"/>
      <c r="AY79" s="190"/>
      <c r="AZ79" s="190"/>
      <c r="BA79" s="190"/>
      <c r="BB79" s="190"/>
      <c r="BC79" s="190"/>
    </row>
    <row r="80" spans="1:55" ht="11.25" customHeight="1" x14ac:dyDescent="0.2">
      <c r="A80" s="63" t="s">
        <v>164</v>
      </c>
      <c r="B80" s="64" t="s">
        <v>62</v>
      </c>
      <c r="C80" s="65">
        <v>2</v>
      </c>
      <c r="D80" s="65" t="s">
        <v>166</v>
      </c>
      <c r="E80" s="66" t="s">
        <v>163</v>
      </c>
      <c r="F80" s="68" t="str">
        <f t="shared" si="18"/>
        <v>USDAM3L14M_Quote</v>
      </c>
      <c r="G80" s="68" t="str">
        <f t="shared" si="19"/>
        <v>USDFF3L14M_Quote</v>
      </c>
      <c r="H80" s="69"/>
      <c r="J80" s="11" t="str">
        <f t="shared" si="16"/>
        <v>BasOIS</v>
      </c>
      <c r="K80" s="105" t="str">
        <f t="shared" si="17"/>
        <v>--</v>
      </c>
      <c r="L80" s="108" t="str">
        <f>IFERROR(_xll.qlRateHelperQuoteName(K80,Trigger),"--")</f>
        <v>--</v>
      </c>
      <c r="M80" s="109" t="str">
        <f>IFERROR(_xll.qlRateHelperQuoteValue($K80,Trigger),"--")</f>
        <v>--</v>
      </c>
      <c r="N80" s="108" t="b">
        <v>0</v>
      </c>
      <c r="O80" s="105">
        <v>60</v>
      </c>
      <c r="P80" s="105">
        <v>1</v>
      </c>
      <c r="Q80" s="110" t="str">
        <f>IFERROR(_xll.qlRateHelperEarliestDate(K80,Trigger),"--")</f>
        <v>--</v>
      </c>
      <c r="R80" s="110" t="str">
        <f>IFERROR(_xll.qlRateHelperPillarDate(K80,Trigger),"--")</f>
        <v>--</v>
      </c>
      <c r="T80" s="4" t="str">
        <f t="shared" si="11"/>
        <v/>
      </c>
      <c r="U80" s="4" t="e">
        <v>#N/A</v>
      </c>
      <c r="V80" s="4" t="str">
        <f>IFERROR(_xll.qlRateHelperQuoteName(U80,Trigger),"")</f>
        <v/>
      </c>
      <c r="W80" s="75" t="str">
        <f>IFERROR(_xll.qlRateHelperRate(U80,Trigger),"")</f>
        <v/>
      </c>
      <c r="X80" s="115" t="str">
        <f>IF(ISERROR(_xll.qlSwapRateHelperSpread($U80)),IF(ISERROR(_xll.qlFuturesRateHelperConvexityAdjustment($U80)),"",_xll.qlFuturesRateHelperConvexityAdjustment($U80)),_xll.qlSwapRateHelperSpread($U80))</f>
        <v/>
      </c>
      <c r="Y80" s="5" t="str">
        <f>IFERROR(_xll.qlRateHelperEarliestDate(U80,Trigger),"")</f>
        <v/>
      </c>
      <c r="Z80" s="5" t="str">
        <f>IFERROR(_xll.qlRateHelperPillarDate(U80,Trigger),"")</f>
        <v/>
      </c>
      <c r="AA80" s="5" t="e">
        <v>#N/A</v>
      </c>
      <c r="AB80" s="190"/>
      <c r="AC80" s="86"/>
      <c r="AD80" s="196"/>
      <c r="AE80" s="190"/>
      <c r="AF80" s="190"/>
      <c r="AG80" s="190"/>
      <c r="AH80" s="190"/>
      <c r="AI80" s="190"/>
      <c r="AJ80" s="190"/>
      <c r="AK80" s="190"/>
      <c r="AL80" s="190"/>
      <c r="AM80" s="190"/>
      <c r="AN80" s="190"/>
      <c r="AO80" s="190"/>
      <c r="AP80" s="190"/>
      <c r="AQ80" s="190"/>
      <c r="AR80" s="190"/>
      <c r="AS80" s="190"/>
      <c r="AT80" s="190"/>
      <c r="AU80" s="190"/>
      <c r="AV80" s="190"/>
      <c r="AW80" s="190"/>
      <c r="AX80" s="190"/>
      <c r="AY80" s="190"/>
      <c r="AZ80" s="190"/>
      <c r="BA80" s="190"/>
      <c r="BB80" s="190"/>
      <c r="BC80" s="190"/>
    </row>
    <row r="81" spans="1:55" x14ac:dyDescent="0.2">
      <c r="A81" s="63" t="s">
        <v>164</v>
      </c>
      <c r="B81" s="64" t="s">
        <v>63</v>
      </c>
      <c r="C81" s="65">
        <v>2</v>
      </c>
      <c r="D81" s="65" t="s">
        <v>166</v>
      </c>
      <c r="E81" s="66" t="s">
        <v>163</v>
      </c>
      <c r="F81" s="68" t="str">
        <f t="shared" si="18"/>
        <v>USDAM3L15M_Quote</v>
      </c>
      <c r="G81" s="68" t="str">
        <f t="shared" si="19"/>
        <v>USDFF3L15M_Quote</v>
      </c>
      <c r="H81" s="69"/>
      <c r="J81" s="11" t="str">
        <f t="shared" si="16"/>
        <v>BasOIS</v>
      </c>
      <c r="K81" s="105" t="str">
        <f t="shared" si="17"/>
        <v>--</v>
      </c>
      <c r="L81" s="108" t="str">
        <f>IFERROR(_xll.qlRateHelperQuoteName(K81,Trigger),"--")</f>
        <v>--</v>
      </c>
      <c r="M81" s="109" t="str">
        <f>IFERROR(_xll.qlRateHelperQuoteValue($K81,Trigger),"--")</f>
        <v>--</v>
      </c>
      <c r="N81" s="108" t="b">
        <v>0</v>
      </c>
      <c r="O81" s="105">
        <v>60</v>
      </c>
      <c r="P81" s="105">
        <v>1</v>
      </c>
      <c r="Q81" s="110" t="str">
        <f>IFERROR(_xll.qlRateHelperEarliestDate(K81,Trigger),"--")</f>
        <v>--</v>
      </c>
      <c r="R81" s="110" t="str">
        <f>IFERROR(_xll.qlRateHelperPillarDate(K81,Trigger),"--")</f>
        <v>--</v>
      </c>
      <c r="T81" s="4" t="str">
        <f t="shared" si="11"/>
        <v/>
      </c>
      <c r="U81" s="4" t="e">
        <v>#N/A</v>
      </c>
      <c r="V81" s="4" t="str">
        <f>IFERROR(_xll.qlRateHelperQuoteName(U81,Trigger),"")</f>
        <v/>
      </c>
      <c r="W81" s="75" t="str">
        <f>IFERROR(_xll.qlRateHelperRate(U81,Trigger),"")</f>
        <v/>
      </c>
      <c r="X81" s="115" t="str">
        <f>IF(ISERROR(_xll.qlSwapRateHelperSpread($U81)),IF(ISERROR(_xll.qlFuturesRateHelperConvexityAdjustment($U81)),"",_xll.qlFuturesRateHelperConvexityAdjustment($U81)),_xll.qlSwapRateHelperSpread($U81))</f>
        <v/>
      </c>
      <c r="Y81" s="5" t="str">
        <f>IFERROR(_xll.qlRateHelperEarliestDate(U81,Trigger),"")</f>
        <v/>
      </c>
      <c r="Z81" s="5" t="str">
        <f>IFERROR(_xll.qlRateHelperPillarDate(U81,Trigger),"")</f>
        <v/>
      </c>
      <c r="AA81" s="5" t="e">
        <v>#N/A</v>
      </c>
      <c r="AB81" s="190"/>
      <c r="AC81" s="86"/>
      <c r="AD81" s="196"/>
      <c r="AE81" s="190"/>
      <c r="AF81" s="190"/>
      <c r="AG81" s="190"/>
      <c r="AH81" s="190"/>
      <c r="AI81" s="190"/>
      <c r="AJ81" s="190"/>
      <c r="AK81" s="190"/>
      <c r="AL81" s="190"/>
      <c r="AM81" s="190"/>
      <c r="AN81" s="190"/>
      <c r="AO81" s="190"/>
      <c r="AP81" s="190"/>
      <c r="AQ81" s="190"/>
      <c r="AR81" s="190"/>
      <c r="AS81" s="190"/>
      <c r="AT81" s="190"/>
      <c r="AU81" s="190"/>
      <c r="AV81" s="190"/>
      <c r="AW81" s="190"/>
      <c r="AX81" s="190"/>
      <c r="AY81" s="190"/>
      <c r="AZ81" s="190"/>
      <c r="BA81" s="190"/>
      <c r="BB81" s="190"/>
      <c r="BC81" s="190"/>
    </row>
    <row r="82" spans="1:55" x14ac:dyDescent="0.2">
      <c r="A82" s="63" t="s">
        <v>164</v>
      </c>
      <c r="B82" s="64" t="s">
        <v>64</v>
      </c>
      <c r="C82" s="65">
        <v>2</v>
      </c>
      <c r="D82" s="65" t="s">
        <v>166</v>
      </c>
      <c r="E82" s="66" t="s">
        <v>163</v>
      </c>
      <c r="F82" s="68" t="str">
        <f t="shared" si="18"/>
        <v>USDAM3L16M_Quote</v>
      </c>
      <c r="G82" s="68" t="str">
        <f t="shared" si="19"/>
        <v>USDFF3L16M_Quote</v>
      </c>
      <c r="H82" s="69"/>
      <c r="J82" s="11" t="str">
        <f t="shared" si="16"/>
        <v>BasOIS</v>
      </c>
      <c r="K82" s="105" t="str">
        <f t="shared" si="17"/>
        <v>--</v>
      </c>
      <c r="L82" s="108" t="str">
        <f>IFERROR(_xll.qlRateHelperQuoteName(K82,Trigger),"--")</f>
        <v>--</v>
      </c>
      <c r="M82" s="109" t="str">
        <f>IFERROR(_xll.qlRateHelperQuoteValue($K82,Trigger),"--")</f>
        <v>--</v>
      </c>
      <c r="N82" s="108" t="b">
        <v>0</v>
      </c>
      <c r="O82" s="105">
        <v>60</v>
      </c>
      <c r="P82" s="105">
        <v>1</v>
      </c>
      <c r="Q82" s="110" t="str">
        <f>IFERROR(_xll.qlRateHelperEarliestDate(K82,Trigger),"--")</f>
        <v>--</v>
      </c>
      <c r="R82" s="110" t="str">
        <f>IFERROR(_xll.qlRateHelperPillarDate(K82,Trigger),"--")</f>
        <v>--</v>
      </c>
      <c r="T82" s="4" t="str">
        <f t="shared" si="11"/>
        <v/>
      </c>
      <c r="U82" s="4" t="e">
        <v>#N/A</v>
      </c>
      <c r="V82" s="4" t="str">
        <f>IFERROR(_xll.qlRateHelperQuoteName(U82,Trigger),"")</f>
        <v/>
      </c>
      <c r="W82" s="75" t="str">
        <f>IFERROR(_xll.qlRateHelperRate(U82,Trigger),"")</f>
        <v/>
      </c>
      <c r="X82" s="115" t="str">
        <f>IF(ISERROR(_xll.qlSwapRateHelperSpread($U82)),IF(ISERROR(_xll.qlFuturesRateHelperConvexityAdjustment($U82)),"",_xll.qlFuturesRateHelperConvexityAdjustment($U82)),_xll.qlSwapRateHelperSpread($U82))</f>
        <v/>
      </c>
      <c r="Y82" s="5" t="str">
        <f>IFERROR(_xll.qlRateHelperEarliestDate(U82,Trigger),"")</f>
        <v/>
      </c>
      <c r="Z82" s="5" t="str">
        <f>IFERROR(_xll.qlRateHelperPillarDate(U82,Trigger),"")</f>
        <v/>
      </c>
      <c r="AA82" s="5" t="e">
        <v>#N/A</v>
      </c>
      <c r="AB82" s="190"/>
      <c r="AC82" s="86"/>
      <c r="AD82" s="196"/>
      <c r="AE82" s="190"/>
      <c r="AF82" s="190"/>
      <c r="AG82" s="190"/>
      <c r="AH82" s="190"/>
      <c r="AI82" s="190"/>
      <c r="AJ82" s="190"/>
      <c r="AK82" s="190"/>
      <c r="AL82" s="190"/>
      <c r="AM82" s="190"/>
      <c r="AN82" s="190"/>
      <c r="AO82" s="190"/>
      <c r="AP82" s="190"/>
      <c r="AQ82" s="190"/>
      <c r="AR82" s="190"/>
      <c r="AS82" s="190"/>
      <c r="AT82" s="190"/>
      <c r="AU82" s="190"/>
      <c r="AV82" s="190"/>
      <c r="AW82" s="190"/>
      <c r="AX82" s="190"/>
      <c r="AY82" s="190"/>
      <c r="AZ82" s="190"/>
      <c r="BA82" s="190"/>
      <c r="BB82" s="190"/>
      <c r="BC82" s="190"/>
    </row>
    <row r="83" spans="1:55" x14ac:dyDescent="0.2">
      <c r="A83" s="63" t="s">
        <v>164</v>
      </c>
      <c r="B83" s="64" t="s">
        <v>65</v>
      </c>
      <c r="C83" s="65">
        <v>2</v>
      </c>
      <c r="D83" s="65" t="s">
        <v>166</v>
      </c>
      <c r="E83" s="66" t="s">
        <v>163</v>
      </c>
      <c r="F83" s="68" t="str">
        <f t="shared" si="18"/>
        <v>USDAM3L17M_Quote</v>
      </c>
      <c r="G83" s="68" t="str">
        <f t="shared" si="19"/>
        <v>USDFF3L17M_Quote</v>
      </c>
      <c r="H83" s="69"/>
      <c r="J83" s="11" t="str">
        <f t="shared" si="16"/>
        <v>BasOIS</v>
      </c>
      <c r="K83" s="105" t="str">
        <f t="shared" si="17"/>
        <v>--</v>
      </c>
      <c r="L83" s="108" t="str">
        <f>IFERROR(_xll.qlRateHelperQuoteName(K83,Trigger),"--")</f>
        <v>--</v>
      </c>
      <c r="M83" s="109" t="str">
        <f>IFERROR(_xll.qlRateHelperQuoteValue($K83,Trigger),"--")</f>
        <v>--</v>
      </c>
      <c r="N83" s="108" t="b">
        <v>0</v>
      </c>
      <c r="O83" s="105">
        <v>60</v>
      </c>
      <c r="P83" s="105">
        <v>1</v>
      </c>
      <c r="Q83" s="110" t="str">
        <f>IFERROR(_xll.qlRateHelperEarliestDate(K83,Trigger),"--")</f>
        <v>--</v>
      </c>
      <c r="R83" s="110" t="str">
        <f>IFERROR(_xll.qlRateHelperPillarDate(K83,Trigger),"--")</f>
        <v>--</v>
      </c>
      <c r="T83" s="4" t="str">
        <f t="shared" si="11"/>
        <v/>
      </c>
      <c r="U83" s="4" t="e">
        <v>#N/A</v>
      </c>
      <c r="V83" s="4" t="str">
        <f>IFERROR(_xll.qlRateHelperQuoteName(U83,Trigger),"")</f>
        <v/>
      </c>
      <c r="W83" s="75" t="str">
        <f>IFERROR(_xll.qlRateHelperRate(U83,Trigger),"")</f>
        <v/>
      </c>
      <c r="X83" s="115" t="str">
        <f>IF(ISERROR(_xll.qlSwapRateHelperSpread($U83)),IF(ISERROR(_xll.qlFuturesRateHelperConvexityAdjustment($U83)),"",_xll.qlFuturesRateHelperConvexityAdjustment($U83)),_xll.qlSwapRateHelperSpread($U83))</f>
        <v/>
      </c>
      <c r="Y83" s="5" t="str">
        <f>IFERROR(_xll.qlRateHelperEarliestDate(U83,Trigger),"")</f>
        <v/>
      </c>
      <c r="Z83" s="5" t="str">
        <f>IFERROR(_xll.qlRateHelperPillarDate(U83,Trigger),"")</f>
        <v/>
      </c>
      <c r="AA83" s="5" t="e">
        <v>#N/A</v>
      </c>
      <c r="AB83" s="190"/>
      <c r="AC83" s="86"/>
      <c r="AD83" s="196"/>
      <c r="AE83" s="190"/>
      <c r="AF83" s="190"/>
      <c r="AG83" s="190"/>
      <c r="AH83" s="190"/>
      <c r="AI83" s="190"/>
      <c r="AJ83" s="190"/>
      <c r="AK83" s="190"/>
      <c r="AL83" s="190"/>
      <c r="AM83" s="190"/>
      <c r="AN83" s="190"/>
      <c r="AO83" s="190"/>
      <c r="AP83" s="190"/>
      <c r="AQ83" s="190"/>
      <c r="AR83" s="190"/>
      <c r="AS83" s="190"/>
      <c r="AT83" s="190"/>
      <c r="AU83" s="190"/>
      <c r="AV83" s="190"/>
      <c r="AW83" s="190"/>
      <c r="AX83" s="190"/>
      <c r="AY83" s="190"/>
      <c r="AZ83" s="190"/>
      <c r="BA83" s="190"/>
      <c r="BB83" s="190"/>
      <c r="BC83" s="190"/>
    </row>
    <row r="84" spans="1:55" x14ac:dyDescent="0.2">
      <c r="A84" s="63" t="s">
        <v>164</v>
      </c>
      <c r="B84" s="64" t="s">
        <v>66</v>
      </c>
      <c r="C84" s="65">
        <v>2</v>
      </c>
      <c r="D84" s="65" t="s">
        <v>166</v>
      </c>
      <c r="E84" s="66" t="s">
        <v>163</v>
      </c>
      <c r="F84" s="68" t="str">
        <f t="shared" si="18"/>
        <v>USDAM3L18M_Quote</v>
      </c>
      <c r="G84" s="68" t="str">
        <f t="shared" si="19"/>
        <v>USDFF3L18M_Quote</v>
      </c>
      <c r="H84" s="69"/>
      <c r="J84" s="11" t="str">
        <f t="shared" si="16"/>
        <v>BasOIS</v>
      </c>
      <c r="K84" s="105" t="str">
        <f t="shared" si="17"/>
        <v>--</v>
      </c>
      <c r="L84" s="108" t="str">
        <f>IFERROR(_xll.qlRateHelperQuoteName(K84,Trigger),"--")</f>
        <v>--</v>
      </c>
      <c r="M84" s="109" t="str">
        <f>IFERROR(_xll.qlRateHelperQuoteValue($K84,Trigger),"--")</f>
        <v>--</v>
      </c>
      <c r="N84" s="108" t="b">
        <v>0</v>
      </c>
      <c r="O84" s="105">
        <v>60</v>
      </c>
      <c r="P84" s="105">
        <v>1</v>
      </c>
      <c r="Q84" s="110" t="str">
        <f>IFERROR(_xll.qlRateHelperEarliestDate(K84,Trigger),"--")</f>
        <v>--</v>
      </c>
      <c r="R84" s="110" t="str">
        <f>IFERROR(_xll.qlRateHelperPillarDate(K84,Trigger),"--")</f>
        <v>--</v>
      </c>
      <c r="T84" s="4" t="str">
        <f t="shared" si="11"/>
        <v/>
      </c>
      <c r="U84" s="4" t="e">
        <v>#N/A</v>
      </c>
      <c r="V84" s="4" t="str">
        <f>IFERROR(_xll.qlRateHelperQuoteName(U84,Trigger),"")</f>
        <v/>
      </c>
      <c r="W84" s="75" t="str">
        <f>IFERROR(_xll.qlRateHelperRate(U84,Trigger),"")</f>
        <v/>
      </c>
      <c r="X84" s="115" t="str">
        <f>IF(ISERROR(_xll.qlSwapRateHelperSpread($U84)),IF(ISERROR(_xll.qlFuturesRateHelperConvexityAdjustment($U84)),"",_xll.qlFuturesRateHelperConvexityAdjustment($U84)),_xll.qlSwapRateHelperSpread($U84))</f>
        <v/>
      </c>
      <c r="Y84" s="5" t="str">
        <f>IFERROR(_xll.qlRateHelperEarliestDate(U84,Trigger),"")</f>
        <v/>
      </c>
      <c r="Z84" s="5" t="str">
        <f>IFERROR(_xll.qlRateHelperPillarDate(U84,Trigger),"")</f>
        <v/>
      </c>
      <c r="AA84" s="5" t="e">
        <v>#N/A</v>
      </c>
      <c r="AB84" s="190"/>
      <c r="AC84" s="86"/>
      <c r="AD84" s="196"/>
      <c r="AE84" s="190"/>
      <c r="AF84" s="190"/>
      <c r="AG84" s="190"/>
      <c r="AH84" s="190"/>
      <c r="AI84" s="190"/>
      <c r="AJ84" s="190"/>
      <c r="AK84" s="190"/>
      <c r="AL84" s="190"/>
      <c r="AM84" s="190"/>
      <c r="AN84" s="190"/>
      <c r="AO84" s="190"/>
      <c r="AP84" s="190"/>
      <c r="AQ84" s="190"/>
      <c r="AR84" s="190"/>
      <c r="AS84" s="190"/>
      <c r="AT84" s="190"/>
      <c r="AU84" s="190"/>
      <c r="AV84" s="190"/>
      <c r="AW84" s="190"/>
      <c r="AX84" s="190"/>
      <c r="AY84" s="190"/>
      <c r="AZ84" s="190"/>
      <c r="BA84" s="190"/>
      <c r="BB84" s="190"/>
      <c r="BC84" s="190"/>
    </row>
    <row r="85" spans="1:55" x14ac:dyDescent="0.2">
      <c r="A85" s="63" t="s">
        <v>164</v>
      </c>
      <c r="B85" s="64" t="s">
        <v>67</v>
      </c>
      <c r="C85" s="65">
        <v>2</v>
      </c>
      <c r="D85" s="65" t="s">
        <v>166</v>
      </c>
      <c r="E85" s="66" t="s">
        <v>163</v>
      </c>
      <c r="F85" s="68" t="str">
        <f t="shared" si="18"/>
        <v>USDAM3L19M_Quote</v>
      </c>
      <c r="G85" s="68" t="str">
        <f t="shared" si="19"/>
        <v>USDFF3L19M_Quote</v>
      </c>
      <c r="H85" s="69"/>
      <c r="J85" s="11" t="str">
        <f t="shared" si="16"/>
        <v>BasOIS</v>
      </c>
      <c r="K85" s="105" t="str">
        <f t="shared" si="17"/>
        <v>--</v>
      </c>
      <c r="L85" s="108" t="str">
        <f>IFERROR(_xll.qlRateHelperQuoteName(K85,Trigger),"--")</f>
        <v>--</v>
      </c>
      <c r="M85" s="109" t="str">
        <f>IFERROR(_xll.qlRateHelperQuoteValue($K85,Trigger),"--")</f>
        <v>--</v>
      </c>
      <c r="N85" s="108" t="b">
        <v>0</v>
      </c>
      <c r="O85" s="105">
        <v>60</v>
      </c>
      <c r="P85" s="105">
        <v>1</v>
      </c>
      <c r="Q85" s="110" t="str">
        <f>IFERROR(_xll.qlRateHelperEarliestDate(K85,Trigger),"--")</f>
        <v>--</v>
      </c>
      <c r="R85" s="110" t="str">
        <f>IFERROR(_xll.qlRateHelperPillarDate(K85,Trigger),"--")</f>
        <v>--</v>
      </c>
      <c r="T85" s="4" t="str">
        <f t="shared" si="11"/>
        <v/>
      </c>
      <c r="U85" s="4" t="e">
        <v>#N/A</v>
      </c>
      <c r="V85" s="4" t="str">
        <f>IFERROR(_xll.qlRateHelperQuoteName(U85,Trigger),"")</f>
        <v/>
      </c>
      <c r="W85" s="75" t="str">
        <f>IFERROR(_xll.qlRateHelperRate(U85,Trigger),"")</f>
        <v/>
      </c>
      <c r="X85" s="115" t="str">
        <f>IF(ISERROR(_xll.qlSwapRateHelperSpread($U85)),IF(ISERROR(_xll.qlFuturesRateHelperConvexityAdjustment($U85)),"",_xll.qlFuturesRateHelperConvexityAdjustment($U85)),_xll.qlSwapRateHelperSpread($U85))</f>
        <v/>
      </c>
      <c r="Y85" s="5" t="str">
        <f>IFERROR(_xll.qlRateHelperEarliestDate(U85,Trigger),"")</f>
        <v/>
      </c>
      <c r="Z85" s="5" t="str">
        <f>IFERROR(_xll.qlRateHelperPillarDate(U85,Trigger),"")</f>
        <v/>
      </c>
      <c r="AA85" s="5" t="e">
        <v>#N/A</v>
      </c>
      <c r="AB85" s="190"/>
      <c r="AC85" s="86"/>
      <c r="AD85" s="196"/>
      <c r="AE85" s="190"/>
      <c r="AF85" s="190"/>
      <c r="AG85" s="190"/>
      <c r="AH85" s="190"/>
      <c r="AI85" s="190"/>
      <c r="AJ85" s="190"/>
      <c r="AK85" s="190"/>
      <c r="AL85" s="190"/>
      <c r="AM85" s="190"/>
      <c r="AN85" s="190"/>
      <c r="AO85" s="190"/>
      <c r="AP85" s="190"/>
      <c r="AQ85" s="190"/>
      <c r="AR85" s="190"/>
      <c r="AS85" s="190"/>
      <c r="AT85" s="190"/>
      <c r="AU85" s="190"/>
      <c r="AV85" s="190"/>
      <c r="AW85" s="190"/>
      <c r="AX85" s="190"/>
      <c r="AY85" s="190"/>
      <c r="AZ85" s="190"/>
      <c r="BA85" s="190"/>
      <c r="BB85" s="190"/>
      <c r="BC85" s="190"/>
    </row>
    <row r="86" spans="1:55" x14ac:dyDescent="0.2">
      <c r="A86" s="63" t="s">
        <v>164</v>
      </c>
      <c r="B86" s="64" t="s">
        <v>68</v>
      </c>
      <c r="C86" s="65">
        <v>2</v>
      </c>
      <c r="D86" s="65" t="s">
        <v>166</v>
      </c>
      <c r="E86" s="66" t="s">
        <v>163</v>
      </c>
      <c r="F86" s="68" t="str">
        <f t="shared" si="18"/>
        <v>USDAM3L20M_Quote</v>
      </c>
      <c r="G86" s="68" t="str">
        <f t="shared" si="19"/>
        <v>USDFF3L20M_Quote</v>
      </c>
      <c r="H86" s="69"/>
      <c r="J86" s="11" t="str">
        <f t="shared" si="16"/>
        <v>BasOIS</v>
      </c>
      <c r="K86" s="105" t="str">
        <f t="shared" si="17"/>
        <v>obj_00275#0012</v>
      </c>
      <c r="L86" s="108" t="str">
        <f>IFERROR(_xll.qlRateHelperQuoteName(K86,Trigger),"--")</f>
        <v>USDAM3L2Y_Quote</v>
      </c>
      <c r="M86" s="109">
        <f>IFERROR(_xll.qlRateHelperQuoteValue($K86,Trigger),"--")</f>
        <v>8.7399999999999995E-3</v>
      </c>
      <c r="N86" s="199" t="b">
        <f>ArithmeticFF</f>
        <v>1</v>
      </c>
      <c r="O86" s="105">
        <v>60</v>
      </c>
      <c r="P86" s="105">
        <v>1</v>
      </c>
      <c r="Q86" s="110">
        <f>IFERROR(_xll.qlRateHelperEarliestDate(K86,Trigger),"--")</f>
        <v>42482</v>
      </c>
      <c r="R86" s="110">
        <f>IFERROR(_xll.qlRateHelperPillarDate(K86,Trigger),"--")</f>
        <v>43213</v>
      </c>
      <c r="T86" s="4" t="str">
        <f t="shared" si="11"/>
        <v/>
      </c>
      <c r="U86" s="4" t="e">
        <v>#N/A</v>
      </c>
      <c r="V86" s="4" t="str">
        <f>IFERROR(_xll.qlRateHelperQuoteName(U86,Trigger),"")</f>
        <v/>
      </c>
      <c r="W86" s="75" t="str">
        <f>IFERROR(_xll.qlRateHelperRate(U86,Trigger),"")</f>
        <v/>
      </c>
      <c r="X86" s="115" t="str">
        <f>IF(ISERROR(_xll.qlSwapRateHelperSpread($U86)),IF(ISERROR(_xll.qlFuturesRateHelperConvexityAdjustment($U86)),"",_xll.qlFuturesRateHelperConvexityAdjustment($U86)),_xll.qlSwapRateHelperSpread($U86))</f>
        <v/>
      </c>
      <c r="Y86" s="5" t="str">
        <f>IFERROR(_xll.qlRateHelperEarliestDate(U86,Trigger),"")</f>
        <v/>
      </c>
      <c r="Z86" s="5" t="str">
        <f>IFERROR(_xll.qlRateHelperPillarDate(U86,Trigger),"")</f>
        <v/>
      </c>
      <c r="AA86" s="5" t="e">
        <v>#N/A</v>
      </c>
      <c r="AB86" s="190"/>
      <c r="AC86" s="86"/>
      <c r="AD86" s="196"/>
      <c r="AE86" s="190"/>
      <c r="AF86" s="190"/>
      <c r="AG86" s="190"/>
      <c r="AH86" s="190"/>
      <c r="AI86" s="190"/>
      <c r="AJ86" s="190"/>
      <c r="AK86" s="190"/>
      <c r="AL86" s="190"/>
      <c r="AM86" s="190"/>
      <c r="AN86" s="190"/>
      <c r="AO86" s="190"/>
      <c r="AP86" s="190"/>
      <c r="AQ86" s="190"/>
      <c r="AR86" s="190"/>
      <c r="AS86" s="190"/>
      <c r="AT86" s="190"/>
      <c r="AU86" s="190"/>
      <c r="AV86" s="190"/>
      <c r="AW86" s="190"/>
      <c r="AX86" s="190"/>
      <c r="AY86" s="190"/>
      <c r="AZ86" s="190"/>
      <c r="BA86" s="190"/>
      <c r="BB86" s="190"/>
      <c r="BC86" s="190"/>
    </row>
    <row r="87" spans="1:55" x14ac:dyDescent="0.2">
      <c r="A87" s="63" t="s">
        <v>164</v>
      </c>
      <c r="B87" s="64" t="s">
        <v>69</v>
      </c>
      <c r="C87" s="65">
        <v>2</v>
      </c>
      <c r="D87" s="65" t="s">
        <v>166</v>
      </c>
      <c r="E87" s="66" t="s">
        <v>163</v>
      </c>
      <c r="F87" s="68" t="str">
        <f t="shared" si="18"/>
        <v>USDAM3L21M_Quote</v>
      </c>
      <c r="G87" s="68" t="str">
        <f t="shared" si="19"/>
        <v>USDFF3L21M_Quote</v>
      </c>
      <c r="H87" s="69"/>
      <c r="J87" s="11" t="str">
        <f t="shared" si="16"/>
        <v>BasOIS</v>
      </c>
      <c r="K87" s="105" t="str">
        <f t="shared" si="17"/>
        <v>--</v>
      </c>
      <c r="L87" s="108" t="str">
        <f>IFERROR(_xll.qlRateHelperQuoteName(K87,Trigger),"--")</f>
        <v>--</v>
      </c>
      <c r="M87" s="109" t="str">
        <f>IFERROR(_xll.qlRateHelperQuoteValue($K87,Trigger),"--")</f>
        <v>--</v>
      </c>
      <c r="N87" s="108" t="b">
        <v>0</v>
      </c>
      <c r="O87" s="105">
        <v>60</v>
      </c>
      <c r="P87" s="105">
        <v>1</v>
      </c>
      <c r="Q87" s="110" t="str">
        <f>IFERROR(_xll.qlRateHelperEarliestDate(K87,Trigger),"--")</f>
        <v>--</v>
      </c>
      <c r="R87" s="110" t="str">
        <f>IFERROR(_xll.qlRateHelperPillarDate(K87,Trigger),"--")</f>
        <v>--</v>
      </c>
      <c r="T87" s="4" t="str">
        <f t="shared" si="11"/>
        <v/>
      </c>
      <c r="U87" s="4" t="e">
        <v>#N/A</v>
      </c>
      <c r="V87" s="4" t="str">
        <f>IFERROR(_xll.qlRateHelperQuoteName(U87,Trigger),"")</f>
        <v/>
      </c>
      <c r="W87" s="75" t="str">
        <f>IFERROR(_xll.qlRateHelperRate(U87,Trigger),"")</f>
        <v/>
      </c>
      <c r="X87" s="115" t="str">
        <f>IF(ISERROR(_xll.qlSwapRateHelperSpread($U87)),IF(ISERROR(_xll.qlFuturesRateHelperConvexityAdjustment($U87)),"",_xll.qlFuturesRateHelperConvexityAdjustment($U87)),_xll.qlSwapRateHelperSpread($U87))</f>
        <v/>
      </c>
      <c r="Y87" s="5" t="str">
        <f>IFERROR(_xll.qlRateHelperEarliestDate(U87,Trigger),"")</f>
        <v/>
      </c>
      <c r="Z87" s="5" t="str">
        <f>IFERROR(_xll.qlRateHelperPillarDate(U87,Trigger),"")</f>
        <v/>
      </c>
      <c r="AA87" s="5" t="e">
        <v>#N/A</v>
      </c>
      <c r="AB87" s="190"/>
      <c r="AC87" s="86"/>
      <c r="AD87" s="196"/>
      <c r="AE87" s="190"/>
      <c r="AF87" s="190"/>
      <c r="AG87" s="190"/>
      <c r="AH87" s="190"/>
      <c r="AI87" s="190"/>
      <c r="AJ87" s="190"/>
      <c r="AK87" s="190"/>
      <c r="AL87" s="190"/>
      <c r="AM87" s="190"/>
      <c r="AN87" s="190"/>
      <c r="AO87" s="190"/>
      <c r="AP87" s="190"/>
      <c r="AQ87" s="190"/>
      <c r="AR87" s="190"/>
      <c r="AS87" s="190"/>
      <c r="AT87" s="190"/>
      <c r="AU87" s="190"/>
      <c r="AV87" s="190"/>
      <c r="AW87" s="190"/>
      <c r="AX87" s="190"/>
      <c r="AY87" s="190"/>
      <c r="AZ87" s="190"/>
      <c r="BA87" s="190"/>
      <c r="BB87" s="190"/>
      <c r="BC87" s="190"/>
    </row>
    <row r="88" spans="1:55" x14ac:dyDescent="0.2">
      <c r="A88" s="63" t="s">
        <v>164</v>
      </c>
      <c r="B88" s="64" t="s">
        <v>70</v>
      </c>
      <c r="C88" s="65">
        <v>2</v>
      </c>
      <c r="D88" s="65" t="s">
        <v>166</v>
      </c>
      <c r="E88" s="66" t="s">
        <v>163</v>
      </c>
      <c r="F88" s="68" t="str">
        <f t="shared" si="18"/>
        <v>USDAM3L22M_Quote</v>
      </c>
      <c r="G88" s="68" t="str">
        <f t="shared" si="19"/>
        <v>USDFF3L22M_Quote</v>
      </c>
      <c r="H88" s="69"/>
      <c r="J88" s="11" t="str">
        <f t="shared" si="16"/>
        <v>BasOIS</v>
      </c>
      <c r="K88" s="105" t="str">
        <f t="shared" si="17"/>
        <v>--</v>
      </c>
      <c r="L88" s="108" t="str">
        <f>IFERROR(_xll.qlRateHelperQuoteName(K88,Trigger),"--")</f>
        <v>--</v>
      </c>
      <c r="M88" s="109" t="str">
        <f>IFERROR(_xll.qlRateHelperQuoteValue($K88,Trigger),"--")</f>
        <v>--</v>
      </c>
      <c r="N88" s="108" t="b">
        <v>0</v>
      </c>
      <c r="O88" s="105">
        <v>60</v>
      </c>
      <c r="P88" s="105">
        <v>1</v>
      </c>
      <c r="Q88" s="110" t="str">
        <f>IFERROR(_xll.qlRateHelperEarliestDate(K88,Trigger),"--")</f>
        <v>--</v>
      </c>
      <c r="R88" s="110" t="str">
        <f>IFERROR(_xll.qlRateHelperPillarDate(K88,Trigger),"--")</f>
        <v>--</v>
      </c>
      <c r="T88" s="4" t="str">
        <f t="shared" si="11"/>
        <v/>
      </c>
      <c r="U88" s="4" t="e">
        <v>#N/A</v>
      </c>
      <c r="V88" s="4" t="str">
        <f>IFERROR(_xll.qlRateHelperQuoteName(U88,Trigger),"")</f>
        <v/>
      </c>
      <c r="W88" s="75" t="str">
        <f>IFERROR(_xll.qlRateHelperRate(U88,Trigger),"")</f>
        <v/>
      </c>
      <c r="X88" s="115" t="str">
        <f>IF(ISERROR(_xll.qlSwapRateHelperSpread($U88)),IF(ISERROR(_xll.qlFuturesRateHelperConvexityAdjustment($U88)),"",_xll.qlFuturesRateHelperConvexityAdjustment($U88)),_xll.qlSwapRateHelperSpread($U88))</f>
        <v/>
      </c>
      <c r="Y88" s="5" t="str">
        <f>IFERROR(_xll.qlRateHelperEarliestDate(U88,Trigger),"")</f>
        <v/>
      </c>
      <c r="Z88" s="5" t="str">
        <f>IFERROR(_xll.qlRateHelperPillarDate(U88,Trigger),"")</f>
        <v/>
      </c>
      <c r="AA88" s="5" t="e">
        <v>#N/A</v>
      </c>
      <c r="AB88" s="190"/>
      <c r="AC88" s="86"/>
      <c r="AD88" s="196"/>
      <c r="AE88" s="190"/>
      <c r="AF88" s="190"/>
      <c r="AG88" s="190"/>
      <c r="AH88" s="190"/>
      <c r="AI88" s="190"/>
      <c r="AJ88" s="190"/>
      <c r="AK88" s="190"/>
      <c r="AL88" s="190"/>
      <c r="AM88" s="190"/>
      <c r="AN88" s="190"/>
      <c r="AO88" s="190"/>
      <c r="AP88" s="190"/>
      <c r="AQ88" s="190"/>
      <c r="AR88" s="190"/>
      <c r="AS88" s="190"/>
      <c r="AT88" s="190"/>
      <c r="AU88" s="190"/>
      <c r="AV88" s="190"/>
      <c r="AW88" s="190"/>
      <c r="AX88" s="190"/>
      <c r="AY88" s="190"/>
      <c r="AZ88" s="190"/>
      <c r="BA88" s="190"/>
      <c r="BB88" s="190"/>
      <c r="BC88" s="190"/>
    </row>
    <row r="89" spans="1:55" x14ac:dyDescent="0.2">
      <c r="A89" s="63" t="s">
        <v>164</v>
      </c>
      <c r="B89" s="64" t="s">
        <v>71</v>
      </c>
      <c r="C89" s="65">
        <v>2</v>
      </c>
      <c r="D89" s="65" t="s">
        <v>166</v>
      </c>
      <c r="E89" s="66" t="s">
        <v>163</v>
      </c>
      <c r="F89" s="68" t="str">
        <f t="shared" si="18"/>
        <v>USDAM3L23M_Quote</v>
      </c>
      <c r="G89" s="68" t="str">
        <f t="shared" si="19"/>
        <v>USDFF3L23M_Quote</v>
      </c>
      <c r="H89" s="69"/>
      <c r="J89" s="11" t="str">
        <f t="shared" si="16"/>
        <v>BasOIS</v>
      </c>
      <c r="K89" s="105" t="str">
        <f t="shared" si="17"/>
        <v>--</v>
      </c>
      <c r="L89" s="108" t="str">
        <f>IFERROR(_xll.qlRateHelperQuoteName(K89,Trigger),"--")</f>
        <v>--</v>
      </c>
      <c r="M89" s="109" t="str">
        <f>IFERROR(_xll.qlRateHelperQuoteValue($K89,Trigger),"--")</f>
        <v>--</v>
      </c>
      <c r="N89" s="108" t="b">
        <v>0</v>
      </c>
      <c r="O89" s="105">
        <v>60</v>
      </c>
      <c r="P89" s="105">
        <v>1</v>
      </c>
      <c r="Q89" s="110" t="str">
        <f>IFERROR(_xll.qlRateHelperEarliestDate(K89,Trigger),"--")</f>
        <v>--</v>
      </c>
      <c r="R89" s="110" t="str">
        <f>IFERROR(_xll.qlRateHelperPillarDate(K89,Trigger),"--")</f>
        <v>--</v>
      </c>
      <c r="T89" s="4" t="str">
        <f t="shared" si="11"/>
        <v/>
      </c>
      <c r="U89" s="4" t="e">
        <v>#N/A</v>
      </c>
      <c r="V89" s="4" t="str">
        <f>IFERROR(_xll.qlRateHelperQuoteName(U89,Trigger),"")</f>
        <v/>
      </c>
      <c r="W89" s="75" t="str">
        <f>IFERROR(_xll.qlRateHelperRate(U89,Trigger),"")</f>
        <v/>
      </c>
      <c r="X89" s="115" t="str">
        <f>IF(ISERROR(_xll.qlSwapRateHelperSpread($U89)),IF(ISERROR(_xll.qlFuturesRateHelperConvexityAdjustment($U89)),"",_xll.qlFuturesRateHelperConvexityAdjustment($U89)),_xll.qlSwapRateHelperSpread($U89))</f>
        <v/>
      </c>
      <c r="Y89" s="5" t="str">
        <f>IFERROR(_xll.qlRateHelperEarliestDate(U89,Trigger),"")</f>
        <v/>
      </c>
      <c r="Z89" s="5" t="str">
        <f>IFERROR(_xll.qlRateHelperPillarDate(U89,Trigger),"")</f>
        <v/>
      </c>
      <c r="AA89" s="5" t="e">
        <v>#N/A</v>
      </c>
      <c r="AB89" s="190"/>
      <c r="AC89" s="86"/>
      <c r="AD89" s="196"/>
      <c r="AE89" s="190"/>
      <c r="AF89" s="190"/>
      <c r="AG89" s="190"/>
      <c r="AH89" s="190"/>
      <c r="AI89" s="190"/>
      <c r="AJ89" s="190"/>
      <c r="AK89" s="190"/>
      <c r="AL89" s="190"/>
      <c r="AM89" s="190"/>
      <c r="AN89" s="190"/>
      <c r="AO89" s="190"/>
      <c r="AP89" s="190"/>
      <c r="AQ89" s="190"/>
      <c r="AR89" s="190"/>
      <c r="AS89" s="190"/>
      <c r="AT89" s="190"/>
      <c r="AU89" s="190"/>
      <c r="AV89" s="190"/>
      <c r="AW89" s="190"/>
      <c r="AX89" s="190"/>
      <c r="AY89" s="190"/>
      <c r="AZ89" s="190"/>
      <c r="BA89" s="190"/>
      <c r="BB89" s="190"/>
      <c r="BC89" s="190"/>
    </row>
    <row r="90" spans="1:55" x14ac:dyDescent="0.2">
      <c r="A90" s="63" t="s">
        <v>164</v>
      </c>
      <c r="B90" s="64" t="s">
        <v>72</v>
      </c>
      <c r="C90" s="65">
        <v>2</v>
      </c>
      <c r="D90" s="65" t="s">
        <v>166</v>
      </c>
      <c r="E90" s="66" t="s">
        <v>163</v>
      </c>
      <c r="F90" s="68" t="str">
        <f t="shared" si="18"/>
        <v>USDAM3L2Y_Quote</v>
      </c>
      <c r="G90" s="68" t="str">
        <f t="shared" si="19"/>
        <v>USDFF3L2Y_Quote</v>
      </c>
      <c r="H90" s="69" t="str">
        <f>_xll.qlOISAARateHelper(,C90,B90,F90,E90,G90,D90,TRUE,$G$62,$H$62,ExactFormula,,Permanent,Trigger,ObjectOverwrite)</f>
        <v>obj_00275#0012</v>
      </c>
      <c r="J90" s="11" t="str">
        <f t="shared" si="16"/>
        <v>BasOIS</v>
      </c>
      <c r="K90" s="105" t="str">
        <f t="shared" si="17"/>
        <v>obj_00273#0012</v>
      </c>
      <c r="L90" s="108" t="str">
        <f>IFERROR(_xll.qlRateHelperQuoteName(K90,Trigger),"--")</f>
        <v>USDAM3L3Y_Quote</v>
      </c>
      <c r="M90" s="109">
        <f>IFERROR(_xll.qlRateHelperQuoteValue($K90,Trigger),"--")</f>
        <v>9.7700000000000009E-3</v>
      </c>
      <c r="N90" s="199" t="b">
        <f>ArithmeticFF</f>
        <v>1</v>
      </c>
      <c r="O90" s="105">
        <v>60</v>
      </c>
      <c r="P90" s="105">
        <v>1</v>
      </c>
      <c r="Q90" s="110">
        <f>IFERROR(_xll.qlRateHelperEarliestDate(K90,Trigger),"--")</f>
        <v>42482</v>
      </c>
      <c r="R90" s="110">
        <f>IFERROR(_xll.qlRateHelperPillarDate(K90,Trigger),"--")</f>
        <v>43577</v>
      </c>
      <c r="T90" s="4" t="str">
        <f t="shared" si="11"/>
        <v/>
      </c>
      <c r="U90" s="4" t="e">
        <v>#N/A</v>
      </c>
      <c r="V90" s="4" t="str">
        <f>IFERROR(_xll.qlRateHelperQuoteName(U90,Trigger),"")</f>
        <v/>
      </c>
      <c r="W90" s="75" t="str">
        <f>IFERROR(_xll.qlRateHelperRate(U90,Trigger),"")</f>
        <v/>
      </c>
      <c r="X90" s="115" t="str">
        <f>IF(ISERROR(_xll.qlSwapRateHelperSpread($U90)),IF(ISERROR(_xll.qlFuturesRateHelperConvexityAdjustment($U90)),"",_xll.qlFuturesRateHelperConvexityAdjustment($U90)),_xll.qlSwapRateHelperSpread($U90))</f>
        <v/>
      </c>
      <c r="Y90" s="5" t="str">
        <f>IFERROR(_xll.qlRateHelperEarliestDate(U90,Trigger),"")</f>
        <v/>
      </c>
      <c r="Z90" s="5" t="str">
        <f>IFERROR(_xll.qlRateHelperPillarDate(U90,Trigger),"")</f>
        <v/>
      </c>
      <c r="AA90" s="5" t="e">
        <v>#N/A</v>
      </c>
      <c r="AB90" s="190"/>
      <c r="AC90" s="86"/>
      <c r="AD90" s="196"/>
      <c r="AE90" s="190"/>
      <c r="AF90" s="190"/>
      <c r="AG90" s="190"/>
      <c r="AH90" s="190"/>
      <c r="AI90" s="190"/>
      <c r="AJ90" s="190"/>
      <c r="AK90" s="190"/>
      <c r="AL90" s="190"/>
      <c r="AM90" s="190"/>
      <c r="AN90" s="190"/>
      <c r="AO90" s="190"/>
      <c r="AP90" s="190"/>
      <c r="AQ90" s="190"/>
      <c r="AR90" s="190"/>
      <c r="AS90" s="190"/>
      <c r="AT90" s="190"/>
      <c r="AU90" s="190"/>
      <c r="AV90" s="190"/>
      <c r="AW90" s="190"/>
      <c r="AX90" s="190"/>
      <c r="AY90" s="190"/>
      <c r="AZ90" s="190"/>
      <c r="BA90" s="190"/>
      <c r="BB90" s="190"/>
      <c r="BC90" s="190"/>
    </row>
    <row r="91" spans="1:55" x14ac:dyDescent="0.2">
      <c r="A91" s="63" t="s">
        <v>164</v>
      </c>
      <c r="B91" s="64" t="s">
        <v>73</v>
      </c>
      <c r="C91" s="65">
        <v>2</v>
      </c>
      <c r="D91" s="65" t="s">
        <v>166</v>
      </c>
      <c r="E91" s="66" t="s">
        <v>163</v>
      </c>
      <c r="F91" s="68" t="str">
        <f t="shared" si="18"/>
        <v>USDAM3L27M_Quote</v>
      </c>
      <c r="G91" s="68" t="str">
        <f t="shared" si="19"/>
        <v>USDFF3L27M_Quote</v>
      </c>
      <c r="H91" s="69"/>
      <c r="J91" s="11" t="str">
        <f t="shared" si="16"/>
        <v>BasOIS</v>
      </c>
      <c r="K91" s="105" t="str">
        <f t="shared" si="17"/>
        <v>--</v>
      </c>
      <c r="L91" s="108" t="str">
        <f>IFERROR(_xll.qlRateHelperQuoteName(K91,Trigger),"--")</f>
        <v>--</v>
      </c>
      <c r="M91" s="109" t="str">
        <f>IFERROR(_xll.qlRateHelperQuoteValue($K91,Trigger),"--")</f>
        <v>--</v>
      </c>
      <c r="N91" s="108" t="b">
        <v>0</v>
      </c>
      <c r="O91" s="105">
        <v>60</v>
      </c>
      <c r="P91" s="105">
        <v>1</v>
      </c>
      <c r="Q91" s="110" t="str">
        <f>IFERROR(_xll.qlRateHelperEarliestDate(K91,Trigger),"--")</f>
        <v>--</v>
      </c>
      <c r="R91" s="110" t="str">
        <f>IFERROR(_xll.qlRateHelperPillarDate(K91,Trigger),"--")</f>
        <v>--</v>
      </c>
      <c r="T91" s="4" t="str">
        <f t="shared" si="11"/>
        <v/>
      </c>
      <c r="U91" s="4" t="e">
        <v>#N/A</v>
      </c>
      <c r="V91" s="4" t="str">
        <f>IFERROR(_xll.qlRateHelperQuoteName(U91,Trigger),"")</f>
        <v/>
      </c>
      <c r="W91" s="75" t="str">
        <f>IFERROR(_xll.qlRateHelperRate(U91,Trigger),"")</f>
        <v/>
      </c>
      <c r="X91" s="115" t="str">
        <f>IF(ISERROR(_xll.qlSwapRateHelperSpread($U91)),IF(ISERROR(_xll.qlFuturesRateHelperConvexityAdjustment($U91)),"",_xll.qlFuturesRateHelperConvexityAdjustment($U91)),_xll.qlSwapRateHelperSpread($U91))</f>
        <v/>
      </c>
      <c r="Y91" s="5" t="str">
        <f>IFERROR(_xll.qlRateHelperEarliestDate(U91,Trigger),"")</f>
        <v/>
      </c>
      <c r="Z91" s="5" t="str">
        <f>IFERROR(_xll.qlRateHelperPillarDate(U91,Trigger),"")</f>
        <v/>
      </c>
      <c r="AA91" s="5" t="e">
        <v>#N/A</v>
      </c>
      <c r="AB91" s="190"/>
      <c r="AC91" s="86"/>
      <c r="AD91" s="196"/>
      <c r="AE91" s="190"/>
      <c r="AF91" s="190"/>
      <c r="AG91" s="190"/>
      <c r="AH91" s="190"/>
      <c r="AI91" s="190"/>
      <c r="AJ91" s="190"/>
      <c r="AK91" s="190"/>
      <c r="AL91" s="190"/>
      <c r="AM91" s="190"/>
      <c r="AN91" s="190"/>
      <c r="AO91" s="190"/>
      <c r="AP91" s="190"/>
      <c r="AQ91" s="190"/>
      <c r="AR91" s="190"/>
      <c r="AS91" s="190"/>
      <c r="AT91" s="190"/>
      <c r="AU91" s="190"/>
      <c r="AV91" s="190"/>
      <c r="AW91" s="190"/>
      <c r="AX91" s="190"/>
      <c r="AY91" s="190"/>
      <c r="AZ91" s="190"/>
      <c r="BA91" s="190"/>
      <c r="BB91" s="190"/>
      <c r="BC91" s="190"/>
    </row>
    <row r="92" spans="1:55" x14ac:dyDescent="0.2">
      <c r="A92" s="63" t="s">
        <v>164</v>
      </c>
      <c r="B92" s="64" t="s">
        <v>74</v>
      </c>
      <c r="C92" s="65">
        <v>2</v>
      </c>
      <c r="D92" s="65" t="s">
        <v>166</v>
      </c>
      <c r="E92" s="66" t="s">
        <v>163</v>
      </c>
      <c r="F92" s="68" t="str">
        <f t="shared" si="18"/>
        <v>USDAM3L30M_Quote</v>
      </c>
      <c r="G92" s="68" t="str">
        <f t="shared" si="19"/>
        <v>USDFF3L30M_Quote</v>
      </c>
      <c r="H92" s="69"/>
      <c r="J92" s="11" t="str">
        <f t="shared" si="16"/>
        <v>BasOIS</v>
      </c>
      <c r="K92" s="105" t="str">
        <f t="shared" si="17"/>
        <v>--</v>
      </c>
      <c r="L92" s="108" t="str">
        <f>IFERROR(_xll.qlRateHelperQuoteName(K92,Trigger),"--")</f>
        <v>--</v>
      </c>
      <c r="M92" s="109" t="str">
        <f>IFERROR(_xll.qlRateHelperQuoteValue($K92,Trigger),"--")</f>
        <v>--</v>
      </c>
      <c r="N92" s="108" t="b">
        <v>0</v>
      </c>
      <c r="O92" s="105">
        <v>60</v>
      </c>
      <c r="P92" s="105">
        <v>1</v>
      </c>
      <c r="Q92" s="110" t="str">
        <f>IFERROR(_xll.qlRateHelperEarliestDate(K92,Trigger),"--")</f>
        <v>--</v>
      </c>
      <c r="R92" s="110" t="str">
        <f>IFERROR(_xll.qlRateHelperPillarDate(K92,Trigger),"--")</f>
        <v>--</v>
      </c>
      <c r="T92" s="4" t="str">
        <f t="shared" si="11"/>
        <v/>
      </c>
      <c r="U92" s="4" t="e">
        <v>#N/A</v>
      </c>
      <c r="V92" s="4" t="str">
        <f>IFERROR(_xll.qlRateHelperQuoteName(U92,Trigger),"")</f>
        <v/>
      </c>
      <c r="W92" s="75" t="str">
        <f>IFERROR(_xll.qlRateHelperRate(U92,Trigger),"")</f>
        <v/>
      </c>
      <c r="X92" s="115" t="str">
        <f>IF(ISERROR(_xll.qlSwapRateHelperSpread($U92)),IF(ISERROR(_xll.qlFuturesRateHelperConvexityAdjustment($U92)),"",_xll.qlFuturesRateHelperConvexityAdjustment($U92)),_xll.qlSwapRateHelperSpread($U92))</f>
        <v/>
      </c>
      <c r="Y92" s="5" t="str">
        <f>IFERROR(_xll.qlRateHelperEarliestDate(U92,Trigger),"")</f>
        <v/>
      </c>
      <c r="Z92" s="5" t="str">
        <f>IFERROR(_xll.qlRateHelperPillarDate(U92,Trigger),"")</f>
        <v/>
      </c>
      <c r="AA92" s="5" t="e">
        <v>#N/A</v>
      </c>
      <c r="AB92" s="190"/>
      <c r="AC92" s="86"/>
      <c r="AD92" s="196"/>
      <c r="AE92" s="190"/>
      <c r="AF92" s="190"/>
      <c r="AG92" s="190"/>
      <c r="AH92" s="190"/>
      <c r="AI92" s="190"/>
      <c r="AJ92" s="190"/>
      <c r="AK92" s="190"/>
      <c r="AL92" s="190"/>
      <c r="AM92" s="190"/>
      <c r="AN92" s="190"/>
      <c r="AO92" s="190"/>
      <c r="AP92" s="190"/>
      <c r="AQ92" s="190"/>
      <c r="AR92" s="190"/>
      <c r="AS92" s="190"/>
      <c r="AT92" s="190"/>
      <c r="AU92" s="190"/>
      <c r="AV92" s="190"/>
      <c r="AW92" s="190"/>
      <c r="AX92" s="190"/>
      <c r="AY92" s="190"/>
      <c r="AZ92" s="190"/>
      <c r="BA92" s="190"/>
      <c r="BB92" s="190"/>
      <c r="BC92" s="190"/>
    </row>
    <row r="93" spans="1:55" x14ac:dyDescent="0.2">
      <c r="A93" s="63" t="s">
        <v>164</v>
      </c>
      <c r="B93" s="64" t="s">
        <v>75</v>
      </c>
      <c r="C93" s="65">
        <v>2</v>
      </c>
      <c r="D93" s="65" t="s">
        <v>166</v>
      </c>
      <c r="E93" s="66" t="s">
        <v>163</v>
      </c>
      <c r="F93" s="68" t="str">
        <f t="shared" si="18"/>
        <v>USDAM3L33M_Quote</v>
      </c>
      <c r="G93" s="68" t="str">
        <f t="shared" si="19"/>
        <v>USDFF3L33M_Quote</v>
      </c>
      <c r="H93" s="69"/>
      <c r="J93" s="11" t="str">
        <f t="shared" si="16"/>
        <v>BasOIS</v>
      </c>
      <c r="K93" s="105" t="str">
        <f t="shared" si="17"/>
        <v>--</v>
      </c>
      <c r="L93" s="108" t="str">
        <f>IFERROR(_xll.qlRateHelperQuoteName(K93,Trigger),"--")</f>
        <v>--</v>
      </c>
      <c r="M93" s="109" t="str">
        <f>IFERROR(_xll.qlRateHelperQuoteValue($K93,Trigger),"--")</f>
        <v>--</v>
      </c>
      <c r="N93" s="108" t="b">
        <v>0</v>
      </c>
      <c r="O93" s="105">
        <v>60</v>
      </c>
      <c r="P93" s="105">
        <v>1</v>
      </c>
      <c r="Q93" s="110" t="str">
        <f>IFERROR(_xll.qlRateHelperEarliestDate(K93,Trigger),"--")</f>
        <v>--</v>
      </c>
      <c r="R93" s="110" t="str">
        <f>IFERROR(_xll.qlRateHelperPillarDate(K93,Trigger),"--")</f>
        <v>--</v>
      </c>
      <c r="T93" s="4" t="str">
        <f t="shared" si="11"/>
        <v/>
      </c>
      <c r="U93" s="4" t="e">
        <v>#N/A</v>
      </c>
      <c r="V93" s="4" t="str">
        <f>IFERROR(_xll.qlRateHelperQuoteName(U93,Trigger),"")</f>
        <v/>
      </c>
      <c r="W93" s="75" t="str">
        <f>IFERROR(_xll.qlRateHelperRate(U93,Trigger),"")</f>
        <v/>
      </c>
      <c r="X93" s="115" t="str">
        <f>IF(ISERROR(_xll.qlSwapRateHelperSpread($U93)),IF(ISERROR(_xll.qlFuturesRateHelperConvexityAdjustment($U93)),"",_xll.qlFuturesRateHelperConvexityAdjustment($U93)),_xll.qlSwapRateHelperSpread($U93))</f>
        <v/>
      </c>
      <c r="Y93" s="5" t="str">
        <f>IFERROR(_xll.qlRateHelperEarliestDate(U93,Trigger),"")</f>
        <v/>
      </c>
      <c r="Z93" s="5" t="str">
        <f>IFERROR(_xll.qlRateHelperPillarDate(U93,Trigger),"")</f>
        <v/>
      </c>
      <c r="AA93" s="5" t="e">
        <v>#N/A</v>
      </c>
      <c r="AB93" s="190"/>
      <c r="AC93" s="86"/>
      <c r="AD93" s="196"/>
      <c r="AE93" s="190"/>
      <c r="AF93" s="190"/>
      <c r="AG93" s="190"/>
      <c r="AH93" s="190"/>
      <c r="AI93" s="190"/>
      <c r="AJ93" s="190"/>
      <c r="AK93" s="190"/>
      <c r="AL93" s="190"/>
      <c r="AM93" s="190"/>
      <c r="AN93" s="190"/>
      <c r="AO93" s="190"/>
      <c r="AP93" s="190"/>
      <c r="AQ93" s="190"/>
      <c r="AR93" s="190"/>
      <c r="AS93" s="190"/>
      <c r="AT93" s="190"/>
      <c r="AU93" s="190"/>
      <c r="AV93" s="190"/>
      <c r="AW93" s="190"/>
      <c r="AX93" s="190"/>
      <c r="AY93" s="190"/>
      <c r="AZ93" s="190"/>
      <c r="BA93" s="190"/>
      <c r="BB93" s="190"/>
      <c r="BC93" s="190"/>
    </row>
    <row r="94" spans="1:55" x14ac:dyDescent="0.2">
      <c r="A94" s="63" t="s">
        <v>164</v>
      </c>
      <c r="B94" s="64" t="s">
        <v>76</v>
      </c>
      <c r="C94" s="65">
        <v>2</v>
      </c>
      <c r="D94" s="65" t="s">
        <v>166</v>
      </c>
      <c r="E94" s="66" t="s">
        <v>163</v>
      </c>
      <c r="F94" s="68" t="str">
        <f t="shared" si="18"/>
        <v>USDAM3L3Y_Quote</v>
      </c>
      <c r="G94" s="68" t="str">
        <f t="shared" si="19"/>
        <v>USDFF3L3Y_Quote</v>
      </c>
      <c r="H94" s="69" t="str">
        <f>_xll.qlOISAARateHelper(,C94,B94,F94,E94,G94,D94,TRUE,$G$62,$H$62,ExactFormula,,Permanent,Trigger,ObjectOverwrite)</f>
        <v>obj_00273#0012</v>
      </c>
      <c r="J94" s="11" t="str">
        <f t="shared" si="16"/>
        <v>BasOIS</v>
      </c>
      <c r="K94" s="105" t="str">
        <f t="shared" si="17"/>
        <v>obj_00272#0012</v>
      </c>
      <c r="L94" s="108" t="str">
        <f>IFERROR(_xll.qlRateHelperQuoteName(K94,Trigger),"--")</f>
        <v>USDAM3L4Y_Quote</v>
      </c>
      <c r="M94" s="109">
        <f>IFERROR(_xll.qlRateHelperQuoteValue($K94,Trigger),"--")</f>
        <v>1.0789999999999999E-2</v>
      </c>
      <c r="N94" s="199" t="b">
        <f>ArithmeticFF</f>
        <v>1</v>
      </c>
      <c r="O94" s="105">
        <v>60</v>
      </c>
      <c r="P94" s="105">
        <v>1</v>
      </c>
      <c r="Q94" s="110">
        <f>IFERROR(_xll.qlRateHelperEarliestDate(K94,Trigger),"--")</f>
        <v>42482</v>
      </c>
      <c r="R94" s="110">
        <f>IFERROR(_xll.qlRateHelperPillarDate(K94,Trigger),"--")</f>
        <v>43943</v>
      </c>
      <c r="T94" s="4" t="str">
        <f t="shared" si="11"/>
        <v/>
      </c>
      <c r="U94" s="4" t="e">
        <v>#N/A</v>
      </c>
      <c r="V94" s="4" t="str">
        <f>IFERROR(_xll.qlRateHelperQuoteName(U94,Trigger),"")</f>
        <v/>
      </c>
      <c r="W94" s="75" t="str">
        <f>IFERROR(_xll.qlRateHelperRate(U94,Trigger),"")</f>
        <v/>
      </c>
      <c r="X94" s="115" t="str">
        <f>IF(ISERROR(_xll.qlSwapRateHelperSpread($U94)),IF(ISERROR(_xll.qlFuturesRateHelperConvexityAdjustment($U94)),"",_xll.qlFuturesRateHelperConvexityAdjustment($U94)),_xll.qlSwapRateHelperSpread($U94))</f>
        <v/>
      </c>
      <c r="Y94" s="5" t="str">
        <f>IFERROR(_xll.qlRateHelperEarliestDate(U94,Trigger),"")</f>
        <v/>
      </c>
      <c r="Z94" s="5" t="str">
        <f>IFERROR(_xll.qlRateHelperPillarDate(U94,Trigger),"")</f>
        <v/>
      </c>
      <c r="AA94" s="5" t="e">
        <v>#N/A</v>
      </c>
      <c r="AB94" s="190"/>
      <c r="AC94" s="86"/>
      <c r="AD94" s="196"/>
      <c r="AE94" s="190"/>
      <c r="AF94" s="190"/>
      <c r="AG94" s="190"/>
      <c r="AH94" s="190"/>
      <c r="AI94" s="190"/>
      <c r="AJ94" s="190"/>
      <c r="AK94" s="190"/>
      <c r="AL94" s="190"/>
      <c r="AM94" s="190"/>
      <c r="AN94" s="190"/>
      <c r="AO94" s="190"/>
      <c r="AP94" s="190"/>
      <c r="AQ94" s="190"/>
      <c r="AR94" s="190"/>
      <c r="AS94" s="190"/>
      <c r="AT94" s="190"/>
      <c r="AU94" s="190"/>
      <c r="AV94" s="190"/>
      <c r="AW94" s="190"/>
      <c r="AX94" s="190"/>
      <c r="AY94" s="190"/>
      <c r="AZ94" s="190"/>
      <c r="BA94" s="190"/>
      <c r="BB94" s="190"/>
      <c r="BC94" s="190"/>
    </row>
    <row r="95" spans="1:55" x14ac:dyDescent="0.2">
      <c r="A95" s="63" t="s">
        <v>164</v>
      </c>
      <c r="B95" s="64" t="s">
        <v>77</v>
      </c>
      <c r="C95" s="65">
        <v>2</v>
      </c>
      <c r="D95" s="65" t="s">
        <v>166</v>
      </c>
      <c r="E95" s="66" t="s">
        <v>163</v>
      </c>
      <c r="F95" s="68" t="str">
        <f t="shared" si="18"/>
        <v>USDAM3L39M_Quote</v>
      </c>
      <c r="G95" s="68" t="str">
        <f t="shared" si="19"/>
        <v>USDFF3L39M_Quote</v>
      </c>
      <c r="H95" s="69"/>
      <c r="J95" s="11" t="str">
        <f t="shared" si="16"/>
        <v>BasOIS</v>
      </c>
      <c r="K95" s="105" t="str">
        <f t="shared" si="17"/>
        <v>--</v>
      </c>
      <c r="L95" s="108" t="str">
        <f>IFERROR(_xll.qlRateHelperQuoteName(K95,Trigger),"--")</f>
        <v>--</v>
      </c>
      <c r="M95" s="109" t="str">
        <f>IFERROR(_xll.qlRateHelperQuoteValue($K95,Trigger),"--")</f>
        <v>--</v>
      </c>
      <c r="N95" s="108" t="b">
        <v>0</v>
      </c>
      <c r="O95" s="105">
        <v>60</v>
      </c>
      <c r="P95" s="105">
        <v>1</v>
      </c>
      <c r="Q95" s="110" t="str">
        <f>IFERROR(_xll.qlRateHelperEarliestDate(K95,Trigger),"--")</f>
        <v>--</v>
      </c>
      <c r="R95" s="110" t="str">
        <f>IFERROR(_xll.qlRateHelperPillarDate(K95,Trigger),"--")</f>
        <v>--</v>
      </c>
      <c r="T95" s="4" t="str">
        <f t="shared" si="11"/>
        <v/>
      </c>
      <c r="U95" s="4" t="e">
        <v>#N/A</v>
      </c>
      <c r="V95" s="4" t="str">
        <f>IFERROR(_xll.qlRateHelperQuoteName(U95,Trigger),"")</f>
        <v/>
      </c>
      <c r="W95" s="75" t="str">
        <f>IFERROR(_xll.qlRateHelperRate(U95,Trigger),"")</f>
        <v/>
      </c>
      <c r="X95" s="115" t="str">
        <f>IF(ISERROR(_xll.qlSwapRateHelperSpread($U95)),IF(ISERROR(_xll.qlFuturesRateHelperConvexityAdjustment($U95)),"",_xll.qlFuturesRateHelperConvexityAdjustment($U95)),_xll.qlSwapRateHelperSpread($U95))</f>
        <v/>
      </c>
      <c r="Y95" s="5" t="str">
        <f>IFERROR(_xll.qlRateHelperEarliestDate(U95,Trigger),"")</f>
        <v/>
      </c>
      <c r="Z95" s="5" t="str">
        <f>IFERROR(_xll.qlRateHelperPillarDate(U95,Trigger),"")</f>
        <v/>
      </c>
      <c r="AA95" s="5" t="e">
        <v>#N/A</v>
      </c>
      <c r="AB95" s="190"/>
      <c r="AC95" s="86"/>
      <c r="AD95" s="196"/>
      <c r="AE95" s="190"/>
      <c r="AF95" s="190"/>
      <c r="AG95" s="190"/>
      <c r="AH95" s="190"/>
      <c r="AI95" s="190"/>
      <c r="AJ95" s="190"/>
      <c r="AK95" s="190"/>
      <c r="AL95" s="190"/>
      <c r="AM95" s="190"/>
      <c r="AN95" s="190"/>
      <c r="AO95" s="190"/>
      <c r="AP95" s="190"/>
      <c r="AQ95" s="190"/>
      <c r="AR95" s="190"/>
      <c r="AS95" s="190"/>
      <c r="AT95" s="190"/>
      <c r="AU95" s="190"/>
      <c r="AV95" s="190"/>
      <c r="AW95" s="190"/>
      <c r="AX95" s="190"/>
      <c r="AY95" s="190"/>
      <c r="AZ95" s="190"/>
      <c r="BA95" s="190"/>
      <c r="BB95" s="190"/>
      <c r="BC95" s="190"/>
    </row>
    <row r="96" spans="1:55" x14ac:dyDescent="0.2">
      <c r="A96" s="63" t="s">
        <v>164</v>
      </c>
      <c r="B96" s="64" t="s">
        <v>78</v>
      </c>
      <c r="C96" s="65">
        <v>2</v>
      </c>
      <c r="D96" s="65" t="s">
        <v>166</v>
      </c>
      <c r="E96" s="66" t="s">
        <v>163</v>
      </c>
      <c r="F96" s="68" t="str">
        <f t="shared" ref="F96:F117" si="20">Currency&amp;"AM"&amp;$F$62&amp;B96&amp;QuoteSuffix</f>
        <v>USDAM3L42M_Quote</v>
      </c>
      <c r="G96" s="68" t="str">
        <f t="shared" ref="G96:G117" si="21">Currency&amp;$E$62&amp;$F$62&amp;B96&amp;QuoteSuffix</f>
        <v>USDFF3L42M_Quote</v>
      </c>
      <c r="H96" s="69"/>
      <c r="J96" s="11" t="str">
        <f t="shared" si="16"/>
        <v>BasOIS</v>
      </c>
      <c r="K96" s="105" t="str">
        <f t="shared" si="17"/>
        <v>--</v>
      </c>
      <c r="L96" s="108" t="str">
        <f>IFERROR(_xll.qlRateHelperQuoteName(K96,Trigger),"--")</f>
        <v>--</v>
      </c>
      <c r="M96" s="109" t="str">
        <f>IFERROR(_xll.qlRateHelperQuoteValue($K96,Trigger),"--")</f>
        <v>--</v>
      </c>
      <c r="N96" s="108" t="b">
        <v>0</v>
      </c>
      <c r="O96" s="105">
        <v>60</v>
      </c>
      <c r="P96" s="105">
        <v>1</v>
      </c>
      <c r="Q96" s="110" t="str">
        <f>IFERROR(_xll.qlRateHelperEarliestDate(K96,Trigger),"--")</f>
        <v>--</v>
      </c>
      <c r="R96" s="110" t="str">
        <f>IFERROR(_xll.qlRateHelperPillarDate(K96,Trigger),"--")</f>
        <v>--</v>
      </c>
      <c r="T96" s="4" t="str">
        <f t="shared" si="11"/>
        <v/>
      </c>
      <c r="U96" s="4" t="e">
        <v>#N/A</v>
      </c>
      <c r="V96" s="4" t="str">
        <f>IFERROR(_xll.qlRateHelperQuoteName(U96,Trigger),"")</f>
        <v/>
      </c>
      <c r="W96" s="75" t="str">
        <f>IFERROR(_xll.qlRateHelperRate(U96,Trigger),"")</f>
        <v/>
      </c>
      <c r="X96" s="115" t="str">
        <f>IF(ISERROR(_xll.qlSwapRateHelperSpread($U96)),IF(ISERROR(_xll.qlFuturesRateHelperConvexityAdjustment($U96)),"",_xll.qlFuturesRateHelperConvexityAdjustment($U96)),_xll.qlSwapRateHelperSpread($U96))</f>
        <v/>
      </c>
      <c r="Y96" s="5" t="str">
        <f>IFERROR(_xll.qlRateHelperEarliestDate(U96,Trigger),"")</f>
        <v/>
      </c>
      <c r="Z96" s="5" t="str">
        <f>IFERROR(_xll.qlRateHelperPillarDate(U96,Trigger),"")</f>
        <v/>
      </c>
      <c r="AA96" s="5" t="e">
        <v>#N/A</v>
      </c>
      <c r="AB96" s="190"/>
      <c r="AC96" s="86"/>
      <c r="AD96" s="196"/>
      <c r="AE96" s="190"/>
      <c r="AF96" s="190"/>
      <c r="AG96" s="190"/>
      <c r="AH96" s="190"/>
      <c r="AI96" s="190"/>
      <c r="AJ96" s="190"/>
      <c r="AK96" s="190"/>
      <c r="AL96" s="190"/>
      <c r="AM96" s="190"/>
      <c r="AN96" s="190"/>
      <c r="AO96" s="190"/>
      <c r="AP96" s="190"/>
      <c r="AQ96" s="190"/>
      <c r="AR96" s="190"/>
      <c r="AS96" s="190"/>
      <c r="AT96" s="190"/>
      <c r="AU96" s="190"/>
      <c r="AV96" s="190"/>
      <c r="AW96" s="190"/>
      <c r="AX96" s="190"/>
      <c r="AY96" s="190"/>
      <c r="AZ96" s="190"/>
      <c r="BA96" s="190"/>
      <c r="BB96" s="190"/>
      <c r="BC96" s="190"/>
    </row>
    <row r="97" spans="1:55" x14ac:dyDescent="0.2">
      <c r="A97" s="63" t="s">
        <v>164</v>
      </c>
      <c r="B97" s="64" t="s">
        <v>79</v>
      </c>
      <c r="C97" s="65">
        <v>2</v>
      </c>
      <c r="D97" s="65" t="s">
        <v>166</v>
      </c>
      <c r="E97" s="66" t="s">
        <v>163</v>
      </c>
      <c r="F97" s="68" t="str">
        <f t="shared" si="20"/>
        <v>USDAM3L45M_Quote</v>
      </c>
      <c r="G97" s="68" t="str">
        <f t="shared" si="21"/>
        <v>USDFF3L45M_Quote</v>
      </c>
      <c r="H97" s="69"/>
      <c r="J97" s="11" t="str">
        <f t="shared" si="16"/>
        <v>BasOIS</v>
      </c>
      <c r="K97" s="105" t="str">
        <f t="shared" si="17"/>
        <v>--</v>
      </c>
      <c r="L97" s="108" t="str">
        <f>IFERROR(_xll.qlRateHelperQuoteName(K97,Trigger),"--")</f>
        <v>--</v>
      </c>
      <c r="M97" s="109" t="str">
        <f>IFERROR(_xll.qlRateHelperQuoteValue($K97,Trigger),"--")</f>
        <v>--</v>
      </c>
      <c r="N97" s="108" t="b">
        <v>0</v>
      </c>
      <c r="O97" s="105">
        <v>60</v>
      </c>
      <c r="P97" s="105">
        <v>1</v>
      </c>
      <c r="Q97" s="110" t="str">
        <f>IFERROR(_xll.qlRateHelperEarliestDate(K97,Trigger),"--")</f>
        <v>--</v>
      </c>
      <c r="R97" s="110" t="str">
        <f>IFERROR(_xll.qlRateHelperPillarDate(K97,Trigger),"--")</f>
        <v>--</v>
      </c>
      <c r="T97" s="4" t="str">
        <f t="shared" si="11"/>
        <v/>
      </c>
      <c r="U97" s="4" t="e">
        <v>#N/A</v>
      </c>
      <c r="V97" s="4" t="str">
        <f>IFERROR(_xll.qlRateHelperQuoteName(U97,Trigger),"")</f>
        <v/>
      </c>
      <c r="W97" s="75" t="str">
        <f>IFERROR(_xll.qlRateHelperRate(U97,Trigger),"")</f>
        <v/>
      </c>
      <c r="X97" s="115" t="str">
        <f>IF(ISERROR(_xll.qlSwapRateHelperSpread($U97)),IF(ISERROR(_xll.qlFuturesRateHelperConvexityAdjustment($U97)),"",_xll.qlFuturesRateHelperConvexityAdjustment($U97)),_xll.qlSwapRateHelperSpread($U97))</f>
        <v/>
      </c>
      <c r="Y97" s="5" t="str">
        <f>IFERROR(_xll.qlRateHelperEarliestDate(U97,Trigger),"")</f>
        <v/>
      </c>
      <c r="Z97" s="5" t="str">
        <f>IFERROR(_xll.qlRateHelperPillarDate(U97,Trigger),"")</f>
        <v/>
      </c>
      <c r="AA97" s="5" t="e">
        <v>#N/A</v>
      </c>
      <c r="AB97" s="190"/>
      <c r="AC97" s="86"/>
      <c r="AD97" s="196"/>
      <c r="AE97" s="190"/>
      <c r="AF97" s="190"/>
      <c r="AG97" s="190"/>
      <c r="AH97" s="190"/>
      <c r="AI97" s="190"/>
      <c r="AJ97" s="190"/>
      <c r="AK97" s="190"/>
      <c r="AL97" s="190"/>
      <c r="AM97" s="190"/>
      <c r="AN97" s="190"/>
      <c r="AO97" s="190"/>
      <c r="AP97" s="190"/>
      <c r="AQ97" s="190"/>
      <c r="AR97" s="190"/>
      <c r="AS97" s="190"/>
      <c r="AT97" s="190"/>
      <c r="AU97" s="190"/>
      <c r="AV97" s="190"/>
      <c r="AW97" s="190"/>
      <c r="AX97" s="190"/>
      <c r="AY97" s="190"/>
      <c r="AZ97" s="190"/>
      <c r="BA97" s="190"/>
      <c r="BB97" s="190"/>
      <c r="BC97" s="190"/>
    </row>
    <row r="98" spans="1:55" x14ac:dyDescent="0.2">
      <c r="A98" s="63" t="s">
        <v>164</v>
      </c>
      <c r="B98" s="64" t="s">
        <v>80</v>
      </c>
      <c r="C98" s="65">
        <v>2</v>
      </c>
      <c r="D98" s="65" t="s">
        <v>166</v>
      </c>
      <c r="E98" s="66" t="s">
        <v>163</v>
      </c>
      <c r="F98" s="68" t="str">
        <f t="shared" si="20"/>
        <v>USDAM3L4Y_Quote</v>
      </c>
      <c r="G98" s="68" t="str">
        <f t="shared" si="21"/>
        <v>USDFF3L4Y_Quote</v>
      </c>
      <c r="H98" s="69" t="str">
        <f>_xll.qlOISAARateHelper(,C98,B98,F98,E98,G98,D98,TRUE,$G$62,$H$62,ExactFormula,,Permanent,Trigger,ObjectOverwrite)</f>
        <v>obj_00272#0012</v>
      </c>
      <c r="J98" s="11" t="str">
        <f t="shared" si="16"/>
        <v>BasOIS</v>
      </c>
      <c r="K98" s="105" t="str">
        <f t="shared" si="17"/>
        <v>obj_0027a#0012</v>
      </c>
      <c r="L98" s="108" t="str">
        <f>IFERROR(_xll.qlRateHelperQuoteName(K98,Trigger),"--")</f>
        <v>USDAM3L5Y_Quote</v>
      </c>
      <c r="M98" s="109">
        <f>IFERROR(_xll.qlRateHelperQuoteValue($K98,Trigger),"--")</f>
        <v>1.1810000000000001E-2</v>
      </c>
      <c r="N98" s="199" t="b">
        <f t="shared" ref="N98:N107" si="22">ArithmeticFF</f>
        <v>1</v>
      </c>
      <c r="O98" s="105">
        <v>60</v>
      </c>
      <c r="P98" s="105">
        <v>1</v>
      </c>
      <c r="Q98" s="110">
        <f>IFERROR(_xll.qlRateHelperEarliestDate(K98,Trigger),"--")</f>
        <v>42482</v>
      </c>
      <c r="R98" s="110">
        <f>IFERROR(_xll.qlRateHelperPillarDate(K98,Trigger),"--")</f>
        <v>44308</v>
      </c>
      <c r="T98" s="4" t="str">
        <f t="shared" si="11"/>
        <v/>
      </c>
      <c r="U98" s="4" t="e">
        <v>#N/A</v>
      </c>
      <c r="V98" s="4" t="str">
        <f>IFERROR(_xll.qlRateHelperQuoteName(U98,Trigger),"")</f>
        <v/>
      </c>
      <c r="W98" s="75" t="str">
        <f>IFERROR(_xll.qlRateHelperRate(U98,Trigger),"")</f>
        <v/>
      </c>
      <c r="X98" s="115" t="str">
        <f>IF(ISERROR(_xll.qlSwapRateHelperSpread($U98)),IF(ISERROR(_xll.qlFuturesRateHelperConvexityAdjustment($U98)),"",_xll.qlFuturesRateHelperConvexityAdjustment($U98)),_xll.qlSwapRateHelperSpread($U98))</f>
        <v/>
      </c>
      <c r="Y98" s="5" t="str">
        <f>IFERROR(_xll.qlRateHelperEarliestDate(U98,Trigger),"")</f>
        <v/>
      </c>
      <c r="Z98" s="5" t="str">
        <f>IFERROR(_xll.qlRateHelperPillarDate(U98,Trigger),"")</f>
        <v/>
      </c>
      <c r="AA98" s="5" t="e">
        <v>#N/A</v>
      </c>
      <c r="AB98" s="190"/>
      <c r="AC98" s="86"/>
      <c r="AD98" s="196"/>
      <c r="AE98" s="190"/>
      <c r="AF98" s="190"/>
      <c r="AG98" s="190"/>
      <c r="AH98" s="190"/>
      <c r="AI98" s="190"/>
      <c r="AJ98" s="190"/>
      <c r="AK98" s="190"/>
      <c r="AL98" s="190"/>
      <c r="AM98" s="190"/>
      <c r="AN98" s="190"/>
      <c r="AO98" s="190"/>
      <c r="AP98" s="190"/>
      <c r="AQ98" s="190"/>
      <c r="AR98" s="190"/>
      <c r="AS98" s="190"/>
      <c r="AT98" s="190"/>
      <c r="AU98" s="190"/>
      <c r="AV98" s="190"/>
      <c r="AW98" s="190"/>
      <c r="AX98" s="190"/>
      <c r="AY98" s="190"/>
      <c r="AZ98" s="190"/>
      <c r="BA98" s="190"/>
      <c r="BB98" s="190"/>
      <c r="BC98" s="190"/>
    </row>
    <row r="99" spans="1:55" x14ac:dyDescent="0.2">
      <c r="A99" s="63" t="s">
        <v>164</v>
      </c>
      <c r="B99" s="64" t="s">
        <v>81</v>
      </c>
      <c r="C99" s="65">
        <v>2</v>
      </c>
      <c r="D99" s="65" t="s">
        <v>166</v>
      </c>
      <c r="E99" s="66" t="s">
        <v>163</v>
      </c>
      <c r="F99" s="68" t="str">
        <f t="shared" si="20"/>
        <v>USDAM3L51M_Quote</v>
      </c>
      <c r="G99" s="68" t="str">
        <f t="shared" si="21"/>
        <v>USDFF3L51M_Quote</v>
      </c>
      <c r="H99" s="69"/>
      <c r="J99" s="11" t="str">
        <f t="shared" si="16"/>
        <v>BasOIS</v>
      </c>
      <c r="K99" s="105" t="str">
        <f t="shared" si="17"/>
        <v>obj_00274#0012</v>
      </c>
      <c r="L99" s="108" t="str">
        <f>IFERROR(_xll.qlRateHelperQuoteName(K99,Trigger),"--")</f>
        <v>USDAM3L6Y_Quote</v>
      </c>
      <c r="M99" s="109">
        <f>IFERROR(_xll.qlRateHelperQuoteValue($K99,Trigger),"--")</f>
        <v>1.2810000000000002E-2</v>
      </c>
      <c r="N99" s="199" t="b">
        <f t="shared" si="22"/>
        <v>1</v>
      </c>
      <c r="O99" s="105">
        <v>60</v>
      </c>
      <c r="P99" s="105">
        <v>1</v>
      </c>
      <c r="Q99" s="110">
        <f>IFERROR(_xll.qlRateHelperEarliestDate(K99,Trigger),"--")</f>
        <v>42482</v>
      </c>
      <c r="R99" s="110">
        <f>IFERROR(_xll.qlRateHelperPillarDate(K99,Trigger),"--")</f>
        <v>44673</v>
      </c>
      <c r="T99" s="4" t="str">
        <f t="shared" si="11"/>
        <v/>
      </c>
      <c r="U99" s="4" t="e">
        <v>#N/A</v>
      </c>
      <c r="V99" s="4" t="str">
        <f>IFERROR(_xll.qlRateHelperQuoteName(U99,Trigger),"")</f>
        <v/>
      </c>
      <c r="W99" s="75" t="str">
        <f>IFERROR(_xll.qlRateHelperRate(U99,Trigger),"")</f>
        <v/>
      </c>
      <c r="X99" s="115" t="str">
        <f>IF(ISERROR(_xll.qlSwapRateHelperSpread($U99)),IF(ISERROR(_xll.qlFuturesRateHelperConvexityAdjustment($U99)),"",_xll.qlFuturesRateHelperConvexityAdjustment($U99)),_xll.qlSwapRateHelperSpread($U99))</f>
        <v/>
      </c>
      <c r="Y99" s="5" t="str">
        <f>IFERROR(_xll.qlRateHelperEarliestDate(U99,Trigger),"")</f>
        <v/>
      </c>
      <c r="Z99" s="5" t="str">
        <f>IFERROR(_xll.qlRateHelperPillarDate(U99,Trigger),"")</f>
        <v/>
      </c>
      <c r="AA99" s="5" t="e">
        <v>#N/A</v>
      </c>
      <c r="AB99" s="190"/>
      <c r="AC99" s="86"/>
      <c r="AD99" s="196"/>
      <c r="AE99" s="190"/>
      <c r="AF99" s="190"/>
      <c r="AG99" s="190"/>
      <c r="AH99" s="190"/>
      <c r="AI99" s="190"/>
      <c r="AJ99" s="190"/>
      <c r="AK99" s="190"/>
      <c r="AL99" s="190"/>
      <c r="AM99" s="190"/>
      <c r="AN99" s="190"/>
      <c r="AO99" s="190"/>
      <c r="AP99" s="190"/>
      <c r="AQ99" s="190"/>
      <c r="AR99" s="190"/>
      <c r="AS99" s="190"/>
      <c r="AT99" s="190"/>
      <c r="AU99" s="190"/>
      <c r="AV99" s="190"/>
      <c r="AW99" s="190"/>
      <c r="AX99" s="190"/>
      <c r="AY99" s="190"/>
      <c r="AZ99" s="190"/>
      <c r="BA99" s="190"/>
      <c r="BB99" s="190"/>
      <c r="BC99" s="190"/>
    </row>
    <row r="100" spans="1:55" x14ac:dyDescent="0.2">
      <c r="A100" s="63" t="s">
        <v>164</v>
      </c>
      <c r="B100" s="64" t="s">
        <v>82</v>
      </c>
      <c r="C100" s="65">
        <v>2</v>
      </c>
      <c r="D100" s="65" t="s">
        <v>166</v>
      </c>
      <c r="E100" s="66" t="s">
        <v>163</v>
      </c>
      <c r="F100" s="68" t="str">
        <f t="shared" si="20"/>
        <v>USDAM3L54M_Quote</v>
      </c>
      <c r="G100" s="68" t="str">
        <f t="shared" si="21"/>
        <v>USDFF3L54M_Quote</v>
      </c>
      <c r="H100" s="69"/>
      <c r="J100" s="11" t="str">
        <f t="shared" si="16"/>
        <v>BasOIS</v>
      </c>
      <c r="K100" s="105" t="str">
        <f t="shared" si="17"/>
        <v>obj_0027c#0012</v>
      </c>
      <c r="L100" s="108" t="str">
        <f>IFERROR(_xll.qlRateHelperQuoteName(K100,Trigger),"--")</f>
        <v>USDAM3L7Y_Quote</v>
      </c>
      <c r="M100" s="109">
        <f>IFERROR(_xll.qlRateHelperQuoteValue($K100,Trigger),"--")</f>
        <v>1.375E-2</v>
      </c>
      <c r="N100" s="199" t="b">
        <f t="shared" si="22"/>
        <v>1</v>
      </c>
      <c r="O100" s="105">
        <v>60</v>
      </c>
      <c r="P100" s="105">
        <v>1</v>
      </c>
      <c r="Q100" s="110">
        <f>IFERROR(_xll.qlRateHelperEarliestDate(K100,Trigger),"--")</f>
        <v>42482</v>
      </c>
      <c r="R100" s="110">
        <f>IFERROR(_xll.qlRateHelperPillarDate(K100,Trigger),"--")</f>
        <v>45040</v>
      </c>
      <c r="T100" s="4" t="str">
        <f t="shared" si="11"/>
        <v/>
      </c>
      <c r="U100" s="4" t="e">
        <v>#N/A</v>
      </c>
      <c r="V100" s="4" t="str">
        <f>IFERROR(_xll.qlRateHelperQuoteName(U100,Trigger),"")</f>
        <v/>
      </c>
      <c r="W100" s="75" t="str">
        <f>IFERROR(_xll.qlRateHelperRate(U100,Trigger),"")</f>
        <v/>
      </c>
      <c r="X100" s="115" t="str">
        <f>IF(ISERROR(_xll.qlSwapRateHelperSpread($U100)),IF(ISERROR(_xll.qlFuturesRateHelperConvexityAdjustment($U100)),"",_xll.qlFuturesRateHelperConvexityAdjustment($U100)),_xll.qlSwapRateHelperSpread($U100))</f>
        <v/>
      </c>
      <c r="Y100" s="5" t="str">
        <f>IFERROR(_xll.qlRateHelperEarliestDate(U100,Trigger),"")</f>
        <v/>
      </c>
      <c r="Z100" s="5" t="str">
        <f>IFERROR(_xll.qlRateHelperPillarDate(U100,Trigger),"")</f>
        <v/>
      </c>
      <c r="AA100" s="5" t="e">
        <v>#N/A</v>
      </c>
      <c r="AB100" s="190"/>
      <c r="AC100" s="86"/>
      <c r="AD100" s="196"/>
      <c r="AE100" s="190"/>
      <c r="AF100" s="190"/>
      <c r="AG100" s="190"/>
      <c r="AH100" s="190"/>
      <c r="AI100" s="190"/>
      <c r="AJ100" s="190"/>
      <c r="AK100" s="190"/>
      <c r="AL100" s="190"/>
      <c r="AM100" s="190"/>
      <c r="AN100" s="190"/>
      <c r="AO100" s="190"/>
      <c r="AP100" s="190"/>
      <c r="AQ100" s="190"/>
      <c r="AR100" s="190"/>
      <c r="AS100" s="190"/>
      <c r="AT100" s="190"/>
      <c r="AU100" s="190"/>
      <c r="AV100" s="190"/>
      <c r="AW100" s="190"/>
      <c r="AX100" s="190"/>
      <c r="AY100" s="190"/>
      <c r="AZ100" s="190"/>
      <c r="BA100" s="190"/>
      <c r="BB100" s="190"/>
      <c r="BC100" s="190"/>
    </row>
    <row r="101" spans="1:55" x14ac:dyDescent="0.2">
      <c r="A101" s="63" t="s">
        <v>164</v>
      </c>
      <c r="B101" s="64" t="s">
        <v>83</v>
      </c>
      <c r="C101" s="65">
        <v>2</v>
      </c>
      <c r="D101" s="65" t="s">
        <v>166</v>
      </c>
      <c r="E101" s="66" t="s">
        <v>163</v>
      </c>
      <c r="F101" s="68" t="str">
        <f t="shared" si="20"/>
        <v>USDAM3L57M_Quote</v>
      </c>
      <c r="G101" s="68" t="str">
        <f t="shared" si="21"/>
        <v>USDFF3L57M_Quote</v>
      </c>
      <c r="H101" s="69"/>
      <c r="J101" s="11" t="str">
        <f t="shared" si="16"/>
        <v>BasOIS</v>
      </c>
      <c r="K101" s="105" t="str">
        <f t="shared" si="17"/>
        <v>obj_00279#0012</v>
      </c>
      <c r="L101" s="108" t="str">
        <f>IFERROR(_xll.qlRateHelperQuoteName(K101,Trigger),"--")</f>
        <v>USDAM3L8Y_Quote</v>
      </c>
      <c r="M101" s="109">
        <f>IFERROR(_xll.qlRateHelperQuoteValue($K101,Trigger),"--")</f>
        <v>1.4569999999999998E-2</v>
      </c>
      <c r="N101" s="199" t="b">
        <f t="shared" si="22"/>
        <v>1</v>
      </c>
      <c r="O101" s="105">
        <v>60</v>
      </c>
      <c r="P101" s="105">
        <v>1</v>
      </c>
      <c r="Q101" s="110">
        <f>IFERROR(_xll.qlRateHelperEarliestDate(K101,Trigger),"--")</f>
        <v>42482</v>
      </c>
      <c r="R101" s="110">
        <f>IFERROR(_xll.qlRateHelperPillarDate(K101,Trigger),"--")</f>
        <v>45404</v>
      </c>
      <c r="T101" s="4" t="str">
        <f t="shared" si="11"/>
        <v/>
      </c>
      <c r="U101" s="4" t="e">
        <v>#N/A</v>
      </c>
      <c r="V101" s="4" t="str">
        <f>IFERROR(_xll.qlRateHelperQuoteName(U101,Trigger),"")</f>
        <v/>
      </c>
      <c r="W101" s="75" t="str">
        <f>IFERROR(_xll.qlRateHelperRate(U101,Trigger),"")</f>
        <v/>
      </c>
      <c r="X101" s="115" t="str">
        <f>IF(ISERROR(_xll.qlSwapRateHelperSpread($U101)),IF(ISERROR(_xll.qlFuturesRateHelperConvexityAdjustment($U101)),"",_xll.qlFuturesRateHelperConvexityAdjustment($U101)),_xll.qlSwapRateHelperSpread($U101))</f>
        <v/>
      </c>
      <c r="Y101" s="5" t="str">
        <f>IFERROR(_xll.qlRateHelperEarliestDate(U101,Trigger),"")</f>
        <v/>
      </c>
      <c r="Z101" s="5" t="str">
        <f>IFERROR(_xll.qlRateHelperPillarDate(U101,Trigger),"")</f>
        <v/>
      </c>
      <c r="AA101" s="5" t="e">
        <v>#N/A</v>
      </c>
      <c r="AB101" s="190"/>
      <c r="AC101" s="86"/>
      <c r="AD101" s="196"/>
      <c r="AE101" s="190"/>
      <c r="AF101" s="190"/>
      <c r="AG101" s="190"/>
      <c r="AH101" s="190"/>
      <c r="AI101" s="190"/>
      <c r="AJ101" s="190"/>
      <c r="AK101" s="190"/>
      <c r="AL101" s="190"/>
      <c r="AM101" s="190"/>
      <c r="AN101" s="190"/>
      <c r="AO101" s="190"/>
      <c r="AP101" s="190"/>
      <c r="AQ101" s="190"/>
      <c r="AR101" s="190"/>
      <c r="AS101" s="190"/>
      <c r="AT101" s="190"/>
      <c r="AU101" s="190"/>
      <c r="AV101" s="190"/>
      <c r="AW101" s="190"/>
      <c r="AX101" s="190"/>
      <c r="AY101" s="190"/>
      <c r="AZ101" s="190"/>
      <c r="BA101" s="190"/>
      <c r="BB101" s="190"/>
      <c r="BC101" s="190"/>
    </row>
    <row r="102" spans="1:55" x14ac:dyDescent="0.2">
      <c r="A102" s="63" t="s">
        <v>164</v>
      </c>
      <c r="B102" s="64" t="s">
        <v>84</v>
      </c>
      <c r="C102" s="65">
        <v>2</v>
      </c>
      <c r="D102" s="65" t="s">
        <v>166</v>
      </c>
      <c r="E102" s="66" t="s">
        <v>163</v>
      </c>
      <c r="F102" s="68" t="str">
        <f t="shared" si="20"/>
        <v>USDAM3L5Y_Quote</v>
      </c>
      <c r="G102" s="68" t="str">
        <f t="shared" si="21"/>
        <v>USDFF3L5Y_Quote</v>
      </c>
      <c r="H102" s="69" t="str">
        <f>_xll.qlOISAARateHelper(,C102,B102,F102,E102,G102,D102,TRUE,$G$62,$H$62,ExactFormula,,Permanent,Trigger,ObjectOverwrite)</f>
        <v>obj_0027a#0012</v>
      </c>
      <c r="J102" s="11" t="str">
        <f t="shared" si="16"/>
        <v>BasOIS</v>
      </c>
      <c r="K102" s="105" t="str">
        <f t="shared" si="17"/>
        <v>obj_0027b#0012</v>
      </c>
      <c r="L102" s="108" t="str">
        <f>IFERROR(_xll.qlRateHelperQuoteName(K102,Trigger),"--")</f>
        <v>USDAM3L9Y_Quote</v>
      </c>
      <c r="M102" s="109">
        <f>IFERROR(_xll.qlRateHelperQuoteValue($K102,Trigger),"--")</f>
        <v>1.532E-2</v>
      </c>
      <c r="N102" s="199" t="b">
        <f t="shared" si="22"/>
        <v>1</v>
      </c>
      <c r="O102" s="105">
        <v>60</v>
      </c>
      <c r="P102" s="105">
        <v>1</v>
      </c>
      <c r="Q102" s="110">
        <f>IFERROR(_xll.qlRateHelperEarliestDate(K102,Trigger),"--")</f>
        <v>42482</v>
      </c>
      <c r="R102" s="110">
        <f>IFERROR(_xll.qlRateHelperPillarDate(K102,Trigger),"--")</f>
        <v>45769</v>
      </c>
      <c r="T102" s="4" t="str">
        <f t="shared" si="11"/>
        <v/>
      </c>
      <c r="U102" s="4" t="e">
        <v>#N/A</v>
      </c>
      <c r="V102" s="4" t="str">
        <f>IFERROR(_xll.qlRateHelperQuoteName(U102,Trigger),"")</f>
        <v/>
      </c>
      <c r="W102" s="75" t="str">
        <f>IFERROR(_xll.qlRateHelperRate(U102,Trigger),"")</f>
        <v/>
      </c>
      <c r="X102" s="115" t="str">
        <f>IF(ISERROR(_xll.qlSwapRateHelperSpread($U102)),IF(ISERROR(_xll.qlFuturesRateHelperConvexityAdjustment($U102)),"",_xll.qlFuturesRateHelperConvexityAdjustment($U102)),_xll.qlSwapRateHelperSpread($U102))</f>
        <v/>
      </c>
      <c r="Y102" s="5" t="str">
        <f>IFERROR(_xll.qlRateHelperEarliestDate(U102,Trigger),"")</f>
        <v/>
      </c>
      <c r="Z102" s="5" t="str">
        <f>IFERROR(_xll.qlRateHelperPillarDate(U102,Trigger),"")</f>
        <v/>
      </c>
      <c r="AA102" s="5" t="e">
        <v>#N/A</v>
      </c>
      <c r="AB102" s="190"/>
      <c r="AC102" s="86"/>
      <c r="AD102" s="196"/>
      <c r="AE102" s="190"/>
      <c r="AF102" s="190"/>
      <c r="AG102" s="190"/>
      <c r="AH102" s="190"/>
      <c r="AI102" s="190"/>
      <c r="AJ102" s="190"/>
      <c r="AK102" s="190"/>
      <c r="AL102" s="190"/>
      <c r="AM102" s="190"/>
      <c r="AN102" s="190"/>
      <c r="AO102" s="190"/>
      <c r="AP102" s="190"/>
      <c r="AQ102" s="190"/>
      <c r="AR102" s="190"/>
      <c r="AS102" s="190"/>
      <c r="AT102" s="190"/>
      <c r="AU102" s="190"/>
      <c r="AV102" s="190"/>
      <c r="AW102" s="190"/>
      <c r="AX102" s="190"/>
      <c r="AY102" s="190"/>
      <c r="AZ102" s="190"/>
      <c r="BA102" s="190"/>
      <c r="BB102" s="190"/>
      <c r="BC102" s="190"/>
    </row>
    <row r="103" spans="1:55" x14ac:dyDescent="0.2">
      <c r="A103" s="63" t="s">
        <v>164</v>
      </c>
      <c r="B103" s="64" t="s">
        <v>85</v>
      </c>
      <c r="C103" s="65">
        <v>2</v>
      </c>
      <c r="D103" s="65" t="s">
        <v>166</v>
      </c>
      <c r="E103" s="66" t="s">
        <v>163</v>
      </c>
      <c r="F103" s="68" t="str">
        <f t="shared" si="20"/>
        <v>USDAM3L6Y_Quote</v>
      </c>
      <c r="G103" s="68" t="str">
        <f t="shared" si="21"/>
        <v>USDFF3L6Y_Quote</v>
      </c>
      <c r="H103" s="69" t="str">
        <f>_xll.qlOISAARateHelper(,C103,B103,F103,E103,G103,D103,TRUE,$G$62,$H$62,ExactFormula,,Permanent,Trigger,ObjectOverwrite)</f>
        <v>obj_00274#0012</v>
      </c>
      <c r="J103" s="11" t="str">
        <f t="shared" si="16"/>
        <v>BasOIS</v>
      </c>
      <c r="K103" s="105" t="str">
        <f t="shared" si="17"/>
        <v>obj_00278#0012</v>
      </c>
      <c r="L103" s="108" t="str">
        <f>IFERROR(_xll.qlRateHelperQuoteName(K103,Trigger),"--")</f>
        <v>USDAM3L10Y_Quote</v>
      </c>
      <c r="M103" s="109">
        <f>IFERROR(_xll.qlRateHelperQuoteValue($K103,Trigger),"--")</f>
        <v>1.602E-2</v>
      </c>
      <c r="N103" s="199" t="b">
        <f t="shared" si="22"/>
        <v>1</v>
      </c>
      <c r="O103" s="105">
        <v>60</v>
      </c>
      <c r="P103" s="105">
        <v>1</v>
      </c>
      <c r="Q103" s="110">
        <f>IFERROR(_xll.qlRateHelperEarliestDate(K103,Trigger),"--")</f>
        <v>42482</v>
      </c>
      <c r="R103" s="110">
        <f>IFERROR(_xll.qlRateHelperPillarDate(K103,Trigger),"--")</f>
        <v>46134</v>
      </c>
      <c r="T103" s="4" t="str">
        <f t="shared" si="11"/>
        <v/>
      </c>
      <c r="U103" s="4" t="e">
        <v>#N/A</v>
      </c>
      <c r="V103" s="4" t="str">
        <f>IFERROR(_xll.qlRateHelperQuoteName(U103,Trigger),"")</f>
        <v/>
      </c>
      <c r="W103" s="75" t="str">
        <f>IFERROR(_xll.qlRateHelperRate(U103,Trigger),"")</f>
        <v/>
      </c>
      <c r="X103" s="115" t="str">
        <f>IF(ISERROR(_xll.qlSwapRateHelperSpread($U103)),IF(ISERROR(_xll.qlFuturesRateHelperConvexityAdjustment($U103)),"",_xll.qlFuturesRateHelperConvexityAdjustment($U103)),_xll.qlSwapRateHelperSpread($U103))</f>
        <v/>
      </c>
      <c r="Y103" s="5" t="str">
        <f>IFERROR(_xll.qlRateHelperEarliestDate(U103,Trigger),"")</f>
        <v/>
      </c>
      <c r="Z103" s="5" t="str">
        <f>IFERROR(_xll.qlRateHelperPillarDate(U103,Trigger),"")</f>
        <v/>
      </c>
      <c r="AA103" s="5" t="e">
        <v>#N/A</v>
      </c>
      <c r="AB103" s="190"/>
      <c r="AC103" s="86"/>
      <c r="AD103" s="196"/>
      <c r="AE103" s="190"/>
      <c r="AF103" s="190"/>
      <c r="AG103" s="190"/>
      <c r="AH103" s="190"/>
      <c r="AI103" s="190"/>
      <c r="AJ103" s="190"/>
      <c r="AK103" s="190"/>
      <c r="AL103" s="190"/>
      <c r="AM103" s="190"/>
      <c r="AN103" s="190"/>
      <c r="AO103" s="190"/>
      <c r="AP103" s="190"/>
      <c r="AQ103" s="190"/>
      <c r="AR103" s="190"/>
      <c r="AS103" s="190"/>
      <c r="AT103" s="190"/>
      <c r="AU103" s="190"/>
      <c r="AV103" s="190"/>
      <c r="AW103" s="190"/>
      <c r="AX103" s="190"/>
      <c r="AY103" s="190"/>
      <c r="AZ103" s="190"/>
      <c r="BA103" s="190"/>
      <c r="BB103" s="190"/>
      <c r="BC103" s="190"/>
    </row>
    <row r="104" spans="1:55" x14ac:dyDescent="0.2">
      <c r="A104" s="63" t="s">
        <v>164</v>
      </c>
      <c r="B104" s="64" t="s">
        <v>86</v>
      </c>
      <c r="C104" s="65">
        <v>2</v>
      </c>
      <c r="D104" s="65" t="s">
        <v>166</v>
      </c>
      <c r="E104" s="66" t="s">
        <v>163</v>
      </c>
      <c r="F104" s="68" t="str">
        <f t="shared" si="20"/>
        <v>USDAM3L7Y_Quote</v>
      </c>
      <c r="G104" s="68" t="str">
        <f t="shared" si="21"/>
        <v>USDFF3L7Y_Quote</v>
      </c>
      <c r="H104" s="69" t="str">
        <f>_xll.qlOISAARateHelper(,C104,B104,F104,E104,G104,D104,TRUE,$G$62,$H$62,ExactFormula,,Permanent,Trigger,ObjectOverwrite)</f>
        <v>obj_0027c#0012</v>
      </c>
      <c r="J104" s="11" t="str">
        <f t="shared" si="16"/>
        <v>BasOIS</v>
      </c>
      <c r="K104" s="105" t="str">
        <f t="shared" si="17"/>
        <v>obj_0027f#0012</v>
      </c>
      <c r="L104" s="108" t="str">
        <f>IFERROR(_xll.qlRateHelperQuoteName(K104,Trigger),"--")</f>
        <v>USDAM3L12Y_Quote</v>
      </c>
      <c r="M104" s="109">
        <f>IFERROR(_xll.qlRateHelperQuoteValue($K104,Trigger),"--")</f>
        <v>1.7219999999999999E-2</v>
      </c>
      <c r="N104" s="199" t="b">
        <f t="shared" si="22"/>
        <v>1</v>
      </c>
      <c r="O104" s="105">
        <v>60</v>
      </c>
      <c r="P104" s="105">
        <v>1</v>
      </c>
      <c r="Q104" s="110">
        <f>IFERROR(_xll.qlRateHelperEarliestDate(K104,Trigger),"--")</f>
        <v>42482</v>
      </c>
      <c r="R104" s="110">
        <f>IFERROR(_xll.qlRateHelperPillarDate(K104,Trigger),"--")</f>
        <v>46867</v>
      </c>
      <c r="T104" s="4" t="str">
        <f t="shared" si="11"/>
        <v/>
      </c>
      <c r="U104" s="4" t="e">
        <v>#N/A</v>
      </c>
      <c r="V104" s="4" t="str">
        <f>IFERROR(_xll.qlRateHelperQuoteName(U104,Trigger),"")</f>
        <v/>
      </c>
      <c r="W104" s="75" t="str">
        <f>IFERROR(_xll.qlRateHelperRate(U104,Trigger),"")</f>
        <v/>
      </c>
      <c r="X104" s="115" t="str">
        <f>IF(ISERROR(_xll.qlSwapRateHelperSpread($U104)),IF(ISERROR(_xll.qlFuturesRateHelperConvexityAdjustment($U104)),"",_xll.qlFuturesRateHelperConvexityAdjustment($U104)),_xll.qlSwapRateHelperSpread($U104))</f>
        <v/>
      </c>
      <c r="Y104" s="5" t="str">
        <f>IFERROR(_xll.qlRateHelperEarliestDate(U104,Trigger),"")</f>
        <v/>
      </c>
      <c r="Z104" s="5" t="str">
        <f>IFERROR(_xll.qlRateHelperPillarDate(U104,Trigger),"")</f>
        <v/>
      </c>
      <c r="AA104" s="5" t="e">
        <v>#N/A</v>
      </c>
      <c r="AB104" s="190"/>
      <c r="AC104" s="86"/>
      <c r="AD104" s="196"/>
      <c r="AE104" s="190"/>
      <c r="AF104" s="190"/>
      <c r="AG104" s="190"/>
      <c r="AH104" s="190"/>
      <c r="AI104" s="190"/>
      <c r="AJ104" s="190"/>
      <c r="AK104" s="190"/>
      <c r="AL104" s="190"/>
      <c r="AM104" s="190"/>
      <c r="AN104" s="190"/>
      <c r="AO104" s="190"/>
      <c r="AP104" s="190"/>
      <c r="AQ104" s="190"/>
      <c r="AR104" s="190"/>
      <c r="AS104" s="190"/>
      <c r="AT104" s="190"/>
      <c r="AU104" s="190"/>
      <c r="AV104" s="190"/>
      <c r="AW104" s="190"/>
      <c r="AX104" s="190"/>
      <c r="AY104" s="190"/>
      <c r="AZ104" s="190"/>
      <c r="BA104" s="190"/>
      <c r="BB104" s="190"/>
      <c r="BC104" s="190"/>
    </row>
    <row r="105" spans="1:55" x14ac:dyDescent="0.2">
      <c r="A105" s="63" t="s">
        <v>164</v>
      </c>
      <c r="B105" s="64" t="s">
        <v>87</v>
      </c>
      <c r="C105" s="65">
        <v>2</v>
      </c>
      <c r="D105" s="65" t="s">
        <v>166</v>
      </c>
      <c r="E105" s="66" t="s">
        <v>163</v>
      </c>
      <c r="F105" s="68" t="str">
        <f t="shared" si="20"/>
        <v>USDAM3L8Y_Quote</v>
      </c>
      <c r="G105" s="68" t="str">
        <f t="shared" si="21"/>
        <v>USDFF3L8Y_Quote</v>
      </c>
      <c r="H105" s="69" t="str">
        <f>_xll.qlOISAARateHelper(,C105,B105,F105,E105,G105,D105,TRUE,$G$62,$H$62,ExactFormula,,Permanent,Trigger,ObjectOverwrite)</f>
        <v>obj_00279#0012</v>
      </c>
      <c r="J105" s="11" t="str">
        <f t="shared" si="16"/>
        <v>BasOIS</v>
      </c>
      <c r="K105" s="105" t="str">
        <f t="shared" si="17"/>
        <v>obj_00276#0012</v>
      </c>
      <c r="L105" s="108" t="str">
        <f>IFERROR(_xll.qlRateHelperQuoteName(K105,Trigger),"--")</f>
        <v>USDAM3L15Y_Quote</v>
      </c>
      <c r="M105" s="109">
        <f>IFERROR(_xll.qlRateHelperQuoteValue($K105,Trigger),"--")</f>
        <v>1.8489999999999999E-2</v>
      </c>
      <c r="N105" s="199" t="b">
        <f t="shared" si="22"/>
        <v>1</v>
      </c>
      <c r="O105" s="105">
        <v>60</v>
      </c>
      <c r="P105" s="105">
        <v>1</v>
      </c>
      <c r="Q105" s="110">
        <f>IFERROR(_xll.qlRateHelperEarliestDate(K105,Trigger),"--")</f>
        <v>42482</v>
      </c>
      <c r="R105" s="110">
        <f>IFERROR(_xll.qlRateHelperPillarDate(K105,Trigger),"--")</f>
        <v>47960</v>
      </c>
      <c r="T105" s="4" t="str">
        <f t="shared" si="11"/>
        <v/>
      </c>
      <c r="U105" s="4" t="e">
        <v>#N/A</v>
      </c>
      <c r="V105" s="4" t="str">
        <f>IFERROR(_xll.qlRateHelperQuoteName(U105,Trigger),"")</f>
        <v/>
      </c>
      <c r="W105" s="75" t="str">
        <f>IFERROR(_xll.qlRateHelperRate(U105,Trigger),"")</f>
        <v/>
      </c>
      <c r="X105" s="115" t="str">
        <f>IF(ISERROR(_xll.qlSwapRateHelperSpread($U105)),IF(ISERROR(_xll.qlFuturesRateHelperConvexityAdjustment($U105)),"",_xll.qlFuturesRateHelperConvexityAdjustment($U105)),_xll.qlSwapRateHelperSpread($U105))</f>
        <v/>
      </c>
      <c r="Y105" s="5" t="str">
        <f>IFERROR(_xll.qlRateHelperEarliestDate(U105,Trigger),"")</f>
        <v/>
      </c>
      <c r="Z105" s="5" t="str">
        <f>IFERROR(_xll.qlRateHelperPillarDate(U105,Trigger),"")</f>
        <v/>
      </c>
      <c r="AA105" s="5" t="e">
        <v>#N/A</v>
      </c>
      <c r="AB105" s="190"/>
      <c r="AC105" s="86"/>
      <c r="AD105" s="196"/>
      <c r="AE105" s="190"/>
      <c r="AF105" s="190"/>
      <c r="AG105" s="190"/>
      <c r="AH105" s="190"/>
      <c r="AI105" s="190"/>
      <c r="AJ105" s="190"/>
      <c r="AK105" s="190"/>
      <c r="AL105" s="190"/>
      <c r="AM105" s="190"/>
      <c r="AN105" s="190"/>
      <c r="AO105" s="190"/>
      <c r="AP105" s="190"/>
      <c r="AQ105" s="190"/>
      <c r="AR105" s="190"/>
      <c r="AS105" s="190"/>
      <c r="AT105" s="190"/>
      <c r="AU105" s="190"/>
      <c r="AV105" s="190"/>
      <c r="AW105" s="190"/>
      <c r="AX105" s="190"/>
      <c r="AY105" s="190"/>
      <c r="AZ105" s="190"/>
      <c r="BA105" s="190"/>
      <c r="BB105" s="190"/>
      <c r="BC105" s="190"/>
    </row>
    <row r="106" spans="1:55" x14ac:dyDescent="0.2">
      <c r="A106" s="63" t="s">
        <v>164</v>
      </c>
      <c r="B106" s="64" t="s">
        <v>88</v>
      </c>
      <c r="C106" s="65">
        <v>2</v>
      </c>
      <c r="D106" s="65" t="s">
        <v>166</v>
      </c>
      <c r="E106" s="66" t="s">
        <v>163</v>
      </c>
      <c r="F106" s="68" t="str">
        <f t="shared" si="20"/>
        <v>USDAM3L9Y_Quote</v>
      </c>
      <c r="G106" s="68" t="str">
        <f t="shared" si="21"/>
        <v>USDFF3L9Y_Quote</v>
      </c>
      <c r="H106" s="69" t="str">
        <f>_xll.qlOISAARateHelper(,C106,B106,F106,E106,G106,D106,TRUE,$G$62,$H$62,ExactFormula,,Permanent,Trigger,ObjectOverwrite)</f>
        <v>obj_0027b#0012</v>
      </c>
      <c r="J106" s="11" t="str">
        <f t="shared" si="16"/>
        <v>BasOIS</v>
      </c>
      <c r="K106" s="105" t="str">
        <f t="shared" si="17"/>
        <v>obj_0027e#0012</v>
      </c>
      <c r="L106" s="108" t="str">
        <f>IFERROR(_xll.qlRateHelperQuoteName(K106,Trigger),"--")</f>
        <v>USDAM3L20Y_Quote</v>
      </c>
      <c r="M106" s="109">
        <f>IFERROR(_xll.qlRateHelperQuoteValue($K106,Trigger),"--")</f>
        <v>1.9779999999999999E-2</v>
      </c>
      <c r="N106" s="199" t="b">
        <f t="shared" si="22"/>
        <v>1</v>
      </c>
      <c r="O106" s="105">
        <v>60</v>
      </c>
      <c r="P106" s="105">
        <v>1</v>
      </c>
      <c r="Q106" s="110">
        <f>IFERROR(_xll.qlRateHelperEarliestDate(K106,Trigger),"--")</f>
        <v>42482</v>
      </c>
      <c r="R106" s="110">
        <f>IFERROR(_xll.qlRateHelperPillarDate(K106,Trigger),"--")</f>
        <v>49787</v>
      </c>
      <c r="T106" s="4" t="str">
        <f t="shared" si="11"/>
        <v/>
      </c>
      <c r="U106" s="4" t="e">
        <v>#N/A</v>
      </c>
      <c r="V106" s="4" t="str">
        <f>IFERROR(_xll.qlRateHelperQuoteName(U106,Trigger),"")</f>
        <v/>
      </c>
      <c r="W106" s="75" t="str">
        <f>IFERROR(_xll.qlRateHelperRate(U106,Trigger),"")</f>
        <v/>
      </c>
      <c r="X106" s="115" t="str">
        <f>IF(ISERROR(_xll.qlSwapRateHelperSpread($U106)),IF(ISERROR(_xll.qlFuturesRateHelperConvexityAdjustment($U106)),"",_xll.qlFuturesRateHelperConvexityAdjustment($U106)),_xll.qlSwapRateHelperSpread($U106))</f>
        <v/>
      </c>
      <c r="Y106" s="5" t="str">
        <f>IFERROR(_xll.qlRateHelperEarliestDate(U106,Trigger),"")</f>
        <v/>
      </c>
      <c r="Z106" s="5" t="str">
        <f>IFERROR(_xll.qlRateHelperPillarDate(U106,Trigger),"")</f>
        <v/>
      </c>
      <c r="AA106" s="5" t="e">
        <v>#N/A</v>
      </c>
      <c r="AB106" s="190"/>
      <c r="AC106" s="86"/>
      <c r="AD106" s="196"/>
      <c r="AE106" s="190"/>
      <c r="AF106" s="190"/>
      <c r="AG106" s="190"/>
      <c r="AH106" s="190"/>
      <c r="AI106" s="190"/>
      <c r="AJ106" s="190"/>
      <c r="AK106" s="190"/>
      <c r="AL106" s="190"/>
      <c r="AM106" s="190"/>
      <c r="AN106" s="190"/>
      <c r="AO106" s="190"/>
      <c r="AP106" s="190"/>
      <c r="AQ106" s="190"/>
      <c r="AR106" s="190"/>
      <c r="AS106" s="190"/>
      <c r="AT106" s="190"/>
      <c r="AU106" s="190"/>
      <c r="AV106" s="190"/>
      <c r="AW106" s="190"/>
      <c r="AX106" s="190"/>
      <c r="AY106" s="190"/>
      <c r="AZ106" s="190"/>
      <c r="BA106" s="190"/>
      <c r="BB106" s="190"/>
      <c r="BC106" s="190"/>
    </row>
    <row r="107" spans="1:55" x14ac:dyDescent="0.2">
      <c r="A107" s="63" t="s">
        <v>164</v>
      </c>
      <c r="B107" s="64" t="s">
        <v>89</v>
      </c>
      <c r="C107" s="65">
        <v>2</v>
      </c>
      <c r="D107" s="65" t="s">
        <v>166</v>
      </c>
      <c r="E107" s="66" t="s">
        <v>163</v>
      </c>
      <c r="F107" s="68" t="str">
        <f t="shared" si="20"/>
        <v>USDAM3L10Y_Quote</v>
      </c>
      <c r="G107" s="68" t="str">
        <f t="shared" si="21"/>
        <v>USDFF3L10Y_Quote</v>
      </c>
      <c r="H107" s="69" t="str">
        <f>_xll.qlOISAARateHelper(,C107,B107,F107,E107,G107,D107,TRUE,$G$62,$H$62,ExactFormula,,Permanent,Trigger,ObjectOverwrite)</f>
        <v>obj_00278#0012</v>
      </c>
      <c r="J107" s="11" t="str">
        <f t="shared" si="16"/>
        <v>BasOIS</v>
      </c>
      <c r="K107" s="105" t="str">
        <f t="shared" si="17"/>
        <v>obj_0027d#0012</v>
      </c>
      <c r="L107" s="108" t="str">
        <f>IFERROR(_xll.qlRateHelperQuoteName(K107,Trigger),"--")</f>
        <v>USDAM3L25Y_Quote</v>
      </c>
      <c r="M107" s="109">
        <f>IFERROR(_xll.qlRateHelperQuoteValue($K107,Trigger),"--")</f>
        <v>2.0419999999999997E-2</v>
      </c>
      <c r="N107" s="199" t="b">
        <f t="shared" si="22"/>
        <v>1</v>
      </c>
      <c r="O107" s="105">
        <v>60</v>
      </c>
      <c r="P107" s="105">
        <v>1</v>
      </c>
      <c r="Q107" s="110">
        <f>IFERROR(_xll.qlRateHelperEarliestDate(K107,Trigger),"--")</f>
        <v>42482</v>
      </c>
      <c r="R107" s="110">
        <f>IFERROR(_xll.qlRateHelperPillarDate(K107,Trigger),"--")</f>
        <v>51613</v>
      </c>
      <c r="T107" s="4" t="str">
        <f t="shared" si="11"/>
        <v/>
      </c>
      <c r="U107" s="4" t="e">
        <v>#N/A</v>
      </c>
      <c r="V107" s="4" t="str">
        <f>IFERROR(_xll.qlRateHelperQuoteName(U107,Trigger),"")</f>
        <v/>
      </c>
      <c r="W107" s="75" t="str">
        <f>IFERROR(_xll.qlRateHelperRate(U107,Trigger),"")</f>
        <v/>
      </c>
      <c r="X107" s="115" t="str">
        <f>IF(ISERROR(_xll.qlSwapRateHelperSpread($U107)),IF(ISERROR(_xll.qlFuturesRateHelperConvexityAdjustment($U107)),"",_xll.qlFuturesRateHelperConvexityAdjustment($U107)),_xll.qlSwapRateHelperSpread($U107))</f>
        <v/>
      </c>
      <c r="Y107" s="5" t="str">
        <f>IFERROR(_xll.qlRateHelperEarliestDate(U107,Trigger),"")</f>
        <v/>
      </c>
      <c r="Z107" s="5" t="str">
        <f>IFERROR(_xll.qlRateHelperPillarDate(U107,Trigger),"")</f>
        <v/>
      </c>
      <c r="AA107" s="5" t="e">
        <v>#N/A</v>
      </c>
      <c r="AB107" s="190"/>
      <c r="AC107" s="86"/>
      <c r="AD107" s="196"/>
      <c r="AE107" s="190"/>
      <c r="AF107" s="190"/>
      <c r="AG107" s="190"/>
      <c r="AH107" s="190"/>
      <c r="AI107" s="190"/>
      <c r="AJ107" s="190"/>
      <c r="AK107" s="190"/>
      <c r="AL107" s="190"/>
      <c r="AM107" s="190"/>
      <c r="AN107" s="190"/>
      <c r="AO107" s="190"/>
      <c r="AP107" s="190"/>
      <c r="AQ107" s="190"/>
      <c r="AR107" s="190"/>
      <c r="AS107" s="190"/>
      <c r="AT107" s="190"/>
      <c r="AU107" s="190"/>
      <c r="AV107" s="190"/>
      <c r="AW107" s="190"/>
      <c r="AX107" s="190"/>
      <c r="AY107" s="190"/>
      <c r="AZ107" s="190"/>
      <c r="BA107" s="190"/>
      <c r="BB107" s="190"/>
      <c r="BC107" s="190"/>
    </row>
    <row r="108" spans="1:55" x14ac:dyDescent="0.2">
      <c r="A108" s="63" t="s">
        <v>164</v>
      </c>
      <c r="B108" s="64" t="s">
        <v>90</v>
      </c>
      <c r="C108" s="65">
        <v>2</v>
      </c>
      <c r="D108" s="65" t="s">
        <v>166</v>
      </c>
      <c r="E108" s="66" t="s">
        <v>163</v>
      </c>
      <c r="F108" s="68" t="str">
        <f t="shared" si="20"/>
        <v>USDAM3L12Y_Quote</v>
      </c>
      <c r="G108" s="68" t="str">
        <f t="shared" si="21"/>
        <v>USDFF3L12Y_Quote</v>
      </c>
      <c r="H108" s="69" t="str">
        <f>_xll.qlOISAARateHelper(,C108,B108,F108,E108,G108,D108,TRUE,$G$62,$H$62,ExactFormula,,Permanent,Trigger,ObjectOverwrite)</f>
        <v>obj_0027f#0012</v>
      </c>
      <c r="J108" s="11" t="str">
        <f t="shared" si="16"/>
        <v>BasOIS</v>
      </c>
      <c r="K108" s="105" t="str">
        <f t="shared" si="17"/>
        <v>--</v>
      </c>
      <c r="L108" s="108" t="str">
        <f>IFERROR(_xll.qlRateHelperQuoteName(K108,Trigger),"--")</f>
        <v>--</v>
      </c>
      <c r="M108" s="109" t="str">
        <f>IFERROR(_xll.qlRateHelperQuoteValue($K108,Trigger),"--")</f>
        <v>--</v>
      </c>
      <c r="N108" s="108" t="b">
        <v>0</v>
      </c>
      <c r="O108" s="105">
        <v>60</v>
      </c>
      <c r="P108" s="105">
        <v>1</v>
      </c>
      <c r="Q108" s="110" t="str">
        <f>IFERROR(_xll.qlRateHelperEarliestDate(K108,Trigger),"--")</f>
        <v>--</v>
      </c>
      <c r="R108" s="110" t="str">
        <f>IFERROR(_xll.qlRateHelperPillarDate(K108,Trigger),"--")</f>
        <v>--</v>
      </c>
      <c r="T108" s="4" t="str">
        <f t="shared" si="11"/>
        <v/>
      </c>
      <c r="U108" s="4" t="e">
        <v>#N/A</v>
      </c>
      <c r="V108" s="4" t="str">
        <f>IFERROR(_xll.qlRateHelperQuoteName(U108,Trigger),"")</f>
        <v/>
      </c>
      <c r="W108" s="75" t="str">
        <f>IFERROR(_xll.qlRateHelperRate(U108,Trigger),"")</f>
        <v/>
      </c>
      <c r="X108" s="115" t="str">
        <f>IF(ISERROR(_xll.qlSwapRateHelperSpread($U108)),IF(ISERROR(_xll.qlFuturesRateHelperConvexityAdjustment($U108)),"",_xll.qlFuturesRateHelperConvexityAdjustment($U108)),_xll.qlSwapRateHelperSpread($U108))</f>
        <v/>
      </c>
      <c r="Y108" s="5" t="str">
        <f>IFERROR(_xll.qlRateHelperEarliestDate(U108,Trigger),"")</f>
        <v/>
      </c>
      <c r="Z108" s="5" t="str">
        <f>IFERROR(_xll.qlRateHelperPillarDate(U108,Trigger),"")</f>
        <v/>
      </c>
      <c r="AA108" s="5" t="e">
        <v>#N/A</v>
      </c>
      <c r="AB108" s="190"/>
      <c r="AC108" s="86"/>
      <c r="AD108" s="196"/>
      <c r="AE108" s="190"/>
      <c r="AF108" s="190"/>
      <c r="AG108" s="190"/>
      <c r="AH108" s="190"/>
      <c r="AI108" s="190"/>
      <c r="AJ108" s="190"/>
      <c r="AK108" s="190"/>
      <c r="AL108" s="190"/>
      <c r="AM108" s="190"/>
      <c r="AN108" s="190"/>
      <c r="AO108" s="190"/>
      <c r="AP108" s="190"/>
      <c r="AQ108" s="190"/>
      <c r="AR108" s="190"/>
      <c r="AS108" s="190"/>
      <c r="AT108" s="190"/>
      <c r="AU108" s="190"/>
      <c r="AV108" s="190"/>
      <c r="AW108" s="190"/>
      <c r="AX108" s="190"/>
      <c r="AY108" s="190"/>
      <c r="AZ108" s="190"/>
      <c r="BA108" s="190"/>
      <c r="BB108" s="190"/>
      <c r="BC108" s="190"/>
    </row>
    <row r="109" spans="1:55" x14ac:dyDescent="0.2">
      <c r="A109" s="63" t="s">
        <v>164</v>
      </c>
      <c r="B109" s="64" t="s">
        <v>91</v>
      </c>
      <c r="C109" s="65">
        <v>2</v>
      </c>
      <c r="D109" s="65" t="s">
        <v>166</v>
      </c>
      <c r="E109" s="66" t="s">
        <v>163</v>
      </c>
      <c r="F109" s="68" t="str">
        <f t="shared" si="20"/>
        <v>USDAM3L15Y_Quote</v>
      </c>
      <c r="G109" s="68" t="str">
        <f t="shared" si="21"/>
        <v>USDFF3L15Y_Quote</v>
      </c>
      <c r="H109" s="69" t="str">
        <f>_xll.qlOISAARateHelper(,C109,B109,F109,E109,G109,D109,TRUE,$G$62,$H$62,ExactFormula,,Permanent,Trigger,ObjectOverwrite)</f>
        <v>obj_00276#0012</v>
      </c>
      <c r="J109" s="11" t="str">
        <f t="shared" si="16"/>
        <v>BasOIS</v>
      </c>
      <c r="K109" s="105" t="str">
        <f t="shared" si="17"/>
        <v>obj_00277#0012</v>
      </c>
      <c r="L109" s="108" t="str">
        <f>IFERROR(_xll.qlRateHelperQuoteName(K109,Trigger),"--")</f>
        <v>USDAM3L30Y_Quote</v>
      </c>
      <c r="M109" s="109">
        <f>IFERROR(_xll.qlRateHelperQuoteValue($K109,Trigger),"--")</f>
        <v>2.077E-2</v>
      </c>
      <c r="N109" s="199" t="b">
        <f>ArithmeticFF</f>
        <v>1</v>
      </c>
      <c r="O109" s="105">
        <v>60</v>
      </c>
      <c r="P109" s="105">
        <v>1</v>
      </c>
      <c r="Q109" s="110">
        <f>IFERROR(_xll.qlRateHelperEarliestDate(K109,Trigger),"--")</f>
        <v>42482</v>
      </c>
      <c r="R109" s="110">
        <f>IFERROR(_xll.qlRateHelperPillarDate(K109,Trigger),"--")</f>
        <v>53440</v>
      </c>
      <c r="T109" s="4" t="str">
        <f t="shared" si="11"/>
        <v/>
      </c>
      <c r="U109" s="4" t="e">
        <v>#N/A</v>
      </c>
      <c r="V109" s="4" t="str">
        <f>IFERROR(_xll.qlRateHelperQuoteName(U109,Trigger),"")</f>
        <v/>
      </c>
      <c r="W109" s="75" t="str">
        <f>IFERROR(_xll.qlRateHelperRate(U109,Trigger),"")</f>
        <v/>
      </c>
      <c r="X109" s="115" t="str">
        <f>IF(ISERROR(_xll.qlSwapRateHelperSpread($U109)),IF(ISERROR(_xll.qlFuturesRateHelperConvexityAdjustment($U109)),"",_xll.qlFuturesRateHelperConvexityAdjustment($U109)),_xll.qlSwapRateHelperSpread($U109))</f>
        <v/>
      </c>
      <c r="Y109" s="5" t="str">
        <f>IFERROR(_xll.qlRateHelperEarliestDate(U109,Trigger),"")</f>
        <v/>
      </c>
      <c r="Z109" s="5" t="str">
        <f>IFERROR(_xll.qlRateHelperPillarDate(U109,Trigger),"")</f>
        <v/>
      </c>
      <c r="AA109" s="5" t="e">
        <v>#N/A</v>
      </c>
      <c r="AB109" s="190"/>
      <c r="AC109" s="86"/>
      <c r="AD109" s="196"/>
      <c r="AE109" s="190"/>
      <c r="AF109" s="190"/>
      <c r="AG109" s="190"/>
      <c r="AH109" s="190"/>
      <c r="AI109" s="190"/>
      <c r="AJ109" s="190"/>
      <c r="AK109" s="190"/>
      <c r="AL109" s="190"/>
      <c r="AM109" s="190"/>
      <c r="AN109" s="190"/>
      <c r="AO109" s="190"/>
      <c r="AP109" s="190"/>
      <c r="AQ109" s="190"/>
      <c r="AR109" s="190"/>
      <c r="AS109" s="190"/>
      <c r="AT109" s="190"/>
      <c r="AU109" s="190"/>
      <c r="AV109" s="190"/>
      <c r="AW109" s="190"/>
      <c r="AX109" s="190"/>
      <c r="AY109" s="190"/>
      <c r="AZ109" s="190"/>
      <c r="BA109" s="190"/>
      <c r="BB109" s="190"/>
      <c r="BC109" s="190"/>
    </row>
    <row r="110" spans="1:55" x14ac:dyDescent="0.2">
      <c r="A110" s="63" t="s">
        <v>164</v>
      </c>
      <c r="B110" s="64" t="s">
        <v>92</v>
      </c>
      <c r="C110" s="65">
        <v>2</v>
      </c>
      <c r="D110" s="65" t="s">
        <v>166</v>
      </c>
      <c r="E110" s="66" t="s">
        <v>163</v>
      </c>
      <c r="F110" s="68" t="str">
        <f t="shared" si="20"/>
        <v>USDAM3L20Y_Quote</v>
      </c>
      <c r="G110" s="68" t="str">
        <f t="shared" si="21"/>
        <v>USDFF3L20Y_Quote</v>
      </c>
      <c r="H110" s="69" t="str">
        <f>_xll.qlOISAARateHelper(,C110,B110,F110,E110,G110,D110,TRUE,$G$62,$H$62,ExactFormula,,Permanent,Trigger,ObjectOverwrite)</f>
        <v>obj_0027e#0012</v>
      </c>
      <c r="J110" s="11" t="str">
        <f t="shared" si="16"/>
        <v>BasOIS</v>
      </c>
      <c r="K110" s="105" t="str">
        <f t="shared" si="17"/>
        <v>--</v>
      </c>
      <c r="L110" s="108" t="str">
        <f>IFERROR(_xll.qlRateHelperQuoteName(K110,Trigger),"--")</f>
        <v>--</v>
      </c>
      <c r="M110" s="109" t="str">
        <f>IFERROR(_xll.qlRateHelperQuoteValue($K110,Trigger),"--")</f>
        <v>--</v>
      </c>
      <c r="N110" s="108" t="b">
        <v>0</v>
      </c>
      <c r="O110" s="105">
        <v>60</v>
      </c>
      <c r="P110" s="105">
        <v>1</v>
      </c>
      <c r="Q110" s="110" t="str">
        <f>IFERROR(_xll.qlRateHelperEarliestDate(K110,Trigger),"--")</f>
        <v>--</v>
      </c>
      <c r="R110" s="110" t="str">
        <f>IFERROR(_xll.qlRateHelperPillarDate(K110,Trigger),"--")</f>
        <v>--</v>
      </c>
      <c r="T110" s="4" t="str">
        <f t="shared" si="11"/>
        <v/>
      </c>
      <c r="U110" s="4" t="e">
        <v>#N/A</v>
      </c>
      <c r="V110" s="4" t="str">
        <f>IFERROR(_xll.qlRateHelperQuoteName(U110,Trigger),"")</f>
        <v/>
      </c>
      <c r="W110" s="75" t="str">
        <f>IFERROR(_xll.qlRateHelperRate(U110,Trigger),"")</f>
        <v/>
      </c>
      <c r="X110" s="115" t="str">
        <f>IF(ISERROR(_xll.qlSwapRateHelperSpread($U110)),IF(ISERROR(_xll.qlFuturesRateHelperConvexityAdjustment($U110)),"",_xll.qlFuturesRateHelperConvexityAdjustment($U110)),_xll.qlSwapRateHelperSpread($U110))</f>
        <v/>
      </c>
      <c r="Y110" s="5" t="str">
        <f>IFERROR(_xll.qlRateHelperEarliestDate(U110,Trigger),"")</f>
        <v/>
      </c>
      <c r="Z110" s="5" t="str">
        <f>IFERROR(_xll.qlRateHelperPillarDate(U110,Trigger),"")</f>
        <v/>
      </c>
      <c r="AA110" s="5" t="e">
        <v>#N/A</v>
      </c>
      <c r="AB110" s="190"/>
      <c r="AC110" s="86"/>
      <c r="AD110" s="196"/>
      <c r="AE110" s="190"/>
      <c r="AF110" s="190"/>
      <c r="AG110" s="190"/>
      <c r="AH110" s="190"/>
      <c r="AI110" s="190"/>
      <c r="AJ110" s="190"/>
      <c r="AK110" s="190"/>
      <c r="AL110" s="190"/>
      <c r="AM110" s="190"/>
      <c r="AN110" s="190"/>
      <c r="AO110" s="190"/>
      <c r="AP110" s="190"/>
      <c r="AQ110" s="190"/>
      <c r="AR110" s="190"/>
      <c r="AS110" s="190"/>
      <c r="AT110" s="190"/>
      <c r="AU110" s="190"/>
      <c r="AV110" s="190"/>
      <c r="AW110" s="190"/>
      <c r="AX110" s="190"/>
      <c r="AY110" s="190"/>
      <c r="AZ110" s="190"/>
      <c r="BA110" s="190"/>
      <c r="BB110" s="190"/>
      <c r="BC110" s="190"/>
    </row>
    <row r="111" spans="1:55" x14ac:dyDescent="0.2">
      <c r="A111" s="63" t="s">
        <v>164</v>
      </c>
      <c r="B111" s="64" t="s">
        <v>93</v>
      </c>
      <c r="C111" s="65">
        <v>2</v>
      </c>
      <c r="D111" s="65" t="s">
        <v>166</v>
      </c>
      <c r="E111" s="66" t="s">
        <v>163</v>
      </c>
      <c r="F111" s="68" t="str">
        <f t="shared" si="20"/>
        <v>USDAM3L25Y_Quote</v>
      </c>
      <c r="G111" s="68" t="str">
        <f t="shared" si="21"/>
        <v>USDFF3L25Y_Quote</v>
      </c>
      <c r="H111" s="69" t="str">
        <f>_xll.qlOISAARateHelper(,C111,B111,F111,E111,G111,D111,TRUE,$G$62,$H$62,ExactFormula,,Permanent,Trigger,ObjectOverwrite)</f>
        <v>obj_0027d#0012</v>
      </c>
      <c r="J111" s="11" t="str">
        <f t="shared" si="16"/>
        <v>BasOIS</v>
      </c>
      <c r="K111" s="105" t="str">
        <f t="shared" si="17"/>
        <v>--</v>
      </c>
      <c r="L111" s="108" t="str">
        <f>IFERROR(_xll.qlRateHelperQuoteName(K111,Trigger),"--")</f>
        <v>--</v>
      </c>
      <c r="M111" s="109" t="str">
        <f>IFERROR(_xll.qlRateHelperQuoteValue($K111,Trigger),"--")</f>
        <v>--</v>
      </c>
      <c r="N111" s="108" t="b">
        <v>0</v>
      </c>
      <c r="O111" s="105">
        <v>60</v>
      </c>
      <c r="P111" s="105">
        <v>1</v>
      </c>
      <c r="Q111" s="110" t="str">
        <f>IFERROR(_xll.qlRateHelperEarliestDate(K111,Trigger),"--")</f>
        <v>--</v>
      </c>
      <c r="R111" s="110" t="str">
        <f>IFERROR(_xll.qlRateHelperPillarDate(K111,Trigger),"--")</f>
        <v>--</v>
      </c>
      <c r="T111" s="4" t="str">
        <f t="shared" si="11"/>
        <v/>
      </c>
      <c r="U111" s="4" t="e">
        <v>#N/A</v>
      </c>
      <c r="V111" s="4" t="str">
        <f>IFERROR(_xll.qlRateHelperQuoteName(U111,Trigger),"")</f>
        <v/>
      </c>
      <c r="W111" s="75" t="str">
        <f>IFERROR(_xll.qlRateHelperRate(U111,Trigger),"")</f>
        <v/>
      </c>
      <c r="X111" s="115" t="str">
        <f>IF(ISERROR(_xll.qlSwapRateHelperSpread($U111)),IF(ISERROR(_xll.qlFuturesRateHelperConvexityAdjustment($U111)),"",_xll.qlFuturesRateHelperConvexityAdjustment($U111)),_xll.qlSwapRateHelperSpread($U111))</f>
        <v/>
      </c>
      <c r="Y111" s="5" t="str">
        <f>IFERROR(_xll.qlRateHelperEarliestDate(U111,Trigger),"")</f>
        <v/>
      </c>
      <c r="Z111" s="5" t="str">
        <f>IFERROR(_xll.qlRateHelperPillarDate(U111,Trigger),"")</f>
        <v/>
      </c>
      <c r="AA111" s="5" t="e">
        <v>#N/A</v>
      </c>
      <c r="AB111" s="190"/>
      <c r="AC111" s="86"/>
      <c r="AD111" s="196"/>
      <c r="AE111" s="190"/>
      <c r="AF111" s="190"/>
      <c r="AG111" s="190"/>
      <c r="AH111" s="190"/>
      <c r="AI111" s="190"/>
      <c r="AJ111" s="190"/>
      <c r="AK111" s="190"/>
      <c r="AL111" s="190"/>
      <c r="AM111" s="190"/>
      <c r="AN111" s="190"/>
      <c r="AO111" s="190"/>
      <c r="AP111" s="190"/>
      <c r="AQ111" s="190"/>
      <c r="AR111" s="190"/>
      <c r="AS111" s="190"/>
      <c r="AT111" s="190"/>
      <c r="AU111" s="190"/>
      <c r="AV111" s="190"/>
      <c r="AW111" s="190"/>
      <c r="AX111" s="190"/>
      <c r="AY111" s="190"/>
      <c r="AZ111" s="190"/>
      <c r="BA111" s="190"/>
      <c r="BB111" s="190"/>
      <c r="BC111" s="190"/>
    </row>
    <row r="112" spans="1:55" x14ac:dyDescent="0.2">
      <c r="A112" s="63" t="s">
        <v>164</v>
      </c>
      <c r="B112" s="64" t="s">
        <v>94</v>
      </c>
      <c r="C112" s="65">
        <v>2</v>
      </c>
      <c r="D112" s="65" t="s">
        <v>166</v>
      </c>
      <c r="E112" s="66" t="s">
        <v>163</v>
      </c>
      <c r="F112" s="68" t="str">
        <f t="shared" si="20"/>
        <v>USDAM3L27Y_Quote</v>
      </c>
      <c r="G112" s="68" t="str">
        <f t="shared" si="21"/>
        <v>USDFF3L27Y_Quote</v>
      </c>
      <c r="H112" s="69"/>
      <c r="J112" s="11" t="str">
        <f t="shared" si="16"/>
        <v>BasOIS</v>
      </c>
      <c r="K112" s="105" t="str">
        <f t="shared" si="17"/>
        <v>--</v>
      </c>
      <c r="L112" s="108" t="str">
        <f>IFERROR(_xll.qlRateHelperQuoteName(K112,Trigger),"--")</f>
        <v>--</v>
      </c>
      <c r="M112" s="109" t="str">
        <f>IFERROR(_xll.qlRateHelperQuoteValue($K112,Trigger),"--")</f>
        <v>--</v>
      </c>
      <c r="N112" s="108" t="b">
        <v>0</v>
      </c>
      <c r="O112" s="105">
        <v>60</v>
      </c>
      <c r="P112" s="105">
        <v>1</v>
      </c>
      <c r="Q112" s="110" t="str">
        <f>IFERROR(_xll.qlRateHelperEarliestDate(K112,Trigger),"--")</f>
        <v>--</v>
      </c>
      <c r="R112" s="110" t="str">
        <f>IFERROR(_xll.qlRateHelperPillarDate(K112,Trigger),"--")</f>
        <v>--</v>
      </c>
      <c r="T112" s="4" t="str">
        <f t="shared" ref="T112:T113" si="23">IFERROR(INDEX($J$3:$J$113,MATCH(V112,$L$3:$L$113,0),1),"")</f>
        <v/>
      </c>
      <c r="U112" s="4" t="e">
        <v>#N/A</v>
      </c>
      <c r="V112" s="4" t="str">
        <f>IFERROR(_xll.qlRateHelperQuoteName(U112,Trigger),"")</f>
        <v/>
      </c>
      <c r="W112" s="75" t="str">
        <f>IFERROR(_xll.qlRateHelperRate(U112,Trigger),"")</f>
        <v/>
      </c>
      <c r="X112" s="115" t="str">
        <f>IF(ISERROR(_xll.qlSwapRateHelperSpread($U112)),IF(ISERROR(_xll.qlFuturesRateHelperConvexityAdjustment($U112)),"",_xll.qlFuturesRateHelperConvexityAdjustment($U112)),_xll.qlSwapRateHelperSpread($U112))</f>
        <v/>
      </c>
      <c r="Y112" s="5" t="str">
        <f>IFERROR(_xll.qlRateHelperEarliestDate(U112,Trigger),"")</f>
        <v/>
      </c>
      <c r="Z112" s="5" t="str">
        <f>IFERROR(_xll.qlRateHelperPillarDate(U112,Trigger),"")</f>
        <v/>
      </c>
      <c r="AA112" s="5" t="e">
        <v>#N/A</v>
      </c>
      <c r="AB112" s="190"/>
      <c r="AC112" s="86"/>
      <c r="AD112" s="196"/>
      <c r="AE112" s="190"/>
      <c r="AF112" s="190"/>
      <c r="AG112" s="190"/>
      <c r="AH112" s="190"/>
      <c r="AI112" s="190"/>
      <c r="AJ112" s="190"/>
      <c r="AK112" s="190"/>
      <c r="AL112" s="190"/>
      <c r="AM112" s="190"/>
      <c r="AN112" s="190"/>
      <c r="AO112" s="190"/>
      <c r="AP112" s="190"/>
      <c r="AQ112" s="190"/>
      <c r="AR112" s="190"/>
      <c r="AS112" s="190"/>
      <c r="AT112" s="190"/>
      <c r="AU112" s="190"/>
      <c r="AV112" s="190"/>
      <c r="AW112" s="190"/>
      <c r="AX112" s="190"/>
      <c r="AY112" s="190"/>
      <c r="AZ112" s="190"/>
      <c r="BA112" s="190"/>
      <c r="BB112" s="190"/>
      <c r="BC112" s="190"/>
    </row>
    <row r="113" spans="1:55" x14ac:dyDescent="0.2">
      <c r="A113" s="63" t="s">
        <v>164</v>
      </c>
      <c r="B113" s="64" t="s">
        <v>95</v>
      </c>
      <c r="C113" s="65">
        <v>2</v>
      </c>
      <c r="D113" s="65" t="s">
        <v>166</v>
      </c>
      <c r="E113" s="66" t="s">
        <v>163</v>
      </c>
      <c r="F113" s="68" t="str">
        <f t="shared" si="20"/>
        <v>USDAM3L30Y_Quote</v>
      </c>
      <c r="G113" s="68" t="str">
        <f t="shared" si="21"/>
        <v>USDFF3L30Y_Quote</v>
      </c>
      <c r="H113" s="69" t="str">
        <f>_xll.qlOISAARateHelper(,C113,B113,F113,E113,G113,D113,TRUE,$G$62,$H$62,ExactFormula,,Permanent,Trigger,ObjectOverwrite)</f>
        <v>obj_00277#0012</v>
      </c>
      <c r="J113" s="12" t="str">
        <f t="shared" si="16"/>
        <v>BasOIS</v>
      </c>
      <c r="K113" s="106" t="str">
        <f t="shared" si="17"/>
        <v>--</v>
      </c>
      <c r="L113" s="111" t="str">
        <f>IFERROR(_xll.qlRateHelperQuoteName(K113,Trigger),"--")</f>
        <v>--</v>
      </c>
      <c r="M113" s="112" t="str">
        <f>IFERROR(_xll.qlRateHelperQuoteValue($K113,Trigger),"--")</f>
        <v>--</v>
      </c>
      <c r="N113" s="111" t="b">
        <v>0</v>
      </c>
      <c r="O113" s="106">
        <v>60</v>
      </c>
      <c r="P113" s="106">
        <v>1</v>
      </c>
      <c r="Q113" s="113" t="str">
        <f>IFERROR(_xll.qlRateHelperEarliestDate(K113,Trigger),"--")</f>
        <v>--</v>
      </c>
      <c r="R113" s="113" t="str">
        <f>IFERROR(_xll.qlRateHelperPillarDate(K113,Trigger),"--")</f>
        <v>--</v>
      </c>
      <c r="T113" s="6" t="str">
        <f t="shared" si="23"/>
        <v/>
      </c>
      <c r="U113" s="6" t="e">
        <v>#N/A</v>
      </c>
      <c r="V113" s="6" t="str">
        <f>IFERROR(_xll.qlRateHelperQuoteName(U113,Trigger),"")</f>
        <v/>
      </c>
      <c r="W113" s="85" t="str">
        <f>IFERROR(_xll.qlRateHelperRate(U113,Trigger),"")</f>
        <v/>
      </c>
      <c r="X113" s="116" t="str">
        <f>IF(ISERROR(_xll.qlSwapRateHelperSpread($U113)),IF(ISERROR(_xll.qlFuturesRateHelperConvexityAdjustment($U113)),"",_xll.qlFuturesRateHelperConvexityAdjustment($U113)),_xll.qlSwapRateHelperSpread($U113))</f>
        <v/>
      </c>
      <c r="Y113" s="13" t="str">
        <f>IFERROR(_xll.qlRateHelperEarliestDate(U113,Trigger),"")</f>
        <v/>
      </c>
      <c r="Z113" s="13" t="str">
        <f>IFERROR(_xll.qlRateHelperPillarDate(U113,Trigger),"")</f>
        <v/>
      </c>
      <c r="AA113" s="13" t="e">
        <v>#N/A</v>
      </c>
      <c r="AB113" s="190"/>
      <c r="AC113" s="86"/>
      <c r="AD113" s="196"/>
      <c r="AE113" s="190"/>
      <c r="AF113" s="190"/>
      <c r="AG113" s="190"/>
      <c r="AH113" s="190"/>
      <c r="AI113" s="190"/>
      <c r="AJ113" s="190"/>
      <c r="AK113" s="190"/>
      <c r="AL113" s="190"/>
      <c r="AM113" s="190"/>
      <c r="AN113" s="190"/>
      <c r="AO113" s="190"/>
      <c r="AP113" s="190"/>
      <c r="AQ113" s="190"/>
      <c r="AR113" s="190"/>
      <c r="AS113" s="190"/>
      <c r="AT113" s="190"/>
      <c r="AU113" s="190"/>
      <c r="AV113" s="190"/>
      <c r="AW113" s="190"/>
      <c r="AX113" s="190"/>
      <c r="AY113" s="190"/>
      <c r="AZ113" s="190"/>
      <c r="BA113" s="190"/>
      <c r="BB113" s="190"/>
      <c r="BC113" s="190"/>
    </row>
    <row r="114" spans="1:55" x14ac:dyDescent="0.2">
      <c r="A114" s="63" t="s">
        <v>164</v>
      </c>
      <c r="B114" s="64" t="s">
        <v>96</v>
      </c>
      <c r="C114" s="65">
        <v>2</v>
      </c>
      <c r="D114" s="65" t="s">
        <v>166</v>
      </c>
      <c r="E114" s="66" t="s">
        <v>163</v>
      </c>
      <c r="F114" s="68" t="str">
        <f t="shared" si="20"/>
        <v>USDAM3L35Y_Quote</v>
      </c>
      <c r="G114" s="68" t="str">
        <f t="shared" si="21"/>
        <v>USDFF3L35Y_Quote</v>
      </c>
      <c r="H114" s="69"/>
      <c r="AB114" s="190"/>
      <c r="AC114" s="190"/>
      <c r="AD114" s="190"/>
      <c r="AE114" s="190"/>
      <c r="AF114" s="190"/>
      <c r="AG114" s="190"/>
      <c r="AH114" s="190"/>
      <c r="AI114" s="190"/>
      <c r="AJ114" s="190"/>
      <c r="AK114" s="190"/>
      <c r="AL114" s="190"/>
      <c r="AM114" s="190"/>
      <c r="AN114" s="190"/>
      <c r="AO114" s="190"/>
      <c r="AP114" s="190"/>
      <c r="AQ114" s="190"/>
      <c r="AR114" s="190"/>
      <c r="AS114" s="190"/>
      <c r="AT114" s="190"/>
      <c r="AU114" s="190"/>
      <c r="AV114" s="190"/>
      <c r="AW114" s="190"/>
      <c r="AX114" s="190"/>
      <c r="AY114" s="190"/>
      <c r="AZ114" s="190"/>
      <c r="BA114" s="190"/>
      <c r="BB114" s="190"/>
      <c r="BC114" s="190"/>
    </row>
    <row r="115" spans="1:55" x14ac:dyDescent="0.2">
      <c r="A115" s="63" t="s">
        <v>164</v>
      </c>
      <c r="B115" s="64" t="s">
        <v>97</v>
      </c>
      <c r="C115" s="65">
        <v>2</v>
      </c>
      <c r="D115" s="65" t="s">
        <v>166</v>
      </c>
      <c r="E115" s="66" t="s">
        <v>163</v>
      </c>
      <c r="F115" s="68" t="str">
        <f t="shared" si="20"/>
        <v>USDAM3L40Y_Quote</v>
      </c>
      <c r="G115" s="68" t="str">
        <f t="shared" si="21"/>
        <v>USDFF3L40Y_Quote</v>
      </c>
      <c r="H115" s="69"/>
      <c r="AB115" s="190"/>
      <c r="AC115" s="190"/>
      <c r="AD115" s="190"/>
      <c r="AE115" s="190"/>
      <c r="AF115" s="190"/>
      <c r="AG115" s="190"/>
      <c r="AH115" s="190"/>
      <c r="AI115" s="190"/>
      <c r="AJ115" s="190"/>
      <c r="AK115" s="190"/>
      <c r="AL115" s="190"/>
      <c r="AM115" s="190"/>
      <c r="AN115" s="190"/>
      <c r="AO115" s="190"/>
      <c r="AP115" s="190"/>
      <c r="AQ115" s="190"/>
      <c r="AR115" s="190"/>
      <c r="AS115" s="190"/>
      <c r="AT115" s="190"/>
      <c r="AU115" s="190"/>
      <c r="AV115" s="190"/>
      <c r="AW115" s="190"/>
      <c r="AX115" s="190"/>
      <c r="AY115" s="190"/>
      <c r="AZ115" s="190"/>
      <c r="BA115" s="190"/>
      <c r="BB115" s="190"/>
      <c r="BC115" s="190"/>
    </row>
    <row r="116" spans="1:55" x14ac:dyDescent="0.2">
      <c r="A116" s="63" t="s">
        <v>164</v>
      </c>
      <c r="B116" s="64" t="s">
        <v>98</v>
      </c>
      <c r="C116" s="65">
        <v>2</v>
      </c>
      <c r="D116" s="65" t="s">
        <v>166</v>
      </c>
      <c r="E116" s="66" t="s">
        <v>163</v>
      </c>
      <c r="F116" s="68" t="str">
        <f t="shared" si="20"/>
        <v>USDAM3L45Y_Quote</v>
      </c>
      <c r="G116" s="68" t="str">
        <f t="shared" si="21"/>
        <v>USDFF3L45Y_Quote</v>
      </c>
      <c r="H116" s="69"/>
      <c r="AB116" s="190"/>
      <c r="AC116" s="190"/>
      <c r="AD116" s="190"/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190"/>
      <c r="AQ116" s="190"/>
      <c r="AR116" s="190"/>
      <c r="AS116" s="190"/>
      <c r="AT116" s="190"/>
      <c r="AU116" s="190"/>
      <c r="AV116" s="190"/>
      <c r="AW116" s="190"/>
      <c r="AX116" s="190"/>
      <c r="AY116" s="190"/>
      <c r="AZ116" s="190"/>
      <c r="BA116" s="190"/>
      <c r="BB116" s="190"/>
      <c r="BC116" s="190"/>
    </row>
    <row r="117" spans="1:55" x14ac:dyDescent="0.2">
      <c r="A117" s="1" t="s">
        <v>164</v>
      </c>
      <c r="B117" s="9" t="s">
        <v>99</v>
      </c>
      <c r="C117" s="7">
        <v>2</v>
      </c>
      <c r="D117" s="7" t="s">
        <v>166</v>
      </c>
      <c r="E117" s="8" t="s">
        <v>163</v>
      </c>
      <c r="F117" s="2" t="str">
        <f t="shared" si="20"/>
        <v>USDAM3L50Y_Quote</v>
      </c>
      <c r="G117" s="2" t="str">
        <f t="shared" si="21"/>
        <v>USDFF3L50Y_Quote</v>
      </c>
      <c r="H117" s="3"/>
      <c r="AB117" s="190"/>
      <c r="AC117" s="190"/>
      <c r="AD117" s="190"/>
      <c r="AE117" s="190"/>
      <c r="AF117" s="190"/>
      <c r="AG117" s="190"/>
      <c r="AH117" s="190"/>
      <c r="AI117" s="190"/>
      <c r="AJ117" s="190"/>
      <c r="AK117" s="190"/>
      <c r="AL117" s="190"/>
      <c r="AM117" s="190"/>
      <c r="AN117" s="190"/>
      <c r="AO117" s="190"/>
      <c r="AP117" s="190"/>
      <c r="AQ117" s="190"/>
      <c r="AR117" s="190"/>
      <c r="AS117" s="190"/>
      <c r="AT117" s="190"/>
      <c r="AU117" s="190"/>
      <c r="AV117" s="190"/>
      <c r="AW117" s="190"/>
      <c r="AX117" s="190"/>
      <c r="AY117" s="190"/>
      <c r="AZ117" s="190"/>
      <c r="BA117" s="190"/>
      <c r="BB117" s="190"/>
      <c r="BC117" s="190"/>
    </row>
    <row r="118" spans="1:55" x14ac:dyDescent="0.2">
      <c r="AB118" s="190"/>
      <c r="AC118" s="190"/>
      <c r="AD118" s="190"/>
      <c r="AE118" s="190"/>
      <c r="AF118" s="190"/>
      <c r="AG118" s="190"/>
      <c r="AH118" s="190"/>
      <c r="AI118" s="190"/>
      <c r="AJ118" s="190"/>
      <c r="AK118" s="190"/>
      <c r="AL118" s="190"/>
      <c r="AM118" s="190"/>
      <c r="AN118" s="190"/>
      <c r="AO118" s="190"/>
      <c r="AP118" s="190"/>
      <c r="AQ118" s="190"/>
      <c r="AR118" s="190"/>
      <c r="AS118" s="190"/>
      <c r="AT118" s="190"/>
      <c r="AU118" s="190"/>
      <c r="AV118" s="190"/>
      <c r="AW118" s="190"/>
      <c r="AX118" s="190"/>
      <c r="AY118" s="190"/>
      <c r="AZ118" s="190"/>
      <c r="BA118" s="190"/>
      <c r="BB118" s="190"/>
      <c r="BC118" s="190"/>
    </row>
    <row r="119" spans="1:55" x14ac:dyDescent="0.2">
      <c r="AB119" s="190"/>
      <c r="AC119" s="190"/>
      <c r="AD119" s="190"/>
      <c r="AE119" s="190"/>
      <c r="AF119" s="190"/>
      <c r="AG119" s="190"/>
      <c r="AH119" s="190"/>
      <c r="AI119" s="190"/>
      <c r="AJ119" s="190"/>
      <c r="AK119" s="190"/>
      <c r="AL119" s="190"/>
      <c r="AM119" s="190"/>
      <c r="AN119" s="190"/>
      <c r="AO119" s="190"/>
      <c r="AP119" s="190"/>
      <c r="AQ119" s="190"/>
      <c r="AR119" s="190"/>
      <c r="AS119" s="190"/>
      <c r="AT119" s="190"/>
      <c r="AU119" s="190"/>
      <c r="AV119" s="190"/>
      <c r="AW119" s="190"/>
      <c r="AX119" s="190"/>
      <c r="AY119" s="190"/>
      <c r="AZ119" s="190"/>
      <c r="BA119" s="190"/>
      <c r="BB119" s="190"/>
      <c r="BC119" s="190"/>
    </row>
    <row r="120" spans="1:55" x14ac:dyDescent="0.2">
      <c r="AB120" s="190"/>
      <c r="AC120" s="190"/>
      <c r="AD120" s="190"/>
      <c r="AE120" s="190"/>
      <c r="AF120" s="190"/>
      <c r="AG120" s="190"/>
      <c r="AH120" s="190"/>
      <c r="AI120" s="190"/>
      <c r="AJ120" s="190"/>
      <c r="AK120" s="190"/>
      <c r="AL120" s="190"/>
      <c r="AM120" s="190"/>
      <c r="AN120" s="190"/>
      <c r="AO120" s="190"/>
      <c r="AP120" s="190"/>
      <c r="AQ120" s="190"/>
      <c r="AR120" s="190"/>
      <c r="AS120" s="190"/>
      <c r="AT120" s="190"/>
      <c r="AU120" s="190"/>
      <c r="AV120" s="190"/>
      <c r="AW120" s="190"/>
      <c r="AX120" s="190"/>
      <c r="AY120" s="190"/>
      <c r="AZ120" s="190"/>
      <c r="BA120" s="190"/>
      <c r="BB120" s="190"/>
      <c r="BC120" s="190"/>
    </row>
    <row r="121" spans="1:55" x14ac:dyDescent="0.2">
      <c r="AB121" s="190"/>
      <c r="AC121" s="190"/>
      <c r="AD121" s="190"/>
      <c r="AE121" s="190"/>
      <c r="AF121" s="190"/>
      <c r="AG121" s="190"/>
      <c r="AH121" s="190"/>
      <c r="AI121" s="190"/>
      <c r="AJ121" s="190"/>
      <c r="AK121" s="190"/>
      <c r="AL121" s="190"/>
      <c r="AM121" s="190"/>
      <c r="AN121" s="190"/>
      <c r="AO121" s="190"/>
      <c r="AP121" s="190"/>
      <c r="AQ121" s="190"/>
      <c r="AR121" s="190"/>
      <c r="AS121" s="190"/>
      <c r="AT121" s="190"/>
      <c r="AU121" s="190"/>
      <c r="AV121" s="190"/>
      <c r="AW121" s="190"/>
      <c r="AX121" s="190"/>
      <c r="AY121" s="190"/>
      <c r="AZ121" s="190"/>
      <c r="BA121" s="190"/>
      <c r="BB121" s="190"/>
      <c r="BC121" s="190"/>
    </row>
    <row r="122" spans="1:55" x14ac:dyDescent="0.2">
      <c r="AB122" s="190"/>
      <c r="AC122" s="190"/>
      <c r="AD122" s="190"/>
      <c r="AE122" s="190"/>
      <c r="AF122" s="190"/>
      <c r="AG122" s="190"/>
      <c r="AH122" s="190"/>
      <c r="AI122" s="190"/>
      <c r="AJ122" s="190"/>
      <c r="AK122" s="190"/>
      <c r="AL122" s="190"/>
      <c r="AM122" s="190"/>
      <c r="AN122" s="190"/>
      <c r="AO122" s="190"/>
      <c r="AP122" s="190"/>
      <c r="AQ122" s="190"/>
      <c r="AR122" s="190"/>
      <c r="AS122" s="190"/>
      <c r="AT122" s="190"/>
      <c r="AU122" s="190"/>
      <c r="AV122" s="190"/>
      <c r="AW122" s="190"/>
      <c r="AX122" s="190"/>
      <c r="AY122" s="190"/>
      <c r="AZ122" s="190"/>
      <c r="BA122" s="190"/>
      <c r="BB122" s="190"/>
      <c r="BC122" s="190"/>
    </row>
    <row r="123" spans="1:55" x14ac:dyDescent="0.2">
      <c r="AB123" s="190"/>
      <c r="AC123" s="190"/>
      <c r="AD123" s="190"/>
      <c r="AE123" s="190"/>
      <c r="AF123" s="190"/>
      <c r="AG123" s="190"/>
      <c r="AH123" s="190"/>
      <c r="AI123" s="190"/>
      <c r="AJ123" s="190"/>
      <c r="AK123" s="190"/>
      <c r="AL123" s="190"/>
      <c r="AM123" s="190"/>
      <c r="AN123" s="190"/>
      <c r="AO123" s="190"/>
      <c r="AP123" s="190"/>
      <c r="AQ123" s="190"/>
      <c r="AR123" s="190"/>
      <c r="AS123" s="190"/>
      <c r="AT123" s="190"/>
      <c r="AU123" s="190"/>
      <c r="AV123" s="190"/>
      <c r="AW123" s="190"/>
      <c r="AX123" s="190"/>
      <c r="AY123" s="190"/>
      <c r="AZ123" s="190"/>
      <c r="BA123" s="190"/>
      <c r="BB123" s="190"/>
      <c r="BC123" s="190"/>
    </row>
    <row r="124" spans="1:55" x14ac:dyDescent="0.2">
      <c r="AB124" s="190"/>
      <c r="AC124" s="190"/>
      <c r="AD124" s="190"/>
      <c r="AE124" s="190"/>
      <c r="AF124" s="190"/>
      <c r="AG124" s="190"/>
      <c r="AH124" s="190"/>
      <c r="AI124" s="190"/>
      <c r="AJ124" s="190"/>
      <c r="AK124" s="190"/>
      <c r="AL124" s="190"/>
      <c r="AM124" s="190"/>
      <c r="AN124" s="190"/>
      <c r="AO124" s="190"/>
      <c r="AP124" s="190"/>
      <c r="AQ124" s="190"/>
      <c r="AR124" s="190"/>
      <c r="AS124" s="190"/>
      <c r="AT124" s="190"/>
      <c r="AU124" s="190"/>
      <c r="AV124" s="190"/>
      <c r="AW124" s="190"/>
      <c r="AX124" s="190"/>
      <c r="AY124" s="190"/>
      <c r="AZ124" s="190"/>
      <c r="BA124" s="190"/>
      <c r="BB124" s="190"/>
      <c r="BC124" s="190"/>
    </row>
    <row r="125" spans="1:55" x14ac:dyDescent="0.2">
      <c r="AB125" s="190"/>
      <c r="AC125" s="190"/>
      <c r="AD125" s="190"/>
      <c r="AE125" s="190"/>
      <c r="AF125" s="190"/>
      <c r="AG125" s="190"/>
      <c r="AH125" s="190"/>
      <c r="AI125" s="190"/>
      <c r="AJ125" s="190"/>
      <c r="AK125" s="190"/>
      <c r="AL125" s="190"/>
      <c r="AM125" s="190"/>
      <c r="AN125" s="190"/>
      <c r="AO125" s="190"/>
      <c r="AP125" s="190"/>
      <c r="AQ125" s="190"/>
      <c r="AR125" s="190"/>
      <c r="AS125" s="190"/>
      <c r="AT125" s="190"/>
      <c r="AU125" s="190"/>
      <c r="AV125" s="190"/>
      <c r="AW125" s="190"/>
      <c r="AX125" s="190"/>
      <c r="AY125" s="190"/>
      <c r="AZ125" s="190"/>
      <c r="BA125" s="190"/>
      <c r="BB125" s="190"/>
      <c r="BC125" s="190"/>
    </row>
    <row r="126" spans="1:55" x14ac:dyDescent="0.2">
      <c r="AB126" s="190"/>
      <c r="AC126" s="190"/>
      <c r="AD126" s="190"/>
      <c r="AE126" s="190"/>
      <c r="AF126" s="190"/>
      <c r="AG126" s="190"/>
      <c r="AH126" s="190"/>
      <c r="AI126" s="190"/>
      <c r="AJ126" s="190"/>
      <c r="AK126" s="190"/>
      <c r="AL126" s="190"/>
      <c r="AM126" s="190"/>
      <c r="AN126" s="190"/>
      <c r="AO126" s="190"/>
      <c r="AP126" s="190"/>
      <c r="AQ126" s="190"/>
      <c r="AR126" s="190"/>
      <c r="AS126" s="190"/>
      <c r="AT126" s="190"/>
      <c r="AU126" s="190"/>
      <c r="AV126" s="190"/>
      <c r="AW126" s="190"/>
      <c r="AX126" s="190"/>
      <c r="AY126" s="190"/>
      <c r="AZ126" s="190"/>
      <c r="BA126" s="190"/>
      <c r="BB126" s="190"/>
      <c r="BC126" s="190"/>
    </row>
    <row r="127" spans="1:55" x14ac:dyDescent="0.2">
      <c r="AB127" s="190"/>
      <c r="AC127" s="190"/>
      <c r="AD127" s="190"/>
      <c r="AE127" s="190"/>
      <c r="AF127" s="190"/>
      <c r="AG127" s="190"/>
      <c r="AH127" s="190"/>
      <c r="AI127" s="190"/>
      <c r="AJ127" s="190"/>
      <c r="AK127" s="190"/>
      <c r="AL127" s="190"/>
      <c r="AM127" s="190"/>
      <c r="AN127" s="190"/>
      <c r="AO127" s="190"/>
      <c r="AP127" s="190"/>
      <c r="AQ127" s="190"/>
      <c r="AR127" s="190"/>
      <c r="AS127" s="190"/>
      <c r="AT127" s="190"/>
      <c r="AU127" s="190"/>
      <c r="AV127" s="190"/>
      <c r="AW127" s="190"/>
      <c r="AX127" s="190"/>
      <c r="AY127" s="190"/>
      <c r="AZ127" s="190"/>
      <c r="BA127" s="190"/>
      <c r="BB127" s="190"/>
      <c r="BC127" s="190"/>
    </row>
    <row r="128" spans="1:55" x14ac:dyDescent="0.2">
      <c r="AB128" s="190"/>
      <c r="AC128" s="190"/>
      <c r="AD128" s="190"/>
      <c r="AE128" s="190"/>
      <c r="AF128" s="190"/>
      <c r="AG128" s="190"/>
      <c r="AH128" s="190"/>
      <c r="AI128" s="190"/>
      <c r="AJ128" s="190"/>
      <c r="AK128" s="190"/>
      <c r="AL128" s="190"/>
      <c r="AM128" s="190"/>
      <c r="AN128" s="190"/>
      <c r="AO128" s="190"/>
      <c r="AP128" s="190"/>
      <c r="AQ128" s="190"/>
      <c r="AR128" s="190"/>
      <c r="AS128" s="190"/>
      <c r="AT128" s="190"/>
      <c r="AU128" s="190"/>
      <c r="AV128" s="190"/>
      <c r="AW128" s="190"/>
      <c r="AX128" s="190"/>
      <c r="AY128" s="190"/>
      <c r="AZ128" s="190"/>
      <c r="BA128" s="190"/>
      <c r="BB128" s="190"/>
      <c r="BC128" s="190"/>
    </row>
    <row r="129" spans="28:55" x14ac:dyDescent="0.2">
      <c r="AB129" s="190"/>
      <c r="AC129" s="190"/>
      <c r="AD129" s="190"/>
      <c r="AE129" s="190"/>
      <c r="AF129" s="190"/>
      <c r="AG129" s="190"/>
      <c r="AH129" s="190"/>
      <c r="AI129" s="190"/>
      <c r="AJ129" s="190"/>
      <c r="AK129" s="190"/>
      <c r="AL129" s="190"/>
      <c r="AM129" s="190"/>
      <c r="AN129" s="190"/>
      <c r="AO129" s="190"/>
      <c r="AP129" s="190"/>
      <c r="AQ129" s="190"/>
      <c r="AR129" s="190"/>
      <c r="AS129" s="190"/>
      <c r="AT129" s="190"/>
      <c r="AU129" s="190"/>
      <c r="AV129" s="190"/>
      <c r="AW129" s="190"/>
      <c r="AX129" s="190"/>
      <c r="AY129" s="190"/>
      <c r="AZ129" s="190"/>
      <c r="BA129" s="190"/>
      <c r="BB129" s="190"/>
      <c r="BC129" s="190"/>
    </row>
    <row r="130" spans="28:55" x14ac:dyDescent="0.2">
      <c r="AB130" s="190"/>
      <c r="AC130" s="190"/>
      <c r="AD130" s="190"/>
      <c r="AE130" s="190"/>
      <c r="AF130" s="190"/>
      <c r="AG130" s="190"/>
      <c r="AH130" s="190"/>
      <c r="AI130" s="190"/>
      <c r="AJ130" s="190"/>
      <c r="AK130" s="190"/>
      <c r="AL130" s="190"/>
      <c r="AM130" s="190"/>
      <c r="AN130" s="190"/>
      <c r="AO130" s="190"/>
      <c r="AP130" s="190"/>
      <c r="AQ130" s="190"/>
      <c r="AR130" s="190"/>
      <c r="AS130" s="190"/>
      <c r="AT130" s="190"/>
      <c r="AU130" s="190"/>
      <c r="AV130" s="190"/>
      <c r="AW130" s="190"/>
      <c r="AX130" s="190"/>
      <c r="AY130" s="190"/>
      <c r="AZ130" s="190"/>
      <c r="BA130" s="190"/>
      <c r="BB130" s="190"/>
      <c r="BC130" s="190"/>
    </row>
    <row r="131" spans="28:55" x14ac:dyDescent="0.2">
      <c r="AB131" s="190"/>
      <c r="AC131" s="190"/>
      <c r="AD131" s="190"/>
      <c r="AE131" s="190"/>
      <c r="AF131" s="190"/>
      <c r="AG131" s="190"/>
      <c r="AH131" s="190"/>
      <c r="AI131" s="190"/>
      <c r="AJ131" s="190"/>
      <c r="AK131" s="190"/>
      <c r="AL131" s="190"/>
      <c r="AM131" s="190"/>
      <c r="AN131" s="190"/>
      <c r="AO131" s="190"/>
      <c r="AP131" s="190"/>
      <c r="AQ131" s="190"/>
      <c r="AR131" s="190"/>
      <c r="AS131" s="190"/>
      <c r="AT131" s="190"/>
      <c r="AU131" s="190"/>
      <c r="AV131" s="190"/>
      <c r="AW131" s="190"/>
      <c r="AX131" s="190"/>
      <c r="AY131" s="190"/>
      <c r="AZ131" s="190"/>
      <c r="BA131" s="190"/>
      <c r="BB131" s="190"/>
      <c r="BC131" s="190"/>
    </row>
    <row r="132" spans="28:55" x14ac:dyDescent="0.2">
      <c r="AB132" s="190"/>
      <c r="AC132" s="190"/>
      <c r="AD132" s="190"/>
      <c r="AE132" s="190"/>
      <c r="AF132" s="190"/>
      <c r="AG132" s="190"/>
      <c r="AH132" s="190"/>
      <c r="AI132" s="190"/>
      <c r="AJ132" s="190"/>
      <c r="AK132" s="190"/>
      <c r="AL132" s="190"/>
      <c r="AM132" s="190"/>
      <c r="AN132" s="190"/>
      <c r="AO132" s="190"/>
      <c r="AP132" s="190"/>
      <c r="AQ132" s="190"/>
      <c r="AR132" s="190"/>
      <c r="AS132" s="190"/>
      <c r="AT132" s="190"/>
      <c r="AU132" s="190"/>
      <c r="AV132" s="190"/>
      <c r="AW132" s="190"/>
      <c r="AX132" s="190"/>
      <c r="AY132" s="190"/>
      <c r="AZ132" s="190"/>
      <c r="BA132" s="190"/>
      <c r="BB132" s="190"/>
      <c r="BC132" s="190"/>
    </row>
    <row r="133" spans="28:55" x14ac:dyDescent="0.2">
      <c r="AB133" s="190"/>
      <c r="AC133" s="190"/>
      <c r="AD133" s="190"/>
      <c r="AE133" s="190"/>
      <c r="AF133" s="190"/>
      <c r="AG133" s="190"/>
      <c r="AH133" s="190"/>
      <c r="AI133" s="190"/>
      <c r="AJ133" s="190"/>
      <c r="AK133" s="190"/>
      <c r="AL133" s="190"/>
      <c r="AM133" s="190"/>
      <c r="AN133" s="190"/>
      <c r="AO133" s="190"/>
      <c r="AP133" s="190"/>
      <c r="AQ133" s="190"/>
      <c r="AR133" s="190"/>
      <c r="AS133" s="190"/>
      <c r="AT133" s="190"/>
      <c r="AU133" s="190"/>
      <c r="AV133" s="190"/>
      <c r="AW133" s="190"/>
      <c r="AX133" s="190"/>
      <c r="AY133" s="190"/>
      <c r="AZ133" s="190"/>
      <c r="BA133" s="190"/>
      <c r="BB133" s="190"/>
      <c r="BC133" s="190"/>
    </row>
    <row r="134" spans="28:55" x14ac:dyDescent="0.2">
      <c r="AB134" s="190"/>
      <c r="AC134" s="190"/>
      <c r="AD134" s="190"/>
      <c r="AE134" s="190"/>
      <c r="AF134" s="190"/>
      <c r="AG134" s="190"/>
      <c r="AH134" s="190"/>
      <c r="AI134" s="190"/>
      <c r="AJ134" s="190"/>
      <c r="AK134" s="190"/>
      <c r="AL134" s="190"/>
      <c r="AM134" s="190"/>
      <c r="AN134" s="190"/>
      <c r="AO134" s="190"/>
      <c r="AP134" s="190"/>
      <c r="AQ134" s="190"/>
      <c r="AR134" s="190"/>
      <c r="AS134" s="190"/>
      <c r="AT134" s="190"/>
      <c r="AU134" s="190"/>
      <c r="AV134" s="190"/>
      <c r="AW134" s="190"/>
      <c r="AX134" s="190"/>
      <c r="AY134" s="190"/>
      <c r="AZ134" s="190"/>
      <c r="BA134" s="190"/>
      <c r="BB134" s="190"/>
      <c r="BC134" s="190"/>
    </row>
    <row r="135" spans="28:55" x14ac:dyDescent="0.2">
      <c r="AB135" s="190"/>
      <c r="AC135" s="190"/>
      <c r="AD135" s="190"/>
      <c r="AE135" s="190"/>
      <c r="AF135" s="190"/>
      <c r="AG135" s="190"/>
      <c r="AH135" s="190"/>
      <c r="AI135" s="190"/>
      <c r="AJ135" s="190"/>
      <c r="AK135" s="190"/>
      <c r="AL135" s="190"/>
      <c r="AM135" s="190"/>
      <c r="AN135" s="190"/>
      <c r="AO135" s="190"/>
      <c r="AP135" s="190"/>
      <c r="AQ135" s="190"/>
      <c r="AR135" s="190"/>
      <c r="AS135" s="190"/>
      <c r="AT135" s="190"/>
      <c r="AU135" s="190"/>
      <c r="AV135" s="190"/>
      <c r="AW135" s="190"/>
      <c r="AX135" s="190"/>
      <c r="AY135" s="190"/>
      <c r="AZ135" s="190"/>
      <c r="BA135" s="190"/>
      <c r="BB135" s="190"/>
      <c r="BC135" s="190"/>
    </row>
    <row r="136" spans="28:55" x14ac:dyDescent="0.2">
      <c r="AB136" s="190"/>
      <c r="AC136" s="190"/>
      <c r="AD136" s="190"/>
      <c r="AE136" s="190"/>
      <c r="AF136" s="190"/>
      <c r="AG136" s="190"/>
      <c r="AH136" s="190"/>
      <c r="AI136" s="190"/>
      <c r="AJ136" s="190"/>
      <c r="AK136" s="190"/>
      <c r="AL136" s="190"/>
      <c r="AM136" s="190"/>
      <c r="AN136" s="190"/>
      <c r="AO136" s="190"/>
      <c r="AP136" s="190"/>
      <c r="AQ136" s="190"/>
      <c r="AR136" s="190"/>
      <c r="AS136" s="190"/>
      <c r="AT136" s="190"/>
      <c r="AU136" s="190"/>
      <c r="AV136" s="190"/>
      <c r="AW136" s="190"/>
      <c r="AX136" s="190"/>
      <c r="AY136" s="190"/>
      <c r="AZ136" s="190"/>
      <c r="BA136" s="190"/>
      <c r="BB136" s="190"/>
      <c r="BC136" s="190"/>
    </row>
    <row r="137" spans="28:55" x14ac:dyDescent="0.2">
      <c r="AB137" s="190"/>
      <c r="AC137" s="190"/>
      <c r="AD137" s="190"/>
      <c r="AE137" s="190"/>
      <c r="AF137" s="190"/>
      <c r="AG137" s="190"/>
      <c r="AH137" s="190"/>
      <c r="AI137" s="190"/>
      <c r="AJ137" s="190"/>
      <c r="AK137" s="190"/>
      <c r="AL137" s="190"/>
      <c r="AM137" s="190"/>
      <c r="AN137" s="190"/>
      <c r="AO137" s="190"/>
      <c r="AP137" s="190"/>
      <c r="AQ137" s="190"/>
      <c r="AR137" s="190"/>
      <c r="AS137" s="190"/>
      <c r="AT137" s="190"/>
      <c r="AU137" s="190"/>
      <c r="AV137" s="190"/>
      <c r="AW137" s="190"/>
      <c r="AX137" s="190"/>
      <c r="AY137" s="190"/>
      <c r="AZ137" s="190"/>
      <c r="BA137" s="190"/>
      <c r="BB137" s="190"/>
      <c r="BC137" s="190"/>
    </row>
    <row r="138" spans="28:55" x14ac:dyDescent="0.2">
      <c r="AB138" s="190"/>
      <c r="AC138" s="190"/>
      <c r="AD138" s="190"/>
      <c r="AE138" s="190"/>
      <c r="AF138" s="190"/>
      <c r="AG138" s="190"/>
      <c r="AH138" s="190"/>
      <c r="AI138" s="190"/>
      <c r="AJ138" s="190"/>
      <c r="AK138" s="190"/>
      <c r="AL138" s="190"/>
      <c r="AM138" s="190"/>
      <c r="AN138" s="190"/>
      <c r="AO138" s="190"/>
      <c r="AP138" s="190"/>
      <c r="AQ138" s="190"/>
      <c r="AR138" s="190"/>
      <c r="AS138" s="190"/>
      <c r="AT138" s="190"/>
      <c r="AU138" s="190"/>
      <c r="AV138" s="190"/>
      <c r="AW138" s="190"/>
      <c r="AX138" s="190"/>
      <c r="AY138" s="190"/>
      <c r="AZ138" s="190"/>
      <c r="BA138" s="190"/>
      <c r="BB138" s="190"/>
      <c r="BC138" s="190"/>
    </row>
    <row r="139" spans="28:55" x14ac:dyDescent="0.2">
      <c r="AB139" s="190"/>
      <c r="AC139" s="190"/>
      <c r="AD139" s="190"/>
      <c r="AE139" s="190"/>
      <c r="AF139" s="190"/>
      <c r="AG139" s="190"/>
      <c r="AH139" s="190"/>
      <c r="AI139" s="190"/>
      <c r="AJ139" s="190"/>
      <c r="AK139" s="190"/>
      <c r="AL139" s="190"/>
      <c r="AM139" s="190"/>
      <c r="AN139" s="190"/>
      <c r="AO139" s="190"/>
      <c r="AP139" s="190"/>
      <c r="AQ139" s="190"/>
      <c r="AR139" s="190"/>
      <c r="AS139" s="190"/>
      <c r="AT139" s="190"/>
      <c r="AU139" s="190"/>
      <c r="AV139" s="190"/>
      <c r="AW139" s="190"/>
      <c r="AX139" s="190"/>
      <c r="AY139" s="190"/>
      <c r="AZ139" s="190"/>
      <c r="BA139" s="190"/>
      <c r="BB139" s="190"/>
      <c r="BC139" s="190"/>
    </row>
    <row r="140" spans="28:55" x14ac:dyDescent="0.2">
      <c r="AB140" s="190"/>
      <c r="AC140" s="190"/>
      <c r="AD140" s="190"/>
      <c r="AE140" s="190"/>
      <c r="AF140" s="190"/>
      <c r="AG140" s="190"/>
      <c r="AH140" s="190"/>
      <c r="AI140" s="190"/>
      <c r="AJ140" s="190"/>
      <c r="AK140" s="190"/>
      <c r="AL140" s="190"/>
      <c r="AM140" s="190"/>
      <c r="AN140" s="190"/>
      <c r="AO140" s="190"/>
      <c r="AP140" s="190"/>
      <c r="AQ140" s="190"/>
      <c r="AR140" s="190"/>
      <c r="AS140" s="190"/>
      <c r="AT140" s="190"/>
      <c r="AU140" s="190"/>
      <c r="AV140" s="190"/>
      <c r="AW140" s="190"/>
      <c r="AX140" s="190"/>
      <c r="AY140" s="190"/>
      <c r="AZ140" s="190"/>
      <c r="BA140" s="190"/>
      <c r="BB140" s="190"/>
      <c r="BC140" s="190"/>
    </row>
    <row r="141" spans="28:55" x14ac:dyDescent="0.2">
      <c r="AB141" s="190"/>
      <c r="AC141" s="190"/>
      <c r="AD141" s="190"/>
      <c r="AE141" s="190"/>
      <c r="AF141" s="190"/>
      <c r="AG141" s="190"/>
      <c r="AH141" s="190"/>
      <c r="AI141" s="190"/>
      <c r="AJ141" s="190"/>
      <c r="AK141" s="190"/>
      <c r="AL141" s="190"/>
      <c r="AM141" s="190"/>
      <c r="AN141" s="190"/>
      <c r="AO141" s="190"/>
      <c r="AP141" s="190"/>
      <c r="AQ141" s="190"/>
      <c r="AR141" s="190"/>
      <c r="AS141" s="190"/>
      <c r="AT141" s="190"/>
      <c r="AU141" s="190"/>
      <c r="AV141" s="190"/>
      <c r="AW141" s="190"/>
      <c r="AX141" s="190"/>
      <c r="AY141" s="190"/>
      <c r="AZ141" s="190"/>
      <c r="BA141" s="190"/>
      <c r="BB141" s="190"/>
      <c r="BC141" s="190"/>
    </row>
    <row r="142" spans="28:55" x14ac:dyDescent="0.2">
      <c r="AB142" s="190"/>
      <c r="AC142" s="190"/>
      <c r="AD142" s="190"/>
      <c r="AE142" s="190"/>
      <c r="AF142" s="190"/>
      <c r="AG142" s="190"/>
      <c r="AH142" s="190"/>
      <c r="AI142" s="190"/>
      <c r="AJ142" s="190"/>
      <c r="AK142" s="190"/>
      <c r="AL142" s="190"/>
      <c r="AM142" s="190"/>
      <c r="AN142" s="190"/>
      <c r="AO142" s="190"/>
      <c r="AP142" s="190"/>
      <c r="AQ142" s="190"/>
      <c r="AR142" s="190"/>
      <c r="AS142" s="190"/>
      <c r="AT142" s="190"/>
      <c r="AU142" s="190"/>
      <c r="AV142" s="190"/>
      <c r="AW142" s="190"/>
      <c r="AX142" s="190"/>
      <c r="AY142" s="190"/>
      <c r="AZ142" s="190"/>
      <c r="BA142" s="190"/>
      <c r="BB142" s="190"/>
      <c r="BC142" s="190"/>
    </row>
  </sheetData>
  <dataValidations count="1">
    <dataValidation type="list" allowBlank="1" showInputMessage="1" showErrorMessage="1" sqref="D64:D117">
      <formula1>"Annual,Semiannual,EveryFourthMonth,Quarterly,Bimonthly,Monthly,Biweekly,Weekly,Daily,Once,NoFrequency"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6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50" hidden="1" customWidth="1" outlineLevel="1"/>
    <col min="2" max="2" width="9" style="55" hidden="1" customWidth="1" outlineLevel="1"/>
    <col min="3" max="3" width="6.7109375" style="54" hidden="1" customWidth="1" outlineLevel="1"/>
    <col min="4" max="4" width="7" style="54" hidden="1" customWidth="1" outlineLevel="1"/>
    <col min="5" max="5" width="19.28515625" style="54" hidden="1" customWidth="1" outlineLevel="1"/>
    <col min="6" max="6" width="11" style="54" hidden="1" customWidth="1" outlineLevel="1"/>
    <col min="7" max="7" width="15.140625" style="54" hidden="1" customWidth="1" outlineLevel="1"/>
    <col min="8" max="8" width="21.42578125" style="56" hidden="1" customWidth="1" outlineLevel="1"/>
    <col min="9" max="9" width="24.42578125" style="50" hidden="1" customWidth="1" outlineLevel="1"/>
    <col min="10" max="10" width="15.140625" style="50" hidden="1" customWidth="1" outlineLevel="1"/>
    <col min="11" max="11" width="2.7109375" style="50" customWidth="1" collapsed="1"/>
    <col min="12" max="12" width="5" style="50" hidden="1" customWidth="1" outlineLevel="1"/>
    <col min="13" max="13" width="15.140625" style="114" hidden="1" customWidth="1" outlineLevel="1"/>
    <col min="14" max="14" width="21.42578125" style="114" hidden="1" customWidth="1" outlineLevel="1"/>
    <col min="15" max="15" width="9.7109375" style="114" hidden="1" customWidth="1" outlineLevel="1"/>
    <col min="16" max="16" width="7.85546875" style="114" hidden="1" customWidth="1" outlineLevel="1"/>
    <col min="17" max="17" width="9" style="114" hidden="1" customWidth="1" outlineLevel="1"/>
    <col min="18" max="18" width="5.85546875" style="114" hidden="1" customWidth="1" outlineLevel="1"/>
    <col min="19" max="20" width="10.7109375" style="114" hidden="1" customWidth="1" outlineLevel="1"/>
    <col min="21" max="21" width="2.7109375" style="52" hidden="1" customWidth="1" outlineLevel="1"/>
    <col min="22" max="22" width="6" style="50" customWidth="1" collapsed="1"/>
    <col min="23" max="23" width="10.140625" style="50" hidden="1" customWidth="1" outlineLevel="1"/>
    <col min="24" max="24" width="24.7109375" style="50" customWidth="1" collapsed="1"/>
    <col min="25" max="26" width="9.7109375" style="50" customWidth="1"/>
    <col min="27" max="28" width="17.28515625" style="50" bestFit="1" customWidth="1"/>
    <col min="29" max="29" width="12" style="50" bestFit="1" customWidth="1"/>
    <col min="30" max="30" width="2.7109375" style="50" customWidth="1"/>
    <col min="31" max="31" width="24.42578125" style="50" bestFit="1" customWidth="1"/>
    <col min="32" max="32" width="9" style="50" bestFit="1" customWidth="1"/>
    <col min="33" max="16384" width="9.140625" style="50"/>
  </cols>
  <sheetData>
    <row r="1" spans="1:32" ht="18" customHeight="1" x14ac:dyDescent="0.2">
      <c r="G1" s="54" t="s">
        <v>0</v>
      </c>
      <c r="H1" s="54" t="str">
        <f>"_SYNTH"&amp;Tenor</f>
        <v>_SYNTH3M</v>
      </c>
      <c r="L1" s="72" t="s">
        <v>25</v>
      </c>
      <c r="M1" s="117"/>
      <c r="N1" s="117"/>
      <c r="O1" s="117"/>
      <c r="P1" s="117"/>
      <c r="Q1" s="117"/>
      <c r="R1" s="117"/>
      <c r="S1" s="117"/>
      <c r="T1" s="107"/>
      <c r="U1" s="104"/>
      <c r="V1" s="80" t="str">
        <f>Currency&amp;Tenor</f>
        <v>USD3M</v>
      </c>
      <c r="W1" s="71"/>
      <c r="X1" s="71"/>
      <c r="Y1" s="74"/>
      <c r="Z1" s="74"/>
      <c r="AA1" s="71"/>
      <c r="AB1" s="71"/>
      <c r="AC1" s="78" t="s">
        <v>33</v>
      </c>
    </row>
    <row r="2" spans="1:32" ht="21.75" customHeight="1" x14ac:dyDescent="0.2">
      <c r="A2" s="70" t="s">
        <v>9</v>
      </c>
      <c r="B2" s="70" t="s">
        <v>30</v>
      </c>
      <c r="C2" s="70" t="s">
        <v>125</v>
      </c>
      <c r="D2" s="70"/>
      <c r="E2" s="70"/>
      <c r="F2" s="70"/>
      <c r="G2" s="70" t="s">
        <v>4</v>
      </c>
      <c r="H2" s="70" t="s">
        <v>1</v>
      </c>
      <c r="I2" s="70"/>
      <c r="J2" s="70" t="s">
        <v>25</v>
      </c>
      <c r="L2" s="79" t="s">
        <v>9</v>
      </c>
      <c r="M2" s="79" t="s">
        <v>25</v>
      </c>
      <c r="N2" s="79" t="s">
        <v>112</v>
      </c>
      <c r="O2" s="79" t="s">
        <v>115</v>
      </c>
      <c r="P2" s="79" t="s">
        <v>113</v>
      </c>
      <c r="Q2" s="79" t="s">
        <v>114</v>
      </c>
      <c r="R2" s="79" t="s">
        <v>116</v>
      </c>
      <c r="S2" s="79" t="s">
        <v>23</v>
      </c>
      <c r="T2" s="79" t="s">
        <v>109</v>
      </c>
      <c r="U2" s="104"/>
      <c r="V2" s="79" t="s">
        <v>9</v>
      </c>
      <c r="W2" s="79" t="s">
        <v>25</v>
      </c>
      <c r="X2" s="79" t="s">
        <v>112</v>
      </c>
      <c r="Y2" s="81" t="s">
        <v>24</v>
      </c>
      <c r="Z2" s="81" t="s">
        <v>117</v>
      </c>
      <c r="AA2" s="79" t="s">
        <v>23</v>
      </c>
      <c r="AB2" s="79" t="s">
        <v>109</v>
      </c>
      <c r="AC2" s="82">
        <f t="array" ref="AC2:AC88">_xll.qlPiecewiseYieldCurveData(YieldCurve_3M,Trigger)</f>
        <v>1</v>
      </c>
      <c r="AE2" s="197" t="s">
        <v>118</v>
      </c>
      <c r="AF2" s="198"/>
    </row>
    <row r="3" spans="1:32" ht="11.25" customHeight="1" x14ac:dyDescent="0.2">
      <c r="A3" s="121" t="s">
        <v>27</v>
      </c>
      <c r="B3" s="122" t="s">
        <v>104</v>
      </c>
      <c r="C3" s="123" t="s">
        <v>49</v>
      </c>
      <c r="D3" s="135"/>
      <c r="E3" s="135"/>
      <c r="F3" s="135"/>
      <c r="G3" s="124" t="str">
        <f>PROPER(Currency)&amp;"FedFunds"</f>
        <v>UsdFedFunds</v>
      </c>
      <c r="H3" s="132" t="str">
        <f t="shared" ref="H3:H9" si="0">Currency&amp;$B3&amp;"D"&amp;$H$1&amp;QuoteSuffix</f>
        <v>USDSND_SYNTH3M_Quote</v>
      </c>
      <c r="I3" s="135"/>
      <c r="J3" s="125"/>
      <c r="K3" s="53"/>
      <c r="L3" s="73" t="str">
        <f>A3</f>
        <v>Dp</v>
      </c>
      <c r="M3" s="144" t="str">
        <f>IF(ISBLANK(J3),"--",J3)</f>
        <v>--</v>
      </c>
      <c r="N3" s="158" t="str">
        <f>IFERROR(_xll.qlRateHelperQuoteName(M3,Trigger),"--")</f>
        <v>--</v>
      </c>
      <c r="O3" s="146" t="str">
        <f>IFERROR(_xll.qlRateHelperQuoteValue($M3,Trigger),"--")</f>
        <v>--</v>
      </c>
      <c r="P3" s="145" t="b">
        <v>0</v>
      </c>
      <c r="Q3" s="144">
        <v>10</v>
      </c>
      <c r="R3" s="144">
        <v>1</v>
      </c>
      <c r="S3" s="147" t="str">
        <f>IFERROR(_xll.qlRateHelperEarliestDate(M3,Trigger),"--")</f>
        <v>--</v>
      </c>
      <c r="T3" s="147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88">_xll.qlRateHelperSelection(_xll.ohFilter(RateHelpers,IncludeFlag),_xll.ohFilter(Priority,IncludeFlag),$AF$3,$AF$4,$AF$5,$AF$6,_xll.ohFilter(MinDistance,IncludeFlag),Trigger)</f>
        <v>obj_002a6</v>
      </c>
      <c r="X3" s="4" t="str">
        <f>IFERROR(_xll.qlRateHelperQuoteName(W3,Trigger),"")</f>
        <v>USD1MD_SYNTH3M_Quote</v>
      </c>
      <c r="Y3" s="75">
        <f>IFERROR(_xll.qlRateHelperRate(W3,Trigger),"")</f>
        <v>6.0489999999999997E-3</v>
      </c>
      <c r="Z3" s="11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42482</v>
      </c>
      <c r="AB3" s="5">
        <f>IFERROR(_xll.qlRateHelperPillarDate(W3,Trigger),"")</f>
        <v>42513</v>
      </c>
      <c r="AC3" s="83">
        <v>0.99947938506997525</v>
      </c>
      <c r="AE3" s="118" t="s">
        <v>119</v>
      </c>
      <c r="AF3" s="119">
        <v>8</v>
      </c>
    </row>
    <row r="4" spans="1:32" ht="11.25" customHeight="1" x14ac:dyDescent="0.2">
      <c r="A4" s="63" t="s">
        <v>27</v>
      </c>
      <c r="B4" s="64" t="s">
        <v>124</v>
      </c>
      <c r="C4" s="67" t="s">
        <v>50</v>
      </c>
      <c r="D4" s="136"/>
      <c r="E4" s="136"/>
      <c r="F4" s="136"/>
      <c r="G4" s="65" t="str">
        <f>PROPER(Currency)&amp;FamilyName&amp;B4</f>
        <v>UsdLiborSW</v>
      </c>
      <c r="H4" s="133" t="str">
        <f t="shared" si="0"/>
        <v>USDSWD_SYNTH3M_Quote</v>
      </c>
      <c r="I4" s="136"/>
      <c r="J4" s="69"/>
      <c r="K4" s="52"/>
      <c r="L4" s="11" t="str">
        <f t="shared" ref="L4:L9" si="1">A4</f>
        <v>Dp</v>
      </c>
      <c r="M4" s="105" t="str">
        <f t="shared" ref="M4:M9" si="2">IF(ISBLANK(J4),"--",J4)</f>
        <v>--</v>
      </c>
      <c r="N4" s="159" t="str">
        <f>IFERROR(_xll.qlRateHelperQuoteName(M4,Trigger),"--")</f>
        <v>--</v>
      </c>
      <c r="O4" s="109" t="str">
        <f>IFERROR(_xll.qlRateHelperQuoteValue($M4,Trigger),"--")</f>
        <v>--</v>
      </c>
      <c r="P4" s="108" t="b">
        <v>0</v>
      </c>
      <c r="Q4" s="105">
        <v>10</v>
      </c>
      <c r="R4" s="105">
        <v>1</v>
      </c>
      <c r="S4" s="110" t="str">
        <f>IFERROR(_xll.qlRateHelperEarliestDate(M4,Trigger),"--")</f>
        <v>--</v>
      </c>
      <c r="T4" s="110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obj_00293</v>
      </c>
      <c r="X4" s="4" t="str">
        <f>IFERROR(_xll.qlRateHelperQuoteName(W4,Trigger),"")</f>
        <v>USD2MD_SYNTH3M_Quote</v>
      </c>
      <c r="Y4" s="75">
        <f>IFERROR(_xll.qlRateHelperRate(W4,Trigger),"")</f>
        <v>6.1679999999999999E-3</v>
      </c>
      <c r="Z4" s="11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42482</v>
      </c>
      <c r="AB4" s="5">
        <f>IFERROR(_xll.qlRateHelperPillarDate(W4,Trigger),"")</f>
        <v>42543</v>
      </c>
      <c r="AC4" s="83">
        <v>0.99895595782994007</v>
      </c>
      <c r="AE4" s="118" t="s">
        <v>120</v>
      </c>
      <c r="AF4" s="119">
        <v>1</v>
      </c>
    </row>
    <row r="5" spans="1:32" ht="11.25" customHeight="1" x14ac:dyDescent="0.2">
      <c r="A5" s="175" t="s">
        <v>27</v>
      </c>
      <c r="B5" s="176" t="s">
        <v>51</v>
      </c>
      <c r="C5" s="177" t="str">
        <f>B5</f>
        <v>2W</v>
      </c>
      <c r="D5" s="178"/>
      <c r="E5" s="178"/>
      <c r="F5" s="178"/>
      <c r="G5" s="179" t="str">
        <f>_xll.qlLibor(,Currency,C5,,Permanent,Trigger,ObjectOverwrite)</f>
        <v>obj_00311#0006</v>
      </c>
      <c r="H5" s="180" t="str">
        <f t="shared" si="0"/>
        <v>USD2WD_SYNTH3M_Quote</v>
      </c>
      <c r="I5" s="178"/>
      <c r="J5" s="181"/>
      <c r="K5" s="52"/>
      <c r="L5" s="11" t="str">
        <f t="shared" si="1"/>
        <v>Dp</v>
      </c>
      <c r="M5" s="105" t="str">
        <f t="shared" si="2"/>
        <v>--</v>
      </c>
      <c r="N5" s="159" t="str">
        <f>IFERROR(_xll.qlRateHelperQuoteName(M5,Trigger),"--")</f>
        <v>--</v>
      </c>
      <c r="O5" s="109" t="str">
        <f>IFERROR(_xll.qlRateHelperQuoteValue($M5,Trigger),"--")</f>
        <v>--</v>
      </c>
      <c r="P5" s="108" t="b">
        <v>0</v>
      </c>
      <c r="Q5" s="105">
        <v>10</v>
      </c>
      <c r="R5" s="105">
        <v>1</v>
      </c>
      <c r="S5" s="110" t="str">
        <f>IFERROR(_xll.qlRateHelperEarliestDate(M5,Trigger),"--")</f>
        <v>--</v>
      </c>
      <c r="T5" s="110" t="str">
        <f>IFERROR(_xll.qlRateHelperPillarDate(M5,Trigger),"--")</f>
        <v>--</v>
      </c>
      <c r="V5" s="4" t="str">
        <f t="shared" si="3"/>
        <v>Dp</v>
      </c>
      <c r="W5" s="4" t="str">
        <v>obj_002df</v>
      </c>
      <c r="X5" s="4" t="str">
        <f>IFERROR(_xll.qlRateHelperQuoteName(W5,Trigger),"")</f>
        <v>USD3MD_SYNTH3M_Quote</v>
      </c>
      <c r="Y5" s="75">
        <f>IFERROR(_xll.qlRateHelperRate(W5,Trigger),"")</f>
        <v>6.3480000000000003E-3</v>
      </c>
      <c r="Z5" s="11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42482</v>
      </c>
      <c r="AB5" s="5">
        <f>IFERROR(_xll.qlRateHelperPillarDate(W5,Trigger),"")</f>
        <v>42573</v>
      </c>
      <c r="AC5" s="83">
        <v>0.99839793738973326</v>
      </c>
      <c r="AD5" s="86"/>
      <c r="AE5" s="118" t="s">
        <v>121</v>
      </c>
      <c r="AF5" s="119">
        <v>2</v>
      </c>
    </row>
    <row r="6" spans="1:32" ht="11.25" customHeight="1" x14ac:dyDescent="0.2">
      <c r="A6" s="182" t="s">
        <v>27</v>
      </c>
      <c r="B6" s="183" t="s">
        <v>52</v>
      </c>
      <c r="C6" s="184" t="str">
        <f t="shared" ref="C6:C9" si="4">B6</f>
        <v>3W</v>
      </c>
      <c r="D6" s="185"/>
      <c r="E6" s="185"/>
      <c r="F6" s="185"/>
      <c r="G6" s="186" t="str">
        <f>_xll.qlLibor(,Currency,C6,,Permanent,Trigger,ObjectOverwrite)</f>
        <v>obj_002b1#0006</v>
      </c>
      <c r="H6" s="187" t="str">
        <f t="shared" si="0"/>
        <v>USD3WD_SYNTH3M_Quote</v>
      </c>
      <c r="I6" s="185"/>
      <c r="J6" s="188"/>
      <c r="K6" s="52"/>
      <c r="L6" s="11" t="str">
        <f t="shared" si="1"/>
        <v>Dp</v>
      </c>
      <c r="M6" s="105" t="str">
        <f t="shared" si="2"/>
        <v>--</v>
      </c>
      <c r="N6" s="159" t="str">
        <f>IFERROR(_xll.qlRateHelperQuoteName(M6,Trigger),"--")</f>
        <v>--</v>
      </c>
      <c r="O6" s="109" t="str">
        <f>IFERROR(_xll.qlRateHelperQuoteValue($M6,Trigger),"--")</f>
        <v>--</v>
      </c>
      <c r="P6" s="108" t="b">
        <v>0</v>
      </c>
      <c r="Q6" s="105">
        <v>10</v>
      </c>
      <c r="R6" s="105">
        <v>1</v>
      </c>
      <c r="S6" s="110" t="str">
        <f>IFERROR(_xll.qlRateHelperEarliestDate(M6,Trigger),"--")</f>
        <v>--</v>
      </c>
      <c r="T6" s="110" t="str">
        <f>IFERROR(_xll.qlRateHelperPillarDate(M6,Trigger),"--")</f>
        <v>--</v>
      </c>
      <c r="V6" s="4" t="str">
        <f t="shared" si="3"/>
        <v>FUT</v>
      </c>
      <c r="W6" s="4" t="str">
        <v>obj_00332</v>
      </c>
      <c r="X6" s="4" t="str">
        <f>IFERROR(_xll.qlRateHelperQuoteName(W6,Trigger),"")</f>
        <v>USDFUT3MK6_Quote</v>
      </c>
      <c r="Y6" s="75">
        <f>IFERROR(_xll.qlRateHelperRate(W6,Trigger),"")</f>
        <v>6.5740204385793186E-3</v>
      </c>
      <c r="Z6" s="115">
        <f>IF(ISERROR(_xll.qlSwapRateHelperSpread($W6)),IF(ISERROR(_xll.qlFuturesRateHelperConvexityAdjustment($W6)),"",_xll.qlFuturesRateHelperConvexityAdjustment($W6)),_xll.qlSwapRateHelperSpread($W6))</f>
        <v>9.795614206788151E-7</v>
      </c>
      <c r="AA6" s="5">
        <f>IFERROR(_xll.qlRateHelperEarliestDate(W6,Trigger),"")</f>
        <v>42508</v>
      </c>
      <c r="AB6" s="5">
        <f>IFERROR(_xll.qlRateHelperPillarDate(W6,Trigger),"")</f>
        <v>42600</v>
      </c>
      <c r="AC6" s="83">
        <v>0.99788758405723377</v>
      </c>
      <c r="AE6" s="118" t="s">
        <v>122</v>
      </c>
      <c r="AF6" s="120" t="s">
        <v>123</v>
      </c>
    </row>
    <row r="7" spans="1:32" ht="11.25" customHeight="1" x14ac:dyDescent="0.2">
      <c r="A7" s="63" t="s">
        <v>27</v>
      </c>
      <c r="B7" s="64" t="s">
        <v>2</v>
      </c>
      <c r="C7" s="67" t="str">
        <f t="shared" si="4"/>
        <v>1M</v>
      </c>
      <c r="D7" s="136"/>
      <c r="E7" s="136"/>
      <c r="F7" s="136"/>
      <c r="G7" s="65" t="str">
        <f>PROPER(Currency)&amp;FamilyName&amp;B7</f>
        <v>UsdLibor1M</v>
      </c>
      <c r="H7" s="133" t="str">
        <f t="shared" si="0"/>
        <v>USD1MD_SYNTH3M_Quote</v>
      </c>
      <c r="I7" s="136"/>
      <c r="J7" s="69" t="str">
        <f>_xll.qlDepositRateHelper(,H7,G7,Permanent,Trigger,ObjectOverwrite)</f>
        <v>obj_002a6#0006</v>
      </c>
      <c r="K7" s="52"/>
      <c r="L7" s="11" t="str">
        <f t="shared" si="1"/>
        <v>Dp</v>
      </c>
      <c r="M7" s="105" t="str">
        <f t="shared" si="2"/>
        <v>obj_002a6#0006</v>
      </c>
      <c r="N7" s="159" t="str">
        <f>IFERROR(_xll.qlRateHelperQuoteName(M7,Trigger),"--")</f>
        <v>USD1MD_SYNTH3M_Quote</v>
      </c>
      <c r="O7" s="109">
        <f>IFERROR(_xll.qlRateHelperQuoteValue($M7,Trigger),"--")</f>
        <v>6.0489999999999997E-3</v>
      </c>
      <c r="P7" s="108" t="b">
        <v>1</v>
      </c>
      <c r="Q7" s="105">
        <v>10</v>
      </c>
      <c r="R7" s="105">
        <v>1</v>
      </c>
      <c r="S7" s="110">
        <f>IFERROR(_xll.qlRateHelperEarliestDate(M7,Trigger),"--")</f>
        <v>42482</v>
      </c>
      <c r="T7" s="110">
        <f>IFERROR(_xll.qlRateHelperPillarDate(M7,Trigger),"--")</f>
        <v>42513</v>
      </c>
      <c r="V7" s="4" t="str">
        <f t="shared" si="3"/>
        <v>FUT</v>
      </c>
      <c r="W7" s="4" t="str">
        <v>obj_0033f</v>
      </c>
      <c r="X7" s="4" t="str">
        <f>IFERROR(_xll.qlRateHelperQuoteName(W7,Trigger),"")</f>
        <v>USDFUT3MM6_Quote</v>
      </c>
      <c r="Y7" s="75">
        <f>IFERROR(_xll.qlRateHelperRate(W7,Trigger),"")</f>
        <v>6.9227862320289588E-3</v>
      </c>
      <c r="Z7" s="115">
        <f>IF(ISERROR(_xll.qlSwapRateHelperSpread($W7)),IF(ISERROR(_xll.qlFuturesRateHelperConvexityAdjustment($W7)),"",_xll.qlFuturesRateHelperConvexityAdjustment($W7)),_xll.qlSwapRateHelperSpread($W7))</f>
        <v>2.2137679709998215E-6</v>
      </c>
      <c r="AA7" s="5">
        <f>IFERROR(_xll.qlRateHelperEarliestDate(W7,Trigger),"")</f>
        <v>42536</v>
      </c>
      <c r="AB7" s="5">
        <f>IFERROR(_xll.qlRateHelperPillarDate(W7,Trigger),"")</f>
        <v>42628</v>
      </c>
      <c r="AC7" s="83">
        <v>0.99731702757449336</v>
      </c>
    </row>
    <row r="8" spans="1:32" ht="11.25" customHeight="1" x14ac:dyDescent="0.2">
      <c r="A8" s="63" t="s">
        <v>27</v>
      </c>
      <c r="B8" s="64" t="s">
        <v>53</v>
      </c>
      <c r="C8" s="67" t="str">
        <f t="shared" si="4"/>
        <v>2M</v>
      </c>
      <c r="D8" s="136"/>
      <c r="E8" s="136"/>
      <c r="F8" s="136"/>
      <c r="G8" s="65" t="str">
        <f>PROPER(Currency)&amp;FamilyName&amp;B8</f>
        <v>UsdLibor2M</v>
      </c>
      <c r="H8" s="133" t="str">
        <f t="shared" si="0"/>
        <v>USD2MD_SYNTH3M_Quote</v>
      </c>
      <c r="I8" s="136"/>
      <c r="J8" s="69" t="str">
        <f>_xll.qlDepositRateHelper(,H8,G8,Permanent,Trigger,ObjectOverwrite)</f>
        <v>obj_00293#0006</v>
      </c>
      <c r="K8" s="52"/>
      <c r="L8" s="11" t="str">
        <f t="shared" si="1"/>
        <v>Dp</v>
      </c>
      <c r="M8" s="105" t="str">
        <f t="shared" si="2"/>
        <v>obj_00293#0006</v>
      </c>
      <c r="N8" s="159" t="str">
        <f>IFERROR(_xll.qlRateHelperQuoteName(M8,Trigger),"--")</f>
        <v>USD2MD_SYNTH3M_Quote</v>
      </c>
      <c r="O8" s="109">
        <f>IFERROR(_xll.qlRateHelperQuoteValue($M8,Trigger),"--")</f>
        <v>6.1679999999999999E-3</v>
      </c>
      <c r="P8" s="108" t="b">
        <v>1</v>
      </c>
      <c r="Q8" s="105">
        <v>10</v>
      </c>
      <c r="R8" s="105">
        <v>1</v>
      </c>
      <c r="S8" s="110">
        <f>IFERROR(_xll.qlRateHelperEarliestDate(M8,Trigger),"--")</f>
        <v>42482</v>
      </c>
      <c r="T8" s="110">
        <f>IFERROR(_xll.qlRateHelperPillarDate(M8,Trigger),"--")</f>
        <v>42543</v>
      </c>
      <c r="V8" s="4" t="str">
        <f t="shared" si="3"/>
        <v>FUT</v>
      </c>
      <c r="W8" s="4" t="str">
        <v>obj_00335</v>
      </c>
      <c r="X8" s="4" t="str">
        <f>IFERROR(_xll.qlRateHelperQuoteName(W8,Trigger),"")</f>
        <v>USDFUT3MU6_Quote</v>
      </c>
      <c r="Y8" s="75">
        <f>IFERROR(_xll.qlRateHelperRate(W8,Trigger),"")</f>
        <v>7.7165367870414671E-3</v>
      </c>
      <c r="Z8" s="115">
        <f>IF(ISERROR(_xll.qlSwapRateHelperSpread($W8)),IF(ISERROR(_xll.qlFuturesRateHelperConvexityAdjustment($W8)),"",_xll.qlFuturesRateHelperConvexityAdjustment($W8)),_xll.qlSwapRateHelperSpread($W8))</f>
        <v>8.4632129586255537E-6</v>
      </c>
      <c r="AA8" s="5">
        <f>IFERROR(_xll.qlRateHelperEarliestDate(W8,Trigger),"")</f>
        <v>42634</v>
      </c>
      <c r="AB8" s="5">
        <f>IFERROR(_xll.qlRateHelperPillarDate(W8,Trigger),"")</f>
        <v>42725</v>
      </c>
      <c r="AC8" s="83">
        <v>0.99525098798152722</v>
      </c>
    </row>
    <row r="9" spans="1:32" ht="11.25" customHeight="1" x14ac:dyDescent="0.2">
      <c r="A9" s="1" t="s">
        <v>27</v>
      </c>
      <c r="B9" s="9" t="s">
        <v>0</v>
      </c>
      <c r="C9" s="10" t="str">
        <f t="shared" si="4"/>
        <v>3M</v>
      </c>
      <c r="D9" s="137"/>
      <c r="E9" s="137"/>
      <c r="F9" s="137"/>
      <c r="G9" s="7" t="str">
        <f>PROPER(Currency)&amp;FamilyName&amp;B9</f>
        <v>UsdLibor3M</v>
      </c>
      <c r="H9" s="134" t="str">
        <f t="shared" si="0"/>
        <v>USD3MD_SYNTH3M_Quote</v>
      </c>
      <c r="I9" s="137"/>
      <c r="J9" s="3" t="str">
        <f>_xll.qlDepositRateHelper(,H9,G9,Permanent,Trigger,ObjectOverwrite)</f>
        <v>obj_002df#0006</v>
      </c>
      <c r="K9" s="52"/>
      <c r="L9" s="12" t="str">
        <f t="shared" si="1"/>
        <v>Dp</v>
      </c>
      <c r="M9" s="106" t="str">
        <f t="shared" si="2"/>
        <v>obj_002df#0006</v>
      </c>
      <c r="N9" s="160" t="str">
        <f>IFERROR(_xll.qlRateHelperQuoteName(M9,Trigger),"--")</f>
        <v>USD3MD_SYNTH3M_Quote</v>
      </c>
      <c r="O9" s="112">
        <f>IFERROR(_xll.qlRateHelperQuoteValue($M9,Trigger),"--")</f>
        <v>6.3480000000000003E-3</v>
      </c>
      <c r="P9" s="111" t="b">
        <v>1</v>
      </c>
      <c r="Q9" s="106">
        <v>10</v>
      </c>
      <c r="R9" s="106">
        <v>1</v>
      </c>
      <c r="S9" s="113">
        <f>IFERROR(_xll.qlRateHelperEarliestDate(M9,Trigger),"--")</f>
        <v>42482</v>
      </c>
      <c r="T9" s="113">
        <f>IFERROR(_xll.qlRateHelperPillarDate(M9,Trigger),"--")</f>
        <v>42573</v>
      </c>
      <c r="V9" s="4" t="str">
        <f t="shared" si="3"/>
        <v>FUT</v>
      </c>
      <c r="W9" s="4" t="str">
        <v>obj_00331</v>
      </c>
      <c r="X9" s="4" t="str">
        <f>IFERROR(_xll.qlRateHelperQuoteName(W9,Trigger),"")</f>
        <v>USDFUT3MZ6_Quote</v>
      </c>
      <c r="Y9" s="75">
        <f>IFERROR(_xll.qlRateHelperRate(W9,Trigger),"")</f>
        <v>8.4580862157505564E-3</v>
      </c>
      <c r="Z9" s="115">
        <f>IF(ISERROR(_xll.qlSwapRateHelperSpread($W9)),IF(ISERROR(_xll.qlFuturesRateHelperConvexityAdjustment($W9)),"",_xll.qlFuturesRateHelperConvexityAdjustment($W9)),_xll.qlSwapRateHelperSpread($W9))</f>
        <v>1.6913784249454734E-5</v>
      </c>
      <c r="AA9" s="5">
        <f>IFERROR(_xll.qlRateHelperEarliestDate(W9,Trigger),"")</f>
        <v>42725</v>
      </c>
      <c r="AB9" s="5">
        <f>IFERROR(_xll.qlRateHelperPillarDate(W9,Trigger),"")</f>
        <v>42815</v>
      </c>
      <c r="AC9" s="83">
        <v>0.99315094889377764</v>
      </c>
    </row>
    <row r="10" spans="1:32" ht="11.25" customHeight="1" x14ac:dyDescent="0.2">
      <c r="B10" s="50"/>
      <c r="C10" s="50"/>
      <c r="D10" s="50"/>
      <c r="E10" s="50"/>
      <c r="F10" s="50"/>
      <c r="G10" s="50"/>
      <c r="H10" s="50"/>
      <c r="K10" s="52"/>
      <c r="L10" s="73" t="str">
        <f>A12</f>
        <v>FRA</v>
      </c>
      <c r="M10" s="144" t="str">
        <f>IF(ISBLANK(J12),"--",J12)</f>
        <v>qlFraRateHelper(,H12,B12&amp;"M",G12,PillarDate,,Permanent,Trigger,ObjectOverwrite)</v>
      </c>
      <c r="N10" s="158" t="str">
        <f>IFERROR(_xll.qlRateHelperQuoteName(M10,Trigger),"--")</f>
        <v>--</v>
      </c>
      <c r="O10" s="146" t="str">
        <f>IFERROR(_xll.qlRateHelperQuoteValue($M10,Trigger),"--")</f>
        <v>--</v>
      </c>
      <c r="P10" s="145" t="b">
        <v>0</v>
      </c>
      <c r="Q10" s="144">
        <v>20</v>
      </c>
      <c r="R10" s="144">
        <v>1</v>
      </c>
      <c r="S10" s="147" t="str">
        <f>IFERROR(_xll.qlRateHelperEarliestDate(M10,Trigger),"--")</f>
        <v>--</v>
      </c>
      <c r="T10" s="147" t="str">
        <f>IFERROR(_xll.qlRateHelperPillarDate(M10,Trigger),"--")</f>
        <v>--</v>
      </c>
      <c r="V10" s="4" t="str">
        <f t="shared" si="3"/>
        <v>FUT</v>
      </c>
      <c r="W10" s="4" t="str">
        <v>obj_0033e</v>
      </c>
      <c r="X10" s="4" t="str">
        <f>IFERROR(_xll.qlRateHelperQuoteName(W10,Trigger),"")</f>
        <v>USDFUT3MH7_Quote</v>
      </c>
      <c r="Y10" s="75">
        <f>IFERROR(_xll.qlRateHelperRate(W10,Trigger),"")</f>
        <v>8.9477663364833024E-3</v>
      </c>
      <c r="Z10" s="115">
        <f>IF(ISERROR(_xll.qlSwapRateHelperSpread($W10)),IF(ISERROR(_xll.qlFuturesRateHelperConvexityAdjustment($W10)),"",_xll.qlFuturesRateHelperConvexityAdjustment($W10)),_xll.qlSwapRateHelperSpread($W10))</f>
        <v>2.7233663516764086E-5</v>
      </c>
      <c r="AA10" s="5">
        <f>IFERROR(_xll.qlRateHelperEarliestDate(W10,Trigger),"")</f>
        <v>42809</v>
      </c>
      <c r="AB10" s="5">
        <f>IFERROR(_xll.qlRateHelperPillarDate(W10,Trigger),"")</f>
        <v>42901</v>
      </c>
      <c r="AC10" s="83">
        <v>0.99102932389010312</v>
      </c>
    </row>
    <row r="11" spans="1:32" ht="11.25" customHeight="1" x14ac:dyDescent="0.2">
      <c r="A11" s="70" t="s">
        <v>9</v>
      </c>
      <c r="B11" s="70" t="s">
        <v>126</v>
      </c>
      <c r="C11" s="70" t="s">
        <v>127</v>
      </c>
      <c r="D11" s="70"/>
      <c r="E11" s="70"/>
      <c r="F11" s="70"/>
      <c r="G11" s="70" t="s">
        <v>4</v>
      </c>
      <c r="H11" s="70" t="s">
        <v>1</v>
      </c>
      <c r="I11" s="70"/>
      <c r="J11" s="70" t="s">
        <v>25</v>
      </c>
      <c r="K11" s="52"/>
      <c r="L11" s="11" t="str">
        <f t="shared" ref="L11:L21" si="5">A13</f>
        <v>FRA</v>
      </c>
      <c r="M11" s="105" t="str">
        <f t="shared" ref="M11:M21" si="6">IF(ISBLANK(J13),"--",J13)</f>
        <v>--</v>
      </c>
      <c r="N11" s="159" t="str">
        <f>IFERROR(_xll.qlRateHelperQuoteName(M11,Trigger),"--")</f>
        <v>--</v>
      </c>
      <c r="O11" s="109" t="str">
        <f>IFERROR(_xll.qlRateHelperQuoteValue($M11,Trigger),"--")</f>
        <v>--</v>
      </c>
      <c r="P11" s="108" t="b">
        <v>0</v>
      </c>
      <c r="Q11" s="105">
        <v>20</v>
      </c>
      <c r="R11" s="105">
        <v>1</v>
      </c>
      <c r="S11" s="110" t="str">
        <f>IFERROR(_xll.qlRateHelperEarliestDate(M11,Trigger),"--")</f>
        <v>--</v>
      </c>
      <c r="T11" s="110" t="str">
        <f>IFERROR(_xll.qlRateHelperPillarDate(M11,Trigger),"--")</f>
        <v>--</v>
      </c>
      <c r="V11" s="4" t="str">
        <f t="shared" si="3"/>
        <v>FUT</v>
      </c>
      <c r="W11" s="4" t="str">
        <v>obj_0032f</v>
      </c>
      <c r="X11" s="4" t="str">
        <f>IFERROR(_xll.qlRateHelperQuoteName(W11,Trigger),"")</f>
        <v>USDFUT3MM7_Quote</v>
      </c>
      <c r="Y11" s="75">
        <f>IFERROR(_xll.qlRateHelperRate(W11,Trigger),"")</f>
        <v>9.4832272040651939E-3</v>
      </c>
      <c r="Z11" s="115">
        <f>IF(ISERROR(_xll.qlSwapRateHelperSpread($W11)),IF(ISERROR(_xll.qlFuturesRateHelperConvexityAdjustment($W11)),"",_xll.qlFuturesRateHelperConvexityAdjustment($W11)),_xll.qlSwapRateHelperSpread($W11))</f>
        <v>4.177279593481207E-5</v>
      </c>
      <c r="AA11" s="5">
        <f>IFERROR(_xll.qlRateHelperEarliestDate(W11,Trigger),"")</f>
        <v>42907</v>
      </c>
      <c r="AB11" s="5">
        <f>IFERROR(_xll.qlRateHelperPillarDate(W11,Trigger),"")</f>
        <v>42999</v>
      </c>
      <c r="AC11" s="83">
        <v>0.98848182777771376</v>
      </c>
    </row>
    <row r="12" spans="1:32" ht="11.25" customHeight="1" x14ac:dyDescent="0.2">
      <c r="A12" s="57" t="s">
        <v>128</v>
      </c>
      <c r="B12" s="126">
        <v>1</v>
      </c>
      <c r="C12" s="60" t="str">
        <f t="shared" ref="C12:C23" si="7">"x"&amp;B12+SUBSTITUTE(Tenor,"M","")&amp;"F"</f>
        <v>x4F</v>
      </c>
      <c r="D12" s="136"/>
      <c r="E12" s="136"/>
      <c r="F12" s="136"/>
      <c r="G12" s="59" t="str">
        <f t="shared" ref="G12:G23" si="8">PROPER(Currency)&amp;FamilyName&amp;Tenor</f>
        <v>UsdLibor3M</v>
      </c>
      <c r="H12" s="129" t="str">
        <f t="shared" ref="H12:H23" si="9">Currency&amp;B12&amp;C12&amp;QuoteSuffix</f>
        <v>USD1x4F_Quote</v>
      </c>
      <c r="I12" s="136"/>
      <c r="J12" s="62" t="s">
        <v>153</v>
      </c>
      <c r="K12" s="52" t="s">
        <v>47</v>
      </c>
      <c r="L12" s="11" t="str">
        <f t="shared" si="5"/>
        <v>FRA</v>
      </c>
      <c r="M12" s="105" t="str">
        <f t="shared" si="6"/>
        <v>--</v>
      </c>
      <c r="N12" s="159" t="str">
        <f>IFERROR(_xll.qlRateHelperQuoteName(M12,Trigger),"--")</f>
        <v>--</v>
      </c>
      <c r="O12" s="109" t="str">
        <f>IFERROR(_xll.qlRateHelperQuoteValue($M12,Trigger),"--")</f>
        <v>--</v>
      </c>
      <c r="P12" s="108" t="b">
        <v>0</v>
      </c>
      <c r="Q12" s="105">
        <v>20</v>
      </c>
      <c r="R12" s="105">
        <v>1</v>
      </c>
      <c r="S12" s="110" t="str">
        <f>IFERROR(_xll.qlRateHelperEarliestDate(M12,Trigger),"--")</f>
        <v>--</v>
      </c>
      <c r="T12" s="110" t="str">
        <f>IFERROR(_xll.qlRateHelperPillarDate(M12,Trigger),"--")</f>
        <v>--</v>
      </c>
      <c r="V12" s="4" t="str">
        <f t="shared" si="3"/>
        <v>FUT</v>
      </c>
      <c r="W12" s="4" t="str">
        <v>obj_0032a</v>
      </c>
      <c r="X12" s="4" t="str">
        <f>IFERROR(_xll.qlRateHelperQuoteName(W12,Trigger),"")</f>
        <v>USDFUT3MU7_Quote</v>
      </c>
      <c r="Y12" s="75">
        <f>IFERROR(_xll.qlRateHelperRate(W12,Trigger),"")</f>
        <v>1.0017360092888106E-2</v>
      </c>
      <c r="Z12" s="115">
        <f>IF(ISERROR(_xll.qlSwapRateHelperSpread($W12)),IF(ISERROR(_xll.qlFuturesRateHelperConvexityAdjustment($W12)),"",_xll.qlFuturesRateHelperConvexityAdjustment($W12)),_xll.qlSwapRateHelperSpread($W12))</f>
        <v>5.7639907111838459E-5</v>
      </c>
      <c r="AA12" s="5">
        <f>IFERROR(_xll.qlRateHelperEarliestDate(W12,Trigger),"")</f>
        <v>42998</v>
      </c>
      <c r="AB12" s="5">
        <f>IFERROR(_xll.qlRateHelperPillarDate(W12,Trigger),"")</f>
        <v>43089</v>
      </c>
      <c r="AC12" s="83">
        <v>0.98601176145458069</v>
      </c>
    </row>
    <row r="13" spans="1:32" ht="11.25" customHeight="1" x14ac:dyDescent="0.2">
      <c r="A13" s="63" t="s">
        <v>128</v>
      </c>
      <c r="B13" s="127">
        <v>2</v>
      </c>
      <c r="C13" s="67" t="str">
        <f t="shared" si="7"/>
        <v>x5F</v>
      </c>
      <c r="D13" s="136"/>
      <c r="E13" s="136"/>
      <c r="F13" s="136"/>
      <c r="G13" s="65" t="str">
        <f t="shared" si="8"/>
        <v>UsdLibor3M</v>
      </c>
      <c r="H13" s="130" t="str">
        <f t="shared" si="9"/>
        <v>USD2x5F_Quote</v>
      </c>
      <c r="I13" s="136"/>
      <c r="J13" s="69"/>
      <c r="K13" s="52"/>
      <c r="L13" s="11" t="str">
        <f t="shared" si="5"/>
        <v>FRA</v>
      </c>
      <c r="M13" s="105" t="str">
        <f t="shared" si="6"/>
        <v>--</v>
      </c>
      <c r="N13" s="159" t="str">
        <f>IFERROR(_xll.qlRateHelperQuoteName(M13,Trigger),"--")</f>
        <v>--</v>
      </c>
      <c r="O13" s="109" t="str">
        <f>IFERROR(_xll.qlRateHelperQuoteValue($M13,Trigger),"--")</f>
        <v>--</v>
      </c>
      <c r="P13" s="108" t="b">
        <v>0</v>
      </c>
      <c r="Q13" s="105">
        <v>20</v>
      </c>
      <c r="R13" s="105">
        <v>1</v>
      </c>
      <c r="S13" s="110" t="str">
        <f>IFERROR(_xll.qlRateHelperEarliestDate(M13,Trigger),"--")</f>
        <v>--</v>
      </c>
      <c r="T13" s="110" t="str">
        <f>IFERROR(_xll.qlRateHelperPillarDate(M13,Trigger),"--")</f>
        <v>--</v>
      </c>
      <c r="V13" s="4" t="str">
        <f t="shared" si="3"/>
        <v>FUT</v>
      </c>
      <c r="W13" s="4" t="str">
        <v>obj_00338</v>
      </c>
      <c r="X13" s="4" t="str">
        <f>IFERROR(_xll.qlRateHelperQuoteName(W13,Trigger),"")</f>
        <v>USDFUT3MZ7_Quote</v>
      </c>
      <c r="Y13" s="75">
        <f>IFERROR(_xll.qlRateHelperRate(W13,Trigger),"")</f>
        <v>1.0699166140222737E-2</v>
      </c>
      <c r="Z13" s="115">
        <f>IF(ISERROR(_xll.qlSwapRateHelperSpread($W13)),IF(ISERROR(_xll.qlFuturesRateHelperConvexityAdjustment($W13)),"",_xll.qlFuturesRateHelperConvexityAdjustment($W13)),_xll.qlSwapRateHelperSpread($W13))</f>
        <v>7.5833859777241011E-5</v>
      </c>
      <c r="AA13" s="5">
        <f>IFERROR(_xll.qlRateHelperEarliestDate(W13,Trigger),"")</f>
        <v>43089</v>
      </c>
      <c r="AB13" s="5">
        <f>IFERROR(_xll.qlRateHelperPillarDate(W13,Trigger),"")</f>
        <v>43179</v>
      </c>
      <c r="AC13" s="83">
        <v>0.9833814211535481</v>
      </c>
    </row>
    <row r="14" spans="1:32" ht="11.25" customHeight="1" x14ac:dyDescent="0.2">
      <c r="A14" s="63" t="s">
        <v>128</v>
      </c>
      <c r="B14" s="127">
        <v>3</v>
      </c>
      <c r="C14" s="67" t="str">
        <f t="shared" si="7"/>
        <v>x6F</v>
      </c>
      <c r="D14" s="136"/>
      <c r="E14" s="136"/>
      <c r="F14" s="136"/>
      <c r="G14" s="65" t="str">
        <f t="shared" si="8"/>
        <v>UsdLibor3M</v>
      </c>
      <c r="H14" s="130" t="str">
        <f t="shared" si="9"/>
        <v>USD3x6F_Quote</v>
      </c>
      <c r="I14" s="136"/>
      <c r="J14" s="69"/>
      <c r="K14" s="52"/>
      <c r="L14" s="11" t="str">
        <f t="shared" si="5"/>
        <v>FRA</v>
      </c>
      <c r="M14" s="105" t="str">
        <f t="shared" si="6"/>
        <v>--</v>
      </c>
      <c r="N14" s="159" t="str">
        <f>IFERROR(_xll.qlRateHelperQuoteName(M14,Trigger),"--")</f>
        <v>--</v>
      </c>
      <c r="O14" s="109" t="str">
        <f>IFERROR(_xll.qlRateHelperQuoteValue($M14,Trigger),"--")</f>
        <v>--</v>
      </c>
      <c r="P14" s="108" t="b">
        <v>0</v>
      </c>
      <c r="Q14" s="105">
        <v>20</v>
      </c>
      <c r="R14" s="105">
        <v>1</v>
      </c>
      <c r="S14" s="110" t="str">
        <f>IFERROR(_xll.qlRateHelperEarliestDate(M14,Trigger),"--")</f>
        <v>--</v>
      </c>
      <c r="T14" s="110" t="str">
        <f>IFERROR(_xll.qlRateHelperPillarDate(M14,Trigger),"--")</f>
        <v>--</v>
      </c>
      <c r="V14" s="4" t="str">
        <f t="shared" si="3"/>
        <v>FUT</v>
      </c>
      <c r="W14" s="4" t="str">
        <v>obj_0033b</v>
      </c>
      <c r="X14" s="4" t="str">
        <f>IFERROR(_xll.qlRateHelperQuoteName(W14,Trigger),"")</f>
        <v>USDFUT3MH8_Quote</v>
      </c>
      <c r="Y14" s="75">
        <f>IFERROR(_xll.qlRateHelperRate(W14,Trigger),"")</f>
        <v>1.112805545249723E-2</v>
      </c>
      <c r="Z14" s="115">
        <f>IF(ISERROR(_xll.qlSwapRateHelperSpread($W14)),IF(ISERROR(_xll.qlFuturesRateHelperConvexityAdjustment($W14)),"",_xll.qlFuturesRateHelperConvexityAdjustment($W14)),_xll.qlSwapRateHelperSpread($W14))</f>
        <v>9.694454750281095E-5</v>
      </c>
      <c r="AA14" s="5">
        <f>IFERROR(_xll.qlRateHelperEarliestDate(W14,Trigger),"")</f>
        <v>43180</v>
      </c>
      <c r="AB14" s="5">
        <f>IFERROR(_xll.qlRateHelperPillarDate(W14,Trigger),"")</f>
        <v>43272</v>
      </c>
      <c r="AC14" s="83">
        <v>0.98056295077203637</v>
      </c>
    </row>
    <row r="15" spans="1:32" ht="11.25" customHeight="1" x14ac:dyDescent="0.2">
      <c r="A15" s="63" t="s">
        <v>128</v>
      </c>
      <c r="B15" s="127">
        <v>4</v>
      </c>
      <c r="C15" s="67" t="str">
        <f t="shared" si="7"/>
        <v>x7F</v>
      </c>
      <c r="D15" s="136"/>
      <c r="E15" s="136"/>
      <c r="F15" s="136"/>
      <c r="G15" s="65" t="str">
        <f t="shared" si="8"/>
        <v>UsdLibor3M</v>
      </c>
      <c r="H15" s="130" t="str">
        <f t="shared" si="9"/>
        <v>USD4x7F_Quote</v>
      </c>
      <c r="I15" s="136"/>
      <c r="J15" s="69"/>
      <c r="K15" s="52"/>
      <c r="L15" s="11" t="str">
        <f t="shared" si="5"/>
        <v>FRA</v>
      </c>
      <c r="M15" s="105" t="str">
        <f t="shared" si="6"/>
        <v>--</v>
      </c>
      <c r="N15" s="159" t="str">
        <f>IFERROR(_xll.qlRateHelperQuoteName(M15,Trigger),"--")</f>
        <v>--</v>
      </c>
      <c r="O15" s="109" t="str">
        <f>IFERROR(_xll.qlRateHelperQuoteValue($M15,Trigger),"--")</f>
        <v>--</v>
      </c>
      <c r="P15" s="108" t="b">
        <v>0</v>
      </c>
      <c r="Q15" s="105">
        <v>20</v>
      </c>
      <c r="R15" s="105">
        <v>1</v>
      </c>
      <c r="S15" s="110" t="str">
        <f>IFERROR(_xll.qlRateHelperEarliestDate(M15,Trigger),"--")</f>
        <v>--</v>
      </c>
      <c r="T15" s="110" t="str">
        <f>IFERROR(_xll.qlRateHelperPillarDate(M15,Trigger),"--")</f>
        <v>--</v>
      </c>
      <c r="V15" s="4" t="str">
        <f t="shared" si="3"/>
        <v>Sw</v>
      </c>
      <c r="W15" s="4" t="str">
        <v>obj_002c6</v>
      </c>
      <c r="X15" s="4" t="str">
        <f>IFERROR(_xll.qlRateHelperQuoteName(W15,Trigger),"")</f>
        <v>USDAM3L3Y_Quote</v>
      </c>
      <c r="Y15" s="75">
        <f>IFERROR(_xll.qlRateHelperRate(W15,Trigger),"")</f>
        <v>9.7700000000000009E-3</v>
      </c>
      <c r="Z15" s="115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42482</v>
      </c>
      <c r="AB15" s="5">
        <f>IFERROR(_xll.qlRateHelperPillarDate(W15,Trigger),"")</f>
        <v>43578</v>
      </c>
      <c r="AC15" s="83">
        <v>0.97077684512935214</v>
      </c>
    </row>
    <row r="16" spans="1:32" ht="11.25" customHeight="1" x14ac:dyDescent="0.2">
      <c r="A16" s="63" t="s">
        <v>128</v>
      </c>
      <c r="B16" s="127">
        <v>5</v>
      </c>
      <c r="C16" s="67" t="str">
        <f t="shared" si="7"/>
        <v>x8F</v>
      </c>
      <c r="D16" s="136"/>
      <c r="E16" s="136"/>
      <c r="F16" s="136"/>
      <c r="G16" s="65" t="str">
        <f t="shared" si="8"/>
        <v>UsdLibor3M</v>
      </c>
      <c r="H16" s="130" t="str">
        <f t="shared" si="9"/>
        <v>USD5x8F_Quote</v>
      </c>
      <c r="I16" s="136"/>
      <c r="J16" s="69"/>
      <c r="K16" s="52"/>
      <c r="L16" s="11" t="str">
        <f t="shared" si="5"/>
        <v>FRA</v>
      </c>
      <c r="M16" s="105" t="str">
        <f t="shared" si="6"/>
        <v>--</v>
      </c>
      <c r="N16" s="159" t="str">
        <f>IFERROR(_xll.qlRateHelperQuoteName(M16,Trigger),"--")</f>
        <v>--</v>
      </c>
      <c r="O16" s="109" t="str">
        <f>IFERROR(_xll.qlRateHelperQuoteValue($M16,Trigger),"--")</f>
        <v>--</v>
      </c>
      <c r="P16" s="108" t="b">
        <v>0</v>
      </c>
      <c r="Q16" s="105">
        <v>20</v>
      </c>
      <c r="R16" s="105">
        <v>1</v>
      </c>
      <c r="S16" s="110" t="str">
        <f>IFERROR(_xll.qlRateHelperEarliestDate(M16,Trigger),"--")</f>
        <v>--</v>
      </c>
      <c r="T16" s="110" t="str">
        <f>IFERROR(_xll.qlRateHelperPillarDate(M16,Trigger),"--")</f>
        <v>--</v>
      </c>
      <c r="V16" s="4" t="str">
        <f t="shared" si="3"/>
        <v>Sw</v>
      </c>
      <c r="W16" s="4" t="str">
        <v>obj_002c7</v>
      </c>
      <c r="X16" s="4" t="str">
        <f>IFERROR(_xll.qlRateHelperQuoteName(W16,Trigger),"")</f>
        <v>USDAM3L4Y_Quote</v>
      </c>
      <c r="Y16" s="75">
        <f>IFERROR(_xll.qlRateHelperRate(W16,Trigger),"")</f>
        <v>1.0789999999999999E-2</v>
      </c>
      <c r="Z16" s="115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42482</v>
      </c>
      <c r="AB16" s="5">
        <f>IFERROR(_xll.qlRateHelperPillarDate(W16,Trigger),"")</f>
        <v>43943</v>
      </c>
      <c r="AC16" s="83">
        <v>0.95725844282695838</v>
      </c>
    </row>
    <row r="17" spans="1:29" ht="11.25" customHeight="1" x14ac:dyDescent="0.2">
      <c r="A17" s="63" t="s">
        <v>128</v>
      </c>
      <c r="B17" s="127">
        <v>6</v>
      </c>
      <c r="C17" s="67" t="str">
        <f t="shared" si="7"/>
        <v>x9F</v>
      </c>
      <c r="D17" s="136"/>
      <c r="E17" s="136"/>
      <c r="F17" s="136"/>
      <c r="G17" s="65" t="str">
        <f t="shared" si="8"/>
        <v>UsdLibor3M</v>
      </c>
      <c r="H17" s="130" t="str">
        <f t="shared" si="9"/>
        <v>USD6x9F_Quote</v>
      </c>
      <c r="I17" s="136"/>
      <c r="J17" s="69"/>
      <c r="K17" s="52"/>
      <c r="L17" s="11" t="str">
        <f t="shared" si="5"/>
        <v>FRA</v>
      </c>
      <c r="M17" s="105" t="str">
        <f t="shared" si="6"/>
        <v>--</v>
      </c>
      <c r="N17" s="159" t="str">
        <f>IFERROR(_xll.qlRateHelperQuoteName(M17,Trigger),"--")</f>
        <v>--</v>
      </c>
      <c r="O17" s="109" t="str">
        <f>IFERROR(_xll.qlRateHelperQuoteValue($M17,Trigger),"--")</f>
        <v>--</v>
      </c>
      <c r="P17" s="108" t="b">
        <v>0</v>
      </c>
      <c r="Q17" s="105">
        <v>20</v>
      </c>
      <c r="R17" s="105">
        <v>1</v>
      </c>
      <c r="S17" s="110" t="str">
        <f>IFERROR(_xll.qlRateHelperEarliestDate(M17,Trigger),"--")</f>
        <v>--</v>
      </c>
      <c r="T17" s="110" t="str">
        <f>IFERROR(_xll.qlRateHelperPillarDate(M17,Trigger),"--")</f>
        <v>--</v>
      </c>
      <c r="V17" s="4" t="str">
        <f t="shared" si="3"/>
        <v>Sw</v>
      </c>
      <c r="W17" s="4" t="str">
        <v>obj_002f2</v>
      </c>
      <c r="X17" s="4" t="str">
        <f>IFERROR(_xll.qlRateHelperQuoteName(W17,Trigger),"")</f>
        <v>USDAM3L5Y_Quote</v>
      </c>
      <c r="Y17" s="75">
        <f>IFERROR(_xll.qlRateHelperRate(W17,Trigger),"")</f>
        <v>1.1810000000000001E-2</v>
      </c>
      <c r="Z17" s="11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42482</v>
      </c>
      <c r="AB17" s="5">
        <f>IFERROR(_xll.qlRateHelperPillarDate(W17,Trigger),"")</f>
        <v>44308</v>
      </c>
      <c r="AC17" s="83">
        <v>0.94195465300117764</v>
      </c>
    </row>
    <row r="18" spans="1:29" ht="11.25" customHeight="1" x14ac:dyDescent="0.2">
      <c r="A18" s="63" t="s">
        <v>128</v>
      </c>
      <c r="B18" s="127">
        <v>7</v>
      </c>
      <c r="C18" s="67" t="str">
        <f t="shared" si="7"/>
        <v>x10F</v>
      </c>
      <c r="D18" s="136"/>
      <c r="E18" s="136"/>
      <c r="F18" s="136"/>
      <c r="G18" s="65" t="str">
        <f t="shared" si="8"/>
        <v>UsdLibor3M</v>
      </c>
      <c r="H18" s="130" t="str">
        <f t="shared" si="9"/>
        <v>USD7x10F_Quote</v>
      </c>
      <c r="I18" s="136"/>
      <c r="J18" s="69"/>
      <c r="K18" s="52"/>
      <c r="L18" s="11" t="str">
        <f t="shared" si="5"/>
        <v>FRA</v>
      </c>
      <c r="M18" s="105" t="str">
        <f t="shared" si="6"/>
        <v>--</v>
      </c>
      <c r="N18" s="159" t="str">
        <f>IFERROR(_xll.qlRateHelperQuoteName(M18,Trigger),"--")</f>
        <v>--</v>
      </c>
      <c r="O18" s="109" t="str">
        <f>IFERROR(_xll.qlRateHelperQuoteValue($M18,Trigger),"--")</f>
        <v>--</v>
      </c>
      <c r="P18" s="108" t="b">
        <v>0</v>
      </c>
      <c r="Q18" s="105">
        <v>20</v>
      </c>
      <c r="R18" s="105">
        <v>1</v>
      </c>
      <c r="S18" s="110" t="str">
        <f>IFERROR(_xll.qlRateHelperEarliestDate(M18,Trigger),"--")</f>
        <v>--</v>
      </c>
      <c r="T18" s="110" t="str">
        <f>IFERROR(_xll.qlRateHelperPillarDate(M18,Trigger),"--")</f>
        <v>--</v>
      </c>
      <c r="V18" s="4" t="str">
        <f t="shared" si="3"/>
        <v>Sw</v>
      </c>
      <c r="W18" s="4" t="str">
        <v>obj_002e7</v>
      </c>
      <c r="X18" s="4" t="str">
        <f>IFERROR(_xll.qlRateHelperQuoteName(W18,Trigger),"")</f>
        <v>USDAM3L6Y_Quote</v>
      </c>
      <c r="Y18" s="75">
        <f>IFERROR(_xll.qlRateHelperRate(W18,Trigger),"")</f>
        <v>1.2810000000000002E-2</v>
      </c>
      <c r="Z18" s="11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42482</v>
      </c>
      <c r="AB18" s="5">
        <f>IFERROR(_xll.qlRateHelperPillarDate(W18,Trigger),"")</f>
        <v>44673</v>
      </c>
      <c r="AC18" s="83">
        <v>0.9250532458200672</v>
      </c>
    </row>
    <row r="19" spans="1:29" ht="11.25" customHeight="1" x14ac:dyDescent="0.2">
      <c r="A19" s="63" t="s">
        <v>128</v>
      </c>
      <c r="B19" s="127">
        <v>8</v>
      </c>
      <c r="C19" s="67" t="str">
        <f t="shared" si="7"/>
        <v>x11F</v>
      </c>
      <c r="D19" s="136"/>
      <c r="E19" s="136"/>
      <c r="F19" s="136"/>
      <c r="G19" s="65" t="str">
        <f t="shared" si="8"/>
        <v>UsdLibor3M</v>
      </c>
      <c r="H19" s="130" t="str">
        <f t="shared" si="9"/>
        <v>USD8x11F_Quote</v>
      </c>
      <c r="I19" s="136"/>
      <c r="J19" s="69"/>
      <c r="K19" s="52"/>
      <c r="L19" s="11" t="str">
        <f t="shared" si="5"/>
        <v>FRA</v>
      </c>
      <c r="M19" s="105" t="str">
        <f t="shared" si="6"/>
        <v>--</v>
      </c>
      <c r="N19" s="159" t="str">
        <f>IFERROR(_xll.qlRateHelperQuoteName(M19,Trigger),"--")</f>
        <v>--</v>
      </c>
      <c r="O19" s="109" t="str">
        <f>IFERROR(_xll.qlRateHelperQuoteValue($M19,Trigger),"--")</f>
        <v>--</v>
      </c>
      <c r="P19" s="108" t="b">
        <v>0</v>
      </c>
      <c r="Q19" s="105">
        <v>20</v>
      </c>
      <c r="R19" s="105">
        <v>1</v>
      </c>
      <c r="S19" s="110" t="str">
        <f>IFERROR(_xll.qlRateHelperEarliestDate(M19,Trigger),"--")</f>
        <v>--</v>
      </c>
      <c r="T19" s="110" t="str">
        <f>IFERROR(_xll.qlRateHelperPillarDate(M19,Trigger),"--")</f>
        <v>--</v>
      </c>
      <c r="V19" s="4" t="str">
        <f t="shared" si="3"/>
        <v>Sw</v>
      </c>
      <c r="W19" s="4" t="str">
        <v>obj_002c9</v>
      </c>
      <c r="X19" s="4" t="str">
        <f>IFERROR(_xll.qlRateHelperQuoteName(W19,Trigger),"")</f>
        <v>USDAM3L7Y_Quote</v>
      </c>
      <c r="Y19" s="75">
        <f>IFERROR(_xll.qlRateHelperRate(W19,Trigger),"")</f>
        <v>1.375E-2</v>
      </c>
      <c r="Z19" s="11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42482</v>
      </c>
      <c r="AB19" s="5">
        <f>IFERROR(_xll.qlRateHelperPillarDate(W19,Trigger),"")</f>
        <v>45040</v>
      </c>
      <c r="AC19" s="83">
        <v>0.90688253575323985</v>
      </c>
    </row>
    <row r="20" spans="1:29" ht="11.25" customHeight="1" x14ac:dyDescent="0.2">
      <c r="A20" s="63" t="s">
        <v>128</v>
      </c>
      <c r="B20" s="127">
        <v>9</v>
      </c>
      <c r="C20" s="67" t="str">
        <f t="shared" si="7"/>
        <v>x12F</v>
      </c>
      <c r="D20" s="136"/>
      <c r="E20" s="136"/>
      <c r="F20" s="136"/>
      <c r="G20" s="65" t="str">
        <f t="shared" si="8"/>
        <v>UsdLibor3M</v>
      </c>
      <c r="H20" s="130" t="str">
        <f t="shared" si="9"/>
        <v>USD9x12F_Quote</v>
      </c>
      <c r="I20" s="136"/>
      <c r="J20" s="69"/>
      <c r="K20" s="52"/>
      <c r="L20" s="11" t="str">
        <f t="shared" si="5"/>
        <v>FRA</v>
      </c>
      <c r="M20" s="105" t="str">
        <f t="shared" si="6"/>
        <v>--</v>
      </c>
      <c r="N20" s="159" t="str">
        <f>IFERROR(_xll.qlRateHelperQuoteName(M20,Trigger),"--")</f>
        <v>--</v>
      </c>
      <c r="O20" s="109" t="str">
        <f>IFERROR(_xll.qlRateHelperQuoteValue($M20,Trigger),"--")</f>
        <v>--</v>
      </c>
      <c r="P20" s="108" t="b">
        <v>0</v>
      </c>
      <c r="Q20" s="105">
        <v>20</v>
      </c>
      <c r="R20" s="105">
        <v>1</v>
      </c>
      <c r="S20" s="110" t="str">
        <f>IFERROR(_xll.qlRateHelperEarliestDate(M20,Trigger),"--")</f>
        <v>--</v>
      </c>
      <c r="T20" s="110" t="str">
        <f>IFERROR(_xll.qlRateHelperPillarDate(M20,Trigger),"--")</f>
        <v>--</v>
      </c>
      <c r="V20" s="4" t="str">
        <f t="shared" si="3"/>
        <v>Sw</v>
      </c>
      <c r="W20" s="4" t="str">
        <v>obj_002f1</v>
      </c>
      <c r="X20" s="4" t="str">
        <f>IFERROR(_xll.qlRateHelperQuoteName(W20,Trigger),"")</f>
        <v>USDAM3L8Y_Quote</v>
      </c>
      <c r="Y20" s="75">
        <f>IFERROR(_xll.qlRateHelperRate(W20,Trigger),"")</f>
        <v>1.4569999999999998E-2</v>
      </c>
      <c r="Z20" s="11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42482</v>
      </c>
      <c r="AB20" s="5">
        <f>IFERROR(_xll.qlRateHelperPillarDate(W20,Trigger),"")</f>
        <v>45404</v>
      </c>
      <c r="AC20" s="83">
        <v>0.8882923362099584</v>
      </c>
    </row>
    <row r="21" spans="1:29" ht="11.25" customHeight="1" x14ac:dyDescent="0.2">
      <c r="A21" s="63" t="s">
        <v>128</v>
      </c>
      <c r="B21" s="127">
        <v>10</v>
      </c>
      <c r="C21" s="67" t="str">
        <f t="shared" si="7"/>
        <v>x13F</v>
      </c>
      <c r="D21" s="136"/>
      <c r="E21" s="136"/>
      <c r="F21" s="136"/>
      <c r="G21" s="65" t="str">
        <f t="shared" si="8"/>
        <v>UsdLibor3M</v>
      </c>
      <c r="H21" s="130" t="str">
        <f t="shared" si="9"/>
        <v>USD10x13F_Quote</v>
      </c>
      <c r="I21" s="136"/>
      <c r="J21" s="69"/>
      <c r="K21" s="52"/>
      <c r="L21" s="12" t="str">
        <f t="shared" si="5"/>
        <v>FRA</v>
      </c>
      <c r="M21" s="106" t="str">
        <f t="shared" si="6"/>
        <v>--</v>
      </c>
      <c r="N21" s="160" t="str">
        <f>IFERROR(_xll.qlRateHelperQuoteName(M21,Trigger),"--")</f>
        <v>--</v>
      </c>
      <c r="O21" s="112" t="str">
        <f>IFERROR(_xll.qlRateHelperQuoteValue($M21,Trigger),"--")</f>
        <v>--</v>
      </c>
      <c r="P21" s="111" t="b">
        <v>0</v>
      </c>
      <c r="Q21" s="106">
        <v>20</v>
      </c>
      <c r="R21" s="106">
        <v>1</v>
      </c>
      <c r="S21" s="113" t="str">
        <f>IFERROR(_xll.qlRateHelperEarliestDate(M21,Trigger),"--")</f>
        <v>--</v>
      </c>
      <c r="T21" s="113" t="str">
        <f>IFERROR(_xll.qlRateHelperPillarDate(M21,Trigger),"--")</f>
        <v>--</v>
      </c>
      <c r="V21" s="4" t="str">
        <f t="shared" si="3"/>
        <v>Sw</v>
      </c>
      <c r="W21" s="4" t="str">
        <v>obj_002b3</v>
      </c>
      <c r="X21" s="4" t="str">
        <f>IFERROR(_xll.qlRateHelperQuoteName(W21,Trigger),"")</f>
        <v>USDAM3L9Y_Quote</v>
      </c>
      <c r="Y21" s="75">
        <f>IFERROR(_xll.qlRateHelperRate(W21,Trigger),"")</f>
        <v>1.532E-2</v>
      </c>
      <c r="Z21" s="11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42482</v>
      </c>
      <c r="AB21" s="5">
        <f>IFERROR(_xll.qlRateHelperPillarDate(W21,Trigger),"")</f>
        <v>45769</v>
      </c>
      <c r="AC21" s="83">
        <v>0.86910316424532208</v>
      </c>
    </row>
    <row r="22" spans="1:29" ht="11.25" customHeight="1" x14ac:dyDescent="0.2">
      <c r="A22" s="63" t="s">
        <v>128</v>
      </c>
      <c r="B22" s="127">
        <v>11</v>
      </c>
      <c r="C22" s="67" t="str">
        <f t="shared" si="7"/>
        <v>x14F</v>
      </c>
      <c r="D22" s="136"/>
      <c r="E22" s="136"/>
      <c r="F22" s="136"/>
      <c r="G22" s="65" t="str">
        <f t="shared" si="8"/>
        <v>UsdLibor3M</v>
      </c>
      <c r="H22" s="130" t="str">
        <f t="shared" si="9"/>
        <v>USD11x14F_Quote</v>
      </c>
      <c r="I22" s="136"/>
      <c r="J22" s="69"/>
      <c r="K22" s="52"/>
      <c r="L22" s="73" t="str">
        <f>A26</f>
        <v>FUT</v>
      </c>
      <c r="M22" s="144" t="str">
        <f>IF(ISBLANK(J26),"--",J26)</f>
        <v>obj_00327#0006</v>
      </c>
      <c r="N22" s="158" t="str">
        <f>IFERROR(_xll.qlRateHelperQuoteName(M22,Trigger),"--")</f>
        <v>USDFUT3MJ6_Quote</v>
      </c>
      <c r="O22" s="163" t="str">
        <f>IFERROR(_xll.qlRateHelperQuoteValue($M22,Trigger),"--")</f>
        <v>--</v>
      </c>
      <c r="P22" s="145" t="b">
        <v>1</v>
      </c>
      <c r="Q22" s="144">
        <v>60</v>
      </c>
      <c r="R22" s="144">
        <v>7</v>
      </c>
      <c r="S22" s="147">
        <f>IFERROR(_xll.qlRateHelperEarliestDate(M22,Trigger),"--")</f>
        <v>42480</v>
      </c>
      <c r="T22" s="147">
        <f>IFERROR(_xll.qlRateHelperPillarDate(M22,Trigger),"--")</f>
        <v>42571</v>
      </c>
      <c r="V22" s="4" t="str">
        <f t="shared" si="3"/>
        <v>Sw</v>
      </c>
      <c r="W22" s="4" t="str">
        <v>obj_0029e</v>
      </c>
      <c r="X22" s="4" t="str">
        <f>IFERROR(_xll.qlRateHelperQuoteName(W22,Trigger),"")</f>
        <v>USDAM3L10Y_Quote</v>
      </c>
      <c r="Y22" s="75">
        <f>IFERROR(_xll.qlRateHelperRate(W22,Trigger),"")</f>
        <v>1.602E-2</v>
      </c>
      <c r="Z22" s="11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42482</v>
      </c>
      <c r="AB22" s="5">
        <f>IFERROR(_xll.qlRateHelperPillarDate(W22,Trigger),"")</f>
        <v>46134</v>
      </c>
      <c r="AC22" s="83">
        <v>0.84939835136495412</v>
      </c>
    </row>
    <row r="23" spans="1:29" ht="11.25" customHeight="1" x14ac:dyDescent="0.2">
      <c r="A23" s="1" t="s">
        <v>128</v>
      </c>
      <c r="B23" s="128">
        <v>12</v>
      </c>
      <c r="C23" s="10" t="str">
        <f t="shared" si="7"/>
        <v>x15F</v>
      </c>
      <c r="D23" s="137"/>
      <c r="E23" s="137"/>
      <c r="F23" s="137"/>
      <c r="G23" s="7" t="str">
        <f t="shared" si="8"/>
        <v>UsdLibor3M</v>
      </c>
      <c r="H23" s="131" t="str">
        <f t="shared" si="9"/>
        <v>USD12x15F_Quote</v>
      </c>
      <c r="I23" s="137"/>
      <c r="J23" s="3"/>
      <c r="K23" s="52"/>
      <c r="L23" s="11" t="str">
        <f t="shared" ref="L23:L43" si="10">A27</f>
        <v>FUT</v>
      </c>
      <c r="M23" s="105" t="str">
        <f t="shared" ref="M23:M43" si="11">IF(ISBLANK(J27),"--",J27)</f>
        <v>obj_00332#0006</v>
      </c>
      <c r="N23" s="159" t="str">
        <f>IFERROR(_xll.qlRateHelperQuoteName(M23,Trigger),"--")</f>
        <v>USDFUT3MK6_Quote</v>
      </c>
      <c r="O23" s="164">
        <f>IFERROR(_xll.qlRateHelperQuoteValue($M23,Trigger),"--")</f>
        <v>99.342500000000001</v>
      </c>
      <c r="P23" s="108" t="b">
        <v>1</v>
      </c>
      <c r="Q23" s="105">
        <v>60</v>
      </c>
      <c r="R23" s="105">
        <v>1</v>
      </c>
      <c r="S23" s="110">
        <f>IFERROR(_xll.qlRateHelperEarliestDate(M23,Trigger),"--")</f>
        <v>42508</v>
      </c>
      <c r="T23" s="110">
        <f>IFERROR(_xll.qlRateHelperPillarDate(M23,Trigger),"--")</f>
        <v>42600</v>
      </c>
      <c r="V23" s="4" t="str">
        <f t="shared" si="3"/>
        <v>Sw</v>
      </c>
      <c r="W23" s="4" t="str">
        <v>obj_00314</v>
      </c>
      <c r="X23" s="4" t="str">
        <f>IFERROR(_xll.qlRateHelperQuoteName(W23,Trigger),"")</f>
        <v>USDAM3L12Y_Quote</v>
      </c>
      <c r="Y23" s="75">
        <f>IFERROR(_xll.qlRateHelperRate(W23,Trigger),"")</f>
        <v>1.7219999999999999E-2</v>
      </c>
      <c r="Z23" s="11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42482</v>
      </c>
      <c r="AB23" s="5">
        <f>IFERROR(_xll.qlRateHelperPillarDate(W23,Trigger),"")</f>
        <v>46867</v>
      </c>
      <c r="AC23" s="83">
        <v>0.80955681636690213</v>
      </c>
    </row>
    <row r="24" spans="1:29" ht="11.25" customHeight="1" x14ac:dyDescent="0.2">
      <c r="B24" s="50"/>
      <c r="C24" s="50"/>
      <c r="D24" s="50"/>
      <c r="E24" s="50"/>
      <c r="F24" s="50"/>
      <c r="G24" s="50"/>
      <c r="H24" s="50" t="s">
        <v>130</v>
      </c>
      <c r="K24" s="52"/>
      <c r="L24" s="11" t="str">
        <f t="shared" si="10"/>
        <v>FUT</v>
      </c>
      <c r="M24" s="105" t="str">
        <f t="shared" si="11"/>
        <v>obj_0033f#0006</v>
      </c>
      <c r="N24" s="159" t="str">
        <f>IFERROR(_xll.qlRateHelperQuoteName(M24,Trigger),"--")</f>
        <v>USDFUT3MM6_Quote</v>
      </c>
      <c r="O24" s="164">
        <f>IFERROR(_xll.qlRateHelperQuoteValue($M24,Trigger),"--")</f>
        <v>99.307500000000005</v>
      </c>
      <c r="P24" s="108" t="b">
        <v>1</v>
      </c>
      <c r="Q24" s="105">
        <v>60</v>
      </c>
      <c r="R24" s="105">
        <v>1</v>
      </c>
      <c r="S24" s="110">
        <f>IFERROR(_xll.qlRateHelperEarliestDate(M24,Trigger),"--")</f>
        <v>42536</v>
      </c>
      <c r="T24" s="110">
        <f>IFERROR(_xll.qlRateHelperPillarDate(M24,Trigger),"--")</f>
        <v>42628</v>
      </c>
      <c r="V24" s="4" t="str">
        <f t="shared" si="3"/>
        <v>Sw</v>
      </c>
      <c r="W24" s="4" t="str">
        <v>obj_002ab</v>
      </c>
      <c r="X24" s="4" t="str">
        <f>IFERROR(_xll.qlRateHelperQuoteName(W24,Trigger),"")</f>
        <v>USDAM3L15Y_Quote</v>
      </c>
      <c r="Y24" s="75">
        <f>IFERROR(_xll.qlRateHelperRate(W24,Trigger),"")</f>
        <v>1.8489999999999999E-2</v>
      </c>
      <c r="Z24" s="11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42482</v>
      </c>
      <c r="AB24" s="5">
        <f>IFERROR(_xll.qlRateHelperPillarDate(W24,Trigger),"")</f>
        <v>47960</v>
      </c>
      <c r="AC24" s="83">
        <v>0.75248728048961167</v>
      </c>
    </row>
    <row r="25" spans="1:29" ht="11.25" customHeight="1" x14ac:dyDescent="0.2">
      <c r="A25" s="70" t="s">
        <v>9</v>
      </c>
      <c r="B25" s="70" t="s">
        <v>132</v>
      </c>
      <c r="C25" s="70" t="s">
        <v>34</v>
      </c>
      <c r="D25" s="70"/>
      <c r="E25" s="70"/>
      <c r="F25" s="70"/>
      <c r="G25" s="70" t="s">
        <v>4</v>
      </c>
      <c r="H25" s="70" t="s">
        <v>1</v>
      </c>
      <c r="I25" s="70" t="s">
        <v>131</v>
      </c>
      <c r="J25" s="70" t="s">
        <v>25</v>
      </c>
      <c r="K25" s="52"/>
      <c r="L25" s="11" t="str">
        <f t="shared" si="10"/>
        <v>FUT</v>
      </c>
      <c r="M25" s="105" t="str">
        <f t="shared" si="11"/>
        <v>obj_00334#0006</v>
      </c>
      <c r="N25" s="159" t="str">
        <f>IFERROR(_xll.qlRateHelperQuoteName(M25,Trigger),"--")</f>
        <v>USDFUT3MN6_Quote</v>
      </c>
      <c r="O25" s="164">
        <f>IFERROR(_xll.qlRateHelperQuoteValue($M25,Trigger),"--")</f>
        <v>99.275000000000006</v>
      </c>
      <c r="P25" s="108" t="b">
        <v>1</v>
      </c>
      <c r="Q25" s="105">
        <v>60</v>
      </c>
      <c r="R25" s="105">
        <v>21</v>
      </c>
      <c r="S25" s="110">
        <f>IFERROR(_xll.qlRateHelperEarliestDate(M25,Trigger),"--")</f>
        <v>42571</v>
      </c>
      <c r="T25" s="110">
        <f>IFERROR(_xll.qlRateHelperPillarDate(M25,Trigger),"--")</f>
        <v>42663</v>
      </c>
      <c r="V25" s="4" t="str">
        <f t="shared" si="3"/>
        <v>Sw</v>
      </c>
      <c r="W25" s="4" t="str">
        <v>obj_0028c</v>
      </c>
      <c r="X25" s="4" t="str">
        <f>IFERROR(_xll.qlRateHelperQuoteName(W25,Trigger),"")</f>
        <v>USDAM3L20Y_Quote</v>
      </c>
      <c r="Y25" s="75">
        <f>IFERROR(_xll.qlRateHelperRate(W25,Trigger),"")</f>
        <v>1.976E-2</v>
      </c>
      <c r="Z25" s="11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42482</v>
      </c>
      <c r="AB25" s="5">
        <f>IFERROR(_xll.qlRateHelperPillarDate(W25,Trigger),"")</f>
        <v>49787</v>
      </c>
      <c r="AC25" s="83">
        <v>0.66578079190268835</v>
      </c>
    </row>
    <row r="26" spans="1:29" ht="11.25" customHeight="1" x14ac:dyDescent="0.2">
      <c r="A26" s="57" t="s">
        <v>129</v>
      </c>
      <c r="B26" s="126" t="b">
        <v>0</v>
      </c>
      <c r="C26" s="60" t="str">
        <f>_xll.qlIMMNextCode(Evaluationdate-1,B26,Trigger)</f>
        <v>J6</v>
      </c>
      <c r="D26" s="142"/>
      <c r="E26" s="142"/>
      <c r="F26" s="142"/>
      <c r="G26" s="59" t="str">
        <f t="shared" ref="G26:G47" si="12">PROPER(Currency)&amp;FamilyName&amp;Tenor</f>
        <v>UsdLibor3M</v>
      </c>
      <c r="H26" s="129" t="str">
        <f t="shared" ref="H26:H47" si="13">Currency&amp;"FUT"&amp;Tenor&amp;$C26&amp;QuoteSuffix</f>
        <v>USDFUT3MJ6_Quote</v>
      </c>
      <c r="I26" s="129" t="str">
        <f t="shared" ref="I26:I47" si="14">Currency&amp;"FUT"&amp;Tenor&amp;$C26&amp;"ConvAdj"&amp;QuoteSuffix</f>
        <v>USDFUT3MJ6ConvAdj_Quote</v>
      </c>
      <c r="J26" s="62" t="str">
        <f>_xll.qlFuturesRateHelper(,H26,$H$24,C26,G26,I26,Permanent,Trigger,ObjectOverwrite)</f>
        <v>obj_00327#0006</v>
      </c>
      <c r="K26" s="52"/>
      <c r="L26" s="11" t="str">
        <f t="shared" si="10"/>
        <v>FUT</v>
      </c>
      <c r="M26" s="105" t="str">
        <f t="shared" si="11"/>
        <v>obj_00333#0006</v>
      </c>
      <c r="N26" s="159" t="str">
        <f>IFERROR(_xll.qlRateHelperQuoteName(M26,Trigger),"--")</f>
        <v>USDFUT3MQ6_Quote</v>
      </c>
      <c r="O26" s="164">
        <f>IFERROR(_xll.qlRateHelperQuoteValue($M26,Trigger),"--")</f>
        <v>99.254999999999995</v>
      </c>
      <c r="P26" s="108" t="b">
        <v>1</v>
      </c>
      <c r="Q26" s="105">
        <v>60</v>
      </c>
      <c r="R26" s="105">
        <v>21</v>
      </c>
      <c r="S26" s="110">
        <f>IFERROR(_xll.qlRateHelperEarliestDate(M26,Trigger),"--")</f>
        <v>42599</v>
      </c>
      <c r="T26" s="110">
        <f>IFERROR(_xll.qlRateHelperPillarDate(M26,Trigger),"--")</f>
        <v>42691</v>
      </c>
      <c r="V26" s="4" t="str">
        <f t="shared" si="3"/>
        <v>Sw</v>
      </c>
      <c r="W26" s="4" t="str">
        <v>obj_0030e</v>
      </c>
      <c r="X26" s="4" t="str">
        <f>IFERROR(_xll.qlRateHelperQuoteName(W26,Trigger),"")</f>
        <v>USDAM3L25Y_Quote</v>
      </c>
      <c r="Y26" s="75">
        <f>IFERROR(_xll.qlRateHelperRate(W26,Trigger),"")</f>
        <v>2.0409999999999998E-2</v>
      </c>
      <c r="Z26" s="11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42482</v>
      </c>
      <c r="AB26" s="5">
        <f>IFERROR(_xll.qlRateHelperPillarDate(W26,Trigger),"")</f>
        <v>51614</v>
      </c>
      <c r="AC26" s="83">
        <v>0.59092126068930484</v>
      </c>
    </row>
    <row r="27" spans="1:29" ht="11.25" customHeight="1" x14ac:dyDescent="0.2">
      <c r="A27" s="63" t="s">
        <v>129</v>
      </c>
      <c r="B27" s="127" t="b">
        <v>0</v>
      </c>
      <c r="C27" s="67" t="str">
        <f>_xll.qlIMMNextCode(C26,B27,Trigger)</f>
        <v>K6</v>
      </c>
      <c r="D27" s="136"/>
      <c r="E27" s="136"/>
      <c r="F27" s="136"/>
      <c r="G27" s="65" t="str">
        <f t="shared" si="12"/>
        <v>UsdLibor3M</v>
      </c>
      <c r="H27" s="130" t="str">
        <f t="shared" si="13"/>
        <v>USDFUT3MK6_Quote</v>
      </c>
      <c r="I27" s="130" t="str">
        <f t="shared" si="14"/>
        <v>USDFUT3MK6ConvAdj_Quote</v>
      </c>
      <c r="J27" s="69" t="str">
        <f>_xll.qlFuturesRateHelper(,H27,$H$24,C27,G27,I27,Permanent,Trigger,ObjectOverwrite)</f>
        <v>obj_00332#0006</v>
      </c>
      <c r="K27" s="52"/>
      <c r="L27" s="11" t="str">
        <f t="shared" si="10"/>
        <v>FUT</v>
      </c>
      <c r="M27" s="105" t="str">
        <f t="shared" si="11"/>
        <v>obj_00335#0006</v>
      </c>
      <c r="N27" s="159" t="str">
        <f>IFERROR(_xll.qlRateHelperQuoteName(M27,Trigger),"--")</f>
        <v>USDFUT3MU6_Quote</v>
      </c>
      <c r="O27" s="164">
        <f>IFERROR(_xll.qlRateHelperQuoteValue($M27,Trigger),"--")</f>
        <v>99.227499999999992</v>
      </c>
      <c r="P27" s="108" t="b">
        <v>1</v>
      </c>
      <c r="Q27" s="105">
        <v>60</v>
      </c>
      <c r="R27" s="105">
        <v>21</v>
      </c>
      <c r="S27" s="110">
        <f>IFERROR(_xll.qlRateHelperEarliestDate(M27,Trigger),"--")</f>
        <v>42634</v>
      </c>
      <c r="T27" s="110">
        <f>IFERROR(_xll.qlRateHelperPillarDate(M27,Trigger),"--")</f>
        <v>42725</v>
      </c>
      <c r="V27" s="4" t="str">
        <f t="shared" si="3"/>
        <v>Sw</v>
      </c>
      <c r="W27" s="4" t="str">
        <v>obj_002e9</v>
      </c>
      <c r="X27" s="4" t="str">
        <f>IFERROR(_xll.qlRateHelperQuoteName(W27,Trigger),"")</f>
        <v>USDAM3L30Y_Quote</v>
      </c>
      <c r="Y27" s="75">
        <f>IFERROR(_xll.qlRateHelperRate(W27,Trigger),"")</f>
        <v>2.078E-2</v>
      </c>
      <c r="Z27" s="11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42482</v>
      </c>
      <c r="AB27" s="5">
        <f>IFERROR(_xll.qlRateHelperPillarDate(W27,Trigger),"")</f>
        <v>53440</v>
      </c>
      <c r="AC27" s="83">
        <v>0.52571336014258607</v>
      </c>
    </row>
    <row r="28" spans="1:29" ht="11.25" customHeight="1" x14ac:dyDescent="0.2">
      <c r="A28" s="63" t="s">
        <v>129</v>
      </c>
      <c r="B28" s="127" t="b">
        <v>0</v>
      </c>
      <c r="C28" s="67" t="str">
        <f>_xll.qlIMMNextCode(C27,B28,Trigger)</f>
        <v>M6</v>
      </c>
      <c r="D28" s="136"/>
      <c r="E28" s="136"/>
      <c r="F28" s="136"/>
      <c r="G28" s="65" t="str">
        <f t="shared" si="12"/>
        <v>UsdLibor3M</v>
      </c>
      <c r="H28" s="130" t="str">
        <f t="shared" si="13"/>
        <v>USDFUT3MM6_Quote</v>
      </c>
      <c r="I28" s="130" t="str">
        <f t="shared" si="14"/>
        <v>USDFUT3MM6ConvAdj_Quote</v>
      </c>
      <c r="J28" s="69" t="str">
        <f>_xll.qlFuturesRateHelper(,H28,$H$24,C28,G28,I28,Permanent,Trigger,ObjectOverwrite)</f>
        <v>obj_0033f#0006</v>
      </c>
      <c r="K28" s="52"/>
      <c r="L28" s="11" t="str">
        <f t="shared" si="10"/>
        <v>FUT</v>
      </c>
      <c r="M28" s="105" t="str">
        <f t="shared" si="11"/>
        <v>obj_00331#0006</v>
      </c>
      <c r="N28" s="159" t="str">
        <f>IFERROR(_xll.qlRateHelperQuoteName(M28,Trigger),"--")</f>
        <v>USDFUT3MZ6_Quote</v>
      </c>
      <c r="O28" s="164">
        <f>IFERROR(_xll.qlRateHelperQuoteValue($M28,Trigger),"--")</f>
        <v>99.152500000000003</v>
      </c>
      <c r="P28" s="108" t="b">
        <v>1</v>
      </c>
      <c r="Q28" s="105">
        <v>60</v>
      </c>
      <c r="R28" s="105">
        <v>21</v>
      </c>
      <c r="S28" s="110">
        <f>IFERROR(_xll.qlRateHelperEarliestDate(M28,Trigger),"--")</f>
        <v>42725</v>
      </c>
      <c r="T28" s="110">
        <f>IFERROR(_xll.qlRateHelperPillarDate(M28,Trigger),"--")</f>
        <v>42815</v>
      </c>
      <c r="V28" s="4" t="str">
        <f t="shared" si="3"/>
        <v>Sw</v>
      </c>
      <c r="W28" s="4" t="str">
        <v>obj_00286</v>
      </c>
      <c r="X28" s="4" t="str">
        <f>IFERROR(_xll.qlRateHelperQuoteName(W28,Trigger),"")</f>
        <v>USDAM3L40Y_Quote</v>
      </c>
      <c r="Y28" s="75">
        <f>IFERROR(_xll.qlRateHelperRate(W28,Trigger),"")</f>
        <v>2.094E-2</v>
      </c>
      <c r="Z28" s="11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42482</v>
      </c>
      <c r="AB28" s="5">
        <f>IFERROR(_xll.qlRateHelperPillarDate(W28,Trigger),"")</f>
        <v>57094</v>
      </c>
      <c r="AC28" s="83">
        <v>0.42296642888699243</v>
      </c>
    </row>
    <row r="29" spans="1:29" ht="11.25" customHeight="1" x14ac:dyDescent="0.2">
      <c r="A29" s="63" t="s">
        <v>129</v>
      </c>
      <c r="B29" s="127" t="b">
        <v>0</v>
      </c>
      <c r="C29" s="67" t="str">
        <f>_xll.qlIMMNextCode(C28,B29,Trigger)</f>
        <v>N6</v>
      </c>
      <c r="D29" s="136"/>
      <c r="E29" s="136"/>
      <c r="F29" s="136"/>
      <c r="G29" s="65" t="str">
        <f t="shared" si="12"/>
        <v>UsdLibor3M</v>
      </c>
      <c r="H29" s="130" t="str">
        <f t="shared" si="13"/>
        <v>USDFUT3MN6_Quote</v>
      </c>
      <c r="I29" s="130" t="str">
        <f t="shared" si="14"/>
        <v>USDFUT3MN6ConvAdj_Quote</v>
      </c>
      <c r="J29" s="69" t="str">
        <f>_xll.qlFuturesRateHelper(,H29,$H$24,C29,G29,I29,Permanent,Trigger,ObjectOverwrite)</f>
        <v>obj_00334#0006</v>
      </c>
      <c r="K29" s="52"/>
      <c r="L29" s="11" t="str">
        <f t="shared" si="10"/>
        <v>FUT</v>
      </c>
      <c r="M29" s="105" t="str">
        <f t="shared" si="11"/>
        <v>obj_0033e#0006</v>
      </c>
      <c r="N29" s="159" t="str">
        <f>IFERROR(_xll.qlRateHelperQuoteName(M29,Trigger),"--")</f>
        <v>USDFUT3MH7_Quote</v>
      </c>
      <c r="O29" s="164">
        <f>IFERROR(_xll.qlRateHelperQuoteValue($M29,Trigger),"--")</f>
        <v>99.102499999999992</v>
      </c>
      <c r="P29" s="108" t="b">
        <v>1</v>
      </c>
      <c r="Q29" s="105">
        <v>60</v>
      </c>
      <c r="R29" s="105">
        <v>21</v>
      </c>
      <c r="S29" s="110">
        <f>IFERROR(_xll.qlRateHelperEarliestDate(M29,Trigger),"--")</f>
        <v>42809</v>
      </c>
      <c r="T29" s="110">
        <f>IFERROR(_xll.qlRateHelperPillarDate(M29,Trigger),"--")</f>
        <v>42901</v>
      </c>
      <c r="V29" s="4" t="str">
        <f t="shared" si="3"/>
        <v>Sw</v>
      </c>
      <c r="W29" s="4" t="str">
        <v>obj_002e6</v>
      </c>
      <c r="X29" s="4" t="str">
        <f>IFERROR(_xll.qlRateHelperQuoteName(W29,Trigger),"")</f>
        <v>USDAM3L50Y_Quote</v>
      </c>
      <c r="Y29" s="75">
        <f>IFERROR(_xll.qlRateHelperRate(W29,Trigger),"")</f>
        <v>2.0819999999999998E-2</v>
      </c>
      <c r="Z29" s="11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42482</v>
      </c>
      <c r="AB29" s="5">
        <f>IFERROR(_xll.qlRateHelperPillarDate(W29,Trigger),"")</f>
        <v>60744</v>
      </c>
      <c r="AC29" s="83">
        <v>0.34578314499312746</v>
      </c>
    </row>
    <row r="30" spans="1:29" ht="11.25" customHeight="1" x14ac:dyDescent="0.2">
      <c r="A30" s="1" t="s">
        <v>129</v>
      </c>
      <c r="B30" s="128" t="b">
        <v>0</v>
      </c>
      <c r="C30" s="10" t="str">
        <f>_xll.qlIMMNextCode(C29,B30,Trigger)</f>
        <v>Q6</v>
      </c>
      <c r="D30" s="137"/>
      <c r="E30" s="137"/>
      <c r="F30" s="137"/>
      <c r="G30" s="7" t="str">
        <f t="shared" si="12"/>
        <v>UsdLibor3M</v>
      </c>
      <c r="H30" s="131" t="str">
        <f t="shared" si="13"/>
        <v>USDFUT3MQ6_Quote</v>
      </c>
      <c r="I30" s="131" t="str">
        <f t="shared" si="14"/>
        <v>USDFUT3MQ6ConvAdj_Quote</v>
      </c>
      <c r="J30" s="3" t="str">
        <f>_xll.qlFuturesRateHelper(,H30,$H$24,C30,G30,I30,Permanent,Trigger,ObjectOverwrite)</f>
        <v>obj_00333#0006</v>
      </c>
      <c r="K30" s="52"/>
      <c r="L30" s="11" t="str">
        <f t="shared" si="10"/>
        <v>FUT</v>
      </c>
      <c r="M30" s="105" t="str">
        <f t="shared" si="11"/>
        <v>obj_0032f#0006</v>
      </c>
      <c r="N30" s="159" t="str">
        <f>IFERROR(_xll.qlRateHelperQuoteName(M30,Trigger),"--")</f>
        <v>USDFUT3MM7_Quote</v>
      </c>
      <c r="O30" s="164">
        <f>IFERROR(_xll.qlRateHelperQuoteValue($M30,Trigger),"--")</f>
        <v>99.047499999999999</v>
      </c>
      <c r="P30" s="108" t="b">
        <v>1</v>
      </c>
      <c r="Q30" s="105">
        <v>60</v>
      </c>
      <c r="R30" s="105">
        <v>21</v>
      </c>
      <c r="S30" s="110">
        <f>IFERROR(_xll.qlRateHelperEarliestDate(M30,Trigger),"--")</f>
        <v>42907</v>
      </c>
      <c r="T30" s="110">
        <f>IFERROR(_xll.qlRateHelperPillarDate(M30,Trigger),"--")</f>
        <v>42999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5" t="str">
        <f>IFERROR(_xll.qlRateHelperRate(W30,Trigger),"")</f>
        <v/>
      </c>
      <c r="Z30" s="11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3" t="e">
        <v>#N/A</v>
      </c>
    </row>
    <row r="31" spans="1:29" ht="11.25" customHeight="1" x14ac:dyDescent="0.2">
      <c r="A31" s="63" t="s">
        <v>129</v>
      </c>
      <c r="B31" s="127" t="b">
        <v>1</v>
      </c>
      <c r="C31" s="67" t="str">
        <f>_xll.qlIMMNextCode(C30,B31,Trigger)</f>
        <v>U6</v>
      </c>
      <c r="D31" s="136"/>
      <c r="E31" s="136"/>
      <c r="F31" s="136"/>
      <c r="G31" s="65" t="str">
        <f t="shared" si="12"/>
        <v>UsdLibor3M</v>
      </c>
      <c r="H31" s="130" t="str">
        <f t="shared" si="13"/>
        <v>USDFUT3MU6_Quote</v>
      </c>
      <c r="I31" s="130" t="str">
        <f t="shared" si="14"/>
        <v>USDFUT3MU6ConvAdj_Quote</v>
      </c>
      <c r="J31" s="69" t="str">
        <f>_xll.qlFuturesRateHelper(,H31,$H$24,C31,G31,I31,Permanent,Trigger,ObjectOverwrite)</f>
        <v>obj_00335#0006</v>
      </c>
      <c r="K31" s="52"/>
      <c r="L31" s="11" t="str">
        <f t="shared" si="10"/>
        <v>FUT</v>
      </c>
      <c r="M31" s="105" t="str">
        <f t="shared" si="11"/>
        <v>obj_0032a#0006</v>
      </c>
      <c r="N31" s="159" t="str">
        <f>IFERROR(_xll.qlRateHelperQuoteName(M31,Trigger),"--")</f>
        <v>USDFUT3MU7_Quote</v>
      </c>
      <c r="O31" s="164">
        <f>IFERROR(_xll.qlRateHelperQuoteValue($M31,Trigger),"--")</f>
        <v>98.992500000000007</v>
      </c>
      <c r="P31" s="108" t="b">
        <v>1</v>
      </c>
      <c r="Q31" s="105">
        <v>60</v>
      </c>
      <c r="R31" s="105">
        <v>21</v>
      </c>
      <c r="S31" s="110">
        <f>IFERROR(_xll.qlRateHelperEarliestDate(M31,Trigger),"--")</f>
        <v>42998</v>
      </c>
      <c r="T31" s="110">
        <f>IFERROR(_xll.qlRateHelperPillarDate(M31,Trigger),"--")</f>
        <v>43089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5" t="str">
        <f>IFERROR(_xll.qlRateHelperRate(W31,Trigger),"")</f>
        <v/>
      </c>
      <c r="Z31" s="11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3" t="e">
        <v>#N/A</v>
      </c>
    </row>
    <row r="32" spans="1:29" ht="11.25" customHeight="1" x14ac:dyDescent="0.2">
      <c r="A32" s="63" t="s">
        <v>129</v>
      </c>
      <c r="B32" s="127" t="b">
        <v>1</v>
      </c>
      <c r="C32" s="67" t="str">
        <f>_xll.qlIMMNextCode(C31,B32,Trigger)</f>
        <v>Z6</v>
      </c>
      <c r="D32" s="136"/>
      <c r="E32" s="136"/>
      <c r="F32" s="136"/>
      <c r="G32" s="65" t="str">
        <f t="shared" si="12"/>
        <v>UsdLibor3M</v>
      </c>
      <c r="H32" s="130" t="str">
        <f t="shared" si="13"/>
        <v>USDFUT3MZ6_Quote</v>
      </c>
      <c r="I32" s="130" t="str">
        <f t="shared" si="14"/>
        <v>USDFUT3MZ6ConvAdj_Quote</v>
      </c>
      <c r="J32" s="69" t="str">
        <f>_xll.qlFuturesRateHelper(,H32,$H$24,C32,G32,I32,Permanent,Trigger,ObjectOverwrite)</f>
        <v>obj_00331#0006</v>
      </c>
      <c r="K32" s="52"/>
      <c r="L32" s="11" t="str">
        <f t="shared" si="10"/>
        <v>FUT</v>
      </c>
      <c r="M32" s="105" t="str">
        <f t="shared" si="11"/>
        <v>obj_00338#0006</v>
      </c>
      <c r="N32" s="159" t="str">
        <f>IFERROR(_xll.qlRateHelperQuoteName(M32,Trigger),"--")</f>
        <v>USDFUT3MZ7_Quote</v>
      </c>
      <c r="O32" s="164">
        <f>IFERROR(_xll.qlRateHelperQuoteValue($M32,Trigger),"--")</f>
        <v>98.922499999999999</v>
      </c>
      <c r="P32" s="108" t="b">
        <v>1</v>
      </c>
      <c r="Q32" s="105">
        <v>60</v>
      </c>
      <c r="R32" s="105">
        <v>21</v>
      </c>
      <c r="S32" s="110">
        <f>IFERROR(_xll.qlRateHelperEarliestDate(M32,Trigger),"--")</f>
        <v>43089</v>
      </c>
      <c r="T32" s="110">
        <f>IFERROR(_xll.qlRateHelperPillarDate(M32,Trigger),"--")</f>
        <v>43179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5" t="str">
        <f>IFERROR(_xll.qlRateHelperRate(W32,Trigger),"")</f>
        <v/>
      </c>
      <c r="Z32" s="11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3" t="e">
        <v>#N/A</v>
      </c>
    </row>
    <row r="33" spans="1:29" ht="11.25" customHeight="1" x14ac:dyDescent="0.2">
      <c r="A33" s="63" t="s">
        <v>129</v>
      </c>
      <c r="B33" s="127" t="b">
        <v>1</v>
      </c>
      <c r="C33" s="67" t="str">
        <f>_xll.qlIMMNextCode(C32,B33,Trigger)</f>
        <v>H7</v>
      </c>
      <c r="D33" s="136"/>
      <c r="E33" s="136"/>
      <c r="F33" s="136"/>
      <c r="G33" s="65" t="str">
        <f t="shared" si="12"/>
        <v>UsdLibor3M</v>
      </c>
      <c r="H33" s="130" t="str">
        <f t="shared" si="13"/>
        <v>USDFUT3MH7_Quote</v>
      </c>
      <c r="I33" s="130" t="str">
        <f t="shared" si="14"/>
        <v>USDFUT3MH7ConvAdj_Quote</v>
      </c>
      <c r="J33" s="69" t="str">
        <f>_xll.qlFuturesRateHelper(,H33,$H$24,C33,G33,I33,Permanent,Trigger,ObjectOverwrite)</f>
        <v>obj_0033e#0006</v>
      </c>
      <c r="K33" s="52"/>
      <c r="L33" s="11" t="str">
        <f t="shared" si="10"/>
        <v>FUT</v>
      </c>
      <c r="M33" s="105" t="str">
        <f t="shared" si="11"/>
        <v>obj_0033b#0006</v>
      </c>
      <c r="N33" s="159" t="str">
        <f>IFERROR(_xll.qlRateHelperQuoteName(M33,Trigger),"--")</f>
        <v>USDFUT3MH8_Quote</v>
      </c>
      <c r="O33" s="164">
        <f>IFERROR(_xll.qlRateHelperQuoteValue($M33,Trigger),"--")</f>
        <v>98.877499999999998</v>
      </c>
      <c r="P33" s="108" t="b">
        <v>1</v>
      </c>
      <c r="Q33" s="105">
        <v>60</v>
      </c>
      <c r="R33" s="105">
        <v>21</v>
      </c>
      <c r="S33" s="110">
        <f>IFERROR(_xll.qlRateHelperEarliestDate(M33,Trigger),"--")</f>
        <v>43180</v>
      </c>
      <c r="T33" s="110">
        <f>IFERROR(_xll.qlRateHelperPillarDate(M33,Trigger),"--")</f>
        <v>43272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5" t="str">
        <f>IFERROR(_xll.qlRateHelperRate(W33,Trigger),"")</f>
        <v/>
      </c>
      <c r="Z33" s="11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3" t="e">
        <v>#N/A</v>
      </c>
    </row>
    <row r="34" spans="1:29" ht="11.25" customHeight="1" x14ac:dyDescent="0.2">
      <c r="A34" s="63" t="s">
        <v>129</v>
      </c>
      <c r="B34" s="127" t="b">
        <v>1</v>
      </c>
      <c r="C34" s="67" t="str">
        <f>_xll.qlIMMNextCode(C33,B34,Trigger)</f>
        <v>M7</v>
      </c>
      <c r="D34" s="136"/>
      <c r="E34" s="136"/>
      <c r="F34" s="136"/>
      <c r="G34" s="65" t="str">
        <f t="shared" si="12"/>
        <v>UsdLibor3M</v>
      </c>
      <c r="H34" s="130" t="str">
        <f t="shared" si="13"/>
        <v>USDFUT3MM7_Quote</v>
      </c>
      <c r="I34" s="130" t="str">
        <f t="shared" si="14"/>
        <v>USDFUT3MM7ConvAdj_Quote</v>
      </c>
      <c r="J34" s="69" t="str">
        <f>_xll.qlFuturesRateHelper(,H34,$H$24,C34,G34,I34,Permanent,Trigger,ObjectOverwrite)</f>
        <v>obj_0032f#0006</v>
      </c>
      <c r="K34" s="52"/>
      <c r="L34" s="11" t="str">
        <f t="shared" si="10"/>
        <v>FUT</v>
      </c>
      <c r="M34" s="105" t="str">
        <f t="shared" si="11"/>
        <v>obj_00330#0006</v>
      </c>
      <c r="N34" s="159" t="str">
        <f>IFERROR(_xll.qlRateHelperQuoteName(M34,Trigger),"--")</f>
        <v>USDFUT3MM8_Quote</v>
      </c>
      <c r="O34" s="164">
        <f>IFERROR(_xll.qlRateHelperQuoteValue($M34,Trigger),"--")</f>
        <v>98.822499999999991</v>
      </c>
      <c r="P34" s="108" t="b">
        <v>1</v>
      </c>
      <c r="Q34" s="105">
        <v>60</v>
      </c>
      <c r="R34" s="105">
        <v>21</v>
      </c>
      <c r="S34" s="110">
        <f>IFERROR(_xll.qlRateHelperEarliestDate(M34,Trigger),"--")</f>
        <v>43271</v>
      </c>
      <c r="T34" s="110">
        <f>IFERROR(_xll.qlRateHelperPillarDate(M34,Trigger),"--")</f>
        <v>43363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5" t="str">
        <f>IFERROR(_xll.qlRateHelperRate(W34,Trigger),"")</f>
        <v/>
      </c>
      <c r="Z34" s="11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3" t="e">
        <v>#N/A</v>
      </c>
    </row>
    <row r="35" spans="1:29" ht="11.25" customHeight="1" x14ac:dyDescent="0.2">
      <c r="A35" s="63" t="s">
        <v>129</v>
      </c>
      <c r="B35" s="127" t="b">
        <v>1</v>
      </c>
      <c r="C35" s="67" t="str">
        <f>_xll.qlIMMNextCode(C34,B35,Trigger)</f>
        <v>U7</v>
      </c>
      <c r="D35" s="136"/>
      <c r="E35" s="136"/>
      <c r="F35" s="136"/>
      <c r="G35" s="65" t="str">
        <f t="shared" si="12"/>
        <v>UsdLibor3M</v>
      </c>
      <c r="H35" s="130" t="str">
        <f t="shared" si="13"/>
        <v>USDFUT3MU7_Quote</v>
      </c>
      <c r="I35" s="130" t="str">
        <f t="shared" si="14"/>
        <v>USDFUT3MU7ConvAdj_Quote</v>
      </c>
      <c r="J35" s="69" t="str">
        <f>_xll.qlFuturesRateHelper(,H35,$H$24,C35,G35,I35,Permanent,Trigger,ObjectOverwrite)</f>
        <v>obj_0032a#0006</v>
      </c>
      <c r="K35" s="52"/>
      <c r="L35" s="11" t="str">
        <f t="shared" si="10"/>
        <v>FUT</v>
      </c>
      <c r="M35" s="105" t="str">
        <f t="shared" si="11"/>
        <v>obj_0033d#0006</v>
      </c>
      <c r="N35" s="159" t="str">
        <f>IFERROR(_xll.qlRateHelperQuoteName(M35,Trigger),"--")</f>
        <v>USDFUT3MU8_Quote</v>
      </c>
      <c r="O35" s="164">
        <f>IFERROR(_xll.qlRateHelperQuoteValue($M35,Trigger),"--")</f>
        <v>98.765000000000001</v>
      </c>
      <c r="P35" s="108" t="b">
        <v>1</v>
      </c>
      <c r="Q35" s="105">
        <v>30</v>
      </c>
      <c r="R35" s="105">
        <v>21</v>
      </c>
      <c r="S35" s="110">
        <f>IFERROR(_xll.qlRateHelperEarliestDate(M35,Trigger),"--")</f>
        <v>43362</v>
      </c>
      <c r="T35" s="110">
        <f>IFERROR(_xll.qlRateHelperPillarDate(M35,Trigger),"--")</f>
        <v>43453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5" t="str">
        <f>IFERROR(_xll.qlRateHelperRate(W35,Trigger),"")</f>
        <v/>
      </c>
      <c r="Z35" s="11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3" t="e">
        <v>#N/A</v>
      </c>
    </row>
    <row r="36" spans="1:29" ht="11.25" customHeight="1" x14ac:dyDescent="0.2">
      <c r="A36" s="63" t="s">
        <v>129</v>
      </c>
      <c r="B36" s="127" t="b">
        <v>1</v>
      </c>
      <c r="C36" s="67" t="str">
        <f>_xll.qlIMMNextCode(C35,B36,Trigger)</f>
        <v>Z7</v>
      </c>
      <c r="D36" s="136"/>
      <c r="E36" s="136"/>
      <c r="F36" s="136"/>
      <c r="G36" s="65" t="str">
        <f t="shared" si="12"/>
        <v>UsdLibor3M</v>
      </c>
      <c r="H36" s="130" t="str">
        <f t="shared" si="13"/>
        <v>USDFUT3MZ7_Quote</v>
      </c>
      <c r="I36" s="130" t="str">
        <f t="shared" si="14"/>
        <v>USDFUT3MZ7ConvAdj_Quote</v>
      </c>
      <c r="J36" s="69" t="str">
        <f>_xll.qlFuturesRateHelper(,H36,$H$24,C36,G36,I36,Permanent,Trigger,ObjectOverwrite)</f>
        <v>obj_00338#0006</v>
      </c>
      <c r="K36" s="52"/>
      <c r="L36" s="11" t="str">
        <f t="shared" si="10"/>
        <v>FUT</v>
      </c>
      <c r="M36" s="105" t="str">
        <f t="shared" si="11"/>
        <v>obj_00337#0006</v>
      </c>
      <c r="N36" s="159" t="str">
        <f>IFERROR(_xll.qlRateHelperQuoteName(M36,Trigger),"--")</f>
        <v>USDFUT3MZ8_Quote</v>
      </c>
      <c r="O36" s="164">
        <f>IFERROR(_xll.qlRateHelperQuoteValue($M36,Trigger),"--")</f>
        <v>98.697499999999991</v>
      </c>
      <c r="P36" s="108" t="b">
        <v>1</v>
      </c>
      <c r="Q36" s="105">
        <v>30</v>
      </c>
      <c r="R36" s="105">
        <v>21</v>
      </c>
      <c r="S36" s="110">
        <f>IFERROR(_xll.qlRateHelperEarliestDate(M36,Trigger),"--")</f>
        <v>43453</v>
      </c>
      <c r="T36" s="110">
        <f>IFERROR(_xll.qlRateHelperPillarDate(M36,Trigger),"--")</f>
        <v>43543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5" t="str">
        <f>IFERROR(_xll.qlRateHelperRate(W36,Trigger),"")</f>
        <v/>
      </c>
      <c r="Z36" s="11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3" t="e">
        <v>#N/A</v>
      </c>
    </row>
    <row r="37" spans="1:29" ht="11.25" customHeight="1" x14ac:dyDescent="0.2">
      <c r="A37" s="63" t="s">
        <v>129</v>
      </c>
      <c r="B37" s="127" t="b">
        <v>1</v>
      </c>
      <c r="C37" s="67" t="str">
        <f>_xll.qlIMMNextCode(C36,B37,Trigger)</f>
        <v>H8</v>
      </c>
      <c r="D37" s="136"/>
      <c r="E37" s="136"/>
      <c r="F37" s="136"/>
      <c r="G37" s="65" t="str">
        <f t="shared" si="12"/>
        <v>UsdLibor3M</v>
      </c>
      <c r="H37" s="130" t="str">
        <f t="shared" si="13"/>
        <v>USDFUT3MH8_Quote</v>
      </c>
      <c r="I37" s="130" t="str">
        <f t="shared" si="14"/>
        <v>USDFUT3MH8ConvAdj_Quote</v>
      </c>
      <c r="J37" s="69" t="str">
        <f>_xll.qlFuturesRateHelper(,H37,$H$24,C37,G37,I37,Permanent,Trigger,ObjectOverwrite)</f>
        <v>obj_0033b#0006</v>
      </c>
      <c r="K37" s="52"/>
      <c r="L37" s="11" t="str">
        <f t="shared" si="10"/>
        <v>FUT</v>
      </c>
      <c r="M37" s="105" t="str">
        <f t="shared" si="11"/>
        <v>obj_00336#0006</v>
      </c>
      <c r="N37" s="159" t="str">
        <f>IFERROR(_xll.qlRateHelperQuoteName(M37,Trigger),"--")</f>
        <v>USDFUT3MH9_Quote</v>
      </c>
      <c r="O37" s="164">
        <f>IFERROR(_xll.qlRateHelperQuoteValue($M37,Trigger),"--")</f>
        <v>98.647500000000008</v>
      </c>
      <c r="P37" s="108" t="b">
        <v>1</v>
      </c>
      <c r="Q37" s="105">
        <v>30</v>
      </c>
      <c r="R37" s="105">
        <v>21</v>
      </c>
      <c r="S37" s="110">
        <f>IFERROR(_xll.qlRateHelperEarliestDate(M37,Trigger),"--")</f>
        <v>43544</v>
      </c>
      <c r="T37" s="110">
        <f>IFERROR(_xll.qlRateHelperPillarDate(M37,Trigger),"--")</f>
        <v>43636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5" t="str">
        <f>IFERROR(_xll.qlRateHelperRate(W37,Trigger),"")</f>
        <v/>
      </c>
      <c r="Z37" s="11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3" t="e">
        <v>#N/A</v>
      </c>
    </row>
    <row r="38" spans="1:29" ht="11.25" customHeight="1" x14ac:dyDescent="0.2">
      <c r="A38" s="63" t="s">
        <v>129</v>
      </c>
      <c r="B38" s="127" t="b">
        <v>1</v>
      </c>
      <c r="C38" s="67" t="str">
        <f>_xll.qlIMMNextCode(C37,B38,Trigger)</f>
        <v>M8</v>
      </c>
      <c r="D38" s="136"/>
      <c r="E38" s="136"/>
      <c r="F38" s="136"/>
      <c r="G38" s="65" t="str">
        <f t="shared" si="12"/>
        <v>UsdLibor3M</v>
      </c>
      <c r="H38" s="130" t="str">
        <f t="shared" si="13"/>
        <v>USDFUT3MM8_Quote</v>
      </c>
      <c r="I38" s="130" t="str">
        <f t="shared" si="14"/>
        <v>USDFUT3MM8ConvAdj_Quote</v>
      </c>
      <c r="J38" s="69" t="str">
        <f>_xll.qlFuturesRateHelper(,H38,$H$24,C38,G38,I38,Permanent,Trigger,ObjectOverwrite)</f>
        <v>obj_00330#0006</v>
      </c>
      <c r="K38" s="52"/>
      <c r="L38" s="11" t="str">
        <f t="shared" si="10"/>
        <v>FUT</v>
      </c>
      <c r="M38" s="105" t="str">
        <f t="shared" si="11"/>
        <v>obj_0032c#0006</v>
      </c>
      <c r="N38" s="159" t="str">
        <f>IFERROR(_xll.qlRateHelperQuoteName(M38,Trigger),"--")</f>
        <v>USDFUT3MM9_Quote</v>
      </c>
      <c r="O38" s="164">
        <f>IFERROR(_xll.qlRateHelperQuoteValue($M38,Trigger),"--")</f>
        <v>98.587500000000006</v>
      </c>
      <c r="P38" s="108" t="b">
        <v>1</v>
      </c>
      <c r="Q38" s="105">
        <v>30</v>
      </c>
      <c r="R38" s="105">
        <v>21</v>
      </c>
      <c r="S38" s="110">
        <f>IFERROR(_xll.qlRateHelperEarliestDate(M38,Trigger),"--")</f>
        <v>43635</v>
      </c>
      <c r="T38" s="110">
        <f>IFERROR(_xll.qlRateHelperPillarDate(M38,Trigger),"--")</f>
        <v>43727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5" t="str">
        <f>IFERROR(_xll.qlRateHelperRate(W38,Trigger),"")</f>
        <v/>
      </c>
      <c r="Z38" s="11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3" t="e">
        <v>#N/A</v>
      </c>
    </row>
    <row r="39" spans="1:29" ht="11.25" customHeight="1" x14ac:dyDescent="0.2">
      <c r="A39" s="63" t="s">
        <v>129</v>
      </c>
      <c r="B39" s="127" t="b">
        <v>1</v>
      </c>
      <c r="C39" s="67" t="str">
        <f>_xll.qlIMMNextCode(C38,B39,Trigger)</f>
        <v>U8</v>
      </c>
      <c r="D39" s="136"/>
      <c r="E39" s="136"/>
      <c r="F39" s="136"/>
      <c r="G39" s="65" t="str">
        <f t="shared" si="12"/>
        <v>UsdLibor3M</v>
      </c>
      <c r="H39" s="130" t="str">
        <f t="shared" si="13"/>
        <v>USDFUT3MU8_Quote</v>
      </c>
      <c r="I39" s="130" t="str">
        <f t="shared" si="14"/>
        <v>USDFUT3MU8ConvAdj_Quote</v>
      </c>
      <c r="J39" s="69" t="str">
        <f>_xll.qlFuturesRateHelper(,H39,$H$24,C39,G39,I39,Permanent,Trigger,ObjectOverwrite)</f>
        <v>obj_0033d#0006</v>
      </c>
      <c r="K39" s="52"/>
      <c r="L39" s="11" t="str">
        <f t="shared" si="10"/>
        <v>FUT</v>
      </c>
      <c r="M39" s="105" t="str">
        <f t="shared" si="11"/>
        <v>obj_00339#0006</v>
      </c>
      <c r="N39" s="159" t="str">
        <f>IFERROR(_xll.qlRateHelperQuoteName(M39,Trigger),"--")</f>
        <v>USDFUT3MU9_Quote</v>
      </c>
      <c r="O39" s="164">
        <f>IFERROR(_xll.qlRateHelperQuoteValue($M39,Trigger),"--")</f>
        <v>98.527500000000003</v>
      </c>
      <c r="P39" s="108" t="b">
        <v>1</v>
      </c>
      <c r="Q39" s="105">
        <v>30</v>
      </c>
      <c r="R39" s="105">
        <v>21</v>
      </c>
      <c r="S39" s="110">
        <f>IFERROR(_xll.qlRateHelperEarliestDate(M39,Trigger),"--")</f>
        <v>43726</v>
      </c>
      <c r="T39" s="110">
        <f>IFERROR(_xll.qlRateHelperPillarDate(M39,Trigger),"--")</f>
        <v>43817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5" t="str">
        <f>IFERROR(_xll.qlRateHelperRate(W39,Trigger),"")</f>
        <v/>
      </c>
      <c r="Z39" s="11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3" t="e">
        <v>#N/A</v>
      </c>
    </row>
    <row r="40" spans="1:29" ht="11.25" customHeight="1" x14ac:dyDescent="0.2">
      <c r="A40" s="63" t="s">
        <v>129</v>
      </c>
      <c r="B40" s="127" t="b">
        <v>1</v>
      </c>
      <c r="C40" s="67" t="str">
        <f>_xll.qlIMMNextCode(C39,B40,Trigger)</f>
        <v>Z8</v>
      </c>
      <c r="D40" s="136"/>
      <c r="E40" s="136"/>
      <c r="F40" s="136"/>
      <c r="G40" s="65" t="str">
        <f t="shared" si="12"/>
        <v>UsdLibor3M</v>
      </c>
      <c r="H40" s="130" t="str">
        <f t="shared" si="13"/>
        <v>USDFUT3MZ8_Quote</v>
      </c>
      <c r="I40" s="130" t="str">
        <f t="shared" si="14"/>
        <v>USDFUT3MZ8ConvAdj_Quote</v>
      </c>
      <c r="J40" s="69" t="str">
        <f>_xll.qlFuturesRateHelper(,H40,$H$24,C40,G40,I40,Permanent,Trigger,ObjectOverwrite)</f>
        <v>obj_00337#0006</v>
      </c>
      <c r="K40" s="52"/>
      <c r="L40" s="11" t="str">
        <f t="shared" si="10"/>
        <v>FUT</v>
      </c>
      <c r="M40" s="105" t="str">
        <f t="shared" si="11"/>
        <v>obj_0033a#0006</v>
      </c>
      <c r="N40" s="159" t="str">
        <f>IFERROR(_xll.qlRateHelperQuoteName(M40,Trigger),"--")</f>
        <v>USDFUT3MZ9_Quote</v>
      </c>
      <c r="O40" s="164">
        <f>IFERROR(_xll.qlRateHelperQuoteValue($M40,Trigger),"--")</f>
        <v>98.457499999999996</v>
      </c>
      <c r="P40" s="108" t="b">
        <v>1</v>
      </c>
      <c r="Q40" s="105">
        <v>30</v>
      </c>
      <c r="R40" s="105">
        <v>21</v>
      </c>
      <c r="S40" s="110">
        <f>IFERROR(_xll.qlRateHelperEarliestDate(M40,Trigger),"--")</f>
        <v>43817</v>
      </c>
      <c r="T40" s="110">
        <f>IFERROR(_xll.qlRateHelperPillarDate(M40,Trigger),"--")</f>
        <v>43908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5" t="str">
        <f>IFERROR(_xll.qlRateHelperRate(W40,Trigger),"")</f>
        <v/>
      </c>
      <c r="Z40" s="11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3" t="e">
        <v>#N/A</v>
      </c>
    </row>
    <row r="41" spans="1:29" ht="11.25" customHeight="1" x14ac:dyDescent="0.2">
      <c r="A41" s="63" t="s">
        <v>129</v>
      </c>
      <c r="B41" s="127" t="b">
        <v>1</v>
      </c>
      <c r="C41" s="67" t="str">
        <f>_xll.qlIMMNextCode(C40,B41,Trigger)</f>
        <v>H9</v>
      </c>
      <c r="D41" s="136"/>
      <c r="E41" s="136"/>
      <c r="F41" s="136"/>
      <c r="G41" s="65" t="str">
        <f t="shared" si="12"/>
        <v>UsdLibor3M</v>
      </c>
      <c r="H41" s="130" t="str">
        <f t="shared" si="13"/>
        <v>USDFUT3MH9_Quote</v>
      </c>
      <c r="I41" s="130" t="str">
        <f t="shared" si="14"/>
        <v>USDFUT3MH9ConvAdj_Quote</v>
      </c>
      <c r="J41" s="69" t="str">
        <f>_xll.qlFuturesRateHelper(,H41,$H$24,C41,G41,I41,Permanent,Trigger,ObjectOverwrite)</f>
        <v>obj_00336#0006</v>
      </c>
      <c r="L41" s="11" t="str">
        <f t="shared" si="10"/>
        <v>FUT</v>
      </c>
      <c r="M41" s="105" t="str">
        <f t="shared" si="11"/>
        <v>obj_0032e#0006</v>
      </c>
      <c r="N41" s="159" t="str">
        <f>IFERROR(_xll.qlRateHelperQuoteName(M41,Trigger),"--")</f>
        <v>USDFUT3MH0_Quote</v>
      </c>
      <c r="O41" s="164">
        <f>IFERROR(_xll.qlRateHelperQuoteValue($M41,Trigger),"--")</f>
        <v>98.402500000000003</v>
      </c>
      <c r="P41" s="108" t="b">
        <v>1</v>
      </c>
      <c r="Q41" s="105">
        <v>30</v>
      </c>
      <c r="R41" s="105">
        <v>21</v>
      </c>
      <c r="S41" s="110">
        <f>IFERROR(_xll.qlRateHelperEarliestDate(M41,Trigger),"--")</f>
        <v>43908</v>
      </c>
      <c r="T41" s="110">
        <f>IFERROR(_xll.qlRateHelperPillarDate(M41,Trigger),"--")</f>
        <v>44000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5" t="str">
        <f>IFERROR(_xll.qlRateHelperRate(W41,Trigger),"")</f>
        <v/>
      </c>
      <c r="Z41" s="11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3" t="e">
        <v>#N/A</v>
      </c>
    </row>
    <row r="42" spans="1:29" ht="11.25" customHeight="1" x14ac:dyDescent="0.2">
      <c r="A42" s="63" t="s">
        <v>129</v>
      </c>
      <c r="B42" s="127" t="b">
        <v>1</v>
      </c>
      <c r="C42" s="67" t="str">
        <f>_xll.qlIMMNextCode(C41,B42,Trigger)</f>
        <v>M9</v>
      </c>
      <c r="D42" s="136"/>
      <c r="E42" s="136"/>
      <c r="F42" s="136"/>
      <c r="G42" s="65" t="str">
        <f t="shared" si="12"/>
        <v>UsdLibor3M</v>
      </c>
      <c r="H42" s="130" t="str">
        <f t="shared" si="13"/>
        <v>USDFUT3MM9_Quote</v>
      </c>
      <c r="I42" s="130" t="str">
        <f t="shared" si="14"/>
        <v>USDFUT3MM9ConvAdj_Quote</v>
      </c>
      <c r="J42" s="69" t="str">
        <f>_xll.qlFuturesRateHelper(,H42,$H$24,C42,G42,I42,Permanent,Trigger,ObjectOverwrite)</f>
        <v>obj_0032c#0006</v>
      </c>
      <c r="L42" s="11" t="str">
        <f t="shared" si="10"/>
        <v>FUT</v>
      </c>
      <c r="M42" s="105" t="str">
        <f t="shared" si="11"/>
        <v>obj_0032d#0006</v>
      </c>
      <c r="N42" s="159" t="str">
        <f>IFERROR(_xll.qlRateHelperQuoteName(M42,Trigger),"--")</f>
        <v>USDFUT3MM0_Quote</v>
      </c>
      <c r="O42" s="164">
        <f>IFERROR(_xll.qlRateHelperQuoteValue($M42,Trigger),"--")</f>
        <v>98.34</v>
      </c>
      <c r="P42" s="108" t="b">
        <v>1</v>
      </c>
      <c r="Q42" s="105">
        <v>30</v>
      </c>
      <c r="R42" s="105">
        <v>21</v>
      </c>
      <c r="S42" s="110">
        <f>IFERROR(_xll.qlRateHelperEarliestDate(M42,Trigger),"--")</f>
        <v>43999</v>
      </c>
      <c r="T42" s="110">
        <f>IFERROR(_xll.qlRateHelperPillarDate(M42,Trigger),"--")</f>
        <v>44091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5" t="str">
        <f>IFERROR(_xll.qlRateHelperRate(W42,Trigger),"")</f>
        <v/>
      </c>
      <c r="Z42" s="11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3" t="e">
        <v>#N/A</v>
      </c>
    </row>
    <row r="43" spans="1:29" ht="11.25" customHeight="1" x14ac:dyDescent="0.2">
      <c r="A43" s="63" t="s">
        <v>129</v>
      </c>
      <c r="B43" s="127" t="b">
        <v>1</v>
      </c>
      <c r="C43" s="67" t="str">
        <f>_xll.qlIMMNextCode(C42,B43,Trigger)</f>
        <v>U9</v>
      </c>
      <c r="D43" s="136"/>
      <c r="E43" s="136"/>
      <c r="F43" s="136"/>
      <c r="G43" s="65" t="str">
        <f t="shared" si="12"/>
        <v>UsdLibor3M</v>
      </c>
      <c r="H43" s="130" t="str">
        <f t="shared" si="13"/>
        <v>USDFUT3MU9_Quote</v>
      </c>
      <c r="I43" s="130" t="str">
        <f t="shared" si="14"/>
        <v>USDFUT3MU9ConvAdj_Quote</v>
      </c>
      <c r="J43" s="69" t="str">
        <f>_xll.qlFuturesRateHelper(,H43,$H$24,C43,G43,I43,Permanent,Trigger,ObjectOverwrite)</f>
        <v>obj_00339#0006</v>
      </c>
      <c r="L43" s="12" t="str">
        <f t="shared" si="10"/>
        <v>FUT</v>
      </c>
      <c r="M43" s="106" t="str">
        <f t="shared" si="11"/>
        <v>obj_0032b#0006</v>
      </c>
      <c r="N43" s="160" t="str">
        <f>IFERROR(_xll.qlRateHelperQuoteName(M43,Trigger),"--")</f>
        <v>USDFUT3MU0_Quote</v>
      </c>
      <c r="O43" s="165">
        <f>IFERROR(_xll.qlRateHelperQuoteValue($M43,Trigger),"--")</f>
        <v>98.277500000000003</v>
      </c>
      <c r="P43" s="111" t="b">
        <v>1</v>
      </c>
      <c r="Q43" s="106">
        <v>30</v>
      </c>
      <c r="R43" s="106">
        <v>21</v>
      </c>
      <c r="S43" s="113">
        <f>IFERROR(_xll.qlRateHelperEarliestDate(M43,Trigger),"--")</f>
        <v>44090</v>
      </c>
      <c r="T43" s="113">
        <f>IFERROR(_xll.qlRateHelperPillarDate(M43,Trigger),"--")</f>
        <v>44181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5" t="str">
        <f>IFERROR(_xll.qlRateHelperRate(W43,Trigger),"")</f>
        <v/>
      </c>
      <c r="Z43" s="11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3" t="e">
        <v>#N/A</v>
      </c>
    </row>
    <row r="44" spans="1:29" ht="11.25" customHeight="1" x14ac:dyDescent="0.2">
      <c r="A44" s="63" t="s">
        <v>129</v>
      </c>
      <c r="B44" s="127" t="b">
        <v>1</v>
      </c>
      <c r="C44" s="67" t="str">
        <f>_xll.qlIMMNextCode(C43,B44,Trigger)</f>
        <v>Z9</v>
      </c>
      <c r="D44" s="136"/>
      <c r="E44" s="136"/>
      <c r="F44" s="136"/>
      <c r="G44" s="65" t="str">
        <f t="shared" si="12"/>
        <v>UsdLibor3M</v>
      </c>
      <c r="H44" s="130" t="str">
        <f t="shared" si="13"/>
        <v>USDFUT3MZ9_Quote</v>
      </c>
      <c r="I44" s="130" t="str">
        <f t="shared" si="14"/>
        <v>USDFUT3MZ9ConvAdj_Quote</v>
      </c>
      <c r="J44" s="69" t="str">
        <f>_xll.qlFuturesRateHelper(,H44,$H$24,C44,G44,I44,Permanent,Trigger,ObjectOverwrite)</f>
        <v>obj_0033a#0006</v>
      </c>
      <c r="L44" s="148" t="str">
        <f>A50</f>
        <v>Sw</v>
      </c>
      <c r="M44" s="149" t="str">
        <f>IF(ISBLANK(J50),"--",J50)</f>
        <v>--</v>
      </c>
      <c r="N44" s="161" t="str">
        <f>IFERROR(_xll.qlRateHelperQuoteName(M44,Trigger),"--")</f>
        <v>--</v>
      </c>
      <c r="O44" s="151" t="str">
        <f>IFERROR(_xll.qlRateHelperQuoteValue($M44,Trigger),"--")</f>
        <v>--</v>
      </c>
      <c r="P44" s="150" t="b">
        <v>0</v>
      </c>
      <c r="Q44" s="149">
        <v>50</v>
      </c>
      <c r="R44" s="149">
        <v>1</v>
      </c>
      <c r="S44" s="152" t="str">
        <f>IFERROR(_xll.qlRateHelperEarliestDate(M44,Trigger),"--")</f>
        <v>--</v>
      </c>
      <c r="T44" s="152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5" t="str">
        <f>IFERROR(_xll.qlRateHelperRate(W44,Trigger),"")</f>
        <v/>
      </c>
      <c r="Z44" s="11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3" t="e">
        <v>#N/A</v>
      </c>
    </row>
    <row r="45" spans="1:29" ht="11.25" customHeight="1" x14ac:dyDescent="0.2">
      <c r="A45" s="63" t="s">
        <v>129</v>
      </c>
      <c r="B45" s="127" t="b">
        <v>1</v>
      </c>
      <c r="C45" s="67" t="str">
        <f>_xll.qlIMMNextCode(C44,B45,Trigger)</f>
        <v>H0</v>
      </c>
      <c r="D45" s="136"/>
      <c r="E45" s="136"/>
      <c r="F45" s="136"/>
      <c r="G45" s="65" t="str">
        <f t="shared" si="12"/>
        <v>UsdLibor3M</v>
      </c>
      <c r="H45" s="130" t="str">
        <f t="shared" si="13"/>
        <v>USDFUT3MH0_Quote</v>
      </c>
      <c r="I45" s="130" t="str">
        <f t="shared" si="14"/>
        <v>USDFUT3MH0ConvAdj_Quote</v>
      </c>
      <c r="J45" s="69" t="str">
        <f>_xll.qlFuturesRateHelper(,H45,$H$24,C45,G45,I45,Permanent,Trigger,ObjectOverwrite)</f>
        <v>obj_0032e#0006</v>
      </c>
      <c r="L45" s="76" t="str">
        <f t="shared" ref="L45:L81" si="15">A51</f>
        <v>Sw</v>
      </c>
      <c r="M45" s="153" t="str">
        <f t="shared" ref="M45:M81" si="16">IF(ISBLANK(J51),"--",J51)</f>
        <v>--</v>
      </c>
      <c r="N45" s="162" t="str">
        <f>IFERROR(_xll.qlRateHelperQuoteName(M45,Trigger),"--")</f>
        <v>--</v>
      </c>
      <c r="O45" s="155" t="str">
        <f>IFERROR(_xll.qlRateHelperQuoteValue($M45,Trigger),"--")</f>
        <v>--</v>
      </c>
      <c r="P45" s="154" t="b">
        <v>0</v>
      </c>
      <c r="Q45" s="153">
        <v>50</v>
      </c>
      <c r="R45" s="153">
        <v>1</v>
      </c>
      <c r="S45" s="156" t="str">
        <f>IFERROR(_xll.qlRateHelperEarliestDate(M45,Trigger),"--")</f>
        <v>--</v>
      </c>
      <c r="T45" s="156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5" t="str">
        <f>IFERROR(_xll.qlRateHelperRate(W45,Trigger),"")</f>
        <v/>
      </c>
      <c r="Z45" s="11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3" t="e">
        <v>#N/A</v>
      </c>
    </row>
    <row r="46" spans="1:29" ht="11.25" customHeight="1" x14ac:dyDescent="0.2">
      <c r="A46" s="63" t="s">
        <v>129</v>
      </c>
      <c r="B46" s="127" t="b">
        <v>1</v>
      </c>
      <c r="C46" s="67" t="str">
        <f>_xll.qlIMMNextCode(C45,B46,Trigger)</f>
        <v>M0</v>
      </c>
      <c r="D46" s="136"/>
      <c r="E46" s="136"/>
      <c r="F46" s="136"/>
      <c r="G46" s="65" t="str">
        <f t="shared" si="12"/>
        <v>UsdLibor3M</v>
      </c>
      <c r="H46" s="130" t="str">
        <f t="shared" si="13"/>
        <v>USDFUT3MM0_Quote</v>
      </c>
      <c r="I46" s="130" t="str">
        <f t="shared" si="14"/>
        <v>USDFUT3MM0ConvAdj_Quote</v>
      </c>
      <c r="J46" s="69" t="str">
        <f>_xll.qlFuturesRateHelper(,H46,$H$24,C46,G46,I46,Permanent,Trigger,ObjectOverwrite)</f>
        <v>obj_0032d#0006</v>
      </c>
      <c r="L46" s="76" t="str">
        <f t="shared" si="15"/>
        <v>Sw</v>
      </c>
      <c r="M46" s="153" t="str">
        <f t="shared" si="16"/>
        <v>--</v>
      </c>
      <c r="N46" s="162" t="str">
        <f>IFERROR(_xll.qlRateHelperQuoteName(M46,Trigger),"--")</f>
        <v>--</v>
      </c>
      <c r="O46" s="155" t="str">
        <f>IFERROR(_xll.qlRateHelperQuoteValue($M46,Trigger),"--")</f>
        <v>--</v>
      </c>
      <c r="P46" s="154" t="b">
        <v>0</v>
      </c>
      <c r="Q46" s="153">
        <v>50</v>
      </c>
      <c r="R46" s="153">
        <v>1</v>
      </c>
      <c r="S46" s="156" t="str">
        <f>IFERROR(_xll.qlRateHelperEarliestDate(M46,Trigger),"--")</f>
        <v>--</v>
      </c>
      <c r="T46" s="156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5" t="str">
        <f>IFERROR(_xll.qlRateHelperRate(W46,Trigger),"")</f>
        <v/>
      </c>
      <c r="Z46" s="11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3" t="e">
        <v>#N/A</v>
      </c>
    </row>
    <row r="47" spans="1:29" ht="11.25" customHeight="1" x14ac:dyDescent="0.2">
      <c r="A47" s="1" t="s">
        <v>129</v>
      </c>
      <c r="B47" s="128" t="b">
        <v>1</v>
      </c>
      <c r="C47" s="10" t="str">
        <f>_xll.qlIMMNextCode(C46,B47,Trigger)</f>
        <v>U0</v>
      </c>
      <c r="D47" s="137"/>
      <c r="E47" s="137"/>
      <c r="F47" s="137"/>
      <c r="G47" s="7" t="str">
        <f t="shared" si="12"/>
        <v>UsdLibor3M</v>
      </c>
      <c r="H47" s="131" t="str">
        <f t="shared" si="13"/>
        <v>USDFUT3MU0_Quote</v>
      </c>
      <c r="I47" s="131" t="str">
        <f t="shared" si="14"/>
        <v>USDFUT3MU0ConvAdj_Quote</v>
      </c>
      <c r="J47" s="3" t="str">
        <f>_xll.qlFuturesRateHelper(,H47,$H$24,C47,G47,I47,Permanent,Trigger,ObjectOverwrite)</f>
        <v>obj_0032b#0006</v>
      </c>
      <c r="L47" s="76" t="str">
        <f t="shared" si="15"/>
        <v>Sw</v>
      </c>
      <c r="M47" s="153" t="str">
        <f t="shared" si="16"/>
        <v>--</v>
      </c>
      <c r="N47" s="162" t="str">
        <f>IFERROR(_xll.qlRateHelperQuoteName(M47,Trigger),"--")</f>
        <v>--</v>
      </c>
      <c r="O47" s="155" t="str">
        <f>IFERROR(_xll.qlRateHelperQuoteValue($M47,Trigger),"--")</f>
        <v>--</v>
      </c>
      <c r="P47" s="154" t="b">
        <v>0</v>
      </c>
      <c r="Q47" s="153">
        <v>50</v>
      </c>
      <c r="R47" s="153">
        <v>1</v>
      </c>
      <c r="S47" s="156" t="str">
        <f>IFERROR(_xll.qlRateHelperEarliestDate(M47,Trigger),"--")</f>
        <v>--</v>
      </c>
      <c r="T47" s="156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5" t="str">
        <f>IFERROR(_xll.qlRateHelperRate(W47,Trigger),"")</f>
        <v/>
      </c>
      <c r="Z47" s="11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3" t="e">
        <v>#N/A</v>
      </c>
    </row>
    <row r="48" spans="1:29" ht="11.25" customHeight="1" x14ac:dyDescent="0.2">
      <c r="G48" s="54" t="s">
        <v>149</v>
      </c>
      <c r="H48" s="54" t="s">
        <v>150</v>
      </c>
      <c r="L48" s="76" t="str">
        <f t="shared" si="15"/>
        <v>Sw</v>
      </c>
      <c r="M48" s="153" t="str">
        <f t="shared" si="16"/>
        <v>--</v>
      </c>
      <c r="N48" s="162" t="str">
        <f>IFERROR(_xll.qlRateHelperQuoteName(M48,Trigger),"--")</f>
        <v>--</v>
      </c>
      <c r="O48" s="155" t="str">
        <f>IFERROR(_xll.qlRateHelperQuoteValue($M48,Trigger),"--")</f>
        <v>--</v>
      </c>
      <c r="P48" s="154" t="b">
        <v>0</v>
      </c>
      <c r="Q48" s="153">
        <v>50</v>
      </c>
      <c r="R48" s="153">
        <v>1</v>
      </c>
      <c r="S48" s="156" t="str">
        <f>IFERROR(_xll.qlRateHelperEarliestDate(M48,Trigger),"--")</f>
        <v>--</v>
      </c>
      <c r="T48" s="156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5" t="str">
        <f>IFERROR(_xll.qlRateHelperRate(W48,Trigger),"")</f>
        <v/>
      </c>
      <c r="Z48" s="11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3" t="e">
        <v>#N/A</v>
      </c>
    </row>
    <row r="49" spans="1:29" ht="11.25" customHeight="1" x14ac:dyDescent="0.2">
      <c r="A49" s="70" t="s">
        <v>9</v>
      </c>
      <c r="B49" s="70" t="s">
        <v>30</v>
      </c>
      <c r="C49" s="70" t="s">
        <v>151</v>
      </c>
      <c r="D49" s="70" t="s">
        <v>5</v>
      </c>
      <c r="E49" s="70" t="s">
        <v>35</v>
      </c>
      <c r="F49" s="70" t="s">
        <v>152</v>
      </c>
      <c r="G49" s="70" t="s">
        <v>4</v>
      </c>
      <c r="H49" s="70" t="s">
        <v>1</v>
      </c>
      <c r="I49" s="70" t="s">
        <v>148</v>
      </c>
      <c r="J49" s="70" t="s">
        <v>25</v>
      </c>
      <c r="L49" s="76" t="str">
        <f t="shared" si="15"/>
        <v>Sw</v>
      </c>
      <c r="M49" s="153" t="str">
        <f t="shared" si="16"/>
        <v>obj_002c6#0006</v>
      </c>
      <c r="N49" s="162" t="str">
        <f>IFERROR(_xll.qlRateHelperQuoteName(M49,Trigger),"--")</f>
        <v>USDAM3L3Y_Quote</v>
      </c>
      <c r="O49" s="155">
        <f>IFERROR(_xll.qlRateHelperQuoteValue($M49,Trigger),"--")</f>
        <v>9.7700000000000009E-3</v>
      </c>
      <c r="P49" s="154" t="b">
        <v>1</v>
      </c>
      <c r="Q49" s="153">
        <v>50</v>
      </c>
      <c r="R49" s="153">
        <v>1</v>
      </c>
      <c r="S49" s="156">
        <f>IFERROR(_xll.qlRateHelperEarliestDate(M49,Trigger),"--")</f>
        <v>42482</v>
      </c>
      <c r="T49" s="156">
        <f>IFERROR(_xll.qlRateHelperPillarDate(M49,Trigger),"--")</f>
        <v>43578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5" t="str">
        <f>IFERROR(_xll.qlRateHelperRate(W49,Trigger),"")</f>
        <v/>
      </c>
      <c r="Z49" s="11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3" t="e">
        <v>#N/A</v>
      </c>
    </row>
    <row r="50" spans="1:29" ht="11.25" customHeight="1" x14ac:dyDescent="0.2">
      <c r="A50" s="57" t="s">
        <v>26</v>
      </c>
      <c r="B50" s="58" t="s">
        <v>29</v>
      </c>
      <c r="C50" s="59" t="s">
        <v>6</v>
      </c>
      <c r="D50" s="65" t="s">
        <v>8</v>
      </c>
      <c r="E50" s="65" t="s">
        <v>7</v>
      </c>
      <c r="F50" s="65" t="s">
        <v>28</v>
      </c>
      <c r="G50" s="65" t="str">
        <f t="shared" ref="G50:G87" si="17">PROPER(Currency)&amp;FamilyName&amp;Tenor</f>
        <v>UsdLibor3M</v>
      </c>
      <c r="H50" s="63" t="str">
        <f t="shared" ref="H50:H87" si="18">Currency&amp;$G$48&amp;$H$48&amp;$B50&amp;"_Quote"</f>
        <v>USDAM3L1Y_Quote</v>
      </c>
      <c r="I50" s="139">
        <v>0</v>
      </c>
      <c r="J50" s="62"/>
      <c r="L50" s="76" t="str">
        <f t="shared" si="15"/>
        <v>Sw</v>
      </c>
      <c r="M50" s="153" t="str">
        <f t="shared" si="16"/>
        <v>obj_002c7#0006</v>
      </c>
      <c r="N50" s="162" t="str">
        <f>IFERROR(_xll.qlRateHelperQuoteName(M50,Trigger),"--")</f>
        <v>USDAM3L4Y_Quote</v>
      </c>
      <c r="O50" s="155">
        <f>IFERROR(_xll.qlRateHelperQuoteValue($M50,Trigger),"--")</f>
        <v>1.0789999999999999E-2</v>
      </c>
      <c r="P50" s="154" t="b">
        <v>1</v>
      </c>
      <c r="Q50" s="153">
        <v>50</v>
      </c>
      <c r="R50" s="153">
        <v>1</v>
      </c>
      <c r="S50" s="156">
        <f>IFERROR(_xll.qlRateHelperEarliestDate(M50,Trigger),"--")</f>
        <v>42482</v>
      </c>
      <c r="T50" s="156">
        <f>IFERROR(_xll.qlRateHelperPillarDate(M50,Trigger),"--")</f>
        <v>43943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5" t="str">
        <f>IFERROR(_xll.qlRateHelperRate(W50,Trigger),"")</f>
        <v/>
      </c>
      <c r="Z50" s="11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3" t="e">
        <v>#N/A</v>
      </c>
    </row>
    <row r="51" spans="1:29" ht="11.25" customHeight="1" x14ac:dyDescent="0.2">
      <c r="A51" s="63" t="s">
        <v>26</v>
      </c>
      <c r="B51" s="64" t="s">
        <v>63</v>
      </c>
      <c r="C51" s="65" t="s">
        <v>6</v>
      </c>
      <c r="D51" s="65" t="s">
        <v>8</v>
      </c>
      <c r="E51" s="65" t="s">
        <v>7</v>
      </c>
      <c r="F51" s="65" t="s">
        <v>28</v>
      </c>
      <c r="G51" s="65" t="str">
        <f t="shared" si="17"/>
        <v>UsdLibor3M</v>
      </c>
      <c r="H51" s="63" t="str">
        <f t="shared" si="18"/>
        <v>USDAM3L15M_Quote</v>
      </c>
      <c r="I51" s="140">
        <v>0</v>
      </c>
      <c r="J51" s="69"/>
      <c r="L51" s="76" t="str">
        <f t="shared" si="15"/>
        <v>Sw</v>
      </c>
      <c r="M51" s="153" t="str">
        <f t="shared" si="16"/>
        <v>obj_002f2#0006</v>
      </c>
      <c r="N51" s="162" t="str">
        <f>IFERROR(_xll.qlRateHelperQuoteName(M51,Trigger),"--")</f>
        <v>USDAM3L5Y_Quote</v>
      </c>
      <c r="O51" s="155">
        <f>IFERROR(_xll.qlRateHelperQuoteValue($M51,Trigger),"--")</f>
        <v>1.1810000000000001E-2</v>
      </c>
      <c r="P51" s="154" t="b">
        <v>1</v>
      </c>
      <c r="Q51" s="153">
        <v>50</v>
      </c>
      <c r="R51" s="153">
        <v>1</v>
      </c>
      <c r="S51" s="156">
        <f>IFERROR(_xll.qlRateHelperEarliestDate(M51,Trigger),"--")</f>
        <v>42482</v>
      </c>
      <c r="T51" s="156">
        <f>IFERROR(_xll.qlRateHelperPillarDate(M51,Trigger),"--")</f>
        <v>44308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5" t="str">
        <f>IFERROR(_xll.qlRateHelperRate(W51,Trigger),"")</f>
        <v/>
      </c>
      <c r="Z51" s="11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3" t="e">
        <v>#N/A</v>
      </c>
    </row>
    <row r="52" spans="1:29" ht="11.25" customHeight="1" x14ac:dyDescent="0.2">
      <c r="A52" s="63" t="s">
        <v>26</v>
      </c>
      <c r="B52" s="64" t="s">
        <v>66</v>
      </c>
      <c r="C52" s="65" t="s">
        <v>6</v>
      </c>
      <c r="D52" s="65" t="s">
        <v>8</v>
      </c>
      <c r="E52" s="65" t="s">
        <v>7</v>
      </c>
      <c r="F52" s="65" t="s">
        <v>28</v>
      </c>
      <c r="G52" s="65" t="str">
        <f t="shared" si="17"/>
        <v>UsdLibor3M</v>
      </c>
      <c r="H52" s="63" t="str">
        <f t="shared" si="18"/>
        <v>USDAM3L18M_Quote</v>
      </c>
      <c r="I52" s="140">
        <v>0</v>
      </c>
      <c r="J52" s="69"/>
      <c r="L52" s="76" t="str">
        <f t="shared" si="15"/>
        <v>Sw</v>
      </c>
      <c r="M52" s="153" t="str">
        <f t="shared" si="16"/>
        <v>obj_002e7#0006</v>
      </c>
      <c r="N52" s="162" t="str">
        <f>IFERROR(_xll.qlRateHelperQuoteName(M52,Trigger),"--")</f>
        <v>USDAM3L6Y_Quote</v>
      </c>
      <c r="O52" s="155">
        <f>IFERROR(_xll.qlRateHelperQuoteValue($M52,Trigger),"--")</f>
        <v>1.2810000000000002E-2</v>
      </c>
      <c r="P52" s="154" t="b">
        <v>1</v>
      </c>
      <c r="Q52" s="153">
        <v>50</v>
      </c>
      <c r="R52" s="153">
        <v>1</v>
      </c>
      <c r="S52" s="156">
        <f>IFERROR(_xll.qlRateHelperEarliestDate(M52,Trigger),"--")</f>
        <v>42482</v>
      </c>
      <c r="T52" s="156">
        <f>IFERROR(_xll.qlRateHelperPillarDate(M52,Trigger),"--")</f>
        <v>44673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5" t="str">
        <f>IFERROR(_xll.qlRateHelperRate(W52,Trigger),"")</f>
        <v/>
      </c>
      <c r="Z52" s="11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3" t="e">
        <v>#N/A</v>
      </c>
    </row>
    <row r="53" spans="1:29" ht="11.25" customHeight="1" x14ac:dyDescent="0.2">
      <c r="A53" s="63" t="s">
        <v>26</v>
      </c>
      <c r="B53" s="64" t="s">
        <v>69</v>
      </c>
      <c r="C53" s="65" t="s">
        <v>6</v>
      </c>
      <c r="D53" s="65" t="s">
        <v>8</v>
      </c>
      <c r="E53" s="65" t="s">
        <v>7</v>
      </c>
      <c r="F53" s="65" t="s">
        <v>28</v>
      </c>
      <c r="G53" s="65" t="str">
        <f t="shared" si="17"/>
        <v>UsdLibor3M</v>
      </c>
      <c r="H53" s="63" t="str">
        <f t="shared" si="18"/>
        <v>USDAM3L21M_Quote</v>
      </c>
      <c r="I53" s="140">
        <v>0</v>
      </c>
      <c r="J53" s="69"/>
      <c r="L53" s="76" t="str">
        <f t="shared" si="15"/>
        <v>Sw</v>
      </c>
      <c r="M53" s="153" t="str">
        <f t="shared" si="16"/>
        <v>obj_002c9#0006</v>
      </c>
      <c r="N53" s="162" t="str">
        <f>IFERROR(_xll.qlRateHelperQuoteName(M53,Trigger),"--")</f>
        <v>USDAM3L7Y_Quote</v>
      </c>
      <c r="O53" s="155">
        <f>IFERROR(_xll.qlRateHelperQuoteValue($M53,Trigger),"--")</f>
        <v>1.375E-2</v>
      </c>
      <c r="P53" s="154" t="b">
        <v>1</v>
      </c>
      <c r="Q53" s="153">
        <v>50</v>
      </c>
      <c r="R53" s="153">
        <v>1</v>
      </c>
      <c r="S53" s="156">
        <f>IFERROR(_xll.qlRateHelperEarliestDate(M53,Trigger),"--")</f>
        <v>42482</v>
      </c>
      <c r="T53" s="156">
        <f>IFERROR(_xll.qlRateHelperPillarDate(M53,Trigger),"--")</f>
        <v>45040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5" t="str">
        <f>IFERROR(_xll.qlRateHelperRate(W53,Trigger),"")</f>
        <v/>
      </c>
      <c r="Z53" s="11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3" t="e">
        <v>#N/A</v>
      </c>
    </row>
    <row r="54" spans="1:29" ht="11.25" customHeight="1" x14ac:dyDescent="0.2">
      <c r="A54" s="63" t="s">
        <v>26</v>
      </c>
      <c r="B54" s="64" t="s">
        <v>72</v>
      </c>
      <c r="C54" s="65" t="s">
        <v>6</v>
      </c>
      <c r="D54" s="65" t="s">
        <v>8</v>
      </c>
      <c r="E54" s="65" t="s">
        <v>7</v>
      </c>
      <c r="F54" s="65" t="s">
        <v>28</v>
      </c>
      <c r="G54" s="65" t="str">
        <f t="shared" si="17"/>
        <v>UsdLibor3M</v>
      </c>
      <c r="H54" s="63" t="str">
        <f t="shared" si="18"/>
        <v>USDAM3L2Y_Quote</v>
      </c>
      <c r="I54" s="140">
        <v>0</v>
      </c>
      <c r="J54" s="69"/>
      <c r="L54" s="76" t="str">
        <f t="shared" si="15"/>
        <v>Sw</v>
      </c>
      <c r="M54" s="153" t="str">
        <f t="shared" si="16"/>
        <v>obj_002f1#0006</v>
      </c>
      <c r="N54" s="162" t="str">
        <f>IFERROR(_xll.qlRateHelperQuoteName(M54,Trigger),"--")</f>
        <v>USDAM3L8Y_Quote</v>
      </c>
      <c r="O54" s="155">
        <f>IFERROR(_xll.qlRateHelperQuoteValue($M54,Trigger),"--")</f>
        <v>1.4569999999999998E-2</v>
      </c>
      <c r="P54" s="154" t="b">
        <v>1</v>
      </c>
      <c r="Q54" s="153">
        <v>50</v>
      </c>
      <c r="R54" s="153">
        <v>1</v>
      </c>
      <c r="S54" s="156">
        <f>IFERROR(_xll.qlRateHelperEarliestDate(M54,Trigger),"--")</f>
        <v>42482</v>
      </c>
      <c r="T54" s="156">
        <f>IFERROR(_xll.qlRateHelperPillarDate(M54,Trigger),"--")</f>
        <v>45404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5" t="str">
        <f>IFERROR(_xll.qlRateHelperRate(W54,Trigger),"")</f>
        <v/>
      </c>
      <c r="Z54" s="11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3" t="e">
        <v>#N/A</v>
      </c>
    </row>
    <row r="55" spans="1:29" ht="11.25" customHeight="1" x14ac:dyDescent="0.2">
      <c r="A55" s="63" t="s">
        <v>26</v>
      </c>
      <c r="B55" s="64" t="s">
        <v>76</v>
      </c>
      <c r="C55" s="65" t="s">
        <v>6</v>
      </c>
      <c r="D55" s="65" t="s">
        <v>8</v>
      </c>
      <c r="E55" s="65" t="s">
        <v>7</v>
      </c>
      <c r="F55" s="65" t="s">
        <v>28</v>
      </c>
      <c r="G55" s="65" t="str">
        <f t="shared" si="17"/>
        <v>UsdLibor3M</v>
      </c>
      <c r="H55" s="63" t="str">
        <f t="shared" si="18"/>
        <v>USDAM3L3Y_Quote</v>
      </c>
      <c r="I55" s="140">
        <v>0</v>
      </c>
      <c r="J55" s="69" t="str">
        <f>_xll.qlSwapRateHelper2(,H55,,B55,JoinCalendar,USD3M!D55,USD3M!E55,USD3M!F55,USD3M!G55,USD3M!I55,USD3M!C55,Discounting,PillarDate,,Permanent,Trigger,ObjectOverwrite)</f>
        <v>obj_002c6#0006</v>
      </c>
      <c r="L55" s="76" t="str">
        <f t="shared" si="15"/>
        <v>Sw</v>
      </c>
      <c r="M55" s="153" t="str">
        <f t="shared" si="16"/>
        <v>obj_002b3#0006</v>
      </c>
      <c r="N55" s="162" t="str">
        <f>IFERROR(_xll.qlRateHelperQuoteName(M55,Trigger),"--")</f>
        <v>USDAM3L9Y_Quote</v>
      </c>
      <c r="O55" s="155">
        <f>IFERROR(_xll.qlRateHelperQuoteValue($M55,Trigger),"--")</f>
        <v>1.532E-2</v>
      </c>
      <c r="P55" s="154" t="b">
        <v>1</v>
      </c>
      <c r="Q55" s="153">
        <v>50</v>
      </c>
      <c r="R55" s="153">
        <v>1</v>
      </c>
      <c r="S55" s="156">
        <f>IFERROR(_xll.qlRateHelperEarliestDate(M55,Trigger),"--")</f>
        <v>42482</v>
      </c>
      <c r="T55" s="156">
        <f>IFERROR(_xll.qlRateHelperPillarDate(M55,Trigger),"--")</f>
        <v>45769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5" t="str">
        <f>IFERROR(_xll.qlRateHelperRate(W55,Trigger),"")</f>
        <v/>
      </c>
      <c r="Z55" s="11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3" t="e">
        <v>#N/A</v>
      </c>
    </row>
    <row r="56" spans="1:29" ht="11.25" customHeight="1" x14ac:dyDescent="0.2">
      <c r="A56" s="63" t="s">
        <v>26</v>
      </c>
      <c r="B56" s="64" t="s">
        <v>80</v>
      </c>
      <c r="C56" s="65" t="s">
        <v>6</v>
      </c>
      <c r="D56" s="65" t="s">
        <v>8</v>
      </c>
      <c r="E56" s="65" t="s">
        <v>7</v>
      </c>
      <c r="F56" s="65" t="s">
        <v>28</v>
      </c>
      <c r="G56" s="65" t="str">
        <f t="shared" si="17"/>
        <v>UsdLibor3M</v>
      </c>
      <c r="H56" s="63" t="str">
        <f t="shared" si="18"/>
        <v>USDAM3L4Y_Quote</v>
      </c>
      <c r="I56" s="140">
        <v>0</v>
      </c>
      <c r="J56" s="69" t="str">
        <f>_xll.qlSwapRateHelper2(,H56,,B56,JoinCalendar,USD3M!D56,USD3M!E56,USD3M!F56,USD3M!G56,USD3M!I56,USD3M!C56,Discounting,PillarDate,,Permanent,Trigger,ObjectOverwrite)</f>
        <v>obj_002c7#0006</v>
      </c>
      <c r="L56" s="76" t="str">
        <f t="shared" si="15"/>
        <v>Sw</v>
      </c>
      <c r="M56" s="153" t="str">
        <f t="shared" si="16"/>
        <v>obj_0029e#0006</v>
      </c>
      <c r="N56" s="162" t="str">
        <f>IFERROR(_xll.qlRateHelperQuoteName(M56,Trigger),"--")</f>
        <v>USDAM3L10Y_Quote</v>
      </c>
      <c r="O56" s="155">
        <f>IFERROR(_xll.qlRateHelperQuoteValue($M56,Trigger),"--")</f>
        <v>1.602E-2</v>
      </c>
      <c r="P56" s="154" t="b">
        <v>1</v>
      </c>
      <c r="Q56" s="153">
        <v>50</v>
      </c>
      <c r="R56" s="153">
        <v>1</v>
      </c>
      <c r="S56" s="156">
        <f>IFERROR(_xll.qlRateHelperEarliestDate(M56,Trigger),"--")</f>
        <v>42482</v>
      </c>
      <c r="T56" s="156">
        <f>IFERROR(_xll.qlRateHelperPillarDate(M56,Trigger),"--")</f>
        <v>46134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5" t="str">
        <f>IFERROR(_xll.qlRateHelperRate(W56,Trigger),"")</f>
        <v/>
      </c>
      <c r="Z56" s="11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3" t="e">
        <v>#N/A</v>
      </c>
    </row>
    <row r="57" spans="1:29" ht="11.25" customHeight="1" x14ac:dyDescent="0.2">
      <c r="A57" s="63" t="s">
        <v>26</v>
      </c>
      <c r="B57" s="64" t="s">
        <v>84</v>
      </c>
      <c r="C57" s="65" t="s">
        <v>6</v>
      </c>
      <c r="D57" s="65" t="s">
        <v>8</v>
      </c>
      <c r="E57" s="65" t="s">
        <v>7</v>
      </c>
      <c r="F57" s="65" t="s">
        <v>28</v>
      </c>
      <c r="G57" s="65" t="str">
        <f t="shared" si="17"/>
        <v>UsdLibor3M</v>
      </c>
      <c r="H57" s="63" t="str">
        <f t="shared" si="18"/>
        <v>USDAM3L5Y_Quote</v>
      </c>
      <c r="I57" s="140">
        <v>0</v>
      </c>
      <c r="J57" s="69" t="str">
        <f>_xll.qlSwapRateHelper2(,H57,,B57,JoinCalendar,USD3M!D57,USD3M!E57,USD3M!F57,USD3M!G57,USD3M!I57,USD3M!C57,Discounting,PillarDate,,Permanent,Trigger,ObjectOverwrite)</f>
        <v>obj_002f2#0006</v>
      </c>
      <c r="L57" s="76" t="str">
        <f t="shared" si="15"/>
        <v>Sw</v>
      </c>
      <c r="M57" s="154" t="str">
        <f t="shared" si="16"/>
        <v>--</v>
      </c>
      <c r="N57" s="162" t="str">
        <f>IFERROR(_xll.qlRateHelperQuoteName(M57,Trigger),"--")</f>
        <v>--</v>
      </c>
      <c r="O57" s="155" t="str">
        <f>IFERROR(_xll.qlRateHelperQuoteValue($M57,Trigger),"--")</f>
        <v>--</v>
      </c>
      <c r="P57" s="154" t="b">
        <v>0</v>
      </c>
      <c r="Q57" s="154">
        <v>50</v>
      </c>
      <c r="R57" s="154">
        <v>1</v>
      </c>
      <c r="S57" s="156" t="str">
        <f>IFERROR(_xll.qlRateHelperEarliestDate(M57,Trigger),"--")</f>
        <v>--</v>
      </c>
      <c r="T57" s="156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5" t="str">
        <f>IFERROR(_xll.qlRateHelperRate(W57,Trigger),"")</f>
        <v/>
      </c>
      <c r="Z57" s="11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3" t="e">
        <v>#N/A</v>
      </c>
    </row>
    <row r="58" spans="1:29" ht="11.25" customHeight="1" x14ac:dyDescent="0.2">
      <c r="A58" s="63" t="s">
        <v>26</v>
      </c>
      <c r="B58" s="64" t="s">
        <v>85</v>
      </c>
      <c r="C58" s="65" t="s">
        <v>6</v>
      </c>
      <c r="D58" s="65" t="s">
        <v>8</v>
      </c>
      <c r="E58" s="65" t="s">
        <v>7</v>
      </c>
      <c r="F58" s="65" t="s">
        <v>28</v>
      </c>
      <c r="G58" s="65" t="str">
        <f t="shared" si="17"/>
        <v>UsdLibor3M</v>
      </c>
      <c r="H58" s="63" t="str">
        <f t="shared" si="18"/>
        <v>USDAM3L6Y_Quote</v>
      </c>
      <c r="I58" s="140">
        <v>0</v>
      </c>
      <c r="J58" s="69" t="str">
        <f>_xll.qlSwapRateHelper2(,H58,,B58,JoinCalendar,USD3M!D58,USD3M!E58,USD3M!F58,USD3M!G58,USD3M!I58,USD3M!C58,Discounting,PillarDate,,Permanent,Trigger,ObjectOverwrite)</f>
        <v>obj_002e7#0006</v>
      </c>
      <c r="L58" s="76" t="str">
        <f t="shared" si="15"/>
        <v>Sw</v>
      </c>
      <c r="M58" s="154" t="str">
        <f t="shared" si="16"/>
        <v>obj_00314#0006</v>
      </c>
      <c r="N58" s="162" t="str">
        <f>IFERROR(_xll.qlRateHelperQuoteName(M58,Trigger),"--")</f>
        <v>USDAM3L12Y_Quote</v>
      </c>
      <c r="O58" s="155">
        <f>IFERROR(_xll.qlRateHelperQuoteValue($M58,Trigger),"--")</f>
        <v>1.7219999999999999E-2</v>
      </c>
      <c r="P58" s="154" t="b">
        <v>1</v>
      </c>
      <c r="Q58" s="154">
        <v>50</v>
      </c>
      <c r="R58" s="154">
        <v>1</v>
      </c>
      <c r="S58" s="156">
        <f>IFERROR(_xll.qlRateHelperEarliestDate(M58,Trigger),"--")</f>
        <v>42482</v>
      </c>
      <c r="T58" s="156">
        <f>IFERROR(_xll.qlRateHelperPillarDate(M58,Trigger),"--")</f>
        <v>46867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5" t="str">
        <f>IFERROR(_xll.qlRateHelperRate(W58,Trigger),"")</f>
        <v/>
      </c>
      <c r="Z58" s="11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3" t="e">
        <v>#N/A</v>
      </c>
    </row>
    <row r="59" spans="1:29" ht="11.25" customHeight="1" x14ac:dyDescent="0.2">
      <c r="A59" s="63" t="s">
        <v>26</v>
      </c>
      <c r="B59" s="64" t="s">
        <v>86</v>
      </c>
      <c r="C59" s="65" t="s">
        <v>6</v>
      </c>
      <c r="D59" s="65" t="s">
        <v>8</v>
      </c>
      <c r="E59" s="65" t="s">
        <v>7</v>
      </c>
      <c r="F59" s="65" t="s">
        <v>28</v>
      </c>
      <c r="G59" s="65" t="str">
        <f t="shared" si="17"/>
        <v>UsdLibor3M</v>
      </c>
      <c r="H59" s="63" t="str">
        <f t="shared" si="18"/>
        <v>USDAM3L7Y_Quote</v>
      </c>
      <c r="I59" s="140">
        <v>0</v>
      </c>
      <c r="J59" s="69" t="str">
        <f>_xll.qlSwapRateHelper2(,H59,,B59,JoinCalendar,USD3M!D59,USD3M!E59,USD3M!F59,USD3M!G59,USD3M!I59,USD3M!C59,Discounting,PillarDate,,Permanent,Trigger,ObjectOverwrite)</f>
        <v>obj_002c9#0006</v>
      </c>
      <c r="L59" s="76" t="str">
        <f t="shared" si="15"/>
        <v>Sw</v>
      </c>
      <c r="M59" s="154" t="str">
        <f t="shared" si="16"/>
        <v>--</v>
      </c>
      <c r="N59" s="162" t="str">
        <f>IFERROR(_xll.qlRateHelperQuoteName(M59,Trigger),"--")</f>
        <v>--</v>
      </c>
      <c r="O59" s="155" t="str">
        <f>IFERROR(_xll.qlRateHelperQuoteValue($M59,Trigger),"--")</f>
        <v>--</v>
      </c>
      <c r="P59" s="154" t="b">
        <v>0</v>
      </c>
      <c r="Q59" s="154">
        <v>50</v>
      </c>
      <c r="R59" s="154">
        <v>1</v>
      </c>
      <c r="S59" s="156" t="str">
        <f>IFERROR(_xll.qlRateHelperEarliestDate(M59,Trigger),"--")</f>
        <v>--</v>
      </c>
      <c r="T59" s="156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5" t="str">
        <f>IFERROR(_xll.qlRateHelperRate(W59,Trigger),"")</f>
        <v/>
      </c>
      <c r="Z59" s="11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3" t="e">
        <v>#N/A</v>
      </c>
    </row>
    <row r="60" spans="1:29" ht="11.25" customHeight="1" x14ac:dyDescent="0.2">
      <c r="A60" s="63" t="s">
        <v>26</v>
      </c>
      <c r="B60" s="64" t="s">
        <v>87</v>
      </c>
      <c r="C60" s="65" t="s">
        <v>6</v>
      </c>
      <c r="D60" s="65" t="s">
        <v>8</v>
      </c>
      <c r="E60" s="65" t="s">
        <v>7</v>
      </c>
      <c r="F60" s="65" t="s">
        <v>28</v>
      </c>
      <c r="G60" s="65" t="str">
        <f t="shared" si="17"/>
        <v>UsdLibor3M</v>
      </c>
      <c r="H60" s="63" t="str">
        <f t="shared" si="18"/>
        <v>USDAM3L8Y_Quote</v>
      </c>
      <c r="I60" s="140">
        <v>0</v>
      </c>
      <c r="J60" s="69" t="str">
        <f>_xll.qlSwapRateHelper2(,H60,,B60,JoinCalendar,USD3M!D60,USD3M!E60,USD3M!F60,USD3M!G60,USD3M!I60,USD3M!C60,Discounting,PillarDate,,Permanent,Trigger,ObjectOverwrite)</f>
        <v>obj_002f1#0006</v>
      </c>
      <c r="L60" s="76" t="str">
        <f t="shared" si="15"/>
        <v>Sw</v>
      </c>
      <c r="M60" s="154" t="str">
        <f t="shared" si="16"/>
        <v>--</v>
      </c>
      <c r="N60" s="162" t="str">
        <f>IFERROR(_xll.qlRateHelperQuoteName(M60,Trigger),"--")</f>
        <v>--</v>
      </c>
      <c r="O60" s="155" t="str">
        <f>IFERROR(_xll.qlRateHelperQuoteValue($M60,Trigger),"--")</f>
        <v>--</v>
      </c>
      <c r="P60" s="154" t="b">
        <v>0</v>
      </c>
      <c r="Q60" s="154">
        <v>50</v>
      </c>
      <c r="R60" s="154">
        <v>1</v>
      </c>
      <c r="S60" s="156" t="str">
        <f>IFERROR(_xll.qlRateHelperEarliestDate(M60,Trigger),"--")</f>
        <v>--</v>
      </c>
      <c r="T60" s="156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5" t="str">
        <f>IFERROR(_xll.qlRateHelperRate(W60,Trigger),"")</f>
        <v/>
      </c>
      <c r="Z60" s="11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3" t="e">
        <v>#N/A</v>
      </c>
    </row>
    <row r="61" spans="1:29" ht="11.25" customHeight="1" x14ac:dyDescent="0.2">
      <c r="A61" s="63" t="s">
        <v>26</v>
      </c>
      <c r="B61" s="64" t="s">
        <v>88</v>
      </c>
      <c r="C61" s="65" t="s">
        <v>6</v>
      </c>
      <c r="D61" s="65" t="s">
        <v>8</v>
      </c>
      <c r="E61" s="65" t="s">
        <v>7</v>
      </c>
      <c r="F61" s="65" t="s">
        <v>28</v>
      </c>
      <c r="G61" s="65" t="str">
        <f t="shared" si="17"/>
        <v>UsdLibor3M</v>
      </c>
      <c r="H61" s="63" t="str">
        <f t="shared" si="18"/>
        <v>USDAM3L9Y_Quote</v>
      </c>
      <c r="I61" s="140">
        <v>0</v>
      </c>
      <c r="J61" s="69" t="str">
        <f>_xll.qlSwapRateHelper2(,H61,,B61,JoinCalendar,USD3M!D61,USD3M!E61,USD3M!F61,USD3M!G61,USD3M!I61,USD3M!C61,Discounting,PillarDate,,Permanent,Trigger,ObjectOverwrite)</f>
        <v>obj_002b3#0006</v>
      </c>
      <c r="L61" s="76" t="str">
        <f t="shared" si="15"/>
        <v>Sw</v>
      </c>
      <c r="M61" s="154" t="str">
        <f t="shared" si="16"/>
        <v>obj_002ab#0006</v>
      </c>
      <c r="N61" s="162" t="str">
        <f>IFERROR(_xll.qlRateHelperQuoteName(M61,Trigger),"--")</f>
        <v>USDAM3L15Y_Quote</v>
      </c>
      <c r="O61" s="155">
        <f>IFERROR(_xll.qlRateHelperQuoteValue($M61,Trigger),"--")</f>
        <v>1.8489999999999999E-2</v>
      </c>
      <c r="P61" s="154" t="b">
        <v>1</v>
      </c>
      <c r="Q61" s="154">
        <v>50</v>
      </c>
      <c r="R61" s="154">
        <v>1</v>
      </c>
      <c r="S61" s="156">
        <f>IFERROR(_xll.qlRateHelperEarliestDate(M61,Trigger),"--")</f>
        <v>42482</v>
      </c>
      <c r="T61" s="156">
        <f>IFERROR(_xll.qlRateHelperPillarDate(M61,Trigger),"--")</f>
        <v>47960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5" t="str">
        <f>IFERROR(_xll.qlRateHelperRate(W61,Trigger),"")</f>
        <v/>
      </c>
      <c r="Z61" s="11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3" t="e">
        <v>#N/A</v>
      </c>
    </row>
    <row r="62" spans="1:29" ht="11.25" customHeight="1" x14ac:dyDescent="0.2">
      <c r="A62" s="63" t="s">
        <v>26</v>
      </c>
      <c r="B62" s="64" t="s">
        <v>89</v>
      </c>
      <c r="C62" s="65" t="s">
        <v>6</v>
      </c>
      <c r="D62" s="65" t="s">
        <v>8</v>
      </c>
      <c r="E62" s="65" t="s">
        <v>7</v>
      </c>
      <c r="F62" s="65" t="s">
        <v>28</v>
      </c>
      <c r="G62" s="65" t="str">
        <f t="shared" si="17"/>
        <v>UsdLibor3M</v>
      </c>
      <c r="H62" s="63" t="str">
        <f t="shared" si="18"/>
        <v>USDAM3L10Y_Quote</v>
      </c>
      <c r="I62" s="140">
        <v>0</v>
      </c>
      <c r="J62" s="69" t="str">
        <f>_xll.qlSwapRateHelper2(,H62,,B62,JoinCalendar,USD3M!D62,USD3M!E62,USD3M!F62,USD3M!G62,USD3M!I62,USD3M!C62,Discounting,PillarDate,,Permanent,Trigger,ObjectOverwrite)</f>
        <v>obj_0029e#0006</v>
      </c>
      <c r="L62" s="76" t="str">
        <f t="shared" si="15"/>
        <v>Sw</v>
      </c>
      <c r="M62" s="154" t="str">
        <f t="shared" si="16"/>
        <v>--</v>
      </c>
      <c r="N62" s="162" t="str">
        <f>IFERROR(_xll.qlRateHelperQuoteName(M62,Trigger),"--")</f>
        <v>--</v>
      </c>
      <c r="O62" s="155" t="str">
        <f>IFERROR(_xll.qlRateHelperQuoteValue($M62,Trigger),"--")</f>
        <v>--</v>
      </c>
      <c r="P62" s="154" t="b">
        <v>0</v>
      </c>
      <c r="Q62" s="154">
        <v>50</v>
      </c>
      <c r="R62" s="154">
        <v>1</v>
      </c>
      <c r="S62" s="156" t="str">
        <f>IFERROR(_xll.qlRateHelperEarliestDate(M62,Trigger),"--")</f>
        <v>--</v>
      </c>
      <c r="T62" s="156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5" t="str">
        <f>IFERROR(_xll.qlRateHelperRate(W62,Trigger),"")</f>
        <v/>
      </c>
      <c r="Z62" s="11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3" t="e">
        <v>#N/A</v>
      </c>
    </row>
    <row r="63" spans="1:29" ht="11.25" customHeight="1" x14ac:dyDescent="0.2">
      <c r="A63" s="63" t="s">
        <v>26</v>
      </c>
      <c r="B63" s="64" t="s">
        <v>133</v>
      </c>
      <c r="C63" s="65" t="s">
        <v>6</v>
      </c>
      <c r="D63" s="65" t="s">
        <v>8</v>
      </c>
      <c r="E63" s="65" t="s">
        <v>7</v>
      </c>
      <c r="F63" s="65" t="s">
        <v>28</v>
      </c>
      <c r="G63" s="65" t="str">
        <f t="shared" si="17"/>
        <v>UsdLibor3M</v>
      </c>
      <c r="H63" s="63" t="str">
        <f t="shared" si="18"/>
        <v>USDAM3L11Y_Quote</v>
      </c>
      <c r="I63" s="140">
        <v>0</v>
      </c>
      <c r="J63" s="69"/>
      <c r="L63" s="76" t="str">
        <f t="shared" si="15"/>
        <v>Sw</v>
      </c>
      <c r="M63" s="154" t="str">
        <f t="shared" si="16"/>
        <v>--</v>
      </c>
      <c r="N63" s="162" t="str">
        <f>IFERROR(_xll.qlRateHelperQuoteName(M63,Trigger),"--")</f>
        <v>--</v>
      </c>
      <c r="O63" s="155" t="str">
        <f>IFERROR(_xll.qlRateHelperQuoteValue($M63,Trigger),"--")</f>
        <v>--</v>
      </c>
      <c r="P63" s="154" t="b">
        <v>0</v>
      </c>
      <c r="Q63" s="154">
        <v>50</v>
      </c>
      <c r="R63" s="154">
        <v>1</v>
      </c>
      <c r="S63" s="156" t="str">
        <f>IFERROR(_xll.qlRateHelperEarliestDate(M63,Trigger),"--")</f>
        <v>--</v>
      </c>
      <c r="T63" s="156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5" t="str">
        <f>IFERROR(_xll.qlRateHelperRate(W63,Trigger),"")</f>
        <v/>
      </c>
      <c r="Z63" s="11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3" t="e">
        <v>#N/A</v>
      </c>
    </row>
    <row r="64" spans="1:29" ht="11.25" customHeight="1" x14ac:dyDescent="0.2">
      <c r="A64" s="63" t="s">
        <v>26</v>
      </c>
      <c r="B64" s="64" t="s">
        <v>90</v>
      </c>
      <c r="C64" s="65" t="s">
        <v>6</v>
      </c>
      <c r="D64" s="65" t="s">
        <v>8</v>
      </c>
      <c r="E64" s="65" t="s">
        <v>7</v>
      </c>
      <c r="F64" s="65" t="s">
        <v>28</v>
      </c>
      <c r="G64" s="65" t="str">
        <f t="shared" si="17"/>
        <v>UsdLibor3M</v>
      </c>
      <c r="H64" s="63" t="str">
        <f t="shared" si="18"/>
        <v>USDAM3L12Y_Quote</v>
      </c>
      <c r="I64" s="140">
        <v>0</v>
      </c>
      <c r="J64" s="69" t="str">
        <f>_xll.qlSwapRateHelper2(,H64,,B64,JoinCalendar,USD3M!D64,USD3M!E64,USD3M!F64,USD3M!G64,USD3M!I64,USD3M!C64,Discounting,PillarDate,,Permanent,Trigger,ObjectOverwrite)</f>
        <v>obj_00314#0006</v>
      </c>
      <c r="L64" s="76" t="str">
        <f t="shared" si="15"/>
        <v>Sw</v>
      </c>
      <c r="M64" s="154" t="str">
        <f t="shared" si="16"/>
        <v>--</v>
      </c>
      <c r="N64" s="162" t="str">
        <f>IFERROR(_xll.qlRateHelperQuoteName(M64,Trigger),"--")</f>
        <v>--</v>
      </c>
      <c r="O64" s="155" t="str">
        <f>IFERROR(_xll.qlRateHelperQuoteValue($M64,Trigger),"--")</f>
        <v>--</v>
      </c>
      <c r="P64" s="154" t="b">
        <v>0</v>
      </c>
      <c r="Q64" s="154">
        <v>50</v>
      </c>
      <c r="R64" s="154">
        <v>1</v>
      </c>
      <c r="S64" s="156" t="str">
        <f>IFERROR(_xll.qlRateHelperEarliestDate(M64,Trigger),"--")</f>
        <v>--</v>
      </c>
      <c r="T64" s="156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5" t="str">
        <f>IFERROR(_xll.qlRateHelperRate(W64,Trigger),"")</f>
        <v/>
      </c>
      <c r="Z64" s="11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3" t="e">
        <v>#N/A</v>
      </c>
    </row>
    <row r="65" spans="1:29" ht="11.25" customHeight="1" x14ac:dyDescent="0.2">
      <c r="A65" s="63" t="s">
        <v>26</v>
      </c>
      <c r="B65" s="64" t="s">
        <v>134</v>
      </c>
      <c r="C65" s="65" t="s">
        <v>6</v>
      </c>
      <c r="D65" s="65" t="s">
        <v>8</v>
      </c>
      <c r="E65" s="65" t="s">
        <v>7</v>
      </c>
      <c r="F65" s="65" t="s">
        <v>28</v>
      </c>
      <c r="G65" s="65" t="str">
        <f t="shared" si="17"/>
        <v>UsdLibor3M</v>
      </c>
      <c r="H65" s="63" t="str">
        <f t="shared" si="18"/>
        <v>USDAM3L13Y_Quote</v>
      </c>
      <c r="I65" s="140">
        <v>0</v>
      </c>
      <c r="J65" s="69"/>
      <c r="L65" s="76" t="str">
        <f t="shared" si="15"/>
        <v>Sw</v>
      </c>
      <c r="M65" s="154" t="str">
        <f t="shared" si="16"/>
        <v>--</v>
      </c>
      <c r="N65" s="162" t="str">
        <f>IFERROR(_xll.qlRateHelperQuoteName(M65,Trigger),"--")</f>
        <v>--</v>
      </c>
      <c r="O65" s="155" t="str">
        <f>IFERROR(_xll.qlRateHelperQuoteValue($M65,Trigger),"--")</f>
        <v>--</v>
      </c>
      <c r="P65" s="154" t="b">
        <v>0</v>
      </c>
      <c r="Q65" s="154">
        <v>50</v>
      </c>
      <c r="R65" s="154">
        <v>1</v>
      </c>
      <c r="S65" s="156" t="str">
        <f>IFERROR(_xll.qlRateHelperEarliestDate(M65,Trigger),"--")</f>
        <v>--</v>
      </c>
      <c r="T65" s="156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5" t="str">
        <f>IFERROR(_xll.qlRateHelperRate(W65,Trigger),"")</f>
        <v/>
      </c>
      <c r="Z65" s="11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3" t="e">
        <v>#N/A</v>
      </c>
    </row>
    <row r="66" spans="1:29" ht="11.25" customHeight="1" x14ac:dyDescent="0.2">
      <c r="A66" s="63" t="s">
        <v>26</v>
      </c>
      <c r="B66" s="64" t="s">
        <v>135</v>
      </c>
      <c r="C66" s="65" t="s">
        <v>6</v>
      </c>
      <c r="D66" s="65" t="s">
        <v>8</v>
      </c>
      <c r="E66" s="65" t="s">
        <v>7</v>
      </c>
      <c r="F66" s="65" t="s">
        <v>28</v>
      </c>
      <c r="G66" s="65" t="str">
        <f t="shared" si="17"/>
        <v>UsdLibor3M</v>
      </c>
      <c r="H66" s="63" t="str">
        <f t="shared" si="18"/>
        <v>USDAM3L14Y_Quote</v>
      </c>
      <c r="I66" s="140">
        <v>0</v>
      </c>
      <c r="J66" s="69"/>
      <c r="L66" s="76" t="str">
        <f t="shared" si="15"/>
        <v>Sw</v>
      </c>
      <c r="M66" s="154" t="str">
        <f t="shared" si="16"/>
        <v>obj_0028c#0006</v>
      </c>
      <c r="N66" s="162" t="str">
        <f>IFERROR(_xll.qlRateHelperQuoteName(M66,Trigger),"--")</f>
        <v>USDAM3L20Y_Quote</v>
      </c>
      <c r="O66" s="155">
        <f>IFERROR(_xll.qlRateHelperQuoteValue($M66,Trigger),"--")</f>
        <v>1.976E-2</v>
      </c>
      <c r="P66" s="154" t="b">
        <v>1</v>
      </c>
      <c r="Q66" s="154">
        <v>50</v>
      </c>
      <c r="R66" s="154">
        <v>1</v>
      </c>
      <c r="S66" s="156">
        <f>IFERROR(_xll.qlRateHelperEarliestDate(M66,Trigger),"--")</f>
        <v>42482</v>
      </c>
      <c r="T66" s="156">
        <f>IFERROR(_xll.qlRateHelperPillarDate(M66,Trigger),"--")</f>
        <v>49787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5" t="str">
        <f>IFERROR(_xll.qlRateHelperRate(W66,Trigger),"")</f>
        <v/>
      </c>
      <c r="Z66" s="11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3" t="e">
        <v>#N/A</v>
      </c>
    </row>
    <row r="67" spans="1:29" ht="11.25" customHeight="1" x14ac:dyDescent="0.2">
      <c r="A67" s="63" t="s">
        <v>26</v>
      </c>
      <c r="B67" s="64" t="s">
        <v>91</v>
      </c>
      <c r="C67" s="65" t="s">
        <v>6</v>
      </c>
      <c r="D67" s="65" t="s">
        <v>8</v>
      </c>
      <c r="E67" s="65" t="s">
        <v>7</v>
      </c>
      <c r="F67" s="65" t="s">
        <v>28</v>
      </c>
      <c r="G67" s="65" t="str">
        <f t="shared" si="17"/>
        <v>UsdLibor3M</v>
      </c>
      <c r="H67" s="63" t="str">
        <f t="shared" si="18"/>
        <v>USDAM3L15Y_Quote</v>
      </c>
      <c r="I67" s="140">
        <v>0</v>
      </c>
      <c r="J67" s="69" t="str">
        <f>_xll.qlSwapRateHelper2(,H67,,B67,JoinCalendar,USD3M!D67,USD3M!E67,USD3M!F67,USD3M!G67,USD3M!I67,USD3M!C67,Discounting,PillarDate,,Permanent,Trigger,ObjectOverwrite)</f>
        <v>obj_002ab#0006</v>
      </c>
      <c r="L67" s="76" t="str">
        <f t="shared" si="15"/>
        <v>Sw</v>
      </c>
      <c r="M67" s="154" t="str">
        <f t="shared" si="16"/>
        <v>--</v>
      </c>
      <c r="N67" s="162" t="str">
        <f>IFERROR(_xll.qlRateHelperQuoteName(M67,Trigger),"--")</f>
        <v>--</v>
      </c>
      <c r="O67" s="155" t="str">
        <f>IFERROR(_xll.qlRateHelperQuoteValue($M67,Trigger),"--")</f>
        <v>--</v>
      </c>
      <c r="P67" s="154" t="b">
        <v>0</v>
      </c>
      <c r="Q67" s="154">
        <v>50</v>
      </c>
      <c r="R67" s="154">
        <v>1</v>
      </c>
      <c r="S67" s="156" t="str">
        <f>IFERROR(_xll.qlRateHelperEarliestDate(M67,Trigger),"--")</f>
        <v>--</v>
      </c>
      <c r="T67" s="156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5" t="str">
        <f>IFERROR(_xll.qlRateHelperRate(W67,Trigger),"")</f>
        <v/>
      </c>
      <c r="Z67" s="11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3" t="e">
        <v>#N/A</v>
      </c>
    </row>
    <row r="68" spans="1:29" ht="11.25" customHeight="1" x14ac:dyDescent="0.2">
      <c r="A68" s="63" t="s">
        <v>26</v>
      </c>
      <c r="B68" s="64" t="s">
        <v>136</v>
      </c>
      <c r="C68" s="65" t="s">
        <v>6</v>
      </c>
      <c r="D68" s="65" t="s">
        <v>8</v>
      </c>
      <c r="E68" s="65" t="s">
        <v>7</v>
      </c>
      <c r="F68" s="65" t="s">
        <v>28</v>
      </c>
      <c r="G68" s="65" t="str">
        <f t="shared" si="17"/>
        <v>UsdLibor3M</v>
      </c>
      <c r="H68" s="63" t="str">
        <f t="shared" si="18"/>
        <v>USDAM3L16Y_Quote</v>
      </c>
      <c r="I68" s="140">
        <v>0</v>
      </c>
      <c r="J68" s="69"/>
      <c r="L68" s="76" t="str">
        <f t="shared" si="15"/>
        <v>Sw</v>
      </c>
      <c r="M68" s="154" t="str">
        <f t="shared" si="16"/>
        <v>--</v>
      </c>
      <c r="N68" s="162" t="str">
        <f>IFERROR(_xll.qlRateHelperQuoteName(M68,Trigger),"--")</f>
        <v>--</v>
      </c>
      <c r="O68" s="155" t="str">
        <f>IFERROR(_xll.qlRateHelperQuoteValue($M68,Trigger),"--")</f>
        <v>--</v>
      </c>
      <c r="P68" s="154" t="b">
        <v>0</v>
      </c>
      <c r="Q68" s="154">
        <v>50</v>
      </c>
      <c r="R68" s="154">
        <v>1</v>
      </c>
      <c r="S68" s="156" t="str">
        <f>IFERROR(_xll.qlRateHelperEarliestDate(M68,Trigger),"--")</f>
        <v>--</v>
      </c>
      <c r="T68" s="156" t="str">
        <f>IFERROR(_xll.qlRateHelperPillarDate(M68,Trigger),"--")</f>
        <v>--</v>
      </c>
      <c r="V68" s="4" t="str">
        <f t="shared" ref="V68:V88" si="19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5" t="str">
        <f>IFERROR(_xll.qlRateHelperRate(W68,Trigger),"")</f>
        <v/>
      </c>
      <c r="Z68" s="11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3" t="e">
        <v>#N/A</v>
      </c>
    </row>
    <row r="69" spans="1:29" ht="11.25" customHeight="1" x14ac:dyDescent="0.2">
      <c r="A69" s="63" t="s">
        <v>26</v>
      </c>
      <c r="B69" s="64" t="s">
        <v>137</v>
      </c>
      <c r="C69" s="65" t="s">
        <v>6</v>
      </c>
      <c r="D69" s="65" t="s">
        <v>8</v>
      </c>
      <c r="E69" s="65" t="s">
        <v>7</v>
      </c>
      <c r="F69" s="65" t="s">
        <v>28</v>
      </c>
      <c r="G69" s="65" t="str">
        <f t="shared" si="17"/>
        <v>UsdLibor3M</v>
      </c>
      <c r="H69" s="63" t="str">
        <f t="shared" si="18"/>
        <v>USDAM3L17Y_Quote</v>
      </c>
      <c r="I69" s="140">
        <v>0</v>
      </c>
      <c r="J69" s="69"/>
      <c r="L69" s="76" t="str">
        <f t="shared" si="15"/>
        <v>Sw</v>
      </c>
      <c r="M69" s="154" t="str">
        <f t="shared" si="16"/>
        <v>--</v>
      </c>
      <c r="N69" s="162" t="str">
        <f>IFERROR(_xll.qlRateHelperQuoteName(M69,Trigger),"--")</f>
        <v>--</v>
      </c>
      <c r="O69" s="155" t="str">
        <f>IFERROR(_xll.qlRateHelperQuoteValue($M69,Trigger),"--")</f>
        <v>--</v>
      </c>
      <c r="P69" s="154" t="b">
        <v>0</v>
      </c>
      <c r="Q69" s="154">
        <v>50</v>
      </c>
      <c r="R69" s="154">
        <v>1</v>
      </c>
      <c r="S69" s="156" t="str">
        <f>IFERROR(_xll.qlRateHelperEarliestDate(M69,Trigger),"--")</f>
        <v>--</v>
      </c>
      <c r="T69" s="156" t="str">
        <f>IFERROR(_xll.qlRateHelperPillarDate(M69,Trigger),"--")</f>
        <v>--</v>
      </c>
      <c r="V69" s="4" t="str">
        <f t="shared" si="19"/>
        <v/>
      </c>
      <c r="W69" s="4" t="e">
        <v>#N/A</v>
      </c>
      <c r="X69" s="4" t="str">
        <f>IFERROR(_xll.qlRateHelperQuoteName(W69,Trigger),"")</f>
        <v/>
      </c>
      <c r="Y69" s="75" t="str">
        <f>IFERROR(_xll.qlRateHelperRate(W69,Trigger),"")</f>
        <v/>
      </c>
      <c r="Z69" s="11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3" t="e">
        <v>#N/A</v>
      </c>
    </row>
    <row r="70" spans="1:29" ht="11.25" customHeight="1" x14ac:dyDescent="0.2">
      <c r="A70" s="63" t="s">
        <v>26</v>
      </c>
      <c r="B70" s="64" t="s">
        <v>138</v>
      </c>
      <c r="C70" s="65" t="s">
        <v>6</v>
      </c>
      <c r="D70" s="65" t="s">
        <v>8</v>
      </c>
      <c r="E70" s="65" t="s">
        <v>7</v>
      </c>
      <c r="F70" s="65" t="s">
        <v>28</v>
      </c>
      <c r="G70" s="65" t="str">
        <f t="shared" si="17"/>
        <v>UsdLibor3M</v>
      </c>
      <c r="H70" s="63" t="str">
        <f t="shared" si="18"/>
        <v>USDAM3L18Y_Quote</v>
      </c>
      <c r="I70" s="140">
        <v>0</v>
      </c>
      <c r="J70" s="69"/>
      <c r="L70" s="76" t="str">
        <f t="shared" si="15"/>
        <v>Sw</v>
      </c>
      <c r="M70" s="154" t="str">
        <f t="shared" si="16"/>
        <v>--</v>
      </c>
      <c r="N70" s="162" t="str">
        <f>IFERROR(_xll.qlRateHelperQuoteName(M70,Trigger),"--")</f>
        <v>--</v>
      </c>
      <c r="O70" s="155" t="str">
        <f>IFERROR(_xll.qlRateHelperQuoteValue($M70,Trigger),"--")</f>
        <v>--</v>
      </c>
      <c r="P70" s="154" t="b">
        <v>0</v>
      </c>
      <c r="Q70" s="154">
        <v>50</v>
      </c>
      <c r="R70" s="154">
        <v>1</v>
      </c>
      <c r="S70" s="156" t="str">
        <f>IFERROR(_xll.qlRateHelperEarliestDate(M70,Trigger),"--")</f>
        <v>--</v>
      </c>
      <c r="T70" s="156" t="str">
        <f>IFERROR(_xll.qlRateHelperPillarDate(M70,Trigger),"--")</f>
        <v>--</v>
      </c>
      <c r="V70" s="4" t="str">
        <f t="shared" si="19"/>
        <v/>
      </c>
      <c r="W70" s="4" t="e">
        <v>#N/A</v>
      </c>
      <c r="X70" s="4" t="str">
        <f>IFERROR(_xll.qlRateHelperQuoteName(W70,Trigger),"")</f>
        <v/>
      </c>
      <c r="Y70" s="75" t="str">
        <f>IFERROR(_xll.qlRateHelperRate(W70,Trigger),"")</f>
        <v/>
      </c>
      <c r="Z70" s="11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3" t="e">
        <v>#N/A</v>
      </c>
    </row>
    <row r="71" spans="1:29" ht="11.25" customHeight="1" x14ac:dyDescent="0.2">
      <c r="A71" s="63" t="s">
        <v>26</v>
      </c>
      <c r="B71" s="64" t="s">
        <v>139</v>
      </c>
      <c r="C71" s="65" t="s">
        <v>6</v>
      </c>
      <c r="D71" s="65" t="s">
        <v>8</v>
      </c>
      <c r="E71" s="65" t="s">
        <v>7</v>
      </c>
      <c r="F71" s="65" t="s">
        <v>28</v>
      </c>
      <c r="G71" s="65" t="str">
        <f t="shared" si="17"/>
        <v>UsdLibor3M</v>
      </c>
      <c r="H71" s="63" t="str">
        <f t="shared" si="18"/>
        <v>USDAM3L19Y_Quote</v>
      </c>
      <c r="I71" s="140">
        <v>0</v>
      </c>
      <c r="J71" s="69"/>
      <c r="L71" s="76" t="str">
        <f t="shared" si="15"/>
        <v>Sw</v>
      </c>
      <c r="M71" s="154" t="str">
        <f t="shared" si="16"/>
        <v>obj_0030e#0006</v>
      </c>
      <c r="N71" s="162" t="str">
        <f>IFERROR(_xll.qlRateHelperQuoteName(M71,Trigger),"--")</f>
        <v>USDAM3L25Y_Quote</v>
      </c>
      <c r="O71" s="155">
        <f>IFERROR(_xll.qlRateHelperQuoteValue($M71,Trigger),"--")</f>
        <v>2.0409999999999998E-2</v>
      </c>
      <c r="P71" s="154" t="b">
        <v>1</v>
      </c>
      <c r="Q71" s="154">
        <v>50</v>
      </c>
      <c r="R71" s="154">
        <v>1</v>
      </c>
      <c r="S71" s="156">
        <f>IFERROR(_xll.qlRateHelperEarliestDate(M71,Trigger),"--")</f>
        <v>42482</v>
      </c>
      <c r="T71" s="156">
        <f>IFERROR(_xll.qlRateHelperPillarDate(M71,Trigger),"--")</f>
        <v>51614</v>
      </c>
      <c r="V71" s="4" t="str">
        <f t="shared" si="19"/>
        <v/>
      </c>
      <c r="W71" s="4" t="e">
        <v>#N/A</v>
      </c>
      <c r="X71" s="4" t="str">
        <f>IFERROR(_xll.qlRateHelperQuoteName(W71,Trigger),"")</f>
        <v/>
      </c>
      <c r="Y71" s="75" t="str">
        <f>IFERROR(_xll.qlRateHelperRate(W71,Trigger),"")</f>
        <v/>
      </c>
      <c r="Z71" s="11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3" t="e">
        <v>#N/A</v>
      </c>
    </row>
    <row r="72" spans="1:29" ht="11.25" customHeight="1" x14ac:dyDescent="0.2">
      <c r="A72" s="63" t="s">
        <v>26</v>
      </c>
      <c r="B72" s="64" t="s">
        <v>92</v>
      </c>
      <c r="C72" s="65" t="s">
        <v>6</v>
      </c>
      <c r="D72" s="65" t="s">
        <v>8</v>
      </c>
      <c r="E72" s="65" t="s">
        <v>7</v>
      </c>
      <c r="F72" s="65" t="s">
        <v>28</v>
      </c>
      <c r="G72" s="65" t="str">
        <f t="shared" si="17"/>
        <v>UsdLibor3M</v>
      </c>
      <c r="H72" s="63" t="str">
        <f t="shared" si="18"/>
        <v>USDAM3L20Y_Quote</v>
      </c>
      <c r="I72" s="140">
        <v>0</v>
      </c>
      <c r="J72" s="69" t="str">
        <f>_xll.qlSwapRateHelper2(,H72,,B72,JoinCalendar,USD3M!D72,USD3M!E72,USD3M!F72,USD3M!G72,USD3M!I72,USD3M!C72,Discounting,PillarDate,,Permanent,Trigger,ObjectOverwrite)</f>
        <v>obj_0028c#0006</v>
      </c>
      <c r="L72" s="76" t="str">
        <f t="shared" si="15"/>
        <v>Sw</v>
      </c>
      <c r="M72" s="154" t="str">
        <f t="shared" si="16"/>
        <v>--</v>
      </c>
      <c r="N72" s="162" t="str">
        <f>IFERROR(_xll.qlRateHelperQuoteName(M72,Trigger),"--")</f>
        <v>--</v>
      </c>
      <c r="O72" s="155" t="str">
        <f>IFERROR(_xll.qlRateHelperQuoteValue($M72,Trigger),"--")</f>
        <v>--</v>
      </c>
      <c r="P72" s="154" t="b">
        <v>0</v>
      </c>
      <c r="Q72" s="154">
        <v>50</v>
      </c>
      <c r="R72" s="154">
        <v>1</v>
      </c>
      <c r="S72" s="156" t="str">
        <f>IFERROR(_xll.qlRateHelperEarliestDate(M72,Trigger),"--")</f>
        <v>--</v>
      </c>
      <c r="T72" s="156" t="str">
        <f>IFERROR(_xll.qlRateHelperPillarDate(M72,Trigger),"--")</f>
        <v>--</v>
      </c>
      <c r="V72" s="4" t="str">
        <f t="shared" si="19"/>
        <v/>
      </c>
      <c r="W72" s="4" t="e">
        <v>#N/A</v>
      </c>
      <c r="X72" s="4" t="str">
        <f>IFERROR(_xll.qlRateHelperQuoteName(W72,Trigger),"")</f>
        <v/>
      </c>
      <c r="Y72" s="75" t="str">
        <f>IFERROR(_xll.qlRateHelperRate(W72,Trigger),"")</f>
        <v/>
      </c>
      <c r="Z72" s="11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3" t="e">
        <v>#N/A</v>
      </c>
    </row>
    <row r="73" spans="1:29" ht="11.25" customHeight="1" x14ac:dyDescent="0.2">
      <c r="A73" s="63" t="s">
        <v>26</v>
      </c>
      <c r="B73" s="64" t="s">
        <v>140</v>
      </c>
      <c r="C73" s="65" t="s">
        <v>6</v>
      </c>
      <c r="D73" s="65" t="s">
        <v>8</v>
      </c>
      <c r="E73" s="65" t="s">
        <v>7</v>
      </c>
      <c r="F73" s="65" t="s">
        <v>28</v>
      </c>
      <c r="G73" s="65" t="str">
        <f t="shared" si="17"/>
        <v>UsdLibor3M</v>
      </c>
      <c r="H73" s="63" t="str">
        <f t="shared" si="18"/>
        <v>USDAM3L21Y_Quote</v>
      </c>
      <c r="I73" s="140">
        <v>0</v>
      </c>
      <c r="J73" s="69"/>
      <c r="L73" s="76" t="str">
        <f t="shared" si="15"/>
        <v>Sw</v>
      </c>
      <c r="M73" s="154" t="str">
        <f t="shared" si="16"/>
        <v>--</v>
      </c>
      <c r="N73" s="162" t="str">
        <f>IFERROR(_xll.qlRateHelperQuoteName(M73,Trigger),"--")</f>
        <v>--</v>
      </c>
      <c r="O73" s="155" t="str">
        <f>IFERROR(_xll.qlRateHelperQuoteValue($M73,Trigger),"--")</f>
        <v>--</v>
      </c>
      <c r="P73" s="154" t="b">
        <v>0</v>
      </c>
      <c r="Q73" s="154">
        <v>50</v>
      </c>
      <c r="R73" s="154">
        <v>1</v>
      </c>
      <c r="S73" s="156" t="str">
        <f>IFERROR(_xll.qlRateHelperEarliestDate(M73,Trigger),"--")</f>
        <v>--</v>
      </c>
      <c r="T73" s="156" t="str">
        <f>IFERROR(_xll.qlRateHelperPillarDate(M73,Trigger),"--")</f>
        <v>--</v>
      </c>
      <c r="V73" s="4" t="str">
        <f t="shared" si="19"/>
        <v/>
      </c>
      <c r="W73" s="4" t="e">
        <v>#N/A</v>
      </c>
      <c r="X73" s="4" t="str">
        <f>IFERROR(_xll.qlRateHelperQuoteName(W73,Trigger),"")</f>
        <v/>
      </c>
      <c r="Y73" s="75" t="str">
        <f>IFERROR(_xll.qlRateHelperRate(W73,Trigger),"")</f>
        <v/>
      </c>
      <c r="Z73" s="11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3" t="e">
        <v>#N/A</v>
      </c>
    </row>
    <row r="74" spans="1:29" ht="11.25" customHeight="1" x14ac:dyDescent="0.2">
      <c r="A74" s="63" t="s">
        <v>26</v>
      </c>
      <c r="B74" s="64" t="s">
        <v>141</v>
      </c>
      <c r="C74" s="65" t="s">
        <v>6</v>
      </c>
      <c r="D74" s="65" t="s">
        <v>8</v>
      </c>
      <c r="E74" s="65" t="s">
        <v>7</v>
      </c>
      <c r="F74" s="65" t="s">
        <v>28</v>
      </c>
      <c r="G74" s="65" t="str">
        <f t="shared" si="17"/>
        <v>UsdLibor3M</v>
      </c>
      <c r="H74" s="63" t="str">
        <f t="shared" si="18"/>
        <v>USDAM3L22Y_Quote</v>
      </c>
      <c r="I74" s="140">
        <v>0</v>
      </c>
      <c r="J74" s="69"/>
      <c r="L74" s="76" t="str">
        <f t="shared" si="15"/>
        <v>Sw</v>
      </c>
      <c r="M74" s="154" t="str">
        <f t="shared" si="16"/>
        <v>--</v>
      </c>
      <c r="N74" s="162" t="str">
        <f>IFERROR(_xll.qlRateHelperQuoteName(M74,Trigger),"--")</f>
        <v>--</v>
      </c>
      <c r="O74" s="155" t="str">
        <f>IFERROR(_xll.qlRateHelperQuoteValue($M74,Trigger),"--")</f>
        <v>--</v>
      </c>
      <c r="P74" s="154" t="b">
        <v>0</v>
      </c>
      <c r="Q74" s="154">
        <v>50</v>
      </c>
      <c r="R74" s="154">
        <v>1</v>
      </c>
      <c r="S74" s="156" t="str">
        <f>IFERROR(_xll.qlRateHelperEarliestDate(M74,Trigger),"--")</f>
        <v>--</v>
      </c>
      <c r="T74" s="156" t="str">
        <f>IFERROR(_xll.qlRateHelperPillarDate(M74,Trigger),"--")</f>
        <v>--</v>
      </c>
      <c r="V74" s="4" t="str">
        <f t="shared" si="19"/>
        <v/>
      </c>
      <c r="W74" s="4" t="e">
        <v>#N/A</v>
      </c>
      <c r="X74" s="4" t="str">
        <f>IFERROR(_xll.qlRateHelperQuoteName(W74,Trigger),"")</f>
        <v/>
      </c>
      <c r="Y74" s="75" t="str">
        <f>IFERROR(_xll.qlRateHelperRate(W74,Trigger),"")</f>
        <v/>
      </c>
      <c r="Z74" s="11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3" t="e">
        <v>#N/A</v>
      </c>
    </row>
    <row r="75" spans="1:29" ht="11.25" customHeight="1" x14ac:dyDescent="0.2">
      <c r="A75" s="63" t="s">
        <v>26</v>
      </c>
      <c r="B75" s="64" t="s">
        <v>142</v>
      </c>
      <c r="C75" s="65" t="s">
        <v>6</v>
      </c>
      <c r="D75" s="65" t="s">
        <v>8</v>
      </c>
      <c r="E75" s="65" t="s">
        <v>7</v>
      </c>
      <c r="F75" s="65" t="s">
        <v>28</v>
      </c>
      <c r="G75" s="65" t="str">
        <f t="shared" si="17"/>
        <v>UsdLibor3M</v>
      </c>
      <c r="H75" s="63" t="str">
        <f t="shared" si="18"/>
        <v>USDAM3L23Y_Quote</v>
      </c>
      <c r="I75" s="140">
        <v>0</v>
      </c>
      <c r="J75" s="69"/>
      <c r="L75" s="76" t="str">
        <f t="shared" si="15"/>
        <v>Sw</v>
      </c>
      <c r="M75" s="154" t="str">
        <f t="shared" si="16"/>
        <v>--</v>
      </c>
      <c r="N75" s="162" t="str">
        <f>IFERROR(_xll.qlRateHelperQuoteName(M75,Trigger),"--")</f>
        <v>--</v>
      </c>
      <c r="O75" s="155" t="str">
        <f>IFERROR(_xll.qlRateHelperQuoteValue($M75,Trigger),"--")</f>
        <v>--</v>
      </c>
      <c r="P75" s="154" t="b">
        <v>0</v>
      </c>
      <c r="Q75" s="154">
        <v>50</v>
      </c>
      <c r="R75" s="154">
        <v>1</v>
      </c>
      <c r="S75" s="156" t="str">
        <f>IFERROR(_xll.qlRateHelperEarliestDate(M75,Trigger),"--")</f>
        <v>--</v>
      </c>
      <c r="T75" s="156" t="str">
        <f>IFERROR(_xll.qlRateHelperPillarDate(M75,Trigger),"--")</f>
        <v>--</v>
      </c>
      <c r="V75" s="4" t="str">
        <f t="shared" si="19"/>
        <v/>
      </c>
      <c r="W75" s="4" t="e">
        <v>#N/A</v>
      </c>
      <c r="X75" s="4" t="str">
        <f>IFERROR(_xll.qlRateHelperQuoteName(W75,Trigger),"")</f>
        <v/>
      </c>
      <c r="Y75" s="75" t="str">
        <f>IFERROR(_xll.qlRateHelperRate(W75,Trigger),"")</f>
        <v/>
      </c>
      <c r="Z75" s="11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3" t="e">
        <v>#N/A</v>
      </c>
    </row>
    <row r="76" spans="1:29" ht="11.25" customHeight="1" x14ac:dyDescent="0.2">
      <c r="A76" s="63" t="s">
        <v>26</v>
      </c>
      <c r="B76" s="64" t="s">
        <v>143</v>
      </c>
      <c r="C76" s="65" t="s">
        <v>6</v>
      </c>
      <c r="D76" s="65" t="s">
        <v>8</v>
      </c>
      <c r="E76" s="65" t="s">
        <v>7</v>
      </c>
      <c r="F76" s="65" t="s">
        <v>28</v>
      </c>
      <c r="G76" s="65" t="str">
        <f t="shared" si="17"/>
        <v>UsdLibor3M</v>
      </c>
      <c r="H76" s="63" t="str">
        <f t="shared" si="18"/>
        <v>USDAM3L24Y_Quote</v>
      </c>
      <c r="I76" s="140">
        <v>0</v>
      </c>
      <c r="J76" s="69"/>
      <c r="L76" s="76" t="str">
        <f t="shared" si="15"/>
        <v>Sw</v>
      </c>
      <c r="M76" s="154" t="str">
        <f t="shared" si="16"/>
        <v>obj_002e9#0006</v>
      </c>
      <c r="N76" s="162" t="str">
        <f>IFERROR(_xll.qlRateHelperQuoteName(M76,Trigger),"--")</f>
        <v>USDAM3L30Y_Quote</v>
      </c>
      <c r="O76" s="155">
        <f>IFERROR(_xll.qlRateHelperQuoteValue($M76,Trigger),"--")</f>
        <v>2.078E-2</v>
      </c>
      <c r="P76" s="154" t="b">
        <v>1</v>
      </c>
      <c r="Q76" s="154">
        <v>50</v>
      </c>
      <c r="R76" s="154">
        <v>1</v>
      </c>
      <c r="S76" s="156">
        <f>IFERROR(_xll.qlRateHelperEarliestDate(M76,Trigger),"--")</f>
        <v>42482</v>
      </c>
      <c r="T76" s="156">
        <f>IFERROR(_xll.qlRateHelperPillarDate(M76,Trigger),"--")</f>
        <v>53440</v>
      </c>
      <c r="V76" s="4" t="str">
        <f t="shared" si="19"/>
        <v/>
      </c>
      <c r="W76" s="4" t="e">
        <v>#N/A</v>
      </c>
      <c r="X76" s="4" t="str">
        <f>IFERROR(_xll.qlRateHelperQuoteName(W76,Trigger),"")</f>
        <v/>
      </c>
      <c r="Y76" s="75" t="str">
        <f>IFERROR(_xll.qlRateHelperRate(W76,Trigger),"")</f>
        <v/>
      </c>
      <c r="Z76" s="11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3" t="e">
        <v>#N/A</v>
      </c>
    </row>
    <row r="77" spans="1:29" ht="11.25" customHeight="1" x14ac:dyDescent="0.2">
      <c r="A77" s="63" t="s">
        <v>26</v>
      </c>
      <c r="B77" s="64" t="s">
        <v>93</v>
      </c>
      <c r="C77" s="65" t="s">
        <v>6</v>
      </c>
      <c r="D77" s="65" t="s">
        <v>8</v>
      </c>
      <c r="E77" s="65" t="s">
        <v>7</v>
      </c>
      <c r="F77" s="65" t="s">
        <v>28</v>
      </c>
      <c r="G77" s="65" t="str">
        <f t="shared" si="17"/>
        <v>UsdLibor3M</v>
      </c>
      <c r="H77" s="63" t="str">
        <f t="shared" si="18"/>
        <v>USDAM3L25Y_Quote</v>
      </c>
      <c r="I77" s="140">
        <v>0</v>
      </c>
      <c r="J77" s="69" t="str">
        <f>_xll.qlSwapRateHelper2(,H77,,B77,JoinCalendar,USD3M!D77,USD3M!E77,USD3M!F77,USD3M!G77,USD3M!I77,USD3M!C77,Discounting,PillarDate,,Permanent,Trigger,ObjectOverwrite)</f>
        <v>obj_0030e#0006</v>
      </c>
      <c r="L77" s="76" t="str">
        <f t="shared" si="15"/>
        <v>Sw</v>
      </c>
      <c r="M77" s="154" t="str">
        <f t="shared" si="16"/>
        <v>--</v>
      </c>
      <c r="N77" s="162" t="str">
        <f>IFERROR(_xll.qlRateHelperQuoteName(M77,Trigger),"--")</f>
        <v>--</v>
      </c>
      <c r="O77" s="155" t="str">
        <f>IFERROR(_xll.qlRateHelperQuoteValue($M77,Trigger),"--")</f>
        <v>--</v>
      </c>
      <c r="P77" s="154" t="b">
        <v>0</v>
      </c>
      <c r="Q77" s="154">
        <v>50</v>
      </c>
      <c r="R77" s="154">
        <v>1</v>
      </c>
      <c r="S77" s="156" t="str">
        <f>IFERROR(_xll.qlRateHelperEarliestDate(M77,Trigger),"--")</f>
        <v>--</v>
      </c>
      <c r="T77" s="156" t="str">
        <f>IFERROR(_xll.qlRateHelperPillarDate(M77,Trigger),"--")</f>
        <v>--</v>
      </c>
      <c r="V77" s="4" t="str">
        <f t="shared" si="19"/>
        <v/>
      </c>
      <c r="W77" s="4" t="e">
        <v>#N/A</v>
      </c>
      <c r="X77" s="4" t="str">
        <f>IFERROR(_xll.qlRateHelperQuoteName(W77,Trigger),"")</f>
        <v/>
      </c>
      <c r="Y77" s="75" t="str">
        <f>IFERROR(_xll.qlRateHelperRate(W77,Trigger),"")</f>
        <v/>
      </c>
      <c r="Z77" s="11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3" t="e">
        <v>#N/A</v>
      </c>
    </row>
    <row r="78" spans="1:29" ht="11.25" customHeight="1" x14ac:dyDescent="0.2">
      <c r="A78" s="63" t="s">
        <v>26</v>
      </c>
      <c r="B78" s="64" t="s">
        <v>144</v>
      </c>
      <c r="C78" s="65" t="s">
        <v>6</v>
      </c>
      <c r="D78" s="65" t="s">
        <v>8</v>
      </c>
      <c r="E78" s="65" t="s">
        <v>7</v>
      </c>
      <c r="F78" s="65" t="s">
        <v>28</v>
      </c>
      <c r="G78" s="65" t="str">
        <f t="shared" si="17"/>
        <v>UsdLibor3M</v>
      </c>
      <c r="H78" s="63" t="str">
        <f t="shared" si="18"/>
        <v>USDAM3L26Y_Quote</v>
      </c>
      <c r="I78" s="140">
        <v>0</v>
      </c>
      <c r="J78" s="69"/>
      <c r="L78" s="76" t="str">
        <f t="shared" si="15"/>
        <v>Sw</v>
      </c>
      <c r="M78" s="154" t="str">
        <f t="shared" si="16"/>
        <v>obj_00286#0006</v>
      </c>
      <c r="N78" s="162" t="str">
        <f>IFERROR(_xll.qlRateHelperQuoteName(M78,Trigger),"--")</f>
        <v>USDAM3L40Y_Quote</v>
      </c>
      <c r="O78" s="155">
        <f>IFERROR(_xll.qlRateHelperQuoteValue($M78,Trigger),"--")</f>
        <v>2.094E-2</v>
      </c>
      <c r="P78" s="174" t="b">
        <f>NOT(ISERROR(_xll.qlQuoteValue(N78)))</f>
        <v>1</v>
      </c>
      <c r="Q78" s="154">
        <v>50</v>
      </c>
      <c r="R78" s="154">
        <v>1</v>
      </c>
      <c r="S78" s="156">
        <f>IFERROR(_xll.qlRateHelperEarliestDate(M78,Trigger),"--")</f>
        <v>42482</v>
      </c>
      <c r="T78" s="156">
        <f>IFERROR(_xll.qlRateHelperPillarDate(M78,Trigger),"--")</f>
        <v>57094</v>
      </c>
      <c r="V78" s="4" t="str">
        <f t="shared" si="19"/>
        <v/>
      </c>
      <c r="W78" s="4" t="e">
        <v>#N/A</v>
      </c>
      <c r="X78" s="4" t="str">
        <f>IFERROR(_xll.qlRateHelperQuoteName(W78,Trigger),"")</f>
        <v/>
      </c>
      <c r="Y78" s="75" t="str">
        <f>IFERROR(_xll.qlRateHelperRate(W78,Trigger),"")</f>
        <v/>
      </c>
      <c r="Z78" s="11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3" t="e">
        <v>#N/A</v>
      </c>
    </row>
    <row r="79" spans="1:29" ht="11.25" customHeight="1" x14ac:dyDescent="0.2">
      <c r="A79" s="63" t="s">
        <v>26</v>
      </c>
      <c r="B79" s="64" t="s">
        <v>94</v>
      </c>
      <c r="C79" s="65" t="s">
        <v>6</v>
      </c>
      <c r="D79" s="65" t="s">
        <v>8</v>
      </c>
      <c r="E79" s="65" t="s">
        <v>7</v>
      </c>
      <c r="F79" s="65" t="s">
        <v>28</v>
      </c>
      <c r="G79" s="65" t="str">
        <f t="shared" si="17"/>
        <v>UsdLibor3M</v>
      </c>
      <c r="H79" s="63" t="str">
        <f t="shared" si="18"/>
        <v>USDAM3L27Y_Quote</v>
      </c>
      <c r="I79" s="140">
        <v>0</v>
      </c>
      <c r="J79" s="69"/>
      <c r="L79" s="76" t="str">
        <f t="shared" si="15"/>
        <v>Sw</v>
      </c>
      <c r="M79" s="154" t="str">
        <f t="shared" si="16"/>
        <v>--</v>
      </c>
      <c r="N79" s="162" t="str">
        <f>IFERROR(_xll.qlRateHelperQuoteName(M79,Trigger),"--")</f>
        <v>--</v>
      </c>
      <c r="O79" s="155" t="str">
        <f>IFERROR(_xll.qlRateHelperQuoteValue($M79,Trigger),"--")</f>
        <v>--</v>
      </c>
      <c r="P79" s="154" t="b">
        <v>0</v>
      </c>
      <c r="Q79" s="154">
        <v>50</v>
      </c>
      <c r="R79" s="154">
        <v>1</v>
      </c>
      <c r="S79" s="156" t="str">
        <f>IFERROR(_xll.qlRateHelperEarliestDate(M79,Trigger),"--")</f>
        <v>--</v>
      </c>
      <c r="T79" s="156" t="str">
        <f>IFERROR(_xll.qlRateHelperPillarDate(M79,Trigger),"--")</f>
        <v>--</v>
      </c>
      <c r="V79" s="4" t="str">
        <f t="shared" si="19"/>
        <v/>
      </c>
      <c r="W79" s="4" t="e">
        <v>#N/A</v>
      </c>
      <c r="X79" s="4" t="str">
        <f>IFERROR(_xll.qlRateHelperQuoteName(W79,Trigger),"")</f>
        <v/>
      </c>
      <c r="Y79" s="75" t="str">
        <f>IFERROR(_xll.qlRateHelperRate(W79,Trigger),"")</f>
        <v/>
      </c>
      <c r="Z79" s="115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3" t="e">
        <v>#N/A</v>
      </c>
    </row>
    <row r="80" spans="1:29" ht="11.25" customHeight="1" x14ac:dyDescent="0.2">
      <c r="A80" s="63" t="s">
        <v>26</v>
      </c>
      <c r="B80" s="64" t="s">
        <v>145</v>
      </c>
      <c r="C80" s="65" t="s">
        <v>6</v>
      </c>
      <c r="D80" s="65" t="s">
        <v>8</v>
      </c>
      <c r="E80" s="65" t="s">
        <v>7</v>
      </c>
      <c r="F80" s="65" t="s">
        <v>28</v>
      </c>
      <c r="G80" s="65" t="str">
        <f t="shared" si="17"/>
        <v>UsdLibor3M</v>
      </c>
      <c r="H80" s="63" t="str">
        <f t="shared" si="18"/>
        <v>USDAM3L28Y_Quote</v>
      </c>
      <c r="I80" s="140">
        <v>0</v>
      </c>
      <c r="J80" s="69"/>
      <c r="L80" s="76" t="str">
        <f t="shared" si="15"/>
        <v>Sw</v>
      </c>
      <c r="M80" s="154" t="str">
        <f t="shared" si="16"/>
        <v>obj_002e6#0006</v>
      </c>
      <c r="N80" s="162" t="str">
        <f>IFERROR(_xll.qlRateHelperQuoteName(M80,Trigger),"--")</f>
        <v>USDAM3L50Y_Quote</v>
      </c>
      <c r="O80" s="155">
        <f>IFERROR(_xll.qlRateHelperQuoteValue($M80,Trigger),"--")</f>
        <v>2.0819999999999998E-2</v>
      </c>
      <c r="P80" s="174" t="b">
        <f>NOT(ISERROR(_xll.qlQuoteValue(N80)))</f>
        <v>1</v>
      </c>
      <c r="Q80" s="154">
        <v>50</v>
      </c>
      <c r="R80" s="154">
        <v>1</v>
      </c>
      <c r="S80" s="156">
        <f>IFERROR(_xll.qlRateHelperEarliestDate(M80,Trigger),"--")</f>
        <v>42482</v>
      </c>
      <c r="T80" s="156">
        <f>IFERROR(_xll.qlRateHelperPillarDate(M80,Trigger),"--")</f>
        <v>60744</v>
      </c>
      <c r="V80" s="4" t="str">
        <f t="shared" si="19"/>
        <v/>
      </c>
      <c r="W80" s="4" t="e">
        <v>#N/A</v>
      </c>
      <c r="X80" s="4" t="str">
        <f>IFERROR(_xll.qlRateHelperQuoteName(W80,Trigger),"")</f>
        <v/>
      </c>
      <c r="Y80" s="75" t="str">
        <f>IFERROR(_xll.qlRateHelperRate(W80,Trigger),"")</f>
        <v/>
      </c>
      <c r="Z80" s="115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3" t="e">
        <v>#N/A</v>
      </c>
    </row>
    <row r="81" spans="1:29" x14ac:dyDescent="0.2">
      <c r="A81" s="63" t="s">
        <v>26</v>
      </c>
      <c r="B81" s="64" t="s">
        <v>146</v>
      </c>
      <c r="C81" s="65" t="s">
        <v>6</v>
      </c>
      <c r="D81" s="65" t="s">
        <v>8</v>
      </c>
      <c r="E81" s="65" t="s">
        <v>7</v>
      </c>
      <c r="F81" s="65" t="s">
        <v>28</v>
      </c>
      <c r="G81" s="65" t="str">
        <f t="shared" si="17"/>
        <v>UsdLibor3M</v>
      </c>
      <c r="H81" s="63" t="str">
        <f t="shared" si="18"/>
        <v>USDAM3L29Y_Quote</v>
      </c>
      <c r="I81" s="140">
        <v>0</v>
      </c>
      <c r="J81" s="69"/>
      <c r="L81" s="77" t="str">
        <f t="shared" si="15"/>
        <v>Sw</v>
      </c>
      <c r="M81" s="157" t="str">
        <f t="shared" si="16"/>
        <v>obj_00300#0006</v>
      </c>
      <c r="N81" s="162" t="str">
        <f>IFERROR(_xll.qlRateHelperQuoteName(M81,Trigger),"--")</f>
        <v>USDAM3L60Y_Quote</v>
      </c>
      <c r="O81" s="168" t="str">
        <f>IFERROR(_xll.qlRateHelperQuoteValue($M81,Trigger),"--")</f>
        <v>--</v>
      </c>
      <c r="P81" s="157" t="b">
        <v>0</v>
      </c>
      <c r="Q81" s="157">
        <v>50</v>
      </c>
      <c r="R81" s="157">
        <v>1</v>
      </c>
      <c r="S81" s="156">
        <f>IFERROR(_xll.qlRateHelperEarliestDate(M81,Trigger),"--")</f>
        <v>42482</v>
      </c>
      <c r="T81" s="156">
        <f>IFERROR(_xll.qlRateHelperPillarDate(M81,Trigger),"--")</f>
        <v>64397</v>
      </c>
      <c r="V81" s="4" t="str">
        <f t="shared" si="19"/>
        <v/>
      </c>
      <c r="W81" s="4" t="e">
        <v>#N/A</v>
      </c>
      <c r="X81" s="4" t="str">
        <f>IFERROR(_xll.qlRateHelperQuoteName(W81,Trigger),"")</f>
        <v/>
      </c>
      <c r="Y81" s="75" t="str">
        <f>IFERROR(_xll.qlRateHelperRate(W81,Trigger),"")</f>
        <v/>
      </c>
      <c r="Z81" s="115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3" t="e">
        <v>#N/A</v>
      </c>
    </row>
    <row r="82" spans="1:29" x14ac:dyDescent="0.2">
      <c r="A82" s="63" t="s">
        <v>26</v>
      </c>
      <c r="B82" s="64" t="s">
        <v>95</v>
      </c>
      <c r="C82" s="65" t="s">
        <v>6</v>
      </c>
      <c r="D82" s="65" t="s">
        <v>8</v>
      </c>
      <c r="E82" s="65" t="s">
        <v>7</v>
      </c>
      <c r="F82" s="65" t="s">
        <v>28</v>
      </c>
      <c r="G82" s="65" t="str">
        <f t="shared" si="17"/>
        <v>UsdLibor3M</v>
      </c>
      <c r="H82" s="63" t="str">
        <f t="shared" si="18"/>
        <v>USDAM3L30Y_Quote</v>
      </c>
      <c r="I82" s="140">
        <v>0</v>
      </c>
      <c r="J82" s="69" t="str">
        <f>_xll.qlSwapRateHelper2(,H82,,B82,JoinCalendar,USD3M!D82,USD3M!E82,USD3M!F82,USD3M!G82,USD3M!I82,USD3M!C82,Discounting,PillarDate,,Permanent,Trigger,ObjectOverwrite)</f>
        <v>obj_002e9#0006</v>
      </c>
      <c r="L82" s="148" t="str">
        <f>A90</f>
        <v>Sw</v>
      </c>
      <c r="M82" s="150" t="str">
        <f>IF(ISBLANK(J90),"--",J90)</f>
        <v>qlSwapRateHelper2(,H90,,B90&amp;"M",JoinCalendar,USD3M!D90,USD3M!E90,USD3M!F90,USD3M!G90,USD3M!I90,USD3M!C90,Discounting,PillarDate,,Permanent,Trigger,ObjectOverwrite)</v>
      </c>
      <c r="N82" s="161" t="str">
        <f>IFERROR(_xll.qlRateHelperQuoteName(M82,Trigger),"--")</f>
        <v>--</v>
      </c>
      <c r="O82" s="151" t="str">
        <f>IFERROR(_xll.qlRateHelperQuoteValue($M82,Trigger),"--")</f>
        <v>--</v>
      </c>
      <c r="P82" s="150" t="b">
        <v>0</v>
      </c>
      <c r="Q82" s="150">
        <v>40</v>
      </c>
      <c r="R82" s="150">
        <v>1</v>
      </c>
      <c r="S82" s="152" t="str">
        <f>IFERROR(_xll.qlRateHelperEarliestDate(M82,Trigger),"--")</f>
        <v>--</v>
      </c>
      <c r="T82" s="152" t="str">
        <f>IFERROR(_xll.qlRateHelperPillarDate(M82,Trigger),"--")</f>
        <v>--</v>
      </c>
      <c r="V82" s="4" t="str">
        <f t="shared" si="19"/>
        <v/>
      </c>
      <c r="W82" s="4" t="e">
        <v>#N/A</v>
      </c>
      <c r="X82" s="4" t="str">
        <f>IFERROR(_xll.qlRateHelperQuoteName(W82,Trigger),"")</f>
        <v/>
      </c>
      <c r="Y82" s="75" t="str">
        <f>IFERROR(_xll.qlRateHelperRate(W82,Trigger),"")</f>
        <v/>
      </c>
      <c r="Z82" s="115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3" t="e">
        <v>#N/A</v>
      </c>
    </row>
    <row r="83" spans="1:29" x14ac:dyDescent="0.2">
      <c r="A83" s="63" t="s">
        <v>26</v>
      </c>
      <c r="B83" s="64" t="s">
        <v>96</v>
      </c>
      <c r="C83" s="65" t="s">
        <v>6</v>
      </c>
      <c r="D83" s="65" t="s">
        <v>8</v>
      </c>
      <c r="E83" s="65" t="s">
        <v>7</v>
      </c>
      <c r="F83" s="65" t="s">
        <v>28</v>
      </c>
      <c r="G83" s="65" t="str">
        <f t="shared" si="17"/>
        <v>UsdLibor3M</v>
      </c>
      <c r="H83" s="63" t="str">
        <f t="shared" si="18"/>
        <v>USDAM3L35Y_Quote</v>
      </c>
      <c r="I83" s="140">
        <v>0</v>
      </c>
      <c r="J83" s="69"/>
      <c r="L83" s="76" t="str">
        <f t="shared" ref="L83:L88" si="20">A91</f>
        <v>Sw</v>
      </c>
      <c r="M83" s="154" t="str">
        <f t="shared" ref="M83:M88" si="21">IF(ISBLANK(J91),"--",J91)</f>
        <v>--</v>
      </c>
      <c r="N83" s="162" t="str">
        <f>IFERROR(_xll.qlRateHelperQuoteName(M83,Trigger),"--")</f>
        <v>--</v>
      </c>
      <c r="O83" s="155" t="str">
        <f>IFERROR(_xll.qlRateHelperQuoteValue($M83,Trigger),"--")</f>
        <v>--</v>
      </c>
      <c r="P83" s="154" t="b">
        <v>0</v>
      </c>
      <c r="Q83" s="154">
        <v>40</v>
      </c>
      <c r="R83" s="154">
        <v>1</v>
      </c>
      <c r="S83" s="156" t="str">
        <f>IFERROR(_xll.qlRateHelperEarliestDate(M83,Trigger),"--")</f>
        <v>--</v>
      </c>
      <c r="T83" s="156" t="str">
        <f>IFERROR(_xll.qlRateHelperPillarDate(M83,Trigger),"--")</f>
        <v>--</v>
      </c>
      <c r="V83" s="4" t="str">
        <f t="shared" si="19"/>
        <v/>
      </c>
      <c r="W83" s="4" t="e">
        <v>#N/A</v>
      </c>
      <c r="X83" s="4" t="str">
        <f>IFERROR(_xll.qlRateHelperQuoteName(W83,Trigger),"")</f>
        <v/>
      </c>
      <c r="Y83" s="75" t="str">
        <f>IFERROR(_xll.qlRateHelperRate(W83,Trigger),"")</f>
        <v/>
      </c>
      <c r="Z83" s="115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3" t="e">
        <v>#N/A</v>
      </c>
    </row>
    <row r="84" spans="1:29" x14ac:dyDescent="0.2">
      <c r="A84" s="63" t="s">
        <v>26</v>
      </c>
      <c r="B84" s="64" t="s">
        <v>97</v>
      </c>
      <c r="C84" s="65" t="s">
        <v>6</v>
      </c>
      <c r="D84" s="65" t="s">
        <v>8</v>
      </c>
      <c r="E84" s="65" t="s">
        <v>7</v>
      </c>
      <c r="F84" s="65" t="s">
        <v>28</v>
      </c>
      <c r="G84" s="65" t="str">
        <f t="shared" si="17"/>
        <v>UsdLibor3M</v>
      </c>
      <c r="H84" s="63" t="str">
        <f t="shared" si="18"/>
        <v>USDAM3L40Y_Quote</v>
      </c>
      <c r="I84" s="138">
        <v>0</v>
      </c>
      <c r="J84" s="69" t="str">
        <f>_xll.qlSwapRateHelper2(,H84,,B84,JoinCalendar,USD3M!D84,USD3M!E84,USD3M!F84,USD3M!G84,USD3M!I84,USD3M!C84,Discounting,PillarDate,,Permanent,Trigger,ObjectOverwrite)</f>
        <v>obj_00286#0006</v>
      </c>
      <c r="L84" s="76" t="str">
        <f t="shared" si="20"/>
        <v>Sw</v>
      </c>
      <c r="M84" s="154" t="str">
        <f t="shared" si="21"/>
        <v>--</v>
      </c>
      <c r="N84" s="162" t="str">
        <f>IFERROR(_xll.qlRateHelperQuoteName(M84,Trigger),"--")</f>
        <v>--</v>
      </c>
      <c r="O84" s="155" t="str">
        <f>IFERROR(_xll.qlRateHelperQuoteValue($M84,Trigger),"--")</f>
        <v>--</v>
      </c>
      <c r="P84" s="154" t="b">
        <v>0</v>
      </c>
      <c r="Q84" s="154">
        <v>40</v>
      </c>
      <c r="R84" s="154">
        <v>1</v>
      </c>
      <c r="S84" s="156" t="str">
        <f>IFERROR(_xll.qlRateHelperEarliestDate(M84,Trigger),"--")</f>
        <v>--</v>
      </c>
      <c r="T84" s="156" t="str">
        <f>IFERROR(_xll.qlRateHelperPillarDate(M84,Trigger),"--")</f>
        <v>--</v>
      </c>
      <c r="V84" s="4" t="str">
        <f t="shared" si="19"/>
        <v/>
      </c>
      <c r="W84" s="4" t="e">
        <v>#N/A</v>
      </c>
      <c r="X84" s="4" t="str">
        <f>IFERROR(_xll.qlRateHelperQuoteName(W84,Trigger),"")</f>
        <v/>
      </c>
      <c r="Y84" s="75" t="str">
        <f>IFERROR(_xll.qlRateHelperRate(W84,Trigger),"")</f>
        <v/>
      </c>
      <c r="Z84" s="115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3" t="e">
        <v>#N/A</v>
      </c>
    </row>
    <row r="85" spans="1:29" x14ac:dyDescent="0.2">
      <c r="A85" s="63" t="s">
        <v>26</v>
      </c>
      <c r="B85" s="64" t="s">
        <v>98</v>
      </c>
      <c r="C85" s="65" t="s">
        <v>6</v>
      </c>
      <c r="D85" s="65" t="s">
        <v>8</v>
      </c>
      <c r="E85" s="65" t="s">
        <v>7</v>
      </c>
      <c r="F85" s="65" t="s">
        <v>28</v>
      </c>
      <c r="G85" s="65" t="str">
        <f t="shared" si="17"/>
        <v>UsdLibor3M</v>
      </c>
      <c r="H85" s="63" t="str">
        <f t="shared" si="18"/>
        <v>USDAM3L45Y_Quote</v>
      </c>
      <c r="I85" s="138">
        <v>0</v>
      </c>
      <c r="J85" s="69"/>
      <c r="L85" s="76" t="str">
        <f t="shared" si="20"/>
        <v>Sw</v>
      </c>
      <c r="M85" s="154" t="str">
        <f t="shared" si="21"/>
        <v>--</v>
      </c>
      <c r="N85" s="162" t="str">
        <f>IFERROR(_xll.qlRateHelperQuoteName(M85,Trigger),"--")</f>
        <v>--</v>
      </c>
      <c r="O85" s="155" t="str">
        <f>IFERROR(_xll.qlRateHelperQuoteValue($M85,Trigger),"--")</f>
        <v>--</v>
      </c>
      <c r="P85" s="154" t="b">
        <v>0</v>
      </c>
      <c r="Q85" s="154">
        <v>40</v>
      </c>
      <c r="R85" s="154">
        <v>1</v>
      </c>
      <c r="S85" s="156" t="str">
        <f>IFERROR(_xll.qlRateHelperEarliestDate(M85,Trigger),"--")</f>
        <v>--</v>
      </c>
      <c r="T85" s="156" t="str">
        <f>IFERROR(_xll.qlRateHelperPillarDate(M85,Trigger),"--")</f>
        <v>--</v>
      </c>
      <c r="V85" s="4" t="str">
        <f t="shared" si="19"/>
        <v/>
      </c>
      <c r="W85" s="4" t="e">
        <v>#N/A</v>
      </c>
      <c r="X85" s="4" t="str">
        <f>IFERROR(_xll.qlRateHelperQuoteName(W85,Trigger),"")</f>
        <v/>
      </c>
      <c r="Y85" s="75" t="str">
        <f>IFERROR(_xll.qlRateHelperRate(W85,Trigger),"")</f>
        <v/>
      </c>
      <c r="Z85" s="115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3" t="e">
        <v>#N/A</v>
      </c>
    </row>
    <row r="86" spans="1:29" x14ac:dyDescent="0.2">
      <c r="A86" s="63" t="s">
        <v>26</v>
      </c>
      <c r="B86" s="64" t="s">
        <v>99</v>
      </c>
      <c r="C86" s="65" t="s">
        <v>6</v>
      </c>
      <c r="D86" s="65" t="s">
        <v>8</v>
      </c>
      <c r="E86" s="65" t="s">
        <v>7</v>
      </c>
      <c r="F86" s="65" t="s">
        <v>28</v>
      </c>
      <c r="G86" s="65" t="str">
        <f t="shared" si="17"/>
        <v>UsdLibor3M</v>
      </c>
      <c r="H86" s="63" t="str">
        <f t="shared" si="18"/>
        <v>USDAM3L50Y_Quote</v>
      </c>
      <c r="I86" s="138">
        <v>0</v>
      </c>
      <c r="J86" s="69" t="str">
        <f>_xll.qlSwapRateHelper2(,H86,,B86,JoinCalendar,USD3M!D86,USD3M!E86,USD3M!F86,USD3M!G86,USD3M!I86,USD3M!C86,Discounting,PillarDate,,Permanent,Trigger,ObjectOverwrite)</f>
        <v>obj_002e6#0006</v>
      </c>
      <c r="L86" s="76" t="str">
        <f t="shared" si="20"/>
        <v>Sw</v>
      </c>
      <c r="M86" s="154" t="str">
        <f t="shared" si="21"/>
        <v>--</v>
      </c>
      <c r="N86" s="162" t="str">
        <f>IFERROR(_xll.qlRateHelperQuoteName(M86,Trigger),"--")</f>
        <v>--</v>
      </c>
      <c r="O86" s="155" t="str">
        <f>IFERROR(_xll.qlRateHelperQuoteValue($M86,Trigger),"--")</f>
        <v>--</v>
      </c>
      <c r="P86" s="154" t="b">
        <v>0</v>
      </c>
      <c r="Q86" s="154">
        <v>40</v>
      </c>
      <c r="R86" s="154">
        <v>1</v>
      </c>
      <c r="S86" s="156" t="str">
        <f>IFERROR(_xll.qlRateHelperEarliestDate(M86,Trigger),"--")</f>
        <v>--</v>
      </c>
      <c r="T86" s="156" t="str">
        <f>IFERROR(_xll.qlRateHelperPillarDate(M86,Trigger),"--")</f>
        <v>--</v>
      </c>
      <c r="V86" s="4" t="str">
        <f t="shared" si="19"/>
        <v/>
      </c>
      <c r="W86" s="4" t="e">
        <v>#N/A</v>
      </c>
      <c r="X86" s="4" t="str">
        <f>IFERROR(_xll.qlRateHelperQuoteName(W86,Trigger),"")</f>
        <v/>
      </c>
      <c r="Y86" s="75" t="str">
        <f>IFERROR(_xll.qlRateHelperRate(W86,Trigger),"")</f>
        <v/>
      </c>
      <c r="Z86" s="115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3" t="e">
        <v>#N/A</v>
      </c>
    </row>
    <row r="87" spans="1:29" x14ac:dyDescent="0.2">
      <c r="A87" s="1" t="s">
        <v>26</v>
      </c>
      <c r="B87" s="9" t="s">
        <v>147</v>
      </c>
      <c r="C87" s="7" t="s">
        <v>6</v>
      </c>
      <c r="D87" s="7" t="s">
        <v>8</v>
      </c>
      <c r="E87" s="7" t="s">
        <v>7</v>
      </c>
      <c r="F87" s="7" t="s">
        <v>28</v>
      </c>
      <c r="G87" s="7" t="str">
        <f t="shared" si="17"/>
        <v>UsdLibor3M</v>
      </c>
      <c r="H87" s="1" t="str">
        <f t="shared" si="18"/>
        <v>USDAM3L60Y_Quote</v>
      </c>
      <c r="I87" s="141">
        <v>0</v>
      </c>
      <c r="J87" s="3" t="str">
        <f>_xll.qlSwapRateHelper2(,H87,,B87,JoinCalendar,USD3M!D87,USD3M!E87,USD3M!F87,USD3M!G87,USD3M!I87,USD3M!C87,Discounting,PillarDate,,Permanent,Trigger,ObjectOverwrite)</f>
        <v>obj_00300#0006</v>
      </c>
      <c r="L87" s="76" t="str">
        <f t="shared" si="20"/>
        <v>Sw</v>
      </c>
      <c r="M87" s="154" t="str">
        <f t="shared" si="21"/>
        <v>--</v>
      </c>
      <c r="N87" s="162" t="str">
        <f>IFERROR(_xll.qlRateHelperQuoteName(M87,Trigger),"--")</f>
        <v>--</v>
      </c>
      <c r="O87" s="155" t="str">
        <f>IFERROR(_xll.qlRateHelperQuoteValue($M87,Trigger),"--")</f>
        <v>--</v>
      </c>
      <c r="P87" s="154" t="b">
        <v>0</v>
      </c>
      <c r="Q87" s="154">
        <v>40</v>
      </c>
      <c r="R87" s="154">
        <v>1</v>
      </c>
      <c r="S87" s="156" t="str">
        <f>IFERROR(_xll.qlRateHelperEarliestDate(M87,Trigger),"--")</f>
        <v>--</v>
      </c>
      <c r="T87" s="156" t="str">
        <f>IFERROR(_xll.qlRateHelperPillarDate(M87,Trigger),"--")</f>
        <v>--</v>
      </c>
      <c r="V87" s="4" t="str">
        <f t="shared" si="19"/>
        <v/>
      </c>
      <c r="W87" s="4" t="e">
        <v>#N/A</v>
      </c>
      <c r="X87" s="4" t="str">
        <f>IFERROR(_xll.qlRateHelperQuoteName(W87,Trigger),"")</f>
        <v/>
      </c>
      <c r="Y87" s="75" t="str">
        <f>IFERROR(_xll.qlRateHelperRate(W87,Trigger),"")</f>
        <v/>
      </c>
      <c r="Z87" s="115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3" t="e">
        <v>#N/A</v>
      </c>
    </row>
    <row r="88" spans="1:29" x14ac:dyDescent="0.2">
      <c r="L88" s="77" t="str">
        <f t="shared" si="20"/>
        <v>Sw</v>
      </c>
      <c r="M88" s="157" t="str">
        <f t="shared" si="21"/>
        <v>--</v>
      </c>
      <c r="N88" s="167" t="str">
        <f>IFERROR(_xll.qlRateHelperQuoteName(M88,Trigger),"--")</f>
        <v>--</v>
      </c>
      <c r="O88" s="168" t="str">
        <f>IFERROR(_xll.qlRateHelperQuoteValue($M88,Trigger),"--")</f>
        <v>--</v>
      </c>
      <c r="P88" s="157" t="b">
        <v>0</v>
      </c>
      <c r="Q88" s="157">
        <v>40</v>
      </c>
      <c r="R88" s="157">
        <v>1</v>
      </c>
      <c r="S88" s="166" t="str">
        <f>IFERROR(_xll.qlRateHelperEarliestDate(M88,Trigger),"--")</f>
        <v>--</v>
      </c>
      <c r="T88" s="166" t="str">
        <f>IFERROR(_xll.qlRateHelperPillarDate(M88,Trigger),"--")</f>
        <v>--</v>
      </c>
      <c r="V88" s="6" t="str">
        <f t="shared" si="19"/>
        <v/>
      </c>
      <c r="W88" s="6" t="e">
        <v>#N/A</v>
      </c>
      <c r="X88" s="6" t="str">
        <f>IFERROR(_xll.qlRateHelperQuoteName(W88,Trigger),"")</f>
        <v/>
      </c>
      <c r="Y88" s="85" t="str">
        <f>IFERROR(_xll.qlRateHelperRate(W88,Trigger),"")</f>
        <v/>
      </c>
      <c r="Z88" s="116" t="str">
        <f>IF(ISERROR(_xll.qlSwapRateHelperSpread($W88)),IF(ISERROR(_xll.qlFuturesRateHelperConvexityAdjustment($W88)),"",_xll.qlFuturesRateHelperConvexityAdjustment($W88)),_xll.qlSwapRateHelperSpread($W88))</f>
        <v/>
      </c>
      <c r="AA88" s="13" t="str">
        <f>IFERROR(_xll.qlRateHelperEarliestDate(W88,Trigger),"")</f>
        <v/>
      </c>
      <c r="AB88" s="13" t="str">
        <f>IFERROR(_xll.qlRateHelperPillarDate(W88,Trigger),"")</f>
        <v/>
      </c>
      <c r="AC88" s="84" t="e">
        <v>#N/A</v>
      </c>
    </row>
    <row r="89" spans="1:29" x14ac:dyDescent="0.2">
      <c r="A89" s="70" t="s">
        <v>9</v>
      </c>
      <c r="B89" s="70" t="s">
        <v>30</v>
      </c>
      <c r="C89" s="70" t="s">
        <v>151</v>
      </c>
      <c r="D89" s="70" t="s">
        <v>5</v>
      </c>
      <c r="E89" s="70" t="s">
        <v>35</v>
      </c>
      <c r="F89" s="70" t="s">
        <v>152</v>
      </c>
      <c r="G89" s="70" t="s">
        <v>4</v>
      </c>
      <c r="H89" s="70" t="s">
        <v>1</v>
      </c>
      <c r="I89" s="70" t="s">
        <v>148</v>
      </c>
      <c r="J89" s="70" t="s">
        <v>25</v>
      </c>
    </row>
    <row r="90" spans="1:29" x14ac:dyDescent="0.2">
      <c r="A90" s="57" t="s">
        <v>26</v>
      </c>
      <c r="B90" s="126">
        <v>12</v>
      </c>
      <c r="C90" s="59" t="s">
        <v>6</v>
      </c>
      <c r="D90" s="65" t="s">
        <v>8</v>
      </c>
      <c r="E90" s="65" t="s">
        <v>7</v>
      </c>
      <c r="F90" s="65" t="s">
        <v>28</v>
      </c>
      <c r="G90" s="65" t="str">
        <f t="shared" ref="G90:G96" si="22">PROPER(Currency)&amp;FamilyName&amp;Tenor</f>
        <v>UsdLibor3M</v>
      </c>
      <c r="H90" s="63" t="str">
        <f>Currency&amp;"1S"&amp;$B90&amp;"_Quote"</f>
        <v>USD1S12_Quote</v>
      </c>
      <c r="I90" s="139">
        <v>0</v>
      </c>
      <c r="J90" s="62" t="s">
        <v>154</v>
      </c>
      <c r="K90" s="50" t="s">
        <v>47</v>
      </c>
    </row>
    <row r="91" spans="1:29" x14ac:dyDescent="0.2">
      <c r="A91" s="63" t="s">
        <v>26</v>
      </c>
      <c r="B91" s="127">
        <v>12</v>
      </c>
      <c r="C91" s="65" t="s">
        <v>6</v>
      </c>
      <c r="D91" s="65" t="s">
        <v>8</v>
      </c>
      <c r="E91" s="65" t="s">
        <v>7</v>
      </c>
      <c r="F91" s="65" t="s">
        <v>28</v>
      </c>
      <c r="G91" s="65" t="str">
        <f t="shared" si="22"/>
        <v>UsdLibor3M</v>
      </c>
      <c r="H91" s="63" t="str">
        <f>Currency&amp;"2S"&amp;$B91&amp;"_Quote"</f>
        <v>USD2S12_Quote</v>
      </c>
      <c r="I91" s="140">
        <v>0</v>
      </c>
      <c r="J91" s="69"/>
    </row>
    <row r="92" spans="1:29" x14ac:dyDescent="0.2">
      <c r="A92" s="63" t="s">
        <v>26</v>
      </c>
      <c r="B92" s="127">
        <v>12</v>
      </c>
      <c r="C92" s="65" t="s">
        <v>6</v>
      </c>
      <c r="D92" s="65" t="s">
        <v>8</v>
      </c>
      <c r="E92" s="65" t="s">
        <v>7</v>
      </c>
      <c r="F92" s="65" t="s">
        <v>28</v>
      </c>
      <c r="G92" s="65" t="str">
        <f t="shared" si="22"/>
        <v>UsdLibor3M</v>
      </c>
      <c r="H92" s="63" t="str">
        <f>Currency&amp;"3S"&amp;$B92&amp;"_Quote"</f>
        <v>USD3S12_Quote</v>
      </c>
      <c r="I92" s="140">
        <v>0</v>
      </c>
      <c r="J92" s="69"/>
    </row>
    <row r="93" spans="1:29" x14ac:dyDescent="0.2">
      <c r="A93" s="63" t="s">
        <v>26</v>
      </c>
      <c r="B93" s="127">
        <v>12</v>
      </c>
      <c r="C93" s="65" t="s">
        <v>6</v>
      </c>
      <c r="D93" s="65" t="s">
        <v>8</v>
      </c>
      <c r="E93" s="65" t="s">
        <v>7</v>
      </c>
      <c r="F93" s="65" t="s">
        <v>28</v>
      </c>
      <c r="G93" s="65" t="str">
        <f t="shared" si="22"/>
        <v>UsdLibor3M</v>
      </c>
      <c r="H93" s="63" t="str">
        <f>Currency&amp;"4S"&amp;$B93&amp;"_Quote"</f>
        <v>USD4S12_Quote</v>
      </c>
      <c r="I93" s="140">
        <v>0</v>
      </c>
      <c r="J93" s="69"/>
    </row>
    <row r="94" spans="1:29" x14ac:dyDescent="0.2">
      <c r="A94" s="63" t="s">
        <v>26</v>
      </c>
      <c r="B94" s="127">
        <v>24</v>
      </c>
      <c r="C94" s="65" t="s">
        <v>6</v>
      </c>
      <c r="D94" s="65" t="s">
        <v>8</v>
      </c>
      <c r="E94" s="65" t="s">
        <v>7</v>
      </c>
      <c r="F94" s="65" t="s">
        <v>28</v>
      </c>
      <c r="G94" s="65" t="str">
        <f t="shared" si="22"/>
        <v>UsdLibor3M</v>
      </c>
      <c r="H94" s="63" t="str">
        <f>Currency&amp;"1S"&amp;$B94&amp;"_Quote"</f>
        <v>USD1S24_Quote</v>
      </c>
      <c r="I94" s="140">
        <v>0</v>
      </c>
      <c r="J94" s="69"/>
    </row>
    <row r="95" spans="1:29" x14ac:dyDescent="0.2">
      <c r="A95" s="63" t="s">
        <v>26</v>
      </c>
      <c r="B95" s="127">
        <v>24</v>
      </c>
      <c r="C95" s="65" t="s">
        <v>6</v>
      </c>
      <c r="D95" s="65" t="s">
        <v>8</v>
      </c>
      <c r="E95" s="65" t="s">
        <v>7</v>
      </c>
      <c r="F95" s="65" t="s">
        <v>28</v>
      </c>
      <c r="G95" s="65" t="str">
        <f t="shared" si="22"/>
        <v>UsdLibor3M</v>
      </c>
      <c r="H95" s="63" t="str">
        <f>Currency&amp;"2S"&amp;$B95&amp;"_Quote"</f>
        <v>USD2S24_Quote</v>
      </c>
      <c r="I95" s="140">
        <v>0</v>
      </c>
      <c r="J95" s="69"/>
    </row>
    <row r="96" spans="1:29" x14ac:dyDescent="0.2">
      <c r="A96" s="1" t="s">
        <v>26</v>
      </c>
      <c r="B96" s="128">
        <v>36</v>
      </c>
      <c r="C96" s="7" t="s">
        <v>6</v>
      </c>
      <c r="D96" s="7" t="s">
        <v>8</v>
      </c>
      <c r="E96" s="7" t="s">
        <v>7</v>
      </c>
      <c r="F96" s="7" t="s">
        <v>28</v>
      </c>
      <c r="G96" s="7" t="str">
        <f t="shared" si="22"/>
        <v>UsdLibor3M</v>
      </c>
      <c r="H96" s="1" t="str">
        <f>Currency&amp;"1S"&amp;$B96&amp;"_Quote"</f>
        <v>USD1S36_Quote</v>
      </c>
      <c r="I96" s="143">
        <v>0</v>
      </c>
      <c r="J96" s="3"/>
    </row>
  </sheetData>
  <mergeCells count="1">
    <mergeCell ref="AE2:AF2"/>
  </mergeCells>
  <dataValidations count="4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0" hidden="1" customWidth="1" outlineLevel="1"/>
    <col min="2" max="2" width="6" style="55" hidden="1" customWidth="1" outlineLevel="1"/>
    <col min="3" max="3" width="6.7109375" style="54" hidden="1" customWidth="1" outlineLevel="1"/>
    <col min="4" max="4" width="7" style="54" hidden="1" customWidth="1" outlineLevel="1"/>
    <col min="5" max="5" width="19.28515625" style="54" hidden="1" customWidth="1" outlineLevel="1"/>
    <col min="6" max="6" width="11" style="54" hidden="1" customWidth="1" outlineLevel="1"/>
    <col min="7" max="7" width="15.140625" style="54" hidden="1" customWidth="1" outlineLevel="1"/>
    <col min="8" max="8" width="23.42578125" style="56" hidden="1" customWidth="1" outlineLevel="1"/>
    <col min="9" max="9" width="9" style="50" hidden="1" customWidth="1" outlineLevel="1"/>
    <col min="10" max="10" width="15.140625" style="50" hidden="1" customWidth="1" outlineLevel="1"/>
    <col min="11" max="11" width="2.7109375" style="50" customWidth="1" collapsed="1"/>
    <col min="12" max="12" width="5" style="50" hidden="1" customWidth="1" outlineLevel="1"/>
    <col min="13" max="13" width="15.140625" style="114" hidden="1" customWidth="1" outlineLevel="1"/>
    <col min="14" max="14" width="22.42578125" style="114" hidden="1" customWidth="1" outlineLevel="1"/>
    <col min="15" max="15" width="9.7109375" style="114" hidden="1" customWidth="1" outlineLevel="1"/>
    <col min="16" max="16" width="7.85546875" style="114" hidden="1" customWidth="1" outlineLevel="1"/>
    <col min="17" max="17" width="9" style="114" hidden="1" customWidth="1" outlineLevel="1"/>
    <col min="18" max="18" width="5.85546875" style="114" hidden="1" customWidth="1" outlineLevel="1"/>
    <col min="19" max="20" width="10.7109375" style="114" hidden="1" customWidth="1" outlineLevel="1"/>
    <col min="21" max="21" width="2.7109375" style="52" hidden="1" customWidth="1" outlineLevel="1"/>
    <col min="22" max="22" width="6" style="50" bestFit="1" customWidth="1" collapsed="1"/>
    <col min="23" max="23" width="10.140625" style="50" hidden="1" customWidth="1" outlineLevel="1"/>
    <col min="24" max="24" width="24.7109375" style="50" customWidth="1" collapsed="1"/>
    <col min="25" max="26" width="9.7109375" style="50" customWidth="1"/>
    <col min="27" max="28" width="17.28515625" style="50" bestFit="1" customWidth="1"/>
    <col min="29" max="29" width="12" style="50" bestFit="1" customWidth="1"/>
    <col min="30" max="30" width="2.7109375" style="50" customWidth="1"/>
    <col min="31" max="31" width="24.42578125" style="50" bestFit="1" customWidth="1"/>
    <col min="32" max="32" width="9" style="50" bestFit="1" customWidth="1"/>
    <col min="33" max="16384" width="9.140625" style="50"/>
  </cols>
  <sheetData>
    <row r="1" spans="1:32" ht="18" customHeight="1" x14ac:dyDescent="0.2">
      <c r="G1" s="54" t="s">
        <v>3</v>
      </c>
      <c r="H1" s="54" t="str">
        <f>"_SYNTH"&amp;Tenor</f>
        <v>_SYNTH6M</v>
      </c>
      <c r="L1" s="72" t="s">
        <v>25</v>
      </c>
      <c r="M1" s="117"/>
      <c r="N1" s="117"/>
      <c r="O1" s="117"/>
      <c r="P1" s="117"/>
      <c r="Q1" s="117"/>
      <c r="R1" s="117"/>
      <c r="S1" s="117"/>
      <c r="T1" s="107"/>
      <c r="U1" s="104"/>
      <c r="V1" s="80" t="str">
        <f>Currency&amp;Tenor</f>
        <v>USD6M</v>
      </c>
      <c r="W1" s="71"/>
      <c r="X1" s="71"/>
      <c r="Y1" s="74"/>
      <c r="Z1" s="74"/>
      <c r="AA1" s="71"/>
      <c r="AB1" s="71"/>
      <c r="AC1" s="78" t="s">
        <v>33</v>
      </c>
    </row>
    <row r="2" spans="1:32" ht="21.75" customHeight="1" x14ac:dyDescent="0.2">
      <c r="A2" s="70" t="s">
        <v>9</v>
      </c>
      <c r="B2" s="70" t="s">
        <v>30</v>
      </c>
      <c r="C2" s="70" t="s">
        <v>125</v>
      </c>
      <c r="D2" s="70"/>
      <c r="E2" s="70"/>
      <c r="F2" s="70"/>
      <c r="G2" s="70" t="s">
        <v>4</v>
      </c>
      <c r="H2" s="70" t="s">
        <v>1</v>
      </c>
      <c r="I2" s="70"/>
      <c r="J2" s="70" t="s">
        <v>25</v>
      </c>
      <c r="L2" s="79" t="s">
        <v>9</v>
      </c>
      <c r="M2" s="79" t="s">
        <v>25</v>
      </c>
      <c r="N2" s="79" t="s">
        <v>112</v>
      </c>
      <c r="O2" s="79" t="s">
        <v>115</v>
      </c>
      <c r="P2" s="79" t="s">
        <v>113</v>
      </c>
      <c r="Q2" s="79" t="s">
        <v>114</v>
      </c>
      <c r="R2" s="79" t="s">
        <v>116</v>
      </c>
      <c r="S2" s="79" t="s">
        <v>23</v>
      </c>
      <c r="T2" s="79" t="s">
        <v>109</v>
      </c>
      <c r="U2" s="104"/>
      <c r="V2" s="79" t="s">
        <v>9</v>
      </c>
      <c r="W2" s="79" t="s">
        <v>25</v>
      </c>
      <c r="X2" s="79" t="s">
        <v>112</v>
      </c>
      <c r="Y2" s="81" t="s">
        <v>24</v>
      </c>
      <c r="Z2" s="81" t="s">
        <v>117</v>
      </c>
      <c r="AA2" s="79" t="s">
        <v>23</v>
      </c>
      <c r="AB2" s="79" t="s">
        <v>109</v>
      </c>
      <c r="AC2" s="82">
        <f t="array" ref="AC2:AC66">_xll.qlPiecewiseYieldCurveData(YieldCurve_6M,Trigger)</f>
        <v>1</v>
      </c>
      <c r="AE2" s="197" t="s">
        <v>118</v>
      </c>
      <c r="AF2" s="198"/>
    </row>
    <row r="3" spans="1:32" ht="11.25" customHeight="1" x14ac:dyDescent="0.2">
      <c r="A3" s="121" t="s">
        <v>27</v>
      </c>
      <c r="B3" s="122" t="s">
        <v>104</v>
      </c>
      <c r="C3" s="123" t="s">
        <v>49</v>
      </c>
      <c r="D3" s="135"/>
      <c r="E3" s="135"/>
      <c r="F3" s="135"/>
      <c r="G3" s="124" t="str">
        <f>Currency&amp;"FedFunds"</f>
        <v>USDFedFunds</v>
      </c>
      <c r="H3" s="132" t="str">
        <f t="shared" ref="H3:H12" si="0">Currency&amp;$B3&amp;"D"&amp;$H$1&amp;QuoteSuffix</f>
        <v>USDSND_SYNTH6M_Quote</v>
      </c>
      <c r="I3" s="135"/>
      <c r="J3" s="125"/>
      <c r="K3" s="53"/>
      <c r="L3" s="73" t="str">
        <f>A3</f>
        <v>Dp</v>
      </c>
      <c r="M3" s="144" t="str">
        <f>IF(ISBLANK(J3),"--",J3)</f>
        <v>--</v>
      </c>
      <c r="N3" s="158" t="str">
        <f>IFERROR(_xll.qlRateHelperQuoteName(M3,Trigger),"--")</f>
        <v>--</v>
      </c>
      <c r="O3" s="146" t="str">
        <f>IFERROR(_xll.qlRateHelperQuoteValue($M3,Trigger),"--")</f>
        <v>--</v>
      </c>
      <c r="P3" s="145" t="b">
        <v>0</v>
      </c>
      <c r="Q3" s="144">
        <v>10</v>
      </c>
      <c r="R3" s="144">
        <v>1</v>
      </c>
      <c r="S3" s="147" t="str">
        <f>IFERROR(_xll.qlRateHelperEarliestDate(M3,Trigger),"--")</f>
        <v>--</v>
      </c>
      <c r="T3" s="147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66">_xll.qlRateHelperSelection(_xll.ohFilter(RateHelpers,IncludeFlag),_xll.ohFilter(Priority,IncludeFlag),$AF$3,$AF$4,$AF$5,$AF$6,_xll.ohFilter(MinDistance,IncludeFlag),Trigger)</f>
        <v>obj_002f0</v>
      </c>
      <c r="X3" s="4" t="str">
        <f>IFERROR(_xll.qlRateHelperQuoteName(W3,Trigger),"")</f>
        <v>USD1MD_SYNTH6M_Quote</v>
      </c>
      <c r="Y3" s="75">
        <f>IFERROR(_xll.qlRateHelperRate(W3,Trigger),"")</f>
        <v>8.3529999999999993E-3</v>
      </c>
      <c r="Z3" s="11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42482</v>
      </c>
      <c r="AB3" s="5">
        <f>IFERROR(_xll.qlRateHelperPillarDate(W3,Trigger),"")</f>
        <v>42513</v>
      </c>
      <c r="AC3" s="83">
        <v>0.99928123088952714</v>
      </c>
      <c r="AE3" s="118" t="s">
        <v>119</v>
      </c>
      <c r="AF3" s="119">
        <v>0</v>
      </c>
    </row>
    <row r="4" spans="1:32" ht="11.25" customHeight="1" x14ac:dyDescent="0.2">
      <c r="A4" s="57" t="s">
        <v>27</v>
      </c>
      <c r="B4" s="58" t="s">
        <v>124</v>
      </c>
      <c r="C4" s="60" t="s">
        <v>50</v>
      </c>
      <c r="D4" s="142"/>
      <c r="E4" s="142"/>
      <c r="F4" s="142"/>
      <c r="G4" s="59" t="str">
        <f>PROPER(Currency)&amp;FamilyName&amp;B4</f>
        <v>UsdLiborSW</v>
      </c>
      <c r="H4" s="169" t="str">
        <f t="shared" si="0"/>
        <v>USDSWD_SYNTH6M_Quote</v>
      </c>
      <c r="I4" s="142"/>
      <c r="J4" s="62"/>
      <c r="K4" s="52"/>
      <c r="L4" s="11" t="str">
        <f t="shared" ref="L4:L9" si="1">A4</f>
        <v>Dp</v>
      </c>
      <c r="M4" s="105" t="str">
        <f t="shared" ref="M4:M9" si="2">IF(ISBLANK(J4),"--",J4)</f>
        <v>--</v>
      </c>
      <c r="N4" s="159" t="str">
        <f>IFERROR(_xll.qlRateHelperQuoteName(M4,Trigger),"--")</f>
        <v>--</v>
      </c>
      <c r="O4" s="109" t="str">
        <f>IFERROR(_xll.qlRateHelperQuoteValue($M4,Trigger),"--")</f>
        <v>--</v>
      </c>
      <c r="P4" s="108" t="b">
        <v>0</v>
      </c>
      <c r="Q4" s="105">
        <v>10</v>
      </c>
      <c r="R4" s="105">
        <v>1</v>
      </c>
      <c r="S4" s="110" t="str">
        <f>IFERROR(_xll.qlRateHelperEarliestDate(M4,Trigger),"--")</f>
        <v>--</v>
      </c>
      <c r="T4" s="110" t="str">
        <f>IFERROR(_xll.qlRateHelperPillarDate(M4,Trigger),"--")</f>
        <v>--</v>
      </c>
      <c r="V4" s="4" t="str">
        <f t="shared" ref="V4:V66" si="3">IFERROR(INDEX($L$3:$L$88,MATCH(X4,$N$3:$N$88,0),1),"")</f>
        <v>Dp</v>
      </c>
      <c r="W4" s="4" t="str">
        <v>obj_002f6</v>
      </c>
      <c r="X4" s="4" t="str">
        <f>IFERROR(_xll.qlRateHelperQuoteName(W4,Trigger),"")</f>
        <v>USD2MD_SYNTH6M_Quote</v>
      </c>
      <c r="Y4" s="75">
        <f>IFERROR(_xll.qlRateHelperRate(W4,Trigger),"")</f>
        <v>8.4239999999999992E-3</v>
      </c>
      <c r="Z4" s="11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42482</v>
      </c>
      <c r="AB4" s="5">
        <f>IFERROR(_xll.qlRateHelperPillarDate(W4,Trigger),"")</f>
        <v>42543</v>
      </c>
      <c r="AC4" s="83">
        <v>0.99857463456661966</v>
      </c>
      <c r="AE4" s="118" t="s">
        <v>120</v>
      </c>
      <c r="AF4" s="119">
        <v>0</v>
      </c>
    </row>
    <row r="5" spans="1:32" ht="11.25" customHeight="1" x14ac:dyDescent="0.2">
      <c r="A5" s="175" t="s">
        <v>27</v>
      </c>
      <c r="B5" s="176" t="s">
        <v>51</v>
      </c>
      <c r="C5" s="177" t="str">
        <f>B5</f>
        <v>2W</v>
      </c>
      <c r="D5" s="178"/>
      <c r="E5" s="178"/>
      <c r="F5" s="178"/>
      <c r="G5" s="179" t="str">
        <f>_xll.qlLibor(,Currency,C5,,Permanent,Trigger,ObjectOverwrite)</f>
        <v>obj_002b2#0006</v>
      </c>
      <c r="H5" s="180" t="str">
        <f t="shared" si="0"/>
        <v>USD2WD_SYNTH6M_Quote</v>
      </c>
      <c r="I5" s="178"/>
      <c r="J5" s="181"/>
      <c r="K5" s="52"/>
      <c r="L5" s="11" t="str">
        <f t="shared" si="1"/>
        <v>Dp</v>
      </c>
      <c r="M5" s="105" t="str">
        <f t="shared" si="2"/>
        <v>--</v>
      </c>
      <c r="N5" s="159" t="str">
        <f>IFERROR(_xll.qlRateHelperQuoteName(M5,Trigger),"--")</f>
        <v>--</v>
      </c>
      <c r="O5" s="109" t="str">
        <f>IFERROR(_xll.qlRateHelperQuoteValue($M5,Trigger),"--")</f>
        <v>--</v>
      </c>
      <c r="P5" s="108" t="b">
        <v>0</v>
      </c>
      <c r="Q5" s="105">
        <v>10</v>
      </c>
      <c r="R5" s="105">
        <v>1</v>
      </c>
      <c r="S5" s="110" t="str">
        <f>IFERROR(_xll.qlRateHelperEarliestDate(M5,Trigger),"--")</f>
        <v>--</v>
      </c>
      <c r="T5" s="110" t="str">
        <f>IFERROR(_xll.qlRateHelperPillarDate(M5,Trigger),"--")</f>
        <v>--</v>
      </c>
      <c r="V5" s="4" t="str">
        <f t="shared" si="3"/>
        <v>Dp</v>
      </c>
      <c r="W5" s="4" t="str">
        <v>obj_0029a</v>
      </c>
      <c r="X5" s="4" t="str">
        <f>IFERROR(_xll.qlRateHelperQuoteName(W5,Trigger),"")</f>
        <v>USD3MD_SYNTH6M_Quote</v>
      </c>
      <c r="Y5" s="75">
        <f>IFERROR(_xll.qlRateHelperRate(W5,Trigger),"")</f>
        <v>8.5710000000000005E-3</v>
      </c>
      <c r="Z5" s="11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42482</v>
      </c>
      <c r="AB5" s="5">
        <f>IFERROR(_xll.qlRateHelperPillarDate(W5,Trigger),"")</f>
        <v>42573</v>
      </c>
      <c r="AC5" s="83">
        <v>0.9978381254938935</v>
      </c>
      <c r="AD5" s="86"/>
      <c r="AE5" s="118" t="s">
        <v>121</v>
      </c>
      <c r="AF5" s="119">
        <v>0</v>
      </c>
    </row>
    <row r="6" spans="1:32" ht="11.25" customHeight="1" x14ac:dyDescent="0.2">
      <c r="A6" s="182" t="s">
        <v>27</v>
      </c>
      <c r="B6" s="183" t="s">
        <v>52</v>
      </c>
      <c r="C6" s="184" t="str">
        <f t="shared" ref="C6:C9" si="4">B6</f>
        <v>3W</v>
      </c>
      <c r="D6" s="185"/>
      <c r="E6" s="185"/>
      <c r="F6" s="185"/>
      <c r="G6" s="186" t="str">
        <f>_xll.qlLibor(,Currency,C6,,Permanent,Trigger,ObjectOverwrite)</f>
        <v>obj_002cb#0006</v>
      </c>
      <c r="H6" s="187" t="str">
        <f t="shared" si="0"/>
        <v>USD3WD_SYNTH6M_Quote</v>
      </c>
      <c r="I6" s="185"/>
      <c r="J6" s="188"/>
      <c r="K6" s="52"/>
      <c r="L6" s="11" t="str">
        <f t="shared" si="1"/>
        <v>Dp</v>
      </c>
      <c r="M6" s="105" t="str">
        <f t="shared" si="2"/>
        <v>--</v>
      </c>
      <c r="N6" s="159" t="str">
        <f>IFERROR(_xll.qlRateHelperQuoteName(M6,Trigger),"--")</f>
        <v>--</v>
      </c>
      <c r="O6" s="109" t="str">
        <f>IFERROR(_xll.qlRateHelperQuoteValue($M6,Trigger),"--")</f>
        <v>--</v>
      </c>
      <c r="P6" s="108" t="b">
        <v>0</v>
      </c>
      <c r="Q6" s="105">
        <v>10</v>
      </c>
      <c r="R6" s="105">
        <v>1</v>
      </c>
      <c r="S6" s="110" t="str">
        <f>IFERROR(_xll.qlRateHelperEarliestDate(M6,Trigger),"--")</f>
        <v>--</v>
      </c>
      <c r="T6" s="110" t="str">
        <f>IFERROR(_xll.qlRateHelperPillarDate(M6,Trigger),"--")</f>
        <v>--</v>
      </c>
      <c r="V6" s="4" t="str">
        <f t="shared" si="3"/>
        <v>Dp</v>
      </c>
      <c r="W6" s="4" t="str">
        <v>obj_00313</v>
      </c>
      <c r="X6" s="4" t="str">
        <f>IFERROR(_xll.qlRateHelperQuoteName(W6,Trigger),"")</f>
        <v>USD4MD_SYNTH6M_Quote</v>
      </c>
      <c r="Y6" s="75">
        <f>IFERROR(_xll.qlRateHelperRate(W6,Trigger),"")</f>
        <v>8.7340000000000004E-3</v>
      </c>
      <c r="Z6" s="11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42482</v>
      </c>
      <c r="AB6" s="5">
        <f>IFERROR(_xll.qlRateHelperPillarDate(W6,Trigger),"")</f>
        <v>42604</v>
      </c>
      <c r="AC6" s="83">
        <v>0.99704887933533881</v>
      </c>
      <c r="AE6" s="118" t="s">
        <v>122</v>
      </c>
      <c r="AF6" s="120" t="s">
        <v>123</v>
      </c>
    </row>
    <row r="7" spans="1:32" ht="11.25" customHeight="1" x14ac:dyDescent="0.2">
      <c r="A7" s="63" t="s">
        <v>27</v>
      </c>
      <c r="B7" s="64" t="s">
        <v>2</v>
      </c>
      <c r="C7" s="67" t="str">
        <f t="shared" si="4"/>
        <v>1M</v>
      </c>
      <c r="D7" s="136"/>
      <c r="E7" s="136"/>
      <c r="F7" s="136"/>
      <c r="G7" s="65" t="str">
        <f>PROPER(Currency)&amp;FamilyName&amp;B7</f>
        <v>UsdLibor1M</v>
      </c>
      <c r="H7" s="133" t="str">
        <f t="shared" si="0"/>
        <v>USD1MD_SYNTH6M_Quote</v>
      </c>
      <c r="I7" s="136"/>
      <c r="J7" s="69" t="str">
        <f>_xll.qlDepositRateHelper(,H7,G7,Permanent,Trigger,ObjectOverwrite)</f>
        <v>obj_002f0#0006</v>
      </c>
      <c r="K7" s="52"/>
      <c r="L7" s="11" t="str">
        <f t="shared" si="1"/>
        <v>Dp</v>
      </c>
      <c r="M7" s="105" t="str">
        <f t="shared" si="2"/>
        <v>obj_002f0#0006</v>
      </c>
      <c r="N7" s="159" t="str">
        <f>IFERROR(_xll.qlRateHelperQuoteName(M7,Trigger),"--")</f>
        <v>USD1MD_SYNTH6M_Quote</v>
      </c>
      <c r="O7" s="109">
        <f>IFERROR(_xll.qlRateHelperQuoteValue($M7,Trigger),"--")</f>
        <v>8.3529999999999993E-3</v>
      </c>
      <c r="P7" s="108" t="b">
        <v>1</v>
      </c>
      <c r="Q7" s="105">
        <v>10</v>
      </c>
      <c r="R7" s="105">
        <v>1</v>
      </c>
      <c r="S7" s="110">
        <f>IFERROR(_xll.qlRateHelperEarliestDate(M7,Trigger),"--")</f>
        <v>42482</v>
      </c>
      <c r="T7" s="110">
        <f>IFERROR(_xll.qlRateHelperPillarDate(M7,Trigger),"--")</f>
        <v>42513</v>
      </c>
      <c r="V7" s="4" t="str">
        <f t="shared" si="3"/>
        <v>Dp</v>
      </c>
      <c r="W7" s="4" t="str">
        <v>obj_002bc</v>
      </c>
      <c r="X7" s="4" t="str">
        <f>IFERROR(_xll.qlRateHelperQuoteName(W7,Trigger),"")</f>
        <v>USD5MD_SYNTH6M_Quote</v>
      </c>
      <c r="Y7" s="75">
        <f>IFERROR(_xll.qlRateHelperRate(W7,Trigger),"")</f>
        <v>8.8620000000000001E-3</v>
      </c>
      <c r="Z7" s="11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42482</v>
      </c>
      <c r="AB7" s="5">
        <f>IFERROR(_xll.qlRateHelperPillarDate(W7,Trigger),"")</f>
        <v>42635</v>
      </c>
      <c r="AC7" s="83">
        <v>0.99624778216564036</v>
      </c>
    </row>
    <row r="8" spans="1:32" ht="11.25" customHeight="1" x14ac:dyDescent="0.25">
      <c r="A8" s="63" t="s">
        <v>27</v>
      </c>
      <c r="B8" s="64" t="s">
        <v>53</v>
      </c>
      <c r="C8" s="67" t="str">
        <f t="shared" si="4"/>
        <v>2M</v>
      </c>
      <c r="D8" s="136"/>
      <c r="E8" s="136"/>
      <c r="F8" s="136"/>
      <c r="G8" s="65" t="str">
        <f>PROPER(Currency)&amp;FamilyName&amp;B8</f>
        <v>UsdLibor2M</v>
      </c>
      <c r="H8" s="133" t="str">
        <f t="shared" si="0"/>
        <v>USD2MD_SYNTH6M_Quote</v>
      </c>
      <c r="I8" s="136"/>
      <c r="J8" s="69" t="str">
        <f>_xll.qlDepositRateHelper(,H8,G8,Permanent,Trigger,ObjectOverwrite)</f>
        <v>obj_002f6#0006</v>
      </c>
      <c r="K8" s="52"/>
      <c r="L8" s="11" t="str">
        <f t="shared" si="1"/>
        <v>Dp</v>
      </c>
      <c r="M8" s="105" t="str">
        <f t="shared" si="2"/>
        <v>obj_002f6#0006</v>
      </c>
      <c r="N8" s="159" t="str">
        <f>IFERROR(_xll.qlRateHelperQuoteName(M8,Trigger),"--")</f>
        <v>USD2MD_SYNTH6M_Quote</v>
      </c>
      <c r="O8" s="109">
        <f>IFERROR(_xll.qlRateHelperQuoteValue($M8,Trigger),"--")</f>
        <v>8.4239999999999992E-3</v>
      </c>
      <c r="P8" s="108" t="b">
        <v>1</v>
      </c>
      <c r="Q8" s="105">
        <v>10</v>
      </c>
      <c r="R8" s="105">
        <v>1</v>
      </c>
      <c r="S8" s="110">
        <f>IFERROR(_xll.qlRateHelperEarliestDate(M8,Trigger),"--")</f>
        <v>42482</v>
      </c>
      <c r="T8" s="110">
        <f>IFERROR(_xll.qlRateHelperPillarDate(M8,Trigger),"--")</f>
        <v>42543</v>
      </c>
      <c r="V8" s="4" t="str">
        <f t="shared" si="3"/>
        <v>Dp</v>
      </c>
      <c r="W8" s="4" t="str">
        <v>obj_00285</v>
      </c>
      <c r="X8" s="4" t="str">
        <f>IFERROR(_xll.qlRateHelperQuoteName(W8,Trigger),"")</f>
        <v>USD6MD_SYNTH6M_Quote</v>
      </c>
      <c r="Y8" s="75">
        <f>IFERROR(_xll.qlRateHelperRate(W8,Trigger),"")</f>
        <v>9.0360000000000006E-3</v>
      </c>
      <c r="Z8" s="11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42482</v>
      </c>
      <c r="AB8" s="5">
        <f>IFERROR(_xll.qlRateHelperPillarDate(W8,Trigger),"")</f>
        <v>42667</v>
      </c>
      <c r="AC8" s="83">
        <v>0.99537796243145005</v>
      </c>
    </row>
    <row r="9" spans="1:32" ht="11.25" customHeight="1" x14ac:dyDescent="0.25">
      <c r="A9" s="63" t="s">
        <v>27</v>
      </c>
      <c r="B9" s="64" t="s">
        <v>0</v>
      </c>
      <c r="C9" s="67" t="str">
        <f t="shared" si="4"/>
        <v>3M</v>
      </c>
      <c r="D9" s="136"/>
      <c r="E9" s="136"/>
      <c r="F9" s="136"/>
      <c r="G9" s="65" t="str">
        <f>PROPER(Currency)&amp;FamilyName&amp;B9</f>
        <v>UsdLibor3M</v>
      </c>
      <c r="H9" s="133" t="str">
        <f t="shared" si="0"/>
        <v>USD3MD_SYNTH6M_Quote</v>
      </c>
      <c r="I9" s="136"/>
      <c r="J9" s="69" t="str">
        <f>_xll.qlDepositRateHelper(,H9,G9,Permanent,Trigger,ObjectOverwrite)</f>
        <v>obj_0029a#0006</v>
      </c>
      <c r="K9" s="52"/>
      <c r="L9" s="11" t="str">
        <f t="shared" si="1"/>
        <v>Dp</v>
      </c>
      <c r="M9" s="105" t="str">
        <f t="shared" si="2"/>
        <v>obj_0029a#0006</v>
      </c>
      <c r="N9" s="159" t="str">
        <f>IFERROR(_xll.qlRateHelperQuoteName(M9,Trigger),"--")</f>
        <v>USD3MD_SYNTH6M_Quote</v>
      </c>
      <c r="O9" s="109">
        <f>IFERROR(_xll.qlRateHelperQuoteValue($M9,Trigger),"--")</f>
        <v>8.5710000000000005E-3</v>
      </c>
      <c r="P9" s="108" t="b">
        <v>1</v>
      </c>
      <c r="Q9" s="105">
        <v>10</v>
      </c>
      <c r="R9" s="105">
        <v>1</v>
      </c>
      <c r="S9" s="110">
        <f>IFERROR(_xll.qlRateHelperEarliestDate(M9,Trigger),"--")</f>
        <v>42482</v>
      </c>
      <c r="T9" s="110">
        <f>IFERROR(_xll.qlRateHelperPillarDate(M9,Trigger),"--")</f>
        <v>42573</v>
      </c>
      <c r="V9" s="4" t="str">
        <f t="shared" si="3"/>
        <v>FRA</v>
      </c>
      <c r="W9" s="4" t="str">
        <v>obj_002aa</v>
      </c>
      <c r="X9" s="4" t="str">
        <f>IFERROR(_xll.qlRateHelperQuoteName(W9,Trigger),"")</f>
        <v>USD1x7F_Quote</v>
      </c>
      <c r="Y9" s="75">
        <f>IFERROR(_xll.qlRateHelperRate(W9,Trigger),"")</f>
        <v>9.3099999999999988E-3</v>
      </c>
      <c r="Z9" s="11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42513</v>
      </c>
      <c r="AB9" s="5">
        <f>IFERROR(_xll.qlRateHelperPillarDate(W9,Trigger),"")</f>
        <v>42696</v>
      </c>
      <c r="AC9" s="83">
        <v>0.99457672014549381</v>
      </c>
    </row>
    <row r="10" spans="1:32" ht="11.25" customHeight="1" x14ac:dyDescent="0.2">
      <c r="A10" s="175" t="s">
        <v>27</v>
      </c>
      <c r="B10" s="176" t="s">
        <v>54</v>
      </c>
      <c r="C10" s="177" t="str">
        <f t="shared" ref="C10:C12" si="5">B10</f>
        <v>4M</v>
      </c>
      <c r="D10" s="178"/>
      <c r="E10" s="178"/>
      <c r="F10" s="178"/>
      <c r="G10" s="179" t="str">
        <f>_xll.qlLibor(,Currency,C10,,Permanent,Trigger,ObjectOverwrite)</f>
        <v>obj_00280#0006</v>
      </c>
      <c r="H10" s="180" t="str">
        <f t="shared" si="0"/>
        <v>USD4MD_SYNTH6M_Quote</v>
      </c>
      <c r="I10" s="178"/>
      <c r="J10" s="181" t="str">
        <f>_xll.qlDepositRateHelper(,H10,G10,Permanent,Trigger,ObjectOverwrite)</f>
        <v>obj_00313#0006</v>
      </c>
      <c r="K10" s="52"/>
      <c r="L10" s="11" t="str">
        <f t="shared" ref="L10:L12" si="6">A10</f>
        <v>Dp</v>
      </c>
      <c r="M10" s="105" t="str">
        <f t="shared" ref="M10:M12" si="7">IF(ISBLANK(J10),"--",J10)</f>
        <v>obj_00313#0006</v>
      </c>
      <c r="N10" s="159" t="str">
        <f>IFERROR(_xll.qlRateHelperQuoteName(M10,Trigger),"--")</f>
        <v>USD4MD_SYNTH6M_Quote</v>
      </c>
      <c r="O10" s="109">
        <f>IFERROR(_xll.qlRateHelperQuoteValue($M10,Trigger),"--")</f>
        <v>8.7340000000000004E-3</v>
      </c>
      <c r="P10" s="108" t="b">
        <v>1</v>
      </c>
      <c r="Q10" s="105">
        <v>10</v>
      </c>
      <c r="R10" s="105">
        <v>1</v>
      </c>
      <c r="S10" s="110">
        <f>IFERROR(_xll.qlRateHelperEarliestDate(M10,Trigger),"--")</f>
        <v>42482</v>
      </c>
      <c r="T10" s="110">
        <f>IFERROR(_xll.qlRateHelperPillarDate(M10,Trigger),"--")</f>
        <v>42604</v>
      </c>
      <c r="V10" s="4" t="str">
        <f t="shared" si="3"/>
        <v>FRA</v>
      </c>
      <c r="W10" s="4" t="str">
        <v>obj_002b4</v>
      </c>
      <c r="X10" s="4" t="str">
        <f>IFERROR(_xll.qlRateHelperQuoteName(W10,Trigger),"")</f>
        <v>USD2x8F_Quote</v>
      </c>
      <c r="Y10" s="75">
        <f>IFERROR(_xll.qlRateHelperRate(W10,Trigger),"")</f>
        <v>9.6000000000000009E-3</v>
      </c>
      <c r="Z10" s="11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42543</v>
      </c>
      <c r="AB10" s="5">
        <f>IFERROR(_xll.qlRateHelperPillarDate(W10,Trigger),"")</f>
        <v>42726</v>
      </c>
      <c r="AC10" s="83">
        <v>0.99372525532065525</v>
      </c>
    </row>
    <row r="11" spans="1:32" ht="11.25" customHeight="1" x14ac:dyDescent="0.2">
      <c r="A11" s="182" t="s">
        <v>27</v>
      </c>
      <c r="B11" s="183" t="s">
        <v>55</v>
      </c>
      <c r="C11" s="184" t="str">
        <f t="shared" si="5"/>
        <v>5M</v>
      </c>
      <c r="D11" s="185"/>
      <c r="E11" s="185"/>
      <c r="F11" s="185"/>
      <c r="G11" s="186" t="str">
        <f>_xll.qlLibor(,Currency,C11,,Permanent,Trigger,ObjectOverwrite)</f>
        <v>obj_002a1#0006</v>
      </c>
      <c r="H11" s="187" t="str">
        <f t="shared" si="0"/>
        <v>USD5MD_SYNTH6M_Quote</v>
      </c>
      <c r="I11" s="185"/>
      <c r="J11" s="188" t="str">
        <f>_xll.qlDepositRateHelper(,H11,G11,Permanent,Trigger,ObjectOverwrite)</f>
        <v>obj_002bc#0006</v>
      </c>
      <c r="K11" s="52"/>
      <c r="L11" s="11" t="str">
        <f t="shared" si="6"/>
        <v>Dp</v>
      </c>
      <c r="M11" s="105" t="str">
        <f t="shared" si="7"/>
        <v>obj_002bc#0006</v>
      </c>
      <c r="N11" s="159" t="str">
        <f>IFERROR(_xll.qlRateHelperQuoteName(M11,Trigger),"--")</f>
        <v>USD5MD_SYNTH6M_Quote</v>
      </c>
      <c r="O11" s="109">
        <f>IFERROR(_xll.qlRateHelperQuoteValue($M11,Trigger),"--")</f>
        <v>8.8620000000000001E-3</v>
      </c>
      <c r="P11" s="108" t="b">
        <v>1</v>
      </c>
      <c r="Q11" s="105">
        <v>10</v>
      </c>
      <c r="R11" s="105">
        <v>1</v>
      </c>
      <c r="S11" s="110">
        <f>IFERROR(_xll.qlRateHelperEarliestDate(M11,Trigger),"--")</f>
        <v>42482</v>
      </c>
      <c r="T11" s="110">
        <f>IFERROR(_xll.qlRateHelperPillarDate(M11,Trigger),"--")</f>
        <v>42635</v>
      </c>
      <c r="V11" s="4" t="str">
        <f t="shared" si="3"/>
        <v>FRA</v>
      </c>
      <c r="W11" s="4" t="str">
        <v>obj_002de</v>
      </c>
      <c r="X11" s="4" t="str">
        <f>IFERROR(_xll.qlRateHelperQuoteName(W11,Trigger),"")</f>
        <v>USD3x9F_Quote</v>
      </c>
      <c r="Y11" s="75">
        <f>IFERROR(_xll.qlRateHelperRate(W11,Trigger),"")</f>
        <v>9.8600000000000007E-3</v>
      </c>
      <c r="Z11" s="11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42573</v>
      </c>
      <c r="AB11" s="5">
        <f>IFERROR(_xll.qlRateHelperPillarDate(W11,Trigger),"")</f>
        <v>42758</v>
      </c>
      <c r="AC11" s="83">
        <v>0.99280762441695247</v>
      </c>
    </row>
    <row r="12" spans="1:32" ht="11.25" customHeight="1" x14ac:dyDescent="0.2">
      <c r="A12" s="1" t="s">
        <v>27</v>
      </c>
      <c r="B12" s="9" t="s">
        <v>3</v>
      </c>
      <c r="C12" s="10" t="str">
        <f t="shared" si="5"/>
        <v>6M</v>
      </c>
      <c r="D12" s="137"/>
      <c r="E12" s="137"/>
      <c r="F12" s="137"/>
      <c r="G12" s="7" t="str">
        <f>PROPER(Currency)&amp;FamilyName&amp;B12</f>
        <v>UsdLibor6M</v>
      </c>
      <c r="H12" s="134" t="str">
        <f t="shared" si="0"/>
        <v>USD6MD_SYNTH6M_Quote</v>
      </c>
      <c r="I12" s="137"/>
      <c r="J12" s="3" t="str">
        <f>_xll.qlDepositRateHelper(,H12,G12,Permanent,Trigger,ObjectOverwrite)</f>
        <v>obj_00285#0006</v>
      </c>
      <c r="K12" s="52" t="s">
        <v>47</v>
      </c>
      <c r="L12" s="12" t="str">
        <f t="shared" si="6"/>
        <v>Dp</v>
      </c>
      <c r="M12" s="106" t="str">
        <f t="shared" si="7"/>
        <v>obj_00285#0006</v>
      </c>
      <c r="N12" s="160" t="str">
        <f>IFERROR(_xll.qlRateHelperQuoteName(M12,Trigger),"--")</f>
        <v>USD6MD_SYNTH6M_Quote</v>
      </c>
      <c r="O12" s="112">
        <f>IFERROR(_xll.qlRateHelperQuoteValue($M12,Trigger),"--")</f>
        <v>9.0360000000000006E-3</v>
      </c>
      <c r="P12" s="111" t="b">
        <v>1</v>
      </c>
      <c r="Q12" s="106">
        <v>70</v>
      </c>
      <c r="R12" s="106">
        <v>1</v>
      </c>
      <c r="S12" s="113">
        <f>IFERROR(_xll.qlRateHelperEarliestDate(M12,Trigger),"--")</f>
        <v>42482</v>
      </c>
      <c r="T12" s="113">
        <f>IFERROR(_xll.qlRateHelperPillarDate(M12,Trigger),"--")</f>
        <v>42667</v>
      </c>
      <c r="V12" s="4" t="str">
        <f t="shared" si="3"/>
        <v>FRA</v>
      </c>
      <c r="W12" s="4" t="str">
        <v>obj_002ef</v>
      </c>
      <c r="X12" s="4" t="str">
        <f>IFERROR(_xll.qlRateHelperQuoteName(W12,Trigger),"")</f>
        <v>USD4x10F_Quote</v>
      </c>
      <c r="Y12" s="75">
        <f>IFERROR(_xll.qlRateHelperRate(W12,Trigger),"")</f>
        <v>1.0059999999999999E-2</v>
      </c>
      <c r="Z12" s="11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42604</v>
      </c>
      <c r="AB12" s="5">
        <f>IFERROR(_xll.qlRateHelperPillarDate(W12,Trigger),"")</f>
        <v>42788</v>
      </c>
      <c r="AC12" s="83">
        <v>0.99194850057836537</v>
      </c>
    </row>
    <row r="13" spans="1:32" ht="11.25" customHeight="1" x14ac:dyDescent="0.2">
      <c r="B13" s="50"/>
      <c r="C13" s="50"/>
      <c r="D13" s="50"/>
      <c r="E13" s="50"/>
      <c r="F13" s="50"/>
      <c r="G13" s="50"/>
      <c r="H13" s="50"/>
      <c r="K13" s="52"/>
      <c r="L13" s="73" t="str">
        <f>A15</f>
        <v>FRA</v>
      </c>
      <c r="M13" s="144" t="str">
        <f>IF(ISBLANK(J15),"--",J15)</f>
        <v>obj_002aa#0006</v>
      </c>
      <c r="N13" s="158" t="str">
        <f>IFERROR(_xll.qlRateHelperQuoteName(M13,Trigger),"--")</f>
        <v>USD1x7F_Quote</v>
      </c>
      <c r="O13" s="146">
        <f>IFERROR(_xll.qlRateHelperQuoteValue($M13,Trigger),"--")</f>
        <v>9.3099999999999988E-3</v>
      </c>
      <c r="P13" s="145" t="b">
        <v>1</v>
      </c>
      <c r="Q13" s="144">
        <v>20</v>
      </c>
      <c r="R13" s="144">
        <v>1</v>
      </c>
      <c r="S13" s="147">
        <f>IFERROR(_xll.qlRateHelperEarliestDate(M13,Trigger),"--")</f>
        <v>42513</v>
      </c>
      <c r="T13" s="147">
        <f>IFERROR(_xll.qlRateHelperPillarDate(M13,Trigger),"--")</f>
        <v>42696</v>
      </c>
      <c r="V13" s="4" t="str">
        <f t="shared" si="3"/>
        <v>FRA</v>
      </c>
      <c r="W13" s="4" t="str">
        <v>obj_002cf</v>
      </c>
      <c r="X13" s="4" t="str">
        <f>IFERROR(_xll.qlRateHelperQuoteName(W13,Trigger),"")</f>
        <v>USD5x11F_Quote</v>
      </c>
      <c r="Y13" s="75">
        <f>IFERROR(_xll.qlRateHelperRate(W13,Trigger),"")</f>
        <v>1.0240000000000001E-2</v>
      </c>
      <c r="Z13" s="11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42635</v>
      </c>
      <c r="AB13" s="5">
        <f>IFERROR(_xll.qlRateHelperPillarDate(W13,Trigger),"")</f>
        <v>42816</v>
      </c>
      <c r="AC13" s="83">
        <v>0.99114492756965533</v>
      </c>
    </row>
    <row r="14" spans="1:32" ht="11.25" customHeight="1" x14ac:dyDescent="0.2">
      <c r="A14" s="70" t="s">
        <v>9</v>
      </c>
      <c r="B14" s="70" t="s">
        <v>126</v>
      </c>
      <c r="C14" s="70" t="s">
        <v>127</v>
      </c>
      <c r="D14" s="70"/>
      <c r="E14" s="70"/>
      <c r="F14" s="70"/>
      <c r="G14" s="70" t="s">
        <v>4</v>
      </c>
      <c r="H14" s="70" t="s">
        <v>1</v>
      </c>
      <c r="I14" s="70"/>
      <c r="J14" s="70" t="s">
        <v>25</v>
      </c>
      <c r="K14" s="52"/>
      <c r="L14" s="11" t="str">
        <f t="shared" ref="L14:L26" si="8">A16</f>
        <v>FRA</v>
      </c>
      <c r="M14" s="105" t="str">
        <f t="shared" ref="M14:M26" si="9">IF(ISBLANK(J16),"--",J16)</f>
        <v>obj_002b4#0006</v>
      </c>
      <c r="N14" s="159" t="str">
        <f>IFERROR(_xll.qlRateHelperQuoteName(M14,Trigger),"--")</f>
        <v>USD2x8F_Quote</v>
      </c>
      <c r="O14" s="109">
        <f>IFERROR(_xll.qlRateHelperQuoteValue($M14,Trigger),"--")</f>
        <v>9.6000000000000009E-3</v>
      </c>
      <c r="P14" s="108" t="b">
        <v>1</v>
      </c>
      <c r="Q14" s="105">
        <v>20</v>
      </c>
      <c r="R14" s="105">
        <v>1</v>
      </c>
      <c r="S14" s="110">
        <f>IFERROR(_xll.qlRateHelperEarliestDate(M14,Trigger),"--")</f>
        <v>42543</v>
      </c>
      <c r="T14" s="110">
        <f>IFERROR(_xll.qlRateHelperPillarDate(M14,Trigger),"--")</f>
        <v>42726</v>
      </c>
      <c r="V14" s="4" t="str">
        <f t="shared" si="3"/>
        <v>FRA</v>
      </c>
      <c r="W14" s="4" t="str">
        <v>obj_002c0</v>
      </c>
      <c r="X14" s="4" t="str">
        <f>IFERROR(_xll.qlRateHelperQuoteName(W14,Trigger),"")</f>
        <v>USD6x12F_Quote</v>
      </c>
      <c r="Y14" s="75">
        <f>IFERROR(_xll.qlRateHelperRate(W14,Trigger),"")</f>
        <v>1.042E-2</v>
      </c>
      <c r="Z14" s="11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42667</v>
      </c>
      <c r="AB14" s="5">
        <f>IFERROR(_xll.qlRateHelperPillarDate(W14,Trigger),"")</f>
        <v>42849</v>
      </c>
      <c r="AC14" s="83">
        <v>0.9901618995625443</v>
      </c>
    </row>
    <row r="15" spans="1:32" ht="11.25" customHeight="1" x14ac:dyDescent="0.2">
      <c r="A15" s="57" t="s">
        <v>128</v>
      </c>
      <c r="B15" s="126">
        <v>1</v>
      </c>
      <c r="C15" s="60" t="str">
        <f t="shared" ref="C15:C32" si="10">"x"&amp;B15+SUBSTITUTE(Tenor,"M","")&amp;"F"</f>
        <v>x7F</v>
      </c>
      <c r="D15" s="142"/>
      <c r="E15" s="142"/>
      <c r="F15" s="142"/>
      <c r="G15" s="59" t="str">
        <f t="shared" ref="G15:G32" si="11">PROPER(Currency)&amp;FamilyName&amp;Tenor</f>
        <v>UsdLibor6M</v>
      </c>
      <c r="H15" s="129" t="str">
        <f t="shared" ref="H15:H24" si="12">Currency&amp;B15&amp;C15&amp;QuoteSuffix</f>
        <v>USD1x7F_Quote</v>
      </c>
      <c r="I15" s="142"/>
      <c r="J15" s="62" t="str">
        <f>_xll.qlFraRateHelper(,H15,B15&amp;"M",G15,PillarDate,,Permanent,Trigger,ObjectOverwrite)</f>
        <v>obj_002aa#0006</v>
      </c>
      <c r="K15" s="52"/>
      <c r="L15" s="11" t="str">
        <f t="shared" si="8"/>
        <v>FRA</v>
      </c>
      <c r="M15" s="105" t="str">
        <f t="shared" si="9"/>
        <v>obj_002de#0006</v>
      </c>
      <c r="N15" s="159" t="str">
        <f>IFERROR(_xll.qlRateHelperQuoteName(M15,Trigger),"--")</f>
        <v>USD3x9F_Quote</v>
      </c>
      <c r="O15" s="109">
        <f>IFERROR(_xll.qlRateHelperQuoteValue($M15,Trigger),"--")</f>
        <v>9.8600000000000007E-3</v>
      </c>
      <c r="P15" s="108" t="b">
        <v>1</v>
      </c>
      <c r="Q15" s="105">
        <v>20</v>
      </c>
      <c r="R15" s="105">
        <v>1</v>
      </c>
      <c r="S15" s="110">
        <f>IFERROR(_xll.qlRateHelperEarliestDate(M15,Trigger),"--")</f>
        <v>42573</v>
      </c>
      <c r="T15" s="110">
        <f>IFERROR(_xll.qlRateHelperPillarDate(M15,Trigger),"--")</f>
        <v>42758</v>
      </c>
      <c r="V15" s="4" t="str">
        <f t="shared" si="3"/>
        <v>FRA</v>
      </c>
      <c r="W15" s="4" t="str">
        <v>obj_002ff</v>
      </c>
      <c r="X15" s="4" t="str">
        <f>IFERROR(_xll.qlRateHelperQuoteName(W15,Trigger),"")</f>
        <v>USD7x13F_Quote</v>
      </c>
      <c r="Y15" s="75">
        <f>IFERROR(_xll.qlRateHelperRate(W15,Trigger),"")</f>
        <v>1.0580000000000001E-2</v>
      </c>
      <c r="Z15" s="11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42696</v>
      </c>
      <c r="AB15" s="5">
        <f>IFERROR(_xll.qlRateHelperPillarDate(W15,Trigger),"")</f>
        <v>42877</v>
      </c>
      <c r="AC15" s="83">
        <v>0.98931417332429228</v>
      </c>
    </row>
    <row r="16" spans="1:32" ht="11.25" customHeight="1" x14ac:dyDescent="0.2">
      <c r="A16" s="63" t="s">
        <v>128</v>
      </c>
      <c r="B16" s="127">
        <v>2</v>
      </c>
      <c r="C16" s="67" t="str">
        <f t="shared" si="10"/>
        <v>x8F</v>
      </c>
      <c r="D16" s="136"/>
      <c r="E16" s="136"/>
      <c r="F16" s="136"/>
      <c r="G16" s="65" t="str">
        <f t="shared" si="11"/>
        <v>UsdLibor6M</v>
      </c>
      <c r="H16" s="130" t="str">
        <f t="shared" si="12"/>
        <v>USD2x8F_Quote</v>
      </c>
      <c r="I16" s="136"/>
      <c r="J16" s="69" t="str">
        <f>_xll.qlFraRateHelper(,H16,B16&amp;"M",G16,PillarDate,,Permanent,Trigger,ObjectOverwrite)</f>
        <v>obj_002b4#0006</v>
      </c>
      <c r="K16" s="52"/>
      <c r="L16" s="11" t="str">
        <f t="shared" si="8"/>
        <v>FRA</v>
      </c>
      <c r="M16" s="105" t="str">
        <f t="shared" si="9"/>
        <v>obj_002ef#0006</v>
      </c>
      <c r="N16" s="159" t="str">
        <f>IFERROR(_xll.qlRateHelperQuoteName(M16,Trigger),"--")</f>
        <v>USD4x10F_Quote</v>
      </c>
      <c r="O16" s="109">
        <f>IFERROR(_xll.qlRateHelperQuoteValue($M16,Trigger),"--")</f>
        <v>1.0059999999999999E-2</v>
      </c>
      <c r="P16" s="108" t="b">
        <v>1</v>
      </c>
      <c r="Q16" s="105">
        <v>20</v>
      </c>
      <c r="R16" s="105">
        <v>1</v>
      </c>
      <c r="S16" s="110">
        <f>IFERROR(_xll.qlRateHelperEarliestDate(M16,Trigger),"--")</f>
        <v>42604</v>
      </c>
      <c r="T16" s="110">
        <f>IFERROR(_xll.qlRateHelperPillarDate(M16,Trigger),"--")</f>
        <v>42788</v>
      </c>
      <c r="V16" s="4" t="str">
        <f t="shared" si="3"/>
        <v>FRA</v>
      </c>
      <c r="W16" s="4" t="str">
        <v>obj_00290</v>
      </c>
      <c r="X16" s="4" t="str">
        <f>IFERROR(_xll.qlRateHelperQuoteName(W16,Trigger),"")</f>
        <v>USD8x14F_Quote</v>
      </c>
      <c r="Y16" s="75">
        <f>IFERROR(_xll.qlRateHelperRate(W16,Trigger),"")</f>
        <v>1.073E-2</v>
      </c>
      <c r="Z16" s="11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42726</v>
      </c>
      <c r="AB16" s="5">
        <f>IFERROR(_xll.qlRateHelperPillarDate(W16,Trigger),"")</f>
        <v>42908</v>
      </c>
      <c r="AC16" s="83">
        <v>0.9883637662524235</v>
      </c>
    </row>
    <row r="17" spans="1:29" ht="11.25" customHeight="1" x14ac:dyDescent="0.2">
      <c r="A17" s="63" t="s">
        <v>128</v>
      </c>
      <c r="B17" s="127">
        <v>3</v>
      </c>
      <c r="C17" s="67" t="str">
        <f t="shared" si="10"/>
        <v>x9F</v>
      </c>
      <c r="D17" s="136"/>
      <c r="E17" s="136"/>
      <c r="F17" s="136"/>
      <c r="G17" s="65" t="str">
        <f t="shared" si="11"/>
        <v>UsdLibor6M</v>
      </c>
      <c r="H17" s="130" t="str">
        <f t="shared" si="12"/>
        <v>USD3x9F_Quote</v>
      </c>
      <c r="I17" s="136"/>
      <c r="J17" s="69" t="str">
        <f>_xll.qlFraRateHelper(,H17,B17&amp;"M",G17,PillarDate,,Permanent,Trigger,ObjectOverwrite)</f>
        <v>obj_002de#0006</v>
      </c>
      <c r="K17" s="52"/>
      <c r="L17" s="11" t="str">
        <f t="shared" si="8"/>
        <v>FRA</v>
      </c>
      <c r="M17" s="105" t="str">
        <f t="shared" si="9"/>
        <v>obj_002cf#0006</v>
      </c>
      <c r="N17" s="159" t="str">
        <f>IFERROR(_xll.qlRateHelperQuoteName(M17,Trigger),"--")</f>
        <v>USD5x11F_Quote</v>
      </c>
      <c r="O17" s="109">
        <f>IFERROR(_xll.qlRateHelperQuoteValue($M17,Trigger),"--")</f>
        <v>1.0240000000000001E-2</v>
      </c>
      <c r="P17" s="108" t="b">
        <v>1</v>
      </c>
      <c r="Q17" s="105">
        <v>20</v>
      </c>
      <c r="R17" s="105">
        <v>1</v>
      </c>
      <c r="S17" s="110">
        <f>IFERROR(_xll.qlRateHelperEarliestDate(M17,Trigger),"--")</f>
        <v>42635</v>
      </c>
      <c r="T17" s="110">
        <f>IFERROR(_xll.qlRateHelperPillarDate(M17,Trigger),"--")</f>
        <v>42816</v>
      </c>
      <c r="V17" s="4" t="str">
        <f t="shared" si="3"/>
        <v>FRA</v>
      </c>
      <c r="W17" s="4" t="str">
        <v>obj_002b5</v>
      </c>
      <c r="X17" s="4" t="str">
        <f>IFERROR(_xll.qlRateHelperQuoteName(W17,Trigger),"")</f>
        <v>USD9x15F_Quote</v>
      </c>
      <c r="Y17" s="75">
        <f>IFERROR(_xll.qlRateHelperRate(W17,Trigger),"")</f>
        <v>1.0880000000000001E-2</v>
      </c>
      <c r="Z17" s="115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42758</v>
      </c>
      <c r="AB17" s="5">
        <f>IFERROR(_xll.qlRateHelperPillarDate(W17,Trigger),"")</f>
        <v>42940</v>
      </c>
      <c r="AC17" s="83">
        <v>0.98737661420477629</v>
      </c>
    </row>
    <row r="18" spans="1:29" ht="11.25" customHeight="1" x14ac:dyDescent="0.2">
      <c r="A18" s="63" t="s">
        <v>128</v>
      </c>
      <c r="B18" s="127">
        <v>4</v>
      </c>
      <c r="C18" s="67" t="str">
        <f t="shared" si="10"/>
        <v>x10F</v>
      </c>
      <c r="D18" s="136"/>
      <c r="E18" s="136"/>
      <c r="F18" s="136"/>
      <c r="G18" s="65" t="str">
        <f t="shared" si="11"/>
        <v>UsdLibor6M</v>
      </c>
      <c r="H18" s="130" t="str">
        <f t="shared" si="12"/>
        <v>USD4x10F_Quote</v>
      </c>
      <c r="I18" s="136"/>
      <c r="J18" s="69" t="str">
        <f>_xll.qlFraRateHelper(,H18,B18&amp;"M",G18,PillarDate,,Permanent,Trigger,ObjectOverwrite)</f>
        <v>obj_002ef#0006</v>
      </c>
      <c r="K18" s="52"/>
      <c r="L18" s="11" t="str">
        <f t="shared" si="8"/>
        <v>FRA</v>
      </c>
      <c r="M18" s="105" t="str">
        <f t="shared" si="9"/>
        <v>obj_002c0#0006</v>
      </c>
      <c r="N18" s="159" t="str">
        <f>IFERROR(_xll.qlRateHelperQuoteName(M18,Trigger),"--")</f>
        <v>USD6x12F_Quote</v>
      </c>
      <c r="O18" s="109">
        <f>IFERROR(_xll.qlRateHelperQuoteValue($M18,Trigger),"--")</f>
        <v>1.042E-2</v>
      </c>
      <c r="P18" s="108" t="b">
        <v>1</v>
      </c>
      <c r="Q18" s="105">
        <v>20</v>
      </c>
      <c r="R18" s="105">
        <v>1</v>
      </c>
      <c r="S18" s="110">
        <f>IFERROR(_xll.qlRateHelperEarliestDate(M18,Trigger),"--")</f>
        <v>42667</v>
      </c>
      <c r="T18" s="110">
        <f>IFERROR(_xll.qlRateHelperPillarDate(M18,Trigger),"--")</f>
        <v>42849</v>
      </c>
      <c r="V18" s="4" t="str">
        <f t="shared" si="3"/>
        <v>FRA</v>
      </c>
      <c r="W18" s="4" t="str">
        <v>obj_00287</v>
      </c>
      <c r="X18" s="4" t="str">
        <f>IFERROR(_xll.qlRateHelperQuoteName(W18,Trigger),"")</f>
        <v>USD10x16F_Quote</v>
      </c>
      <c r="Y18" s="75">
        <f>IFERROR(_xll.qlRateHelperRate(W18,Trigger),"")</f>
        <v>1.1000000000000001E-2</v>
      </c>
      <c r="Z18" s="115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42788</v>
      </c>
      <c r="AB18" s="5">
        <f>IFERROR(_xll.qlRateHelperPillarDate(W18,Trigger),"")</f>
        <v>42969</v>
      </c>
      <c r="AC18" s="83">
        <v>0.98649264818244553</v>
      </c>
    </row>
    <row r="19" spans="1:29" ht="11.25" customHeight="1" x14ac:dyDescent="0.2">
      <c r="A19" s="63" t="s">
        <v>128</v>
      </c>
      <c r="B19" s="127">
        <v>5</v>
      </c>
      <c r="C19" s="67" t="str">
        <f t="shared" si="10"/>
        <v>x11F</v>
      </c>
      <c r="D19" s="136"/>
      <c r="E19" s="136"/>
      <c r="F19" s="136"/>
      <c r="G19" s="65" t="str">
        <f t="shared" si="11"/>
        <v>UsdLibor6M</v>
      </c>
      <c r="H19" s="130" t="str">
        <f t="shared" si="12"/>
        <v>USD5x11F_Quote</v>
      </c>
      <c r="I19" s="136"/>
      <c r="J19" s="69" t="str">
        <f>_xll.qlFraRateHelper(,H19,B19&amp;"M",G19,PillarDate,,Permanent,Trigger,ObjectOverwrite)</f>
        <v>obj_002cf#0006</v>
      </c>
      <c r="K19" s="52"/>
      <c r="L19" s="11" t="str">
        <f t="shared" si="8"/>
        <v>FRA</v>
      </c>
      <c r="M19" s="105" t="str">
        <f t="shared" si="9"/>
        <v>obj_002ff#0006</v>
      </c>
      <c r="N19" s="159" t="str">
        <f>IFERROR(_xll.qlRateHelperQuoteName(M19,Trigger),"--")</f>
        <v>USD7x13F_Quote</v>
      </c>
      <c r="O19" s="109">
        <f>IFERROR(_xll.qlRateHelperQuoteValue($M19,Trigger),"--")</f>
        <v>1.0580000000000001E-2</v>
      </c>
      <c r="P19" s="174" t="b">
        <f>NOT(ISERROR(_xll.qlQuoteValue(N19)))</f>
        <v>1</v>
      </c>
      <c r="Q19" s="105">
        <v>20</v>
      </c>
      <c r="R19" s="105">
        <v>1</v>
      </c>
      <c r="S19" s="110">
        <f>IFERROR(_xll.qlRateHelperEarliestDate(M19,Trigger),"--")</f>
        <v>42696</v>
      </c>
      <c r="T19" s="110">
        <f>IFERROR(_xll.qlRateHelperPillarDate(M19,Trigger),"--")</f>
        <v>42877</v>
      </c>
      <c r="V19" s="4" t="str">
        <f t="shared" si="3"/>
        <v>FRA</v>
      </c>
      <c r="W19" s="4" t="str">
        <v>obj_002ed</v>
      </c>
      <c r="X19" s="4" t="str">
        <f>IFERROR(_xll.qlRateHelperQuoteName(W19,Trigger),"")</f>
        <v>USD12x18F_Quote</v>
      </c>
      <c r="Y19" s="75">
        <f>IFERROR(_xll.qlRateHelperRate(W19,Trigger),"")</f>
        <v>1.123E-2</v>
      </c>
      <c r="Z19" s="115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42849</v>
      </c>
      <c r="AB19" s="5">
        <f>IFERROR(_xll.qlRateHelperPillarDate(W19,Trigger),"")</f>
        <v>43031</v>
      </c>
      <c r="AC19" s="83">
        <v>0.98457328713202674</v>
      </c>
    </row>
    <row r="20" spans="1:29" ht="11.25" customHeight="1" x14ac:dyDescent="0.2">
      <c r="A20" s="63" t="s">
        <v>128</v>
      </c>
      <c r="B20" s="127">
        <v>6</v>
      </c>
      <c r="C20" s="67" t="str">
        <f t="shared" si="10"/>
        <v>x12F</v>
      </c>
      <c r="D20" s="136"/>
      <c r="E20" s="136"/>
      <c r="F20" s="136"/>
      <c r="G20" s="65" t="str">
        <f t="shared" si="11"/>
        <v>UsdLibor6M</v>
      </c>
      <c r="H20" s="130" t="str">
        <f t="shared" si="12"/>
        <v>USD6x12F_Quote</v>
      </c>
      <c r="I20" s="136"/>
      <c r="J20" s="69" t="str">
        <f>_xll.qlFraRateHelper(,H20,B20&amp;"M",G20,PillarDate,,Permanent,Trigger,ObjectOverwrite)</f>
        <v>obj_002c0#0006</v>
      </c>
      <c r="K20" s="52"/>
      <c r="L20" s="11" t="str">
        <f t="shared" si="8"/>
        <v>FRA</v>
      </c>
      <c r="M20" s="105" t="str">
        <f t="shared" si="9"/>
        <v>obj_00290#0006</v>
      </c>
      <c r="N20" s="159" t="str">
        <f>IFERROR(_xll.qlRateHelperQuoteName(M20,Trigger),"--")</f>
        <v>USD8x14F_Quote</v>
      </c>
      <c r="O20" s="109">
        <f>IFERROR(_xll.qlRateHelperQuoteValue($M20,Trigger),"--")</f>
        <v>1.073E-2</v>
      </c>
      <c r="P20" s="174" t="b">
        <f>NOT(ISERROR(_xll.qlQuoteValue(N20)))</f>
        <v>1</v>
      </c>
      <c r="Q20" s="105">
        <v>20</v>
      </c>
      <c r="R20" s="105">
        <v>1</v>
      </c>
      <c r="S20" s="110">
        <f>IFERROR(_xll.qlRateHelperEarliestDate(M20,Trigger),"--")</f>
        <v>42726</v>
      </c>
      <c r="T20" s="110">
        <f>IFERROR(_xll.qlRateHelperPillarDate(M20,Trigger),"--")</f>
        <v>42908</v>
      </c>
      <c r="V20" s="4" t="str">
        <f t="shared" si="3"/>
        <v>FRA</v>
      </c>
      <c r="W20" s="4" t="str">
        <v>obj_002b6</v>
      </c>
      <c r="X20" s="4" t="str">
        <f>IFERROR(_xll.qlRateHelperQuoteName(W20,Trigger),"")</f>
        <v>USD13x19F_Quote</v>
      </c>
      <c r="Y20" s="75">
        <f>IFERROR(_xll.qlRateHelperRate(W20,Trigger),"")</f>
        <v>1.1350000000000001E-2</v>
      </c>
      <c r="Z20" s="115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42877</v>
      </c>
      <c r="AB20" s="5">
        <f>IFERROR(_xll.qlRateHelperPillarDate(W20,Trigger),"")</f>
        <v>43061</v>
      </c>
      <c r="AC20" s="83">
        <v>0.98360815313814309</v>
      </c>
    </row>
    <row r="21" spans="1:29" ht="11.25" customHeight="1" x14ac:dyDescent="0.2">
      <c r="A21" s="63" t="s">
        <v>128</v>
      </c>
      <c r="B21" s="127">
        <v>7</v>
      </c>
      <c r="C21" s="67" t="str">
        <f t="shared" si="10"/>
        <v>x13F</v>
      </c>
      <c r="D21" s="136"/>
      <c r="E21" s="136"/>
      <c r="F21" s="136"/>
      <c r="G21" s="65" t="str">
        <f t="shared" si="11"/>
        <v>UsdLibor6M</v>
      </c>
      <c r="H21" s="130" t="str">
        <f t="shared" si="12"/>
        <v>USD7x13F_Quote</v>
      </c>
      <c r="I21" s="136"/>
      <c r="J21" s="69" t="str">
        <f>_xll.qlFraRateHelper(,H21,B21&amp;"M",G21,PillarDate,,Permanent,Trigger,ObjectOverwrite)</f>
        <v>obj_002ff#0006</v>
      </c>
      <c r="K21" s="52"/>
      <c r="L21" s="11" t="str">
        <f t="shared" si="8"/>
        <v>FRA</v>
      </c>
      <c r="M21" s="105" t="str">
        <f t="shared" si="9"/>
        <v>obj_002b5#0006</v>
      </c>
      <c r="N21" s="159" t="str">
        <f>IFERROR(_xll.qlRateHelperQuoteName(M21,Trigger),"--")</f>
        <v>USD9x15F_Quote</v>
      </c>
      <c r="O21" s="109">
        <f>IFERROR(_xll.qlRateHelperQuoteValue($M21,Trigger),"--")</f>
        <v>1.0880000000000001E-2</v>
      </c>
      <c r="P21" s="108" t="b">
        <v>1</v>
      </c>
      <c r="Q21" s="105">
        <v>20</v>
      </c>
      <c r="R21" s="105">
        <v>1</v>
      </c>
      <c r="S21" s="110">
        <f>IFERROR(_xll.qlRateHelperEarliestDate(M21,Trigger),"--")</f>
        <v>42758</v>
      </c>
      <c r="T21" s="110">
        <f>IFERROR(_xll.qlRateHelperPillarDate(M21,Trigger),"--")</f>
        <v>42940</v>
      </c>
      <c r="V21" s="4" t="str">
        <f t="shared" si="3"/>
        <v>BasSw</v>
      </c>
      <c r="W21" s="4" t="str">
        <v>obj_002d6</v>
      </c>
      <c r="X21" s="4" t="str">
        <f>IFERROR(_xll.qlRateHelperQuoteName(W21,Trigger),"")</f>
        <v>USDAM3L2Y_S6L3L_Quote</v>
      </c>
      <c r="Y21" s="75">
        <f>IFERROR(_xll.qlRateHelperRate(W21,Trigger),"")</f>
        <v>1.0776031364903217E-2</v>
      </c>
      <c r="Z21" s="11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42482</v>
      </c>
      <c r="AB21" s="5">
        <f>IFERROR(_xll.qlRateHelperPillarDate(W21,Trigger),"")</f>
        <v>43213</v>
      </c>
      <c r="AC21" s="83">
        <v>0.97844099118189942</v>
      </c>
    </row>
    <row r="22" spans="1:29" ht="11.25" customHeight="1" x14ac:dyDescent="0.2">
      <c r="A22" s="63" t="s">
        <v>128</v>
      </c>
      <c r="B22" s="127">
        <v>8</v>
      </c>
      <c r="C22" s="67" t="str">
        <f t="shared" si="10"/>
        <v>x14F</v>
      </c>
      <c r="D22" s="136"/>
      <c r="E22" s="136"/>
      <c r="F22" s="136"/>
      <c r="G22" s="65" t="str">
        <f t="shared" si="11"/>
        <v>UsdLibor6M</v>
      </c>
      <c r="H22" s="130" t="str">
        <f t="shared" si="12"/>
        <v>USD8x14F_Quote</v>
      </c>
      <c r="I22" s="136"/>
      <c r="J22" s="69" t="str">
        <f>_xll.qlFraRateHelper(,H22,B22&amp;"M",G22,PillarDate,,Permanent,Trigger,ObjectOverwrite)</f>
        <v>obj_00290#0006</v>
      </c>
      <c r="K22" s="52"/>
      <c r="L22" s="11" t="str">
        <f t="shared" si="8"/>
        <v>FRA</v>
      </c>
      <c r="M22" s="105" t="str">
        <f t="shared" si="9"/>
        <v>obj_00287#0006</v>
      </c>
      <c r="N22" s="159" t="str">
        <f>IFERROR(_xll.qlRateHelperQuoteName(M22,Trigger),"--")</f>
        <v>USD10x16F_Quote</v>
      </c>
      <c r="O22" s="109">
        <f>IFERROR(_xll.qlRateHelperQuoteValue($M22,Trigger),"--")</f>
        <v>1.1000000000000001E-2</v>
      </c>
      <c r="P22" s="174" t="b">
        <f>NOT(ISERROR(_xll.qlQuoteValue(N22)))</f>
        <v>1</v>
      </c>
      <c r="Q22" s="105">
        <v>20</v>
      </c>
      <c r="R22" s="105">
        <v>1</v>
      </c>
      <c r="S22" s="110">
        <f>IFERROR(_xll.qlRateHelperEarliestDate(M22,Trigger),"--")</f>
        <v>42788</v>
      </c>
      <c r="T22" s="110">
        <f>IFERROR(_xll.qlRateHelperPillarDate(M22,Trigger),"--")</f>
        <v>42969</v>
      </c>
      <c r="V22" s="4" t="str">
        <f t="shared" si="3"/>
        <v>BasSw</v>
      </c>
      <c r="W22" s="4" t="str">
        <v>obj_002d0</v>
      </c>
      <c r="X22" s="4" t="str">
        <f>IFERROR(_xll.qlRateHelperQuoteName(W22,Trigger),"")</f>
        <v>USDAM3L3Y_S6L3L_Quote</v>
      </c>
      <c r="Y22" s="75">
        <f>IFERROR(_xll.qlRateHelperRate(W22,Trigger),"")</f>
        <v>1.1584965716478058E-2</v>
      </c>
      <c r="Z22" s="11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42482</v>
      </c>
      <c r="AB22" s="5">
        <f>IFERROR(_xll.qlRateHelperPillarDate(W22,Trigger),"")</f>
        <v>43578</v>
      </c>
      <c r="AC22" s="83">
        <v>0.96548113572149019</v>
      </c>
    </row>
    <row r="23" spans="1:29" ht="11.25" customHeight="1" x14ac:dyDescent="0.2">
      <c r="A23" s="63" t="s">
        <v>128</v>
      </c>
      <c r="B23" s="127">
        <v>9</v>
      </c>
      <c r="C23" s="67" t="str">
        <f t="shared" si="10"/>
        <v>x15F</v>
      </c>
      <c r="D23" s="136"/>
      <c r="E23" s="136"/>
      <c r="F23" s="136"/>
      <c r="G23" s="65" t="str">
        <f t="shared" si="11"/>
        <v>UsdLibor6M</v>
      </c>
      <c r="H23" s="130" t="str">
        <f t="shared" si="12"/>
        <v>USD9x15F_Quote</v>
      </c>
      <c r="I23" s="136"/>
      <c r="J23" s="69" t="str">
        <f>_xll.qlFraRateHelper(,H23,B23&amp;"M",G23,PillarDate,,Permanent,Trigger,ObjectOverwrite)</f>
        <v>obj_002b5#0006</v>
      </c>
      <c r="K23" s="52"/>
      <c r="L23" s="11" t="str">
        <f t="shared" si="8"/>
        <v>FRA</v>
      </c>
      <c r="M23" s="105" t="str">
        <f t="shared" si="9"/>
        <v>--</v>
      </c>
      <c r="N23" s="159" t="str">
        <f>IFERROR(_xll.qlRateHelperQuoteName(M23,Trigger),"--")</f>
        <v>--</v>
      </c>
      <c r="O23" s="109" t="str">
        <f>IFERROR(_xll.qlRateHelperQuoteValue($M23,Trigger),"--")</f>
        <v>--</v>
      </c>
      <c r="P23" s="108" t="b">
        <v>0</v>
      </c>
      <c r="Q23" s="105">
        <v>20</v>
      </c>
      <c r="R23" s="105">
        <v>1</v>
      </c>
      <c r="S23" s="110" t="str">
        <f>IFERROR(_xll.qlRateHelperEarliestDate(M23,Trigger),"--")</f>
        <v>--</v>
      </c>
      <c r="T23" s="110" t="str">
        <f>IFERROR(_xll.qlRateHelperPillarDate(M23,Trigger),"--")</f>
        <v>--</v>
      </c>
      <c r="V23" s="4" t="str">
        <f t="shared" si="3"/>
        <v>BasSw</v>
      </c>
      <c r="W23" s="4" t="str">
        <v>obj_002e8</v>
      </c>
      <c r="X23" s="4" t="str">
        <f>IFERROR(_xll.qlRateHelperQuoteName(W23,Trigger),"")</f>
        <v>USDAM3L4Y_S6L3L_Quote</v>
      </c>
      <c r="Y23" s="75">
        <f>IFERROR(_xll.qlRateHelperRate(W23,Trigger),"")</f>
        <v>1.2485226512339043E-2</v>
      </c>
      <c r="Z23" s="11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42482</v>
      </c>
      <c r="AB23" s="5">
        <f>IFERROR(_xll.qlRateHelperPillarDate(W23,Trigger),"")</f>
        <v>43943</v>
      </c>
      <c r="AC23" s="83">
        <v>0.95077321537798032</v>
      </c>
    </row>
    <row r="24" spans="1:29" ht="11.25" customHeight="1" x14ac:dyDescent="0.2">
      <c r="A24" s="63" t="s">
        <v>128</v>
      </c>
      <c r="B24" s="127">
        <v>10</v>
      </c>
      <c r="C24" s="67" t="str">
        <f t="shared" si="10"/>
        <v>x16F</v>
      </c>
      <c r="D24" s="136"/>
      <c r="E24" s="136"/>
      <c r="F24" s="136"/>
      <c r="G24" s="65" t="str">
        <f t="shared" si="11"/>
        <v>UsdLibor6M</v>
      </c>
      <c r="H24" s="130" t="str">
        <f t="shared" si="12"/>
        <v>USD10x16F_Quote</v>
      </c>
      <c r="I24" s="136"/>
      <c r="J24" s="69" t="str">
        <f>_xll.qlFraRateHelper(,H24,B24&amp;"M",G24,PillarDate,,Permanent,Trigger,ObjectOverwrite)</f>
        <v>obj_00287#0006</v>
      </c>
      <c r="K24" s="52"/>
      <c r="L24" s="11" t="str">
        <f t="shared" si="8"/>
        <v>FRA</v>
      </c>
      <c r="M24" s="105" t="str">
        <f t="shared" si="9"/>
        <v>obj_002ed#0006</v>
      </c>
      <c r="N24" s="159" t="str">
        <f>IFERROR(_xll.qlRateHelperQuoteName(M24,Trigger),"--")</f>
        <v>USD12x18F_Quote</v>
      </c>
      <c r="O24" s="109">
        <f>IFERROR(_xll.qlRateHelperQuoteValue($M24,Trigger),"--")</f>
        <v>1.123E-2</v>
      </c>
      <c r="P24" s="108" t="b">
        <v>1</v>
      </c>
      <c r="Q24" s="105">
        <v>20</v>
      </c>
      <c r="R24" s="105">
        <v>1</v>
      </c>
      <c r="S24" s="110">
        <f>IFERROR(_xll.qlRateHelperEarliestDate(M24,Trigger),"--")</f>
        <v>42849</v>
      </c>
      <c r="T24" s="110">
        <f>IFERROR(_xll.qlRateHelperPillarDate(M24,Trigger),"--")</f>
        <v>43031</v>
      </c>
      <c r="V24" s="4" t="str">
        <f t="shared" si="3"/>
        <v>BasSw</v>
      </c>
      <c r="W24" s="4" t="str">
        <v>obj_002c1</v>
      </c>
      <c r="X24" s="4" t="str">
        <f>IFERROR(_xll.qlRateHelperQuoteName(W24,Trigger),"")</f>
        <v>USDAM3L5Y_S6L3L_Quote</v>
      </c>
      <c r="Y24" s="75">
        <f>IFERROR(_xll.qlRateHelperRate(W24,Trigger),"")</f>
        <v>1.3415520391521767E-2</v>
      </c>
      <c r="Z24" s="11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42482</v>
      </c>
      <c r="AB24" s="5">
        <f>IFERROR(_xll.qlRateHelperPillarDate(W24,Trigger),"")</f>
        <v>44308</v>
      </c>
      <c r="AC24" s="83">
        <v>0.93442077500889598</v>
      </c>
    </row>
    <row r="25" spans="1:29" ht="11.25" customHeight="1" x14ac:dyDescent="0.2">
      <c r="A25" s="63" t="s">
        <v>128</v>
      </c>
      <c r="B25" s="127">
        <v>11</v>
      </c>
      <c r="C25" s="67" t="str">
        <f t="shared" si="10"/>
        <v>x17F</v>
      </c>
      <c r="D25" s="136"/>
      <c r="E25" s="136"/>
      <c r="F25" s="136"/>
      <c r="G25" s="65" t="str">
        <f t="shared" si="11"/>
        <v>UsdLibor6M</v>
      </c>
      <c r="H25" s="130" t="str">
        <f t="shared" ref="H25:H32" si="13">Currency&amp;B25&amp;C25&amp;QuoteSuffix</f>
        <v>USD11x17F_Quote</v>
      </c>
      <c r="I25" s="136"/>
      <c r="J25" s="69"/>
      <c r="K25" s="52"/>
      <c r="L25" s="11" t="str">
        <f t="shared" si="8"/>
        <v>FRA</v>
      </c>
      <c r="M25" s="105" t="str">
        <f t="shared" si="9"/>
        <v>obj_002b6#0006</v>
      </c>
      <c r="N25" s="159" t="str">
        <f>IFERROR(_xll.qlRateHelperQuoteName(M25,Trigger),"--")</f>
        <v>USD13x19F_Quote</v>
      </c>
      <c r="O25" s="109">
        <f>IFERROR(_xll.qlRateHelperQuoteValue($M25,Trigger),"--")</f>
        <v>1.1350000000000001E-2</v>
      </c>
      <c r="P25" s="174" t="b">
        <f>NOT(ISERROR(_xll.qlQuoteValue(N25)))</f>
        <v>1</v>
      </c>
      <c r="Q25" s="105">
        <v>20</v>
      </c>
      <c r="R25" s="105">
        <v>1</v>
      </c>
      <c r="S25" s="110">
        <f>IFERROR(_xll.qlRateHelperEarliestDate(M25,Trigger),"--")</f>
        <v>42877</v>
      </c>
      <c r="T25" s="110">
        <f>IFERROR(_xll.qlRateHelperPillarDate(M25,Trigger),"--")</f>
        <v>43061</v>
      </c>
      <c r="V25" s="4" t="str">
        <f t="shared" si="3"/>
        <v>BasSw</v>
      </c>
      <c r="W25" s="4" t="str">
        <v>obj_002d8</v>
      </c>
      <c r="X25" s="4" t="str">
        <f>IFERROR(_xll.qlRateHelperQuoteName(W25,Trigger),"")</f>
        <v>USDAM3L6Y_S6L3L_Quote</v>
      </c>
      <c r="Y25" s="75">
        <f>IFERROR(_xll.qlRateHelperRate(W25,Trigger),"")</f>
        <v>1.4355845255589663E-2</v>
      </c>
      <c r="Z25" s="11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42482</v>
      </c>
      <c r="AB25" s="5">
        <f>IFERROR(_xll.qlRateHelperPillarDate(W25,Trigger),"")</f>
        <v>44673</v>
      </c>
      <c r="AC25" s="83">
        <v>0.91652735149184195</v>
      </c>
    </row>
    <row r="26" spans="1:29" ht="11.25" customHeight="1" x14ac:dyDescent="0.2">
      <c r="A26" s="63" t="s">
        <v>128</v>
      </c>
      <c r="B26" s="127">
        <v>12</v>
      </c>
      <c r="C26" s="67" t="str">
        <f t="shared" si="10"/>
        <v>x18F</v>
      </c>
      <c r="D26" s="136"/>
      <c r="E26" s="136"/>
      <c r="F26" s="136"/>
      <c r="G26" s="65" t="str">
        <f t="shared" si="11"/>
        <v>UsdLibor6M</v>
      </c>
      <c r="H26" s="130" t="str">
        <f t="shared" si="13"/>
        <v>USD12x18F_Quote</v>
      </c>
      <c r="I26" s="136"/>
      <c r="J26" s="69" t="str">
        <f>_xll.qlFraRateHelper(,H26,B26&amp;"M",G26,PillarDate,,Permanent,Trigger,ObjectOverwrite)</f>
        <v>obj_002ed#0006</v>
      </c>
      <c r="K26" s="52"/>
      <c r="L26" s="11" t="str">
        <f t="shared" si="8"/>
        <v>FRA</v>
      </c>
      <c r="M26" s="105" t="str">
        <f t="shared" si="9"/>
        <v>--</v>
      </c>
      <c r="N26" s="159" t="str">
        <f>IFERROR(_xll.qlRateHelperQuoteName(M26,Trigger),"--")</f>
        <v>--</v>
      </c>
      <c r="O26" s="109" t="str">
        <f>IFERROR(_xll.qlRateHelperQuoteValue($M26,Trigger),"--")</f>
        <v>--</v>
      </c>
      <c r="P26" s="108" t="b">
        <v>0</v>
      </c>
      <c r="Q26" s="105">
        <v>20</v>
      </c>
      <c r="R26" s="105">
        <v>1</v>
      </c>
      <c r="S26" s="110" t="str">
        <f>IFERROR(_xll.qlRateHelperEarliestDate(M26,Trigger),"--")</f>
        <v>--</v>
      </c>
      <c r="T26" s="110" t="str">
        <f>IFERROR(_xll.qlRateHelperPillarDate(M26,Trigger),"--")</f>
        <v>--</v>
      </c>
      <c r="V26" s="4" t="str">
        <f t="shared" si="3"/>
        <v>BasSw</v>
      </c>
      <c r="W26" s="4" t="str">
        <v>obj_00283</v>
      </c>
      <c r="X26" s="4" t="str">
        <f>IFERROR(_xll.qlRateHelperQuoteName(W26,Trigger),"")</f>
        <v>USDAM3L7Y_S6L3L_Quote</v>
      </c>
      <c r="Y26" s="75">
        <f>IFERROR(_xll.qlRateHelperRate(W26,Trigger),"")</f>
        <v>1.5256193888170991E-2</v>
      </c>
      <c r="Z26" s="11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42482</v>
      </c>
      <c r="AB26" s="5">
        <f>IFERROR(_xll.qlRateHelperPillarDate(W26,Trigger),"")</f>
        <v>45040</v>
      </c>
      <c r="AC26" s="83">
        <v>0.89739663477464249</v>
      </c>
    </row>
    <row r="27" spans="1:29" ht="11.25" customHeight="1" x14ac:dyDescent="0.2">
      <c r="A27" s="63" t="s">
        <v>128</v>
      </c>
      <c r="B27" s="127">
        <v>13</v>
      </c>
      <c r="C27" s="67" t="str">
        <f t="shared" si="10"/>
        <v>x19F</v>
      </c>
      <c r="D27" s="136"/>
      <c r="E27" s="136"/>
      <c r="F27" s="136"/>
      <c r="G27" s="65" t="str">
        <f t="shared" si="11"/>
        <v>UsdLibor6M</v>
      </c>
      <c r="H27" s="130" t="str">
        <f t="shared" si="13"/>
        <v>USD13x19F_Quote</v>
      </c>
      <c r="I27" s="136"/>
      <c r="J27" s="69" t="str">
        <f>_xll.qlFraRateHelper(,H27,B27&amp;"M",G27,PillarDate,,Permanent,Trigger,ObjectOverwrite)</f>
        <v>obj_002b6#0006</v>
      </c>
      <c r="K27" s="52"/>
      <c r="L27" s="11" t="str">
        <f>A29</f>
        <v>FRA</v>
      </c>
      <c r="M27" s="105" t="str">
        <f>IF(ISBLANK(J29),"--",J29)</f>
        <v>--</v>
      </c>
      <c r="N27" s="159" t="str">
        <f>IFERROR(_xll.qlRateHelperQuoteName(M27,Trigger),"--")</f>
        <v>--</v>
      </c>
      <c r="O27" s="109" t="str">
        <f>IFERROR(_xll.qlRateHelperQuoteValue($M27,Trigger),"--")</f>
        <v>--</v>
      </c>
      <c r="P27" s="108" t="b">
        <v>0</v>
      </c>
      <c r="Q27" s="105">
        <v>20</v>
      </c>
      <c r="R27" s="105">
        <v>1</v>
      </c>
      <c r="S27" s="110" t="str">
        <f>IFERROR(_xll.qlRateHelperEarliestDate(M27,Trigger),"--")</f>
        <v>--</v>
      </c>
      <c r="T27" s="110" t="str">
        <f>IFERROR(_xll.qlRateHelperPillarDate(M27,Trigger),"--")</f>
        <v>--</v>
      </c>
      <c r="V27" s="4" t="str">
        <f t="shared" si="3"/>
        <v>BasSw</v>
      </c>
      <c r="W27" s="4" t="str">
        <v>obj_00297</v>
      </c>
      <c r="X27" s="4" t="str">
        <f>IFERROR(_xll.qlRateHelperQuoteName(W27,Trigger),"")</f>
        <v>USDAM3L8Y_S6L3L_Quote</v>
      </c>
      <c r="Y27" s="75">
        <f>IFERROR(_xll.qlRateHelperRate(W27,Trigger),"")</f>
        <v>1.6056525036029012E-2</v>
      </c>
      <c r="Z27" s="11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42482</v>
      </c>
      <c r="AB27" s="5">
        <f>IFERROR(_xll.qlRateHelperPillarDate(W27,Trigger),"")</f>
        <v>45404</v>
      </c>
      <c r="AC27" s="83">
        <v>0.87783649478708214</v>
      </c>
    </row>
    <row r="28" spans="1:29" ht="11.25" customHeight="1" x14ac:dyDescent="0.2">
      <c r="A28" s="63" t="s">
        <v>128</v>
      </c>
      <c r="B28" s="127">
        <v>14</v>
      </c>
      <c r="C28" s="67" t="str">
        <f t="shared" si="10"/>
        <v>x20F</v>
      </c>
      <c r="D28" s="136"/>
      <c r="E28" s="136"/>
      <c r="F28" s="136"/>
      <c r="G28" s="65" t="str">
        <f t="shared" si="11"/>
        <v>UsdLibor6M</v>
      </c>
      <c r="H28" s="130" t="str">
        <f t="shared" si="13"/>
        <v>USD14x20F_Quote</v>
      </c>
      <c r="I28" s="136"/>
      <c r="J28" s="69"/>
      <c r="K28" s="52"/>
      <c r="L28" s="11" t="str">
        <f t="shared" ref="L28:L29" si="14">A30</f>
        <v>FRA</v>
      </c>
      <c r="M28" s="105" t="str">
        <f t="shared" ref="M28:M29" si="15">IF(ISBLANK(J30),"--",J30)</f>
        <v>--</v>
      </c>
      <c r="N28" s="159" t="str">
        <f>IFERROR(_xll.qlRateHelperQuoteName(M28,Trigger),"--")</f>
        <v>--</v>
      </c>
      <c r="O28" s="109" t="str">
        <f>IFERROR(_xll.qlRateHelperQuoteValue($M28,Trigger),"--")</f>
        <v>--</v>
      </c>
      <c r="P28" s="108" t="b">
        <v>0</v>
      </c>
      <c r="Q28" s="105">
        <v>20</v>
      </c>
      <c r="R28" s="105">
        <v>1</v>
      </c>
      <c r="S28" s="110" t="str">
        <f>IFERROR(_xll.qlRateHelperEarliestDate(M28,Trigger),"--")</f>
        <v>--</v>
      </c>
      <c r="T28" s="110" t="str">
        <f>IFERROR(_xll.qlRateHelperPillarDate(M28,Trigger),"--")</f>
        <v>--</v>
      </c>
      <c r="V28" s="4" t="str">
        <f t="shared" si="3"/>
        <v>BasSw</v>
      </c>
      <c r="W28" s="4" t="str">
        <v>obj_00294</v>
      </c>
      <c r="X28" s="4" t="str">
        <f>IFERROR(_xll.qlRateHelperQuoteName(W28,Trigger),"")</f>
        <v>USDAM3L9Y_S6L3L_Quote</v>
      </c>
      <c r="Y28" s="75">
        <f>IFERROR(_xll.qlRateHelperRate(W28,Trigger),"")</f>
        <v>1.6806919771073126E-2</v>
      </c>
      <c r="Z28" s="11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42482</v>
      </c>
      <c r="AB28" s="5">
        <f>IFERROR(_xll.qlRateHelperPillarDate(W28,Trigger),"")</f>
        <v>45769</v>
      </c>
      <c r="AC28" s="83">
        <v>0.85760507207866477</v>
      </c>
    </row>
    <row r="29" spans="1:29" ht="11.25" customHeight="1" x14ac:dyDescent="0.2">
      <c r="A29" s="63" t="s">
        <v>128</v>
      </c>
      <c r="B29" s="127">
        <v>15</v>
      </c>
      <c r="C29" s="67" t="str">
        <f t="shared" si="10"/>
        <v>x21F</v>
      </c>
      <c r="D29" s="136"/>
      <c r="E29" s="136"/>
      <c r="F29" s="136"/>
      <c r="G29" s="65" t="str">
        <f t="shared" si="11"/>
        <v>UsdLibor6M</v>
      </c>
      <c r="H29" s="130" t="str">
        <f t="shared" si="13"/>
        <v>USD15x21F_Quote</v>
      </c>
      <c r="I29" s="136"/>
      <c r="J29" s="69"/>
      <c r="K29" s="52"/>
      <c r="L29" s="11" t="str">
        <f t="shared" si="14"/>
        <v>FRA</v>
      </c>
      <c r="M29" s="105" t="str">
        <f t="shared" si="15"/>
        <v>--</v>
      </c>
      <c r="N29" s="159" t="str">
        <f>IFERROR(_xll.qlRateHelperQuoteName(M29,Trigger),"--")</f>
        <v>--</v>
      </c>
      <c r="O29" s="109" t="str">
        <f>IFERROR(_xll.qlRateHelperQuoteValue($M29,Trigger),"--")</f>
        <v>--</v>
      </c>
      <c r="P29" s="108" t="b">
        <v>0</v>
      </c>
      <c r="Q29" s="105">
        <v>20</v>
      </c>
      <c r="R29" s="105">
        <v>1</v>
      </c>
      <c r="S29" s="110" t="str">
        <f>IFERROR(_xll.qlRateHelperEarliestDate(M29,Trigger),"--")</f>
        <v>--</v>
      </c>
      <c r="T29" s="110" t="str">
        <f>IFERROR(_xll.qlRateHelperPillarDate(M29,Trigger),"--")</f>
        <v>--</v>
      </c>
      <c r="V29" s="4" t="str">
        <f t="shared" si="3"/>
        <v>BasSw</v>
      </c>
      <c r="W29" s="4" t="str">
        <v>obj_002a9</v>
      </c>
      <c r="X29" s="4" t="str">
        <f>IFERROR(_xll.qlRateHelperQuoteName(W29,Trigger),"")</f>
        <v>USDAM3L10Y_S6L3L_Quote</v>
      </c>
      <c r="Y29" s="75">
        <f>IFERROR(_xll.qlRateHelperRate(W29,Trigger),"")</f>
        <v>1.7527383634265887E-2</v>
      </c>
      <c r="Z29" s="11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42482</v>
      </c>
      <c r="AB29" s="5">
        <f>IFERROR(_xll.qlRateHelperPillarDate(W29,Trigger),"")</f>
        <v>46134</v>
      </c>
      <c r="AC29" s="83">
        <v>0.83674425545887099</v>
      </c>
    </row>
    <row r="30" spans="1:29" ht="11.25" customHeight="1" x14ac:dyDescent="0.2">
      <c r="A30" s="63" t="s">
        <v>128</v>
      </c>
      <c r="B30" s="127">
        <v>16</v>
      </c>
      <c r="C30" s="67" t="str">
        <f t="shared" si="10"/>
        <v>x22F</v>
      </c>
      <c r="D30" s="136"/>
      <c r="E30" s="136"/>
      <c r="F30" s="136"/>
      <c r="G30" s="65" t="str">
        <f t="shared" si="11"/>
        <v>UsdLibor6M</v>
      </c>
      <c r="H30" s="130" t="str">
        <f t="shared" si="13"/>
        <v>USD16x22F_Quote</v>
      </c>
      <c r="I30" s="136"/>
      <c r="J30" s="69"/>
      <c r="K30" s="52"/>
      <c r="L30" s="12" t="str">
        <f>A32</f>
        <v>FRA</v>
      </c>
      <c r="M30" s="106" t="str">
        <f>IF(ISBLANK(J32),"--",J32)</f>
        <v>--</v>
      </c>
      <c r="N30" s="160" t="str">
        <f>IFERROR(_xll.qlRateHelperQuoteName(M30,Trigger),"--")</f>
        <v>--</v>
      </c>
      <c r="O30" s="112" t="str">
        <f>IFERROR(_xll.qlRateHelperQuoteValue($M30,Trigger),"--")</f>
        <v>--</v>
      </c>
      <c r="P30" s="111" t="b">
        <v>0</v>
      </c>
      <c r="Q30" s="106">
        <v>20</v>
      </c>
      <c r="R30" s="106">
        <v>1</v>
      </c>
      <c r="S30" s="113" t="str">
        <f>IFERROR(_xll.qlRateHelperEarliestDate(M30,Trigger),"--")</f>
        <v>--</v>
      </c>
      <c r="T30" s="113" t="str">
        <f>IFERROR(_xll.qlRateHelperPillarDate(M30,Trigger),"--")</f>
        <v>--</v>
      </c>
      <c r="V30" s="4" t="str">
        <f t="shared" si="3"/>
        <v>BasSw</v>
      </c>
      <c r="W30" s="4" t="str">
        <v>obj_002c5</v>
      </c>
      <c r="X30" s="4" t="str">
        <f>IFERROR(_xll.qlRateHelperQuoteName(W30,Trigger),"")</f>
        <v>USDAM3L12Y_S6L3L_Quote</v>
      </c>
      <c r="Y30" s="75">
        <f>IFERROR(_xll.qlRateHelperRate(W30,Trigger),"")</f>
        <v>1.877829877978044E-2</v>
      </c>
      <c r="Z30" s="11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42482</v>
      </c>
      <c r="AB30" s="5">
        <f>IFERROR(_xll.qlRateHelperPillarDate(W30,Trigger),"")</f>
        <v>46867</v>
      </c>
      <c r="AC30" s="83">
        <v>0.79458347390922945</v>
      </c>
    </row>
    <row r="31" spans="1:29" ht="11.25" customHeight="1" x14ac:dyDescent="0.2">
      <c r="A31" s="63" t="s">
        <v>128</v>
      </c>
      <c r="B31" s="127">
        <v>17</v>
      </c>
      <c r="C31" s="67" t="str">
        <f t="shared" si="10"/>
        <v>x23F</v>
      </c>
      <c r="D31" s="136"/>
      <c r="E31" s="136"/>
      <c r="F31" s="136"/>
      <c r="G31" s="65" t="str">
        <f t="shared" si="11"/>
        <v>UsdLibor6M</v>
      </c>
      <c r="H31" s="130" t="str">
        <f t="shared" si="13"/>
        <v>USD17x23F_Quote</v>
      </c>
      <c r="I31" s="136"/>
      <c r="J31" s="69"/>
      <c r="K31" s="52"/>
      <c r="L31" s="11" t="str">
        <f>A35</f>
        <v>BasSw</v>
      </c>
      <c r="M31" s="105" t="str">
        <f>IF(ISBLANK(J35),"--",J35)</f>
        <v>--</v>
      </c>
      <c r="N31" s="159" t="str">
        <f>IFERROR(_xll.qlRateHelperQuoteName(M31,Trigger),"--")</f>
        <v>--</v>
      </c>
      <c r="O31" s="109" t="str">
        <f>IFERROR(_xll.qlRateHelperQuoteValue($M31,Trigger),"--")</f>
        <v>--</v>
      </c>
      <c r="P31" s="108" t="b">
        <v>0</v>
      </c>
      <c r="Q31" s="105">
        <v>40</v>
      </c>
      <c r="R31" s="105">
        <v>1</v>
      </c>
      <c r="S31" s="110" t="str">
        <f>IFERROR(_xll.qlRateHelperEarliestDate(M31,Trigger),"--")</f>
        <v>--</v>
      </c>
      <c r="T31" s="110" t="str">
        <f>IFERROR(_xll.qlRateHelperPillarDate(M31,Trigger),"--")</f>
        <v>--</v>
      </c>
      <c r="V31" s="4" t="str">
        <f t="shared" si="3"/>
        <v>BasSw</v>
      </c>
      <c r="W31" s="4" t="str">
        <v>obj_00312</v>
      </c>
      <c r="X31" s="4" t="str">
        <f>IFERROR(_xll.qlRateHelperQuoteName(W31,Trigger),"")</f>
        <v>USDAM3L15Y_S6L3L_Quote</v>
      </c>
      <c r="Y31" s="75">
        <f>IFERROR(_xll.qlRateHelperRate(W31,Trigger),"")</f>
        <v>2.0109342812999333E-2</v>
      </c>
      <c r="Z31" s="11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42482</v>
      </c>
      <c r="AB31" s="5">
        <f>IFERROR(_xll.qlRateHelperPillarDate(W31,Trigger),"")</f>
        <v>47960</v>
      </c>
      <c r="AC31" s="83">
        <v>0.73441920101553415</v>
      </c>
    </row>
    <row r="32" spans="1:29" ht="11.25" customHeight="1" x14ac:dyDescent="0.2">
      <c r="A32" s="1" t="s">
        <v>128</v>
      </c>
      <c r="B32" s="128">
        <v>18</v>
      </c>
      <c r="C32" s="10" t="str">
        <f t="shared" si="10"/>
        <v>x24F</v>
      </c>
      <c r="D32" s="137"/>
      <c r="E32" s="137"/>
      <c r="F32" s="137"/>
      <c r="G32" s="7" t="str">
        <f t="shared" si="11"/>
        <v>UsdLibor6M</v>
      </c>
      <c r="H32" s="131" t="str">
        <f t="shared" si="13"/>
        <v>USD18x24F_Quote</v>
      </c>
      <c r="I32" s="137"/>
      <c r="J32" s="3"/>
      <c r="K32" s="52"/>
      <c r="L32" s="11" t="str">
        <f t="shared" ref="L32:L66" si="16">A36</f>
        <v>BasSw</v>
      </c>
      <c r="M32" s="105" t="str">
        <f t="shared" ref="M32:M66" si="17">IF(ISBLANK(J36),"--",J36)</f>
        <v>obj_002d6#0006</v>
      </c>
      <c r="N32" s="159" t="str">
        <f>IFERROR(_xll.qlRateHelperQuoteName(M32,Trigger),"--")</f>
        <v>USDAM3L2Y_S6L3L_Quote</v>
      </c>
      <c r="O32" s="109">
        <f>IFERROR(_xll.qlRateHelperQuoteValue($M32,Trigger),"--")</f>
        <v>1.0776031364903217E-2</v>
      </c>
      <c r="P32" s="108" t="b">
        <v>1</v>
      </c>
      <c r="Q32" s="105">
        <v>40</v>
      </c>
      <c r="R32" s="105">
        <v>1</v>
      </c>
      <c r="S32" s="110">
        <f>IFERROR(_xll.qlRateHelperEarliestDate(M32,Trigger),"--")</f>
        <v>42482</v>
      </c>
      <c r="T32" s="110">
        <f>IFERROR(_xll.qlRateHelperPillarDate(M32,Trigger),"--")</f>
        <v>43213</v>
      </c>
      <c r="V32" s="4" t="str">
        <f t="shared" si="3"/>
        <v>BasSw</v>
      </c>
      <c r="W32" s="4" t="str">
        <v>obj_002d3</v>
      </c>
      <c r="X32" s="4" t="str">
        <f>IFERROR(_xll.qlRateHelperQuoteName(W32,Trigger),"")</f>
        <v>USDAM3L20Y_S6L3L_Quote</v>
      </c>
      <c r="Y32" s="75">
        <f>IFERROR(_xll.qlRateHelperRate(W32,Trigger),"")</f>
        <v>2.1400201390369366E-2</v>
      </c>
      <c r="Z32" s="11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42482</v>
      </c>
      <c r="AB32" s="5">
        <f>IFERROR(_xll.qlRateHelperPillarDate(W32,Trigger),"")</f>
        <v>49787</v>
      </c>
      <c r="AC32" s="83">
        <v>0.64429937480466926</v>
      </c>
    </row>
    <row r="33" spans="1:29" ht="11.25" customHeight="1" x14ac:dyDescent="0.2">
      <c r="B33" s="50"/>
      <c r="C33" s="50"/>
      <c r="D33" s="50"/>
      <c r="E33" s="50"/>
      <c r="F33" s="50" t="s">
        <v>150</v>
      </c>
      <c r="G33" s="50" t="s">
        <v>149</v>
      </c>
      <c r="H33" s="50" t="s">
        <v>156</v>
      </c>
      <c r="K33" s="52"/>
      <c r="L33" s="11" t="str">
        <f t="shared" si="16"/>
        <v>BasSw</v>
      </c>
      <c r="M33" s="105" t="str">
        <f t="shared" si="17"/>
        <v>obj_002d0#0006</v>
      </c>
      <c r="N33" s="159" t="str">
        <f>IFERROR(_xll.qlRateHelperQuoteName(M33,Trigger),"--")</f>
        <v>USDAM3L3Y_S6L3L_Quote</v>
      </c>
      <c r="O33" s="109">
        <f>IFERROR(_xll.qlRateHelperQuoteValue($M33,Trigger),"--")</f>
        <v>1.1584965716478058E-2</v>
      </c>
      <c r="P33" s="108" t="b">
        <v>1</v>
      </c>
      <c r="Q33" s="105">
        <v>40</v>
      </c>
      <c r="R33" s="105">
        <v>1</v>
      </c>
      <c r="S33" s="110">
        <f>IFERROR(_xll.qlRateHelperEarliestDate(M33,Trigger),"--")</f>
        <v>42482</v>
      </c>
      <c r="T33" s="110">
        <f>IFERROR(_xll.qlRateHelperPillarDate(M33,Trigger),"--")</f>
        <v>43578</v>
      </c>
      <c r="V33" s="4" t="str">
        <f t="shared" si="3"/>
        <v>BasSw</v>
      </c>
      <c r="W33" s="4" t="str">
        <v>obj_002cc</v>
      </c>
      <c r="X33" s="4" t="str">
        <f>IFERROR(_xll.qlRateHelperQuoteName(W33,Trigger),"")</f>
        <v>USDAM3L25Y_S6L3L_Quote</v>
      </c>
      <c r="Y33" s="75">
        <f>IFERROR(_xll.qlRateHelperRate(W33,Trigger),"")</f>
        <v>2.205058183752057E-2</v>
      </c>
      <c r="Z33" s="11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42482</v>
      </c>
      <c r="AB33" s="5">
        <f>IFERROR(_xll.qlRateHelperPillarDate(W33,Trigger),"")</f>
        <v>51614</v>
      </c>
      <c r="AC33" s="83">
        <v>0.56721747154818936</v>
      </c>
    </row>
    <row r="34" spans="1:29" ht="11.25" customHeight="1" x14ac:dyDescent="0.2">
      <c r="A34" s="70" t="s">
        <v>9</v>
      </c>
      <c r="B34" s="70" t="s">
        <v>30</v>
      </c>
      <c r="C34" s="70" t="s">
        <v>151</v>
      </c>
      <c r="D34" s="70" t="s">
        <v>5</v>
      </c>
      <c r="E34" s="70" t="s">
        <v>35</v>
      </c>
      <c r="F34" s="70" t="s">
        <v>152</v>
      </c>
      <c r="G34" s="70" t="s">
        <v>4</v>
      </c>
      <c r="H34" s="70" t="s">
        <v>1</v>
      </c>
      <c r="I34" s="70" t="s">
        <v>148</v>
      </c>
      <c r="J34" s="70" t="s">
        <v>25</v>
      </c>
      <c r="K34" s="52"/>
      <c r="L34" s="11" t="str">
        <f t="shared" si="16"/>
        <v>BasSw</v>
      </c>
      <c r="M34" s="105" t="str">
        <f t="shared" si="17"/>
        <v>obj_002e8#0006</v>
      </c>
      <c r="N34" s="159" t="str">
        <f>IFERROR(_xll.qlRateHelperQuoteName(M34,Trigger),"--")</f>
        <v>USDAM3L4Y_S6L3L_Quote</v>
      </c>
      <c r="O34" s="109">
        <f>IFERROR(_xll.qlRateHelperQuoteValue($M34,Trigger),"--")</f>
        <v>1.2485226512339043E-2</v>
      </c>
      <c r="P34" s="108" t="b">
        <v>1</v>
      </c>
      <c r="Q34" s="105">
        <v>40</v>
      </c>
      <c r="R34" s="105">
        <v>1</v>
      </c>
      <c r="S34" s="110">
        <f>IFERROR(_xll.qlRateHelperEarliestDate(M34,Trigger),"--")</f>
        <v>42482</v>
      </c>
      <c r="T34" s="110">
        <f>IFERROR(_xll.qlRateHelperPillarDate(M34,Trigger),"--")</f>
        <v>43943</v>
      </c>
      <c r="V34" s="4" t="str">
        <f t="shared" si="3"/>
        <v>BasSw</v>
      </c>
      <c r="W34" s="4" t="str">
        <v>obj_002fd</v>
      </c>
      <c r="X34" s="4" t="str">
        <f>IFERROR(_xll.qlRateHelperQuoteName(W34,Trigger),"")</f>
        <v>USDAM3L30Y_S6L3L_Quote</v>
      </c>
      <c r="Y34" s="75">
        <f>IFERROR(_xll.qlRateHelperRate(W34,Trigger),"")</f>
        <v>2.2430863612316877E-2</v>
      </c>
      <c r="Z34" s="11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42482</v>
      </c>
      <c r="AB34" s="5">
        <f>IFERROR(_xll.qlRateHelperPillarDate(W34,Trigger),"")</f>
        <v>53440</v>
      </c>
      <c r="AC34" s="83">
        <v>0.50033851244929728</v>
      </c>
    </row>
    <row r="35" spans="1:29" ht="11.25" customHeight="1" x14ac:dyDescent="0.2">
      <c r="A35" s="57" t="s">
        <v>160</v>
      </c>
      <c r="B35" s="58" t="s">
        <v>29</v>
      </c>
      <c r="C35" s="59" t="s">
        <v>6</v>
      </c>
      <c r="D35" s="59" t="s">
        <v>8</v>
      </c>
      <c r="E35" s="59" t="s">
        <v>7</v>
      </c>
      <c r="F35" s="59" t="s">
        <v>28</v>
      </c>
      <c r="G35" s="59" t="str">
        <f t="shared" ref="G35:G70" si="18">PROPER(Currency)&amp;FamilyName&amp;Tenor</f>
        <v>UsdLibor6M</v>
      </c>
      <c r="H35" s="57" t="str">
        <f t="shared" ref="H35:H70" si="19">Currency&amp;$G$33&amp;$F$33&amp;$B35&amp;"_S"&amp;$H$33&amp;$F$33&amp;QuoteSuffix</f>
        <v>USDAM3L1Y_S6L3L_Quote</v>
      </c>
      <c r="I35" s="139">
        <v>0</v>
      </c>
      <c r="J35" s="69"/>
      <c r="K35" s="52"/>
      <c r="L35" s="11" t="str">
        <f t="shared" si="16"/>
        <v>BasSw</v>
      </c>
      <c r="M35" s="105" t="str">
        <f t="shared" si="17"/>
        <v>obj_002c1#0006</v>
      </c>
      <c r="N35" s="159" t="str">
        <f>IFERROR(_xll.qlRateHelperQuoteName(M35,Trigger),"--")</f>
        <v>USDAM3L5Y_S6L3L_Quote</v>
      </c>
      <c r="O35" s="109">
        <f>IFERROR(_xll.qlRateHelperQuoteValue($M35,Trigger),"--")</f>
        <v>1.3415520391521767E-2</v>
      </c>
      <c r="P35" s="108" t="b">
        <v>1</v>
      </c>
      <c r="Q35" s="105">
        <v>40</v>
      </c>
      <c r="R35" s="105">
        <v>1</v>
      </c>
      <c r="S35" s="110">
        <f>IFERROR(_xll.qlRateHelperEarliestDate(M35,Trigger),"--")</f>
        <v>42482</v>
      </c>
      <c r="T35" s="110">
        <f>IFERROR(_xll.qlRateHelperPillarDate(M35,Trigger),"--")</f>
        <v>44308</v>
      </c>
      <c r="V35" s="4" t="str">
        <f t="shared" si="3"/>
        <v>BasSw</v>
      </c>
      <c r="W35" s="4" t="str">
        <v>obj_002fe</v>
      </c>
      <c r="X35" s="4" t="str">
        <f>IFERROR(_xll.qlRateHelperQuoteName(W35,Trigger),"")</f>
        <v>USDAM3L35Y_S6L3L_Quote</v>
      </c>
      <c r="Y35" s="75">
        <f>IFERROR(_xll.qlRateHelperRate(W35,Trigger),"")</f>
        <v>2.2577824029324414E-2</v>
      </c>
      <c r="Z35" s="115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42482</v>
      </c>
      <c r="AB35" s="5">
        <f>IFERROR(_xll.qlRateHelperPillarDate(W35,Trigger),"")</f>
        <v>55267</v>
      </c>
      <c r="AC35" s="83">
        <v>0.4439079978125352</v>
      </c>
    </row>
    <row r="36" spans="1:29" ht="11.25" customHeight="1" x14ac:dyDescent="0.2">
      <c r="A36" s="63" t="s">
        <v>160</v>
      </c>
      <c r="B36" s="64" t="s">
        <v>72</v>
      </c>
      <c r="C36" s="65" t="s">
        <v>6</v>
      </c>
      <c r="D36" s="65" t="s">
        <v>8</v>
      </c>
      <c r="E36" s="65" t="s">
        <v>7</v>
      </c>
      <c r="F36" s="65" t="s">
        <v>28</v>
      </c>
      <c r="G36" s="65" t="str">
        <f t="shared" si="18"/>
        <v>UsdLibor6M</v>
      </c>
      <c r="H36" s="63" t="str">
        <f t="shared" si="19"/>
        <v>USDAM3L2Y_S6L3L_Quote</v>
      </c>
      <c r="I36" s="140">
        <v>0</v>
      </c>
      <c r="J36" s="69" t="str">
        <f>_xll.qlSwapRateHelper2(,H36,,B36,JoinCalendar,USD6M!D36,USD6M!E36,USD6M!F36,USD6M!G36,USD6M!I36,USD6M!C36,Discounting,PillarDate,,Permanent,Trigger,ObjectOverwrite)</f>
        <v>obj_002d6#0006</v>
      </c>
      <c r="K36" s="52"/>
      <c r="L36" s="11" t="str">
        <f t="shared" si="16"/>
        <v>BasSw</v>
      </c>
      <c r="M36" s="105" t="str">
        <f t="shared" si="17"/>
        <v>obj_002d8#0006</v>
      </c>
      <c r="N36" s="159" t="str">
        <f>IFERROR(_xll.qlRateHelperQuoteName(M36,Trigger),"--")</f>
        <v>USDAM3L6Y_S6L3L_Quote</v>
      </c>
      <c r="O36" s="109">
        <f>IFERROR(_xll.qlRateHelperQuoteValue($M36,Trigger),"--")</f>
        <v>1.4355845255589663E-2</v>
      </c>
      <c r="P36" s="108" t="b">
        <v>1</v>
      </c>
      <c r="Q36" s="105">
        <v>40</v>
      </c>
      <c r="R36" s="105">
        <v>1</v>
      </c>
      <c r="S36" s="110">
        <f>IFERROR(_xll.qlRateHelperEarliestDate(M36,Trigger),"--")</f>
        <v>42482</v>
      </c>
      <c r="T36" s="110">
        <f>IFERROR(_xll.qlRateHelperPillarDate(M36,Trigger),"--")</f>
        <v>44673</v>
      </c>
      <c r="V36" s="4" t="str">
        <f t="shared" si="3"/>
        <v>BasSw</v>
      </c>
      <c r="W36" s="4" t="str">
        <v>obj_002b0</v>
      </c>
      <c r="X36" s="4" t="str">
        <f>IFERROR(_xll.qlRateHelperQuoteName(W36,Trigger),"")</f>
        <v>USDAM3L40Y_S6L3L_Quote</v>
      </c>
      <c r="Y36" s="75">
        <f>IFERROR(_xll.qlRateHelperRate(W36,Trigger),"")</f>
        <v>2.2590850869375172E-2</v>
      </c>
      <c r="Z36" s="115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42482</v>
      </c>
      <c r="AB36" s="5">
        <f>IFERROR(_xll.qlRateHelperPillarDate(W36,Trigger),"")</f>
        <v>57094</v>
      </c>
      <c r="AC36" s="83">
        <v>0.3960116395075452</v>
      </c>
    </row>
    <row r="37" spans="1:29" ht="11.25" customHeight="1" x14ac:dyDescent="0.2">
      <c r="A37" s="63" t="s">
        <v>160</v>
      </c>
      <c r="B37" s="64" t="s">
        <v>76</v>
      </c>
      <c r="C37" s="65" t="s">
        <v>6</v>
      </c>
      <c r="D37" s="65" t="s">
        <v>8</v>
      </c>
      <c r="E37" s="65" t="s">
        <v>7</v>
      </c>
      <c r="F37" s="65" t="s">
        <v>28</v>
      </c>
      <c r="G37" s="65" t="str">
        <f t="shared" si="18"/>
        <v>UsdLibor6M</v>
      </c>
      <c r="H37" s="63" t="str">
        <f t="shared" si="19"/>
        <v>USDAM3L3Y_S6L3L_Quote</v>
      </c>
      <c r="I37" s="140">
        <v>0</v>
      </c>
      <c r="J37" s="69" t="str">
        <f>_xll.qlSwapRateHelper2(,H37,,B37,JoinCalendar,USD6M!D37,USD6M!E37,USD6M!F37,USD6M!G37,USD6M!I37,USD6M!C37,Discounting,PillarDate,,Permanent,Trigger,ObjectOverwrite)</f>
        <v>obj_002d0#0006</v>
      </c>
      <c r="K37" s="52"/>
      <c r="L37" s="11" t="str">
        <f t="shared" si="16"/>
        <v>BasSw</v>
      </c>
      <c r="M37" s="105" t="str">
        <f t="shared" si="17"/>
        <v>obj_00283#0006</v>
      </c>
      <c r="N37" s="159" t="str">
        <f>IFERROR(_xll.qlRateHelperQuoteName(M37,Trigger),"--")</f>
        <v>USDAM3L7Y_S6L3L_Quote</v>
      </c>
      <c r="O37" s="109">
        <f>IFERROR(_xll.qlRateHelperQuoteValue($M37,Trigger),"--")</f>
        <v>1.5256193888170991E-2</v>
      </c>
      <c r="P37" s="108" t="b">
        <v>1</v>
      </c>
      <c r="Q37" s="105">
        <v>40</v>
      </c>
      <c r="R37" s="105">
        <v>1</v>
      </c>
      <c r="S37" s="110">
        <f>IFERROR(_xll.qlRateHelperEarliestDate(M37,Trigger),"--")</f>
        <v>42482</v>
      </c>
      <c r="T37" s="110">
        <f>IFERROR(_xll.qlRateHelperPillarDate(M37,Trigger),"--")</f>
        <v>45040</v>
      </c>
      <c r="V37" s="4" t="str">
        <f t="shared" si="3"/>
        <v>BasSw</v>
      </c>
      <c r="W37" s="4" t="str">
        <v>obj_00291</v>
      </c>
      <c r="X37" s="4" t="str">
        <f>IFERROR(_xll.qlRateHelperQuoteName(W37,Trigger),"")</f>
        <v>USDAM3L50Y_S6L3L_Quote</v>
      </c>
      <c r="Y37" s="75">
        <f>IFERROR(_xll.qlRateHelperRate(W37,Trigger),"")</f>
        <v>2.2470654117462272E-2</v>
      </c>
      <c r="Z37" s="115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42482</v>
      </c>
      <c r="AB37" s="5">
        <f>IFERROR(_xll.qlRateHelperPillarDate(W37,Trigger),"")</f>
        <v>60744</v>
      </c>
      <c r="AC37" s="83">
        <v>0.31849342221750687</v>
      </c>
    </row>
    <row r="38" spans="1:29" ht="11.25" customHeight="1" x14ac:dyDescent="0.2">
      <c r="A38" s="63" t="s">
        <v>160</v>
      </c>
      <c r="B38" s="64" t="s">
        <v>80</v>
      </c>
      <c r="C38" s="65" t="s">
        <v>6</v>
      </c>
      <c r="D38" s="65" t="s">
        <v>8</v>
      </c>
      <c r="E38" s="65" t="s">
        <v>7</v>
      </c>
      <c r="F38" s="65" t="s">
        <v>28</v>
      </c>
      <c r="G38" s="65" t="str">
        <f t="shared" si="18"/>
        <v>UsdLibor6M</v>
      </c>
      <c r="H38" s="63" t="str">
        <f t="shared" si="19"/>
        <v>USDAM3L4Y_S6L3L_Quote</v>
      </c>
      <c r="I38" s="140">
        <v>0</v>
      </c>
      <c r="J38" s="69" t="str">
        <f>_xll.qlSwapRateHelper2(,H38,,B38,JoinCalendar,USD6M!D38,USD6M!E38,USD6M!F38,USD6M!G38,USD6M!I38,USD6M!C38,Discounting,PillarDate,,Permanent,Trigger,ObjectOverwrite)</f>
        <v>obj_002e8#0006</v>
      </c>
      <c r="K38" s="52"/>
      <c r="L38" s="11" t="str">
        <f t="shared" si="16"/>
        <v>BasSw</v>
      </c>
      <c r="M38" s="105" t="str">
        <f t="shared" si="17"/>
        <v>obj_00297#0006</v>
      </c>
      <c r="N38" s="159" t="str">
        <f>IFERROR(_xll.qlRateHelperQuoteName(M38,Trigger),"--")</f>
        <v>USDAM3L8Y_S6L3L_Quote</v>
      </c>
      <c r="O38" s="109">
        <f>IFERROR(_xll.qlRateHelperQuoteValue($M38,Trigger),"--")</f>
        <v>1.6056525036029012E-2</v>
      </c>
      <c r="P38" s="108" t="b">
        <v>1</v>
      </c>
      <c r="Q38" s="105">
        <v>40</v>
      </c>
      <c r="R38" s="105">
        <v>1</v>
      </c>
      <c r="S38" s="110">
        <f>IFERROR(_xll.qlRateHelperEarliestDate(M38,Trigger),"--")</f>
        <v>42482</v>
      </c>
      <c r="T38" s="110">
        <f>IFERROR(_xll.qlRateHelperPillarDate(M38,Trigger),"--")</f>
        <v>45404</v>
      </c>
      <c r="V38" s="4" t="str">
        <f t="shared" si="3"/>
        <v>BasSw</v>
      </c>
      <c r="W38" s="4" t="str">
        <v>obj_0029c</v>
      </c>
      <c r="X38" s="4" t="str">
        <f>IFERROR(_xll.qlRateHelperQuoteName(W38,Trigger),"")</f>
        <v>USDAM3L60Y_S6L3L_Quote</v>
      </c>
      <c r="Y38" s="75">
        <f>IFERROR(_xll.qlRateHelperRate(W38,Trigger),"")</f>
        <v>2.2359791513065649E-2</v>
      </c>
      <c r="Z38" s="115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42482</v>
      </c>
      <c r="AB38" s="5">
        <f>IFERROR(_xll.qlRateHelperPillarDate(W38,Trigger),"")</f>
        <v>64397</v>
      </c>
      <c r="AC38" s="83">
        <v>0.2568235530422518</v>
      </c>
    </row>
    <row r="39" spans="1:29" ht="11.25" customHeight="1" x14ac:dyDescent="0.2">
      <c r="A39" s="63" t="s">
        <v>160</v>
      </c>
      <c r="B39" s="64" t="s">
        <v>84</v>
      </c>
      <c r="C39" s="65" t="s">
        <v>6</v>
      </c>
      <c r="D39" s="65" t="s">
        <v>8</v>
      </c>
      <c r="E39" s="65" t="s">
        <v>7</v>
      </c>
      <c r="F39" s="65" t="s">
        <v>28</v>
      </c>
      <c r="G39" s="65" t="str">
        <f t="shared" si="18"/>
        <v>UsdLibor6M</v>
      </c>
      <c r="H39" s="63" t="str">
        <f t="shared" si="19"/>
        <v>USDAM3L5Y_S6L3L_Quote</v>
      </c>
      <c r="I39" s="140">
        <v>0</v>
      </c>
      <c r="J39" s="69" t="str">
        <f>_xll.qlSwapRateHelper2(,H39,,B39,JoinCalendar,USD6M!D39,USD6M!E39,USD6M!F39,USD6M!G39,USD6M!I39,USD6M!C39,Discounting,PillarDate,,Permanent,Trigger,ObjectOverwrite)</f>
        <v>obj_002c1#0006</v>
      </c>
      <c r="K39" s="52"/>
      <c r="L39" s="11" t="str">
        <f t="shared" si="16"/>
        <v>BasSw</v>
      </c>
      <c r="M39" s="105" t="str">
        <f t="shared" si="17"/>
        <v>obj_00294#0006</v>
      </c>
      <c r="N39" s="159" t="str">
        <f>IFERROR(_xll.qlRateHelperQuoteName(M39,Trigger),"--")</f>
        <v>USDAM3L9Y_S6L3L_Quote</v>
      </c>
      <c r="O39" s="109">
        <f>IFERROR(_xll.qlRateHelperQuoteValue($M39,Trigger),"--")</f>
        <v>1.6806919771073126E-2</v>
      </c>
      <c r="P39" s="108" t="b">
        <v>1</v>
      </c>
      <c r="Q39" s="105">
        <v>40</v>
      </c>
      <c r="R39" s="105">
        <v>1</v>
      </c>
      <c r="S39" s="110">
        <f>IFERROR(_xll.qlRateHelperEarliestDate(M39,Trigger),"--")</f>
        <v>42482</v>
      </c>
      <c r="T39" s="110">
        <f>IFERROR(_xll.qlRateHelperPillarDate(M39,Trigger),"--")</f>
        <v>45769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5" t="str">
        <f>IFERROR(_xll.qlRateHelperRate(W39,Trigger),"")</f>
        <v/>
      </c>
      <c r="Z39" s="11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3" t="e">
        <v>#N/A</v>
      </c>
    </row>
    <row r="40" spans="1:29" ht="11.25" customHeight="1" x14ac:dyDescent="0.2">
      <c r="A40" s="63" t="s">
        <v>160</v>
      </c>
      <c r="B40" s="64" t="s">
        <v>85</v>
      </c>
      <c r="C40" s="65" t="s">
        <v>6</v>
      </c>
      <c r="D40" s="65" t="s">
        <v>8</v>
      </c>
      <c r="E40" s="65" t="s">
        <v>7</v>
      </c>
      <c r="F40" s="65" t="s">
        <v>28</v>
      </c>
      <c r="G40" s="65" t="str">
        <f t="shared" si="18"/>
        <v>UsdLibor6M</v>
      </c>
      <c r="H40" s="63" t="str">
        <f t="shared" si="19"/>
        <v>USDAM3L6Y_S6L3L_Quote</v>
      </c>
      <c r="I40" s="140">
        <v>0</v>
      </c>
      <c r="J40" s="69" t="str">
        <f>_xll.qlSwapRateHelper2(,H40,,B40,JoinCalendar,USD6M!D40,USD6M!E40,USD6M!F40,USD6M!G40,USD6M!I40,USD6M!C40,Discounting,PillarDate,,Permanent,Trigger,ObjectOverwrite)</f>
        <v>obj_002d8#0006</v>
      </c>
      <c r="K40" s="52"/>
      <c r="L40" s="11" t="str">
        <f t="shared" si="16"/>
        <v>BasSw</v>
      </c>
      <c r="M40" s="105" t="str">
        <f t="shared" si="17"/>
        <v>obj_002a9#0006</v>
      </c>
      <c r="N40" s="159" t="str">
        <f>IFERROR(_xll.qlRateHelperQuoteName(M40,Trigger),"--")</f>
        <v>USDAM3L10Y_S6L3L_Quote</v>
      </c>
      <c r="O40" s="109">
        <f>IFERROR(_xll.qlRateHelperQuoteValue($M40,Trigger),"--")</f>
        <v>1.7527383634265887E-2</v>
      </c>
      <c r="P40" s="108" t="b">
        <v>1</v>
      </c>
      <c r="Q40" s="105">
        <v>40</v>
      </c>
      <c r="R40" s="105">
        <v>1</v>
      </c>
      <c r="S40" s="110">
        <f>IFERROR(_xll.qlRateHelperEarliestDate(M40,Trigger),"--")</f>
        <v>42482</v>
      </c>
      <c r="T40" s="110">
        <f>IFERROR(_xll.qlRateHelperPillarDate(M40,Trigger),"--")</f>
        <v>46134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5" t="str">
        <f>IFERROR(_xll.qlRateHelperRate(W40,Trigger),"")</f>
        <v/>
      </c>
      <c r="Z40" s="11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3" t="e">
        <v>#N/A</v>
      </c>
    </row>
    <row r="41" spans="1:29" ht="11.25" customHeight="1" x14ac:dyDescent="0.2">
      <c r="A41" s="63" t="s">
        <v>160</v>
      </c>
      <c r="B41" s="64" t="s">
        <v>86</v>
      </c>
      <c r="C41" s="65" t="s">
        <v>6</v>
      </c>
      <c r="D41" s="65" t="s">
        <v>8</v>
      </c>
      <c r="E41" s="65" t="s">
        <v>7</v>
      </c>
      <c r="F41" s="65" t="s">
        <v>28</v>
      </c>
      <c r="G41" s="65" t="str">
        <f t="shared" si="18"/>
        <v>UsdLibor6M</v>
      </c>
      <c r="H41" s="63" t="str">
        <f t="shared" si="19"/>
        <v>USDAM3L7Y_S6L3L_Quote</v>
      </c>
      <c r="I41" s="140">
        <v>0</v>
      </c>
      <c r="J41" s="69" t="str">
        <f>_xll.qlSwapRateHelper2(,H41,,B41,JoinCalendar,USD6M!D41,USD6M!E41,USD6M!F41,USD6M!G41,USD6M!I41,USD6M!C41,Discounting,PillarDate,,Permanent,Trigger,ObjectOverwrite)</f>
        <v>obj_00283#0006</v>
      </c>
      <c r="L41" s="11" t="str">
        <f t="shared" si="16"/>
        <v>BasSw</v>
      </c>
      <c r="M41" s="105" t="str">
        <f t="shared" si="17"/>
        <v>--</v>
      </c>
      <c r="N41" s="159" t="str">
        <f>IFERROR(_xll.qlRateHelperQuoteName(M41,Trigger),"--")</f>
        <v>--</v>
      </c>
      <c r="O41" s="109" t="str">
        <f>IFERROR(_xll.qlRateHelperQuoteValue($M41,Trigger),"--")</f>
        <v>--</v>
      </c>
      <c r="P41" s="108" t="b">
        <v>0</v>
      </c>
      <c r="Q41" s="105">
        <v>40</v>
      </c>
      <c r="R41" s="105">
        <v>1</v>
      </c>
      <c r="S41" s="110" t="str">
        <f>IFERROR(_xll.qlRateHelperEarliestDate(M41,Trigger),"--")</f>
        <v>--</v>
      </c>
      <c r="T41" s="110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5" t="str">
        <f>IFERROR(_xll.qlRateHelperRate(W41,Trigger),"")</f>
        <v/>
      </c>
      <c r="Z41" s="11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3" t="e">
        <v>#N/A</v>
      </c>
    </row>
    <row r="42" spans="1:29" ht="11.25" customHeight="1" x14ac:dyDescent="0.2">
      <c r="A42" s="63" t="s">
        <v>160</v>
      </c>
      <c r="B42" s="64" t="s">
        <v>87</v>
      </c>
      <c r="C42" s="65" t="s">
        <v>6</v>
      </c>
      <c r="D42" s="65" t="s">
        <v>8</v>
      </c>
      <c r="E42" s="65" t="s">
        <v>7</v>
      </c>
      <c r="F42" s="65" t="s">
        <v>28</v>
      </c>
      <c r="G42" s="65" t="str">
        <f t="shared" si="18"/>
        <v>UsdLibor6M</v>
      </c>
      <c r="H42" s="63" t="str">
        <f t="shared" si="19"/>
        <v>USDAM3L8Y_S6L3L_Quote</v>
      </c>
      <c r="I42" s="140">
        <v>0</v>
      </c>
      <c r="J42" s="69" t="str">
        <f>_xll.qlSwapRateHelper2(,H42,,B42,JoinCalendar,USD6M!D42,USD6M!E42,USD6M!F42,USD6M!G42,USD6M!I42,USD6M!C42,Discounting,PillarDate,,Permanent,Trigger,ObjectOverwrite)</f>
        <v>obj_00297#0006</v>
      </c>
      <c r="L42" s="11" t="str">
        <f t="shared" si="16"/>
        <v>BasSw</v>
      </c>
      <c r="M42" s="105" t="str">
        <f t="shared" si="17"/>
        <v>obj_002c5#0006</v>
      </c>
      <c r="N42" s="159" t="str">
        <f>IFERROR(_xll.qlRateHelperQuoteName(M42,Trigger),"--")</f>
        <v>USDAM3L12Y_S6L3L_Quote</v>
      </c>
      <c r="O42" s="109">
        <f>IFERROR(_xll.qlRateHelperQuoteValue($M42,Trigger),"--")</f>
        <v>1.877829877978044E-2</v>
      </c>
      <c r="P42" s="108" t="b">
        <v>1</v>
      </c>
      <c r="Q42" s="105">
        <v>40</v>
      </c>
      <c r="R42" s="105">
        <v>1</v>
      </c>
      <c r="S42" s="110">
        <f>IFERROR(_xll.qlRateHelperEarliestDate(M42,Trigger),"--")</f>
        <v>42482</v>
      </c>
      <c r="T42" s="110">
        <f>IFERROR(_xll.qlRateHelperPillarDate(M42,Trigger),"--")</f>
        <v>46867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5" t="str">
        <f>IFERROR(_xll.qlRateHelperRate(W42,Trigger),"")</f>
        <v/>
      </c>
      <c r="Z42" s="11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3" t="e">
        <v>#N/A</v>
      </c>
    </row>
    <row r="43" spans="1:29" ht="11.25" customHeight="1" x14ac:dyDescent="0.2">
      <c r="A43" s="63" t="s">
        <v>160</v>
      </c>
      <c r="B43" s="64" t="s">
        <v>88</v>
      </c>
      <c r="C43" s="65" t="s">
        <v>6</v>
      </c>
      <c r="D43" s="65" t="s">
        <v>8</v>
      </c>
      <c r="E43" s="65" t="s">
        <v>7</v>
      </c>
      <c r="F43" s="65" t="s">
        <v>28</v>
      </c>
      <c r="G43" s="65" t="str">
        <f t="shared" si="18"/>
        <v>UsdLibor6M</v>
      </c>
      <c r="H43" s="63" t="str">
        <f t="shared" si="19"/>
        <v>USDAM3L9Y_S6L3L_Quote</v>
      </c>
      <c r="I43" s="140">
        <v>0</v>
      </c>
      <c r="J43" s="69" t="str">
        <f>_xll.qlSwapRateHelper2(,H43,,B43,JoinCalendar,USD6M!D43,USD6M!E43,USD6M!F43,USD6M!G43,USD6M!I43,USD6M!C43,Discounting,PillarDate,,Permanent,Trigger,ObjectOverwrite)</f>
        <v>obj_00294#0006</v>
      </c>
      <c r="L43" s="11" t="str">
        <f t="shared" si="16"/>
        <v>BasSw</v>
      </c>
      <c r="M43" s="105" t="str">
        <f t="shared" si="17"/>
        <v>--</v>
      </c>
      <c r="N43" s="159" t="str">
        <f>IFERROR(_xll.qlRateHelperQuoteName(M43,Trigger),"--")</f>
        <v>--</v>
      </c>
      <c r="O43" s="109" t="str">
        <f>IFERROR(_xll.qlRateHelperQuoteValue($M43,Trigger),"--")</f>
        <v>--</v>
      </c>
      <c r="P43" s="108" t="b">
        <v>0</v>
      </c>
      <c r="Q43" s="105">
        <v>40</v>
      </c>
      <c r="R43" s="105">
        <v>1</v>
      </c>
      <c r="S43" s="110" t="str">
        <f>IFERROR(_xll.qlRateHelperEarliestDate(M43,Trigger),"--")</f>
        <v>--</v>
      </c>
      <c r="T43" s="110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5" t="str">
        <f>IFERROR(_xll.qlRateHelperRate(W43,Trigger),"")</f>
        <v/>
      </c>
      <c r="Z43" s="11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3" t="e">
        <v>#N/A</v>
      </c>
    </row>
    <row r="44" spans="1:29" ht="11.25" customHeight="1" x14ac:dyDescent="0.2">
      <c r="A44" s="63" t="s">
        <v>160</v>
      </c>
      <c r="B44" s="64" t="s">
        <v>89</v>
      </c>
      <c r="C44" s="65" t="s">
        <v>6</v>
      </c>
      <c r="D44" s="65" t="s">
        <v>8</v>
      </c>
      <c r="E44" s="65" t="s">
        <v>7</v>
      </c>
      <c r="F44" s="65" t="s">
        <v>28</v>
      </c>
      <c r="G44" s="65" t="str">
        <f t="shared" si="18"/>
        <v>UsdLibor6M</v>
      </c>
      <c r="H44" s="63" t="str">
        <f t="shared" si="19"/>
        <v>USDAM3L10Y_S6L3L_Quote</v>
      </c>
      <c r="I44" s="140">
        <v>0</v>
      </c>
      <c r="J44" s="69" t="str">
        <f>_xll.qlSwapRateHelper2(,H44,,B44,JoinCalendar,USD6M!D44,USD6M!E44,USD6M!F44,USD6M!G44,USD6M!I44,USD6M!C44,Discounting,PillarDate,,Permanent,Trigger,ObjectOverwrite)</f>
        <v>obj_002a9#0006</v>
      </c>
      <c r="L44" s="11" t="str">
        <f t="shared" si="16"/>
        <v>BasSw</v>
      </c>
      <c r="M44" s="105" t="str">
        <f t="shared" si="17"/>
        <v>--</v>
      </c>
      <c r="N44" s="159" t="str">
        <f>IFERROR(_xll.qlRateHelperQuoteName(M44,Trigger),"--")</f>
        <v>--</v>
      </c>
      <c r="O44" s="109" t="str">
        <f>IFERROR(_xll.qlRateHelperQuoteValue($M44,Trigger),"--")</f>
        <v>--</v>
      </c>
      <c r="P44" s="108" t="b">
        <v>0</v>
      </c>
      <c r="Q44" s="105">
        <v>40</v>
      </c>
      <c r="R44" s="105">
        <v>1</v>
      </c>
      <c r="S44" s="110" t="str">
        <f>IFERROR(_xll.qlRateHelperEarliestDate(M44,Trigger),"--")</f>
        <v>--</v>
      </c>
      <c r="T44" s="110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5" t="str">
        <f>IFERROR(_xll.qlRateHelperRate(W44,Trigger),"")</f>
        <v/>
      </c>
      <c r="Z44" s="11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3" t="e">
        <v>#N/A</v>
      </c>
    </row>
    <row r="45" spans="1:29" ht="11.25" customHeight="1" x14ac:dyDescent="0.2">
      <c r="A45" s="63" t="s">
        <v>160</v>
      </c>
      <c r="B45" s="64" t="s">
        <v>133</v>
      </c>
      <c r="C45" s="65" t="s">
        <v>6</v>
      </c>
      <c r="D45" s="65" t="s">
        <v>8</v>
      </c>
      <c r="E45" s="65" t="s">
        <v>7</v>
      </c>
      <c r="F45" s="65" t="s">
        <v>28</v>
      </c>
      <c r="G45" s="65" t="str">
        <f t="shared" si="18"/>
        <v>UsdLibor6M</v>
      </c>
      <c r="H45" s="63" t="str">
        <f t="shared" si="19"/>
        <v>USDAM3L11Y_S6L3L_Quote</v>
      </c>
      <c r="I45" s="140">
        <v>0</v>
      </c>
      <c r="J45" s="69"/>
      <c r="L45" s="11" t="str">
        <f t="shared" si="16"/>
        <v>BasSw</v>
      </c>
      <c r="M45" s="105" t="str">
        <f t="shared" si="17"/>
        <v>obj_00312#0006</v>
      </c>
      <c r="N45" s="159" t="str">
        <f>IFERROR(_xll.qlRateHelperQuoteName(M45,Trigger),"--")</f>
        <v>USDAM3L15Y_S6L3L_Quote</v>
      </c>
      <c r="O45" s="109">
        <f>IFERROR(_xll.qlRateHelperQuoteValue($M45,Trigger),"--")</f>
        <v>2.0109342812999333E-2</v>
      </c>
      <c r="P45" s="108" t="b">
        <v>1</v>
      </c>
      <c r="Q45" s="105">
        <v>40</v>
      </c>
      <c r="R45" s="105">
        <v>1</v>
      </c>
      <c r="S45" s="110">
        <f>IFERROR(_xll.qlRateHelperEarliestDate(M45,Trigger),"--")</f>
        <v>42482</v>
      </c>
      <c r="T45" s="110">
        <f>IFERROR(_xll.qlRateHelperPillarDate(M45,Trigger),"--")</f>
        <v>47960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5" t="str">
        <f>IFERROR(_xll.qlRateHelperRate(W45,Trigger),"")</f>
        <v/>
      </c>
      <c r="Z45" s="11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3" t="e">
        <v>#N/A</v>
      </c>
    </row>
    <row r="46" spans="1:29" ht="11.25" customHeight="1" x14ac:dyDescent="0.2">
      <c r="A46" s="63" t="s">
        <v>160</v>
      </c>
      <c r="B46" s="64" t="s">
        <v>90</v>
      </c>
      <c r="C46" s="65" t="s">
        <v>6</v>
      </c>
      <c r="D46" s="65" t="s">
        <v>8</v>
      </c>
      <c r="E46" s="65" t="s">
        <v>7</v>
      </c>
      <c r="F46" s="65" t="s">
        <v>28</v>
      </c>
      <c r="G46" s="65" t="str">
        <f t="shared" si="18"/>
        <v>UsdLibor6M</v>
      </c>
      <c r="H46" s="63" t="str">
        <f t="shared" si="19"/>
        <v>USDAM3L12Y_S6L3L_Quote</v>
      </c>
      <c r="I46" s="140">
        <v>0</v>
      </c>
      <c r="J46" s="69" t="str">
        <f>_xll.qlSwapRateHelper2(,H46,,B46,JoinCalendar,USD6M!D46,USD6M!E46,USD6M!F46,USD6M!G46,USD6M!I46,USD6M!C46,Discounting,PillarDate,,Permanent,Trigger,ObjectOverwrite)</f>
        <v>obj_002c5#0006</v>
      </c>
      <c r="L46" s="11" t="str">
        <f t="shared" si="16"/>
        <v>BasSw</v>
      </c>
      <c r="M46" s="105" t="str">
        <f t="shared" si="17"/>
        <v>--</v>
      </c>
      <c r="N46" s="159" t="str">
        <f>IFERROR(_xll.qlRateHelperQuoteName(M46,Trigger),"--")</f>
        <v>--</v>
      </c>
      <c r="O46" s="109" t="str">
        <f>IFERROR(_xll.qlRateHelperQuoteValue($M46,Trigger),"--")</f>
        <v>--</v>
      </c>
      <c r="P46" s="108" t="b">
        <v>0</v>
      </c>
      <c r="Q46" s="105">
        <v>40</v>
      </c>
      <c r="R46" s="105">
        <v>1</v>
      </c>
      <c r="S46" s="110" t="str">
        <f>IFERROR(_xll.qlRateHelperEarliestDate(M46,Trigger),"--")</f>
        <v>--</v>
      </c>
      <c r="T46" s="110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5" t="str">
        <f>IFERROR(_xll.qlRateHelperRate(W46,Trigger),"")</f>
        <v/>
      </c>
      <c r="Z46" s="11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3" t="e">
        <v>#N/A</v>
      </c>
    </row>
    <row r="47" spans="1:29" ht="11.25" customHeight="1" x14ac:dyDescent="0.2">
      <c r="A47" s="63" t="s">
        <v>160</v>
      </c>
      <c r="B47" s="64" t="s">
        <v>134</v>
      </c>
      <c r="C47" s="65" t="s">
        <v>6</v>
      </c>
      <c r="D47" s="65" t="s">
        <v>8</v>
      </c>
      <c r="E47" s="65" t="s">
        <v>7</v>
      </c>
      <c r="F47" s="65" t="s">
        <v>28</v>
      </c>
      <c r="G47" s="65" t="str">
        <f t="shared" si="18"/>
        <v>UsdLibor6M</v>
      </c>
      <c r="H47" s="63" t="str">
        <f t="shared" si="19"/>
        <v>USDAM3L13Y_S6L3L_Quote</v>
      </c>
      <c r="I47" s="140">
        <v>0</v>
      </c>
      <c r="J47" s="69"/>
      <c r="L47" s="11" t="str">
        <f t="shared" si="16"/>
        <v>BasSw</v>
      </c>
      <c r="M47" s="105" t="str">
        <f t="shared" si="17"/>
        <v>--</v>
      </c>
      <c r="N47" s="159" t="str">
        <f>IFERROR(_xll.qlRateHelperQuoteName(M47,Trigger),"--")</f>
        <v>--</v>
      </c>
      <c r="O47" s="109" t="str">
        <f>IFERROR(_xll.qlRateHelperQuoteValue($M47,Trigger),"--")</f>
        <v>--</v>
      </c>
      <c r="P47" s="108" t="b">
        <v>0</v>
      </c>
      <c r="Q47" s="105">
        <v>40</v>
      </c>
      <c r="R47" s="105">
        <v>1</v>
      </c>
      <c r="S47" s="110" t="str">
        <f>IFERROR(_xll.qlRateHelperEarliestDate(M47,Trigger),"--")</f>
        <v>--</v>
      </c>
      <c r="T47" s="110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5" t="str">
        <f>IFERROR(_xll.qlRateHelperRate(W47,Trigger),"")</f>
        <v/>
      </c>
      <c r="Z47" s="11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3" t="e">
        <v>#N/A</v>
      </c>
    </row>
    <row r="48" spans="1:29" ht="11.25" customHeight="1" x14ac:dyDescent="0.2">
      <c r="A48" s="63" t="s">
        <v>160</v>
      </c>
      <c r="B48" s="64" t="s">
        <v>135</v>
      </c>
      <c r="C48" s="65" t="s">
        <v>6</v>
      </c>
      <c r="D48" s="65" t="s">
        <v>8</v>
      </c>
      <c r="E48" s="65" t="s">
        <v>7</v>
      </c>
      <c r="F48" s="65" t="s">
        <v>28</v>
      </c>
      <c r="G48" s="65" t="str">
        <f t="shared" si="18"/>
        <v>UsdLibor6M</v>
      </c>
      <c r="H48" s="63" t="str">
        <f t="shared" si="19"/>
        <v>USDAM3L14Y_S6L3L_Quote</v>
      </c>
      <c r="I48" s="140">
        <v>0</v>
      </c>
      <c r="J48" s="69"/>
      <c r="L48" s="11" t="str">
        <f t="shared" si="16"/>
        <v>BasSw</v>
      </c>
      <c r="M48" s="105" t="str">
        <f t="shared" si="17"/>
        <v>--</v>
      </c>
      <c r="N48" s="159" t="str">
        <f>IFERROR(_xll.qlRateHelperQuoteName(M48,Trigger),"--")</f>
        <v>--</v>
      </c>
      <c r="O48" s="109" t="str">
        <f>IFERROR(_xll.qlRateHelperQuoteValue($M48,Trigger),"--")</f>
        <v>--</v>
      </c>
      <c r="P48" s="108" t="b">
        <v>0</v>
      </c>
      <c r="Q48" s="105">
        <v>40</v>
      </c>
      <c r="R48" s="105">
        <v>1</v>
      </c>
      <c r="S48" s="110" t="str">
        <f>IFERROR(_xll.qlRateHelperEarliestDate(M48,Trigger),"--")</f>
        <v>--</v>
      </c>
      <c r="T48" s="110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5" t="str">
        <f>IFERROR(_xll.qlRateHelperRate(W48,Trigger),"")</f>
        <v/>
      </c>
      <c r="Z48" s="11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3" t="e">
        <v>#N/A</v>
      </c>
    </row>
    <row r="49" spans="1:29" ht="11.25" customHeight="1" x14ac:dyDescent="0.2">
      <c r="A49" s="63" t="s">
        <v>160</v>
      </c>
      <c r="B49" s="64" t="s">
        <v>91</v>
      </c>
      <c r="C49" s="65" t="s">
        <v>6</v>
      </c>
      <c r="D49" s="65" t="s">
        <v>8</v>
      </c>
      <c r="E49" s="65" t="s">
        <v>7</v>
      </c>
      <c r="F49" s="65" t="s">
        <v>28</v>
      </c>
      <c r="G49" s="65" t="str">
        <f t="shared" si="18"/>
        <v>UsdLibor6M</v>
      </c>
      <c r="H49" s="63" t="str">
        <f t="shared" si="19"/>
        <v>USDAM3L15Y_S6L3L_Quote</v>
      </c>
      <c r="I49" s="140">
        <v>0</v>
      </c>
      <c r="J49" s="69" t="str">
        <f>_xll.qlSwapRateHelper2(,H49,,B49,JoinCalendar,USD6M!D49,USD6M!E49,USD6M!F49,USD6M!G49,USD6M!I49,USD6M!C49,Discounting,PillarDate,,Permanent,Trigger,ObjectOverwrite)</f>
        <v>obj_00312#0006</v>
      </c>
      <c r="L49" s="11" t="str">
        <f t="shared" si="16"/>
        <v>BasSw</v>
      </c>
      <c r="M49" s="105" t="str">
        <f t="shared" si="17"/>
        <v>--</v>
      </c>
      <c r="N49" s="159" t="str">
        <f>IFERROR(_xll.qlRateHelperQuoteName(M49,Trigger),"--")</f>
        <v>--</v>
      </c>
      <c r="O49" s="109" t="str">
        <f>IFERROR(_xll.qlRateHelperQuoteValue($M49,Trigger),"--")</f>
        <v>--</v>
      </c>
      <c r="P49" s="108" t="b">
        <v>0</v>
      </c>
      <c r="Q49" s="105">
        <v>40</v>
      </c>
      <c r="R49" s="105">
        <v>1</v>
      </c>
      <c r="S49" s="110" t="str">
        <f>IFERROR(_xll.qlRateHelperEarliestDate(M49,Trigger),"--")</f>
        <v>--</v>
      </c>
      <c r="T49" s="110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5" t="str">
        <f>IFERROR(_xll.qlRateHelperRate(W49,Trigger),"")</f>
        <v/>
      </c>
      <c r="Z49" s="11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3" t="e">
        <v>#N/A</v>
      </c>
    </row>
    <row r="50" spans="1:29" ht="11.25" customHeight="1" x14ac:dyDescent="0.2">
      <c r="A50" s="63" t="s">
        <v>160</v>
      </c>
      <c r="B50" s="64" t="s">
        <v>136</v>
      </c>
      <c r="C50" s="65" t="s">
        <v>6</v>
      </c>
      <c r="D50" s="65" t="s">
        <v>8</v>
      </c>
      <c r="E50" s="65" t="s">
        <v>7</v>
      </c>
      <c r="F50" s="65" t="s">
        <v>28</v>
      </c>
      <c r="G50" s="65" t="str">
        <f t="shared" si="18"/>
        <v>UsdLibor6M</v>
      </c>
      <c r="H50" s="63" t="str">
        <f t="shared" si="19"/>
        <v>USDAM3L16Y_S6L3L_Quote</v>
      </c>
      <c r="I50" s="140">
        <v>0</v>
      </c>
      <c r="J50" s="69"/>
      <c r="L50" s="11" t="str">
        <f t="shared" si="16"/>
        <v>BasSw</v>
      </c>
      <c r="M50" s="105" t="str">
        <f t="shared" si="17"/>
        <v>obj_002d3#0006</v>
      </c>
      <c r="N50" s="159" t="str">
        <f>IFERROR(_xll.qlRateHelperQuoteName(M50,Trigger),"--")</f>
        <v>USDAM3L20Y_S6L3L_Quote</v>
      </c>
      <c r="O50" s="109">
        <f>IFERROR(_xll.qlRateHelperQuoteValue($M50,Trigger),"--")</f>
        <v>2.1400201390369366E-2</v>
      </c>
      <c r="P50" s="108" t="b">
        <v>1</v>
      </c>
      <c r="Q50" s="105">
        <v>40</v>
      </c>
      <c r="R50" s="105">
        <v>1</v>
      </c>
      <c r="S50" s="110">
        <f>IFERROR(_xll.qlRateHelperEarliestDate(M50,Trigger),"--")</f>
        <v>42482</v>
      </c>
      <c r="T50" s="110">
        <f>IFERROR(_xll.qlRateHelperPillarDate(M50,Trigger),"--")</f>
        <v>49787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5" t="str">
        <f>IFERROR(_xll.qlRateHelperRate(W50,Trigger),"")</f>
        <v/>
      </c>
      <c r="Z50" s="11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3" t="e">
        <v>#N/A</v>
      </c>
    </row>
    <row r="51" spans="1:29" ht="11.25" customHeight="1" x14ac:dyDescent="0.2">
      <c r="A51" s="63" t="s">
        <v>160</v>
      </c>
      <c r="B51" s="64" t="s">
        <v>137</v>
      </c>
      <c r="C51" s="65" t="s">
        <v>6</v>
      </c>
      <c r="D51" s="65" t="s">
        <v>8</v>
      </c>
      <c r="E51" s="65" t="s">
        <v>7</v>
      </c>
      <c r="F51" s="65" t="s">
        <v>28</v>
      </c>
      <c r="G51" s="65" t="str">
        <f t="shared" si="18"/>
        <v>UsdLibor6M</v>
      </c>
      <c r="H51" s="63" t="str">
        <f t="shared" si="19"/>
        <v>USDAM3L17Y_S6L3L_Quote</v>
      </c>
      <c r="I51" s="140">
        <v>0</v>
      </c>
      <c r="J51" s="69"/>
      <c r="L51" s="11" t="str">
        <f t="shared" si="16"/>
        <v>BasSw</v>
      </c>
      <c r="M51" s="105" t="str">
        <f t="shared" si="17"/>
        <v>--</v>
      </c>
      <c r="N51" s="159" t="str">
        <f>IFERROR(_xll.qlRateHelperQuoteName(M51,Trigger),"--")</f>
        <v>--</v>
      </c>
      <c r="O51" s="109" t="str">
        <f>IFERROR(_xll.qlRateHelperQuoteValue($M51,Trigger),"--")</f>
        <v>--</v>
      </c>
      <c r="P51" s="108" t="b">
        <v>0</v>
      </c>
      <c r="Q51" s="105">
        <v>40</v>
      </c>
      <c r="R51" s="105">
        <v>1</v>
      </c>
      <c r="S51" s="110" t="str">
        <f>IFERROR(_xll.qlRateHelperEarliestDate(M51,Trigger),"--")</f>
        <v>--</v>
      </c>
      <c r="T51" s="110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5" t="str">
        <f>IFERROR(_xll.qlRateHelperRate(W51,Trigger),"")</f>
        <v/>
      </c>
      <c r="Z51" s="11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3" t="e">
        <v>#N/A</v>
      </c>
    </row>
    <row r="52" spans="1:29" ht="11.25" customHeight="1" x14ac:dyDescent="0.2">
      <c r="A52" s="63" t="s">
        <v>160</v>
      </c>
      <c r="B52" s="64" t="s">
        <v>138</v>
      </c>
      <c r="C52" s="65" t="s">
        <v>6</v>
      </c>
      <c r="D52" s="65" t="s">
        <v>8</v>
      </c>
      <c r="E52" s="65" t="s">
        <v>7</v>
      </c>
      <c r="F52" s="65" t="s">
        <v>28</v>
      </c>
      <c r="G52" s="65" t="str">
        <f t="shared" si="18"/>
        <v>UsdLibor6M</v>
      </c>
      <c r="H52" s="63" t="str">
        <f t="shared" si="19"/>
        <v>USDAM3L18Y_S6L3L_Quote</v>
      </c>
      <c r="I52" s="140">
        <v>0</v>
      </c>
      <c r="J52" s="69"/>
      <c r="L52" s="11" t="str">
        <f t="shared" si="16"/>
        <v>BasSw</v>
      </c>
      <c r="M52" s="105" t="str">
        <f t="shared" si="17"/>
        <v>--</v>
      </c>
      <c r="N52" s="159" t="str">
        <f>IFERROR(_xll.qlRateHelperQuoteName(M52,Trigger),"--")</f>
        <v>--</v>
      </c>
      <c r="O52" s="109" t="str">
        <f>IFERROR(_xll.qlRateHelperQuoteValue($M52,Trigger),"--")</f>
        <v>--</v>
      </c>
      <c r="P52" s="108" t="b">
        <v>0</v>
      </c>
      <c r="Q52" s="105">
        <v>40</v>
      </c>
      <c r="R52" s="105">
        <v>1</v>
      </c>
      <c r="S52" s="110" t="str">
        <f>IFERROR(_xll.qlRateHelperEarliestDate(M52,Trigger),"--")</f>
        <v>--</v>
      </c>
      <c r="T52" s="110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5" t="str">
        <f>IFERROR(_xll.qlRateHelperRate(W52,Trigger),"")</f>
        <v/>
      </c>
      <c r="Z52" s="11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3" t="e">
        <v>#N/A</v>
      </c>
    </row>
    <row r="53" spans="1:29" ht="11.25" customHeight="1" x14ac:dyDescent="0.2">
      <c r="A53" s="63" t="s">
        <v>160</v>
      </c>
      <c r="B53" s="64" t="s">
        <v>139</v>
      </c>
      <c r="C53" s="65" t="s">
        <v>6</v>
      </c>
      <c r="D53" s="65" t="s">
        <v>8</v>
      </c>
      <c r="E53" s="65" t="s">
        <v>7</v>
      </c>
      <c r="F53" s="65" t="s">
        <v>28</v>
      </c>
      <c r="G53" s="65" t="str">
        <f t="shared" si="18"/>
        <v>UsdLibor6M</v>
      </c>
      <c r="H53" s="63" t="str">
        <f t="shared" si="19"/>
        <v>USDAM3L19Y_S6L3L_Quote</v>
      </c>
      <c r="I53" s="140">
        <v>0</v>
      </c>
      <c r="J53" s="69"/>
      <c r="L53" s="11" t="str">
        <f t="shared" si="16"/>
        <v>BasSw</v>
      </c>
      <c r="M53" s="105" t="str">
        <f t="shared" si="17"/>
        <v>--</v>
      </c>
      <c r="N53" s="159" t="str">
        <f>IFERROR(_xll.qlRateHelperQuoteName(M53,Trigger),"--")</f>
        <v>--</v>
      </c>
      <c r="O53" s="109" t="str">
        <f>IFERROR(_xll.qlRateHelperQuoteValue($M53,Trigger),"--")</f>
        <v>--</v>
      </c>
      <c r="P53" s="108" t="b">
        <v>0</v>
      </c>
      <c r="Q53" s="105">
        <v>40</v>
      </c>
      <c r="R53" s="105">
        <v>1</v>
      </c>
      <c r="S53" s="110" t="str">
        <f>IFERROR(_xll.qlRateHelperEarliestDate(M53,Trigger),"--")</f>
        <v>--</v>
      </c>
      <c r="T53" s="110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5" t="str">
        <f>IFERROR(_xll.qlRateHelperRate(W53,Trigger),"")</f>
        <v/>
      </c>
      <c r="Z53" s="11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3" t="e">
        <v>#N/A</v>
      </c>
    </row>
    <row r="54" spans="1:29" ht="11.25" customHeight="1" x14ac:dyDescent="0.2">
      <c r="A54" s="63" t="s">
        <v>160</v>
      </c>
      <c r="B54" s="64" t="s">
        <v>92</v>
      </c>
      <c r="C54" s="65" t="s">
        <v>6</v>
      </c>
      <c r="D54" s="65" t="s">
        <v>8</v>
      </c>
      <c r="E54" s="65" t="s">
        <v>7</v>
      </c>
      <c r="F54" s="65" t="s">
        <v>28</v>
      </c>
      <c r="G54" s="65" t="str">
        <f t="shared" si="18"/>
        <v>UsdLibor6M</v>
      </c>
      <c r="H54" s="63" t="str">
        <f t="shared" si="19"/>
        <v>USDAM3L20Y_S6L3L_Quote</v>
      </c>
      <c r="I54" s="140">
        <v>0</v>
      </c>
      <c r="J54" s="69" t="str">
        <f>_xll.qlSwapRateHelper2(,H54,,B54,JoinCalendar,USD6M!D54,USD6M!E54,USD6M!F54,USD6M!G54,USD6M!I54,USD6M!C54,Discounting,PillarDate,,Permanent,Trigger,ObjectOverwrite)</f>
        <v>obj_002d3#0006</v>
      </c>
      <c r="L54" s="11" t="str">
        <f t="shared" si="16"/>
        <v>BasSw</v>
      </c>
      <c r="M54" s="105" t="str">
        <f t="shared" si="17"/>
        <v>--</v>
      </c>
      <c r="N54" s="159" t="str">
        <f>IFERROR(_xll.qlRateHelperQuoteName(M54,Trigger),"--")</f>
        <v>--</v>
      </c>
      <c r="O54" s="109" t="str">
        <f>IFERROR(_xll.qlRateHelperQuoteValue($M54,Trigger),"--")</f>
        <v>--</v>
      </c>
      <c r="P54" s="108" t="b">
        <v>0</v>
      </c>
      <c r="Q54" s="105">
        <v>40</v>
      </c>
      <c r="R54" s="105">
        <v>1</v>
      </c>
      <c r="S54" s="110" t="str">
        <f>IFERROR(_xll.qlRateHelperEarliestDate(M54,Trigger),"--")</f>
        <v>--</v>
      </c>
      <c r="T54" s="110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5" t="str">
        <f>IFERROR(_xll.qlRateHelperRate(W54,Trigger),"")</f>
        <v/>
      </c>
      <c r="Z54" s="11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3" t="e">
        <v>#N/A</v>
      </c>
    </row>
    <row r="55" spans="1:29" ht="11.25" customHeight="1" x14ac:dyDescent="0.2">
      <c r="A55" s="63" t="s">
        <v>160</v>
      </c>
      <c r="B55" s="64" t="s">
        <v>140</v>
      </c>
      <c r="C55" s="65" t="s">
        <v>6</v>
      </c>
      <c r="D55" s="65" t="s">
        <v>8</v>
      </c>
      <c r="E55" s="65" t="s">
        <v>7</v>
      </c>
      <c r="F55" s="65" t="s">
        <v>28</v>
      </c>
      <c r="G55" s="65" t="str">
        <f t="shared" si="18"/>
        <v>UsdLibor6M</v>
      </c>
      <c r="H55" s="63" t="str">
        <f t="shared" si="19"/>
        <v>USDAM3L21Y_S6L3L_Quote</v>
      </c>
      <c r="I55" s="140">
        <v>0</v>
      </c>
      <c r="J55" s="69"/>
      <c r="L55" s="11" t="str">
        <f t="shared" si="16"/>
        <v>BasSw</v>
      </c>
      <c r="M55" s="105" t="str">
        <f t="shared" si="17"/>
        <v>obj_002cc#0006</v>
      </c>
      <c r="N55" s="159" t="str">
        <f>IFERROR(_xll.qlRateHelperQuoteName(M55,Trigger),"--")</f>
        <v>USDAM3L25Y_S6L3L_Quote</v>
      </c>
      <c r="O55" s="109">
        <f>IFERROR(_xll.qlRateHelperQuoteValue($M55,Trigger),"--")</f>
        <v>2.205058183752057E-2</v>
      </c>
      <c r="P55" s="108" t="b">
        <v>1</v>
      </c>
      <c r="Q55" s="105">
        <v>40</v>
      </c>
      <c r="R55" s="105">
        <v>1</v>
      </c>
      <c r="S55" s="110">
        <f>IFERROR(_xll.qlRateHelperEarliestDate(M55,Trigger),"--")</f>
        <v>42482</v>
      </c>
      <c r="T55" s="110">
        <f>IFERROR(_xll.qlRateHelperPillarDate(M55,Trigger),"--")</f>
        <v>51614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5" t="str">
        <f>IFERROR(_xll.qlRateHelperRate(W55,Trigger),"")</f>
        <v/>
      </c>
      <c r="Z55" s="11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3" t="e">
        <v>#N/A</v>
      </c>
    </row>
    <row r="56" spans="1:29" ht="11.25" customHeight="1" x14ac:dyDescent="0.2">
      <c r="A56" s="63" t="s">
        <v>160</v>
      </c>
      <c r="B56" s="64" t="s">
        <v>141</v>
      </c>
      <c r="C56" s="65" t="s">
        <v>6</v>
      </c>
      <c r="D56" s="65" t="s">
        <v>8</v>
      </c>
      <c r="E56" s="65" t="s">
        <v>7</v>
      </c>
      <c r="F56" s="65" t="s">
        <v>28</v>
      </c>
      <c r="G56" s="65" t="str">
        <f t="shared" si="18"/>
        <v>UsdLibor6M</v>
      </c>
      <c r="H56" s="63" t="str">
        <f t="shared" si="19"/>
        <v>USDAM3L22Y_S6L3L_Quote</v>
      </c>
      <c r="I56" s="140">
        <v>0</v>
      </c>
      <c r="J56" s="69"/>
      <c r="L56" s="11" t="str">
        <f t="shared" si="16"/>
        <v>BasSw</v>
      </c>
      <c r="M56" s="105" t="str">
        <f t="shared" si="17"/>
        <v>--</v>
      </c>
      <c r="N56" s="159" t="str">
        <f>IFERROR(_xll.qlRateHelperQuoteName(M56,Trigger),"--")</f>
        <v>--</v>
      </c>
      <c r="O56" s="109" t="str">
        <f>IFERROR(_xll.qlRateHelperQuoteValue($M56,Trigger),"--")</f>
        <v>--</v>
      </c>
      <c r="P56" s="108" t="b">
        <v>0</v>
      </c>
      <c r="Q56" s="105">
        <v>40</v>
      </c>
      <c r="R56" s="105">
        <v>1</v>
      </c>
      <c r="S56" s="110" t="str">
        <f>IFERROR(_xll.qlRateHelperEarliestDate(M56,Trigger),"--")</f>
        <v>--</v>
      </c>
      <c r="T56" s="110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5" t="str">
        <f>IFERROR(_xll.qlRateHelperRate(W56,Trigger),"")</f>
        <v/>
      </c>
      <c r="Z56" s="11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3" t="e">
        <v>#N/A</v>
      </c>
    </row>
    <row r="57" spans="1:29" ht="11.25" customHeight="1" x14ac:dyDescent="0.2">
      <c r="A57" s="63" t="s">
        <v>160</v>
      </c>
      <c r="B57" s="64" t="s">
        <v>142</v>
      </c>
      <c r="C57" s="65" t="s">
        <v>6</v>
      </c>
      <c r="D57" s="65" t="s">
        <v>8</v>
      </c>
      <c r="E57" s="65" t="s">
        <v>7</v>
      </c>
      <c r="F57" s="65" t="s">
        <v>28</v>
      </c>
      <c r="G57" s="65" t="str">
        <f t="shared" si="18"/>
        <v>UsdLibor6M</v>
      </c>
      <c r="H57" s="63" t="str">
        <f t="shared" si="19"/>
        <v>USDAM3L23Y_S6L3L_Quote</v>
      </c>
      <c r="I57" s="140">
        <v>0</v>
      </c>
      <c r="J57" s="69"/>
      <c r="L57" s="11" t="str">
        <f t="shared" si="16"/>
        <v>BasSw</v>
      </c>
      <c r="M57" s="105" t="str">
        <f t="shared" si="17"/>
        <v>--</v>
      </c>
      <c r="N57" s="159" t="str">
        <f>IFERROR(_xll.qlRateHelperQuoteName(M57,Trigger),"--")</f>
        <v>--</v>
      </c>
      <c r="O57" s="109" t="str">
        <f>IFERROR(_xll.qlRateHelperQuoteValue($M57,Trigger),"--")</f>
        <v>--</v>
      </c>
      <c r="P57" s="108" t="b">
        <v>0</v>
      </c>
      <c r="Q57" s="105">
        <v>40</v>
      </c>
      <c r="R57" s="105">
        <v>1</v>
      </c>
      <c r="S57" s="110" t="str">
        <f>IFERROR(_xll.qlRateHelperEarliestDate(M57,Trigger),"--")</f>
        <v>--</v>
      </c>
      <c r="T57" s="110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5" t="str">
        <f>IFERROR(_xll.qlRateHelperRate(W57,Trigger),"")</f>
        <v/>
      </c>
      <c r="Z57" s="11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3" t="e">
        <v>#N/A</v>
      </c>
    </row>
    <row r="58" spans="1:29" ht="11.25" customHeight="1" x14ac:dyDescent="0.2">
      <c r="A58" s="63" t="s">
        <v>160</v>
      </c>
      <c r="B58" s="64" t="s">
        <v>143</v>
      </c>
      <c r="C58" s="65" t="s">
        <v>6</v>
      </c>
      <c r="D58" s="65" t="s">
        <v>8</v>
      </c>
      <c r="E58" s="65" t="s">
        <v>7</v>
      </c>
      <c r="F58" s="65" t="s">
        <v>28</v>
      </c>
      <c r="G58" s="65" t="str">
        <f t="shared" si="18"/>
        <v>UsdLibor6M</v>
      </c>
      <c r="H58" s="63" t="str">
        <f t="shared" si="19"/>
        <v>USDAM3L24Y_S6L3L_Quote</v>
      </c>
      <c r="I58" s="140">
        <v>0</v>
      </c>
      <c r="J58" s="69"/>
      <c r="L58" s="11" t="str">
        <f t="shared" si="16"/>
        <v>BasSw</v>
      </c>
      <c r="M58" s="105" t="str">
        <f t="shared" si="17"/>
        <v>--</v>
      </c>
      <c r="N58" s="159" t="str">
        <f>IFERROR(_xll.qlRateHelperQuoteName(M58,Trigger),"--")</f>
        <v>--</v>
      </c>
      <c r="O58" s="109" t="str">
        <f>IFERROR(_xll.qlRateHelperQuoteValue($M58,Trigger),"--")</f>
        <v>--</v>
      </c>
      <c r="P58" s="108" t="b">
        <v>0</v>
      </c>
      <c r="Q58" s="105">
        <v>40</v>
      </c>
      <c r="R58" s="105">
        <v>1</v>
      </c>
      <c r="S58" s="110" t="str">
        <f>IFERROR(_xll.qlRateHelperEarliestDate(M58,Trigger),"--")</f>
        <v>--</v>
      </c>
      <c r="T58" s="110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5" t="str">
        <f>IFERROR(_xll.qlRateHelperRate(W58,Trigger),"")</f>
        <v/>
      </c>
      <c r="Z58" s="11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3" t="e">
        <v>#N/A</v>
      </c>
    </row>
    <row r="59" spans="1:29" ht="11.25" customHeight="1" x14ac:dyDescent="0.2">
      <c r="A59" s="63" t="s">
        <v>160</v>
      </c>
      <c r="B59" s="64" t="s">
        <v>93</v>
      </c>
      <c r="C59" s="65" t="s">
        <v>6</v>
      </c>
      <c r="D59" s="65" t="s">
        <v>8</v>
      </c>
      <c r="E59" s="65" t="s">
        <v>7</v>
      </c>
      <c r="F59" s="65" t="s">
        <v>28</v>
      </c>
      <c r="G59" s="65" t="str">
        <f t="shared" si="18"/>
        <v>UsdLibor6M</v>
      </c>
      <c r="H59" s="63" t="str">
        <f t="shared" si="19"/>
        <v>USDAM3L25Y_S6L3L_Quote</v>
      </c>
      <c r="I59" s="140">
        <v>0</v>
      </c>
      <c r="J59" s="69" t="str">
        <f>_xll.qlSwapRateHelper2(,H59,,B59,JoinCalendar,USD6M!D59,USD6M!E59,USD6M!F59,USD6M!G59,USD6M!I59,USD6M!C59,Discounting,PillarDate,,Permanent,Trigger,ObjectOverwrite)</f>
        <v>obj_002cc#0006</v>
      </c>
      <c r="L59" s="11" t="str">
        <f t="shared" si="16"/>
        <v>BasSw</v>
      </c>
      <c r="M59" s="105" t="str">
        <f t="shared" si="17"/>
        <v>--</v>
      </c>
      <c r="N59" s="159" t="str">
        <f>IFERROR(_xll.qlRateHelperQuoteName(M59,Trigger),"--")</f>
        <v>--</v>
      </c>
      <c r="O59" s="109" t="str">
        <f>IFERROR(_xll.qlRateHelperQuoteValue($M59,Trigger),"--")</f>
        <v>--</v>
      </c>
      <c r="P59" s="108" t="b">
        <v>0</v>
      </c>
      <c r="Q59" s="105">
        <v>40</v>
      </c>
      <c r="R59" s="105">
        <v>1</v>
      </c>
      <c r="S59" s="110" t="str">
        <f>IFERROR(_xll.qlRateHelperEarliestDate(M59,Trigger),"--")</f>
        <v>--</v>
      </c>
      <c r="T59" s="110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5" t="str">
        <f>IFERROR(_xll.qlRateHelperRate(W59,Trigger),"")</f>
        <v/>
      </c>
      <c r="Z59" s="11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3" t="e">
        <v>#N/A</v>
      </c>
    </row>
    <row r="60" spans="1:29" ht="11.25" customHeight="1" x14ac:dyDescent="0.2">
      <c r="A60" s="63" t="s">
        <v>160</v>
      </c>
      <c r="B60" s="64" t="s">
        <v>144</v>
      </c>
      <c r="C60" s="65" t="s">
        <v>6</v>
      </c>
      <c r="D60" s="65" t="s">
        <v>8</v>
      </c>
      <c r="E60" s="65" t="s">
        <v>7</v>
      </c>
      <c r="F60" s="65" t="s">
        <v>28</v>
      </c>
      <c r="G60" s="65" t="str">
        <f t="shared" si="18"/>
        <v>UsdLibor6M</v>
      </c>
      <c r="H60" s="63" t="str">
        <f t="shared" si="19"/>
        <v>USDAM3L26Y_S6L3L_Quote</v>
      </c>
      <c r="I60" s="140">
        <v>0</v>
      </c>
      <c r="J60" s="69"/>
      <c r="L60" s="11" t="str">
        <f t="shared" si="16"/>
        <v>BasSw</v>
      </c>
      <c r="M60" s="105" t="str">
        <f t="shared" si="17"/>
        <v>obj_002fd#0006</v>
      </c>
      <c r="N60" s="159" t="str">
        <f>IFERROR(_xll.qlRateHelperQuoteName(M60,Trigger),"--")</f>
        <v>USDAM3L30Y_S6L3L_Quote</v>
      </c>
      <c r="O60" s="109">
        <f>IFERROR(_xll.qlRateHelperQuoteValue($M60,Trigger),"--")</f>
        <v>2.2430863612316877E-2</v>
      </c>
      <c r="P60" s="108" t="b">
        <v>1</v>
      </c>
      <c r="Q60" s="105">
        <v>40</v>
      </c>
      <c r="R60" s="105">
        <v>1</v>
      </c>
      <c r="S60" s="110">
        <f>IFERROR(_xll.qlRateHelperEarliestDate(M60,Trigger),"--")</f>
        <v>42482</v>
      </c>
      <c r="T60" s="110">
        <f>IFERROR(_xll.qlRateHelperPillarDate(M60,Trigger),"--")</f>
        <v>53440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5" t="str">
        <f>IFERROR(_xll.qlRateHelperRate(W60,Trigger),"")</f>
        <v/>
      </c>
      <c r="Z60" s="11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3" t="e">
        <v>#N/A</v>
      </c>
    </row>
    <row r="61" spans="1:29" ht="11.25" customHeight="1" x14ac:dyDescent="0.2">
      <c r="A61" s="63" t="s">
        <v>160</v>
      </c>
      <c r="B61" s="64" t="s">
        <v>94</v>
      </c>
      <c r="C61" s="65" t="s">
        <v>6</v>
      </c>
      <c r="D61" s="65" t="s">
        <v>8</v>
      </c>
      <c r="E61" s="65" t="s">
        <v>7</v>
      </c>
      <c r="F61" s="65" t="s">
        <v>28</v>
      </c>
      <c r="G61" s="65" t="str">
        <f t="shared" si="18"/>
        <v>UsdLibor6M</v>
      </c>
      <c r="H61" s="63" t="str">
        <f t="shared" si="19"/>
        <v>USDAM3L27Y_S6L3L_Quote</v>
      </c>
      <c r="I61" s="140">
        <v>0</v>
      </c>
      <c r="J61" s="69"/>
      <c r="L61" s="11" t="str">
        <f t="shared" si="16"/>
        <v>BasSw</v>
      </c>
      <c r="M61" s="105" t="str">
        <f t="shared" si="17"/>
        <v>obj_002fe#0006</v>
      </c>
      <c r="N61" s="159" t="str">
        <f>IFERROR(_xll.qlRateHelperQuoteName(M61,Trigger),"--")</f>
        <v>USDAM3L35Y_S6L3L_Quote</v>
      </c>
      <c r="O61" s="109">
        <f>IFERROR(_xll.qlRateHelperQuoteValue($M61,Trigger),"--")</f>
        <v>2.2577824029324414E-2</v>
      </c>
      <c r="P61" s="108" t="b">
        <v>1</v>
      </c>
      <c r="Q61" s="105">
        <v>40</v>
      </c>
      <c r="R61" s="105">
        <v>1</v>
      </c>
      <c r="S61" s="110">
        <f>IFERROR(_xll.qlRateHelperEarliestDate(M61,Trigger),"--")</f>
        <v>42482</v>
      </c>
      <c r="T61" s="110">
        <f>IFERROR(_xll.qlRateHelperPillarDate(M61,Trigger),"--")</f>
        <v>55267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5" t="str">
        <f>IFERROR(_xll.qlRateHelperRate(W61,Trigger),"")</f>
        <v/>
      </c>
      <c r="Z61" s="11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3" t="e">
        <v>#N/A</v>
      </c>
    </row>
    <row r="62" spans="1:29" ht="11.25" customHeight="1" x14ac:dyDescent="0.2">
      <c r="A62" s="63" t="s">
        <v>160</v>
      </c>
      <c r="B62" s="64" t="s">
        <v>145</v>
      </c>
      <c r="C62" s="65" t="s">
        <v>6</v>
      </c>
      <c r="D62" s="65" t="s">
        <v>8</v>
      </c>
      <c r="E62" s="65" t="s">
        <v>7</v>
      </c>
      <c r="F62" s="65" t="s">
        <v>28</v>
      </c>
      <c r="G62" s="65" t="str">
        <f t="shared" si="18"/>
        <v>UsdLibor6M</v>
      </c>
      <c r="H62" s="63" t="str">
        <f t="shared" si="19"/>
        <v>USDAM3L28Y_S6L3L_Quote</v>
      </c>
      <c r="I62" s="140">
        <v>0</v>
      </c>
      <c r="J62" s="69"/>
      <c r="L62" s="11" t="str">
        <f t="shared" si="16"/>
        <v>BasSw</v>
      </c>
      <c r="M62" s="105" t="str">
        <f t="shared" si="17"/>
        <v>obj_002b0#0006</v>
      </c>
      <c r="N62" s="159" t="str">
        <f>IFERROR(_xll.qlRateHelperQuoteName(M62,Trigger),"--")</f>
        <v>USDAM3L40Y_S6L3L_Quote</v>
      </c>
      <c r="O62" s="109">
        <f>IFERROR(_xll.qlRateHelperQuoteValue($M62,Trigger),"--")</f>
        <v>2.2590850869375172E-2</v>
      </c>
      <c r="P62" s="108" t="b">
        <v>1</v>
      </c>
      <c r="Q62" s="105">
        <v>40</v>
      </c>
      <c r="R62" s="105">
        <v>1</v>
      </c>
      <c r="S62" s="110">
        <f>IFERROR(_xll.qlRateHelperEarliestDate(M62,Trigger),"--")</f>
        <v>42482</v>
      </c>
      <c r="T62" s="110">
        <f>IFERROR(_xll.qlRateHelperPillarDate(M62,Trigger),"--")</f>
        <v>57094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5" t="str">
        <f>IFERROR(_xll.qlRateHelperRate(W62,Trigger),"")</f>
        <v/>
      </c>
      <c r="Z62" s="11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3" t="e">
        <v>#N/A</v>
      </c>
    </row>
    <row r="63" spans="1:29" ht="11.25" customHeight="1" x14ac:dyDescent="0.2">
      <c r="A63" s="63" t="s">
        <v>160</v>
      </c>
      <c r="B63" s="64" t="s">
        <v>146</v>
      </c>
      <c r="C63" s="65" t="s">
        <v>6</v>
      </c>
      <c r="D63" s="65" t="s">
        <v>8</v>
      </c>
      <c r="E63" s="65" t="s">
        <v>7</v>
      </c>
      <c r="F63" s="65" t="s">
        <v>28</v>
      </c>
      <c r="G63" s="65" t="str">
        <f t="shared" si="18"/>
        <v>UsdLibor6M</v>
      </c>
      <c r="H63" s="63" t="str">
        <f t="shared" si="19"/>
        <v>USDAM3L29Y_S6L3L_Quote</v>
      </c>
      <c r="I63" s="140">
        <v>0</v>
      </c>
      <c r="J63" s="69"/>
      <c r="L63" s="11" t="str">
        <f t="shared" si="16"/>
        <v>BasSw</v>
      </c>
      <c r="M63" s="105" t="str">
        <f t="shared" si="17"/>
        <v>--</v>
      </c>
      <c r="N63" s="159" t="str">
        <f>IFERROR(_xll.qlRateHelperQuoteName(M63,Trigger),"--")</f>
        <v>--</v>
      </c>
      <c r="O63" s="109" t="str">
        <f>IFERROR(_xll.qlRateHelperQuoteValue($M63,Trigger),"--")</f>
        <v>--</v>
      </c>
      <c r="P63" s="108" t="b">
        <v>0</v>
      </c>
      <c r="Q63" s="105">
        <v>40</v>
      </c>
      <c r="R63" s="105">
        <v>1</v>
      </c>
      <c r="S63" s="110" t="str">
        <f>IFERROR(_xll.qlRateHelperEarliestDate(M63,Trigger),"--")</f>
        <v>--</v>
      </c>
      <c r="T63" s="110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5" t="str">
        <f>IFERROR(_xll.qlRateHelperRate(W63,Trigger),"")</f>
        <v/>
      </c>
      <c r="Z63" s="11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3" t="e">
        <v>#N/A</v>
      </c>
    </row>
    <row r="64" spans="1:29" ht="11.25" customHeight="1" x14ac:dyDescent="0.2">
      <c r="A64" s="63" t="s">
        <v>160</v>
      </c>
      <c r="B64" s="64" t="s">
        <v>95</v>
      </c>
      <c r="C64" s="65" t="s">
        <v>6</v>
      </c>
      <c r="D64" s="65" t="s">
        <v>8</v>
      </c>
      <c r="E64" s="65" t="s">
        <v>7</v>
      </c>
      <c r="F64" s="65" t="s">
        <v>28</v>
      </c>
      <c r="G64" s="65" t="str">
        <f t="shared" si="18"/>
        <v>UsdLibor6M</v>
      </c>
      <c r="H64" s="63" t="str">
        <f t="shared" si="19"/>
        <v>USDAM3L30Y_S6L3L_Quote</v>
      </c>
      <c r="I64" s="140">
        <v>0</v>
      </c>
      <c r="J64" s="69" t="str">
        <f>_xll.qlSwapRateHelper2(,H64,,B64,JoinCalendar,USD6M!D64,USD6M!E64,USD6M!F64,USD6M!G64,USD6M!I64,USD6M!C64,Discounting,PillarDate,,Permanent,Trigger,ObjectOverwrite)</f>
        <v>obj_002fd#0006</v>
      </c>
      <c r="L64" s="11" t="str">
        <f t="shared" si="16"/>
        <v>BasSw</v>
      </c>
      <c r="M64" s="105" t="str">
        <f t="shared" si="17"/>
        <v>obj_00291#0006</v>
      </c>
      <c r="N64" s="159" t="str">
        <f>IFERROR(_xll.qlRateHelperQuoteName(M64,Trigger),"--")</f>
        <v>USDAM3L50Y_S6L3L_Quote</v>
      </c>
      <c r="O64" s="109">
        <f>IFERROR(_xll.qlRateHelperQuoteValue($M64,Trigger),"--")</f>
        <v>2.2470654117462272E-2</v>
      </c>
      <c r="P64" s="108" t="b">
        <v>1</v>
      </c>
      <c r="Q64" s="105">
        <v>40</v>
      </c>
      <c r="R64" s="105">
        <v>1</v>
      </c>
      <c r="S64" s="110">
        <f>IFERROR(_xll.qlRateHelperEarliestDate(M64,Trigger),"--")</f>
        <v>42482</v>
      </c>
      <c r="T64" s="110">
        <f>IFERROR(_xll.qlRateHelperPillarDate(M64,Trigger),"--")</f>
        <v>60744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5" t="str">
        <f>IFERROR(_xll.qlRateHelperRate(W64,Trigger),"")</f>
        <v/>
      </c>
      <c r="Z64" s="11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3" t="e">
        <v>#N/A</v>
      </c>
    </row>
    <row r="65" spans="1:29" ht="11.25" customHeight="1" x14ac:dyDescent="0.2">
      <c r="A65" s="63" t="s">
        <v>160</v>
      </c>
      <c r="B65" s="64" t="s">
        <v>96</v>
      </c>
      <c r="C65" s="65" t="s">
        <v>6</v>
      </c>
      <c r="D65" s="65" t="s">
        <v>8</v>
      </c>
      <c r="E65" s="65" t="s">
        <v>7</v>
      </c>
      <c r="F65" s="65" t="s">
        <v>28</v>
      </c>
      <c r="G65" s="65" t="str">
        <f t="shared" si="18"/>
        <v>UsdLibor6M</v>
      </c>
      <c r="H65" s="63" t="str">
        <f t="shared" si="19"/>
        <v>USDAM3L35Y_S6L3L_Quote</v>
      </c>
      <c r="I65" s="140">
        <v>0</v>
      </c>
      <c r="J65" s="69" t="str">
        <f>_xll.qlSwapRateHelper2(,H65,,B65,JoinCalendar,USD6M!D65,USD6M!E65,USD6M!F65,USD6M!G65,USD6M!I65,USD6M!C65,Discounting,PillarDate,,Permanent,Trigger,ObjectOverwrite)</f>
        <v>obj_002fe#0006</v>
      </c>
      <c r="L65" s="11" t="str">
        <f t="shared" si="16"/>
        <v>BasSw</v>
      </c>
      <c r="M65" s="105" t="str">
        <f t="shared" si="17"/>
        <v>--</v>
      </c>
      <c r="N65" s="159" t="str">
        <f>IFERROR(_xll.qlRateHelperQuoteName(M65,Trigger),"--")</f>
        <v>--</v>
      </c>
      <c r="O65" s="109" t="str">
        <f>IFERROR(_xll.qlRateHelperQuoteValue($M65,Trigger),"--")</f>
        <v>--</v>
      </c>
      <c r="P65" s="108" t="b">
        <v>0</v>
      </c>
      <c r="Q65" s="105">
        <v>40</v>
      </c>
      <c r="R65" s="105">
        <v>1</v>
      </c>
      <c r="S65" s="110" t="str">
        <f>IFERROR(_xll.qlRateHelperEarliestDate(M65,Trigger),"--")</f>
        <v>--</v>
      </c>
      <c r="T65" s="110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5" t="str">
        <f>IFERROR(_xll.qlRateHelperRate(W65,Trigger),"")</f>
        <v/>
      </c>
      <c r="Z65" s="11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3" t="e">
        <v>#N/A</v>
      </c>
    </row>
    <row r="66" spans="1:29" ht="11.25" customHeight="1" x14ac:dyDescent="0.2">
      <c r="A66" s="63" t="s">
        <v>160</v>
      </c>
      <c r="B66" s="64" t="s">
        <v>97</v>
      </c>
      <c r="C66" s="65" t="s">
        <v>6</v>
      </c>
      <c r="D66" s="65" t="s">
        <v>8</v>
      </c>
      <c r="E66" s="65" t="s">
        <v>7</v>
      </c>
      <c r="F66" s="65" t="s">
        <v>28</v>
      </c>
      <c r="G66" s="65" t="str">
        <f t="shared" si="18"/>
        <v>UsdLibor6M</v>
      </c>
      <c r="H66" s="63" t="str">
        <f t="shared" si="19"/>
        <v>USDAM3L40Y_S6L3L_Quote</v>
      </c>
      <c r="I66" s="140">
        <v>0</v>
      </c>
      <c r="J66" s="69" t="str">
        <f>_xll.qlSwapRateHelper2(,H66,,B66,JoinCalendar,USD6M!D66,USD6M!E66,USD6M!F66,USD6M!G66,USD6M!I66,USD6M!C66,Discounting,PillarDate,,Permanent,Trigger,ObjectOverwrite)</f>
        <v>obj_002b0#0006</v>
      </c>
      <c r="L66" s="12" t="str">
        <f t="shared" si="16"/>
        <v>BasSw</v>
      </c>
      <c r="M66" s="106" t="str">
        <f t="shared" si="17"/>
        <v>obj_0029c#0006</v>
      </c>
      <c r="N66" s="160" t="str">
        <f>IFERROR(_xll.qlRateHelperQuoteName(M66,Trigger),"--")</f>
        <v>USDAM3L60Y_S6L3L_Quote</v>
      </c>
      <c r="O66" s="112">
        <f>IFERROR(_xll.qlRateHelperQuoteValue($M66,Trigger),"--")</f>
        <v>2.2359791513065649E-2</v>
      </c>
      <c r="P66" s="111" t="b">
        <v>1</v>
      </c>
      <c r="Q66" s="106">
        <v>40</v>
      </c>
      <c r="R66" s="106">
        <v>1</v>
      </c>
      <c r="S66" s="113">
        <f>IFERROR(_xll.qlRateHelperEarliestDate(M66,Trigger),"--")</f>
        <v>42482</v>
      </c>
      <c r="T66" s="113">
        <f>IFERROR(_xll.qlRateHelperPillarDate(M66,Trigger),"--")</f>
        <v>64397</v>
      </c>
      <c r="V66" s="6" t="str">
        <f t="shared" si="3"/>
        <v/>
      </c>
      <c r="W66" s="6" t="e">
        <v>#N/A</v>
      </c>
      <c r="X66" s="6" t="str">
        <f>IFERROR(_xll.qlRateHelperQuoteName(W66,Trigger),"")</f>
        <v/>
      </c>
      <c r="Y66" s="85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13" t="str">
        <f>IFERROR(_xll.qlRateHelperEarliestDate(W66,Trigger),"")</f>
        <v/>
      </c>
      <c r="AB66" s="13" t="str">
        <f>IFERROR(_xll.qlRateHelperPillarDate(W66,Trigger),"")</f>
        <v/>
      </c>
      <c r="AC66" s="84" t="e">
        <v>#N/A</v>
      </c>
    </row>
    <row r="67" spans="1:29" ht="11.25" customHeight="1" x14ac:dyDescent="0.2">
      <c r="A67" s="63" t="s">
        <v>160</v>
      </c>
      <c r="B67" s="64" t="s">
        <v>98</v>
      </c>
      <c r="C67" s="65" t="s">
        <v>6</v>
      </c>
      <c r="D67" s="65" t="s">
        <v>8</v>
      </c>
      <c r="E67" s="65" t="s">
        <v>7</v>
      </c>
      <c r="F67" s="65" t="s">
        <v>28</v>
      </c>
      <c r="G67" s="65" t="str">
        <f t="shared" si="18"/>
        <v>UsdLibor6M</v>
      </c>
      <c r="H67" s="63" t="str">
        <f t="shared" si="19"/>
        <v>USDAM3L45Y_S6L3L_Quote</v>
      </c>
      <c r="I67" s="140">
        <v>0</v>
      </c>
      <c r="J67" s="69"/>
    </row>
    <row r="68" spans="1:29" ht="11.25" customHeight="1" x14ac:dyDescent="0.2">
      <c r="A68" s="63" t="s">
        <v>160</v>
      </c>
      <c r="B68" s="64" t="s">
        <v>99</v>
      </c>
      <c r="C68" s="65" t="s">
        <v>6</v>
      </c>
      <c r="D68" s="65" t="s">
        <v>8</v>
      </c>
      <c r="E68" s="65" t="s">
        <v>7</v>
      </c>
      <c r="F68" s="65" t="s">
        <v>28</v>
      </c>
      <c r="G68" s="65" t="str">
        <f t="shared" si="18"/>
        <v>UsdLibor6M</v>
      </c>
      <c r="H68" s="63" t="str">
        <f t="shared" si="19"/>
        <v>USDAM3L50Y_S6L3L_Quote</v>
      </c>
      <c r="I68" s="140">
        <v>0</v>
      </c>
      <c r="J68" s="69" t="str">
        <f>_xll.qlSwapRateHelper2(,H68,,B68,JoinCalendar,USD6M!D68,USD6M!E68,USD6M!F68,USD6M!G68,USD6M!I68,USD6M!C68,Discounting,PillarDate,,Permanent,Trigger,ObjectOverwrite)</f>
        <v>obj_00291#0006</v>
      </c>
    </row>
    <row r="69" spans="1:29" ht="11.25" customHeight="1" x14ac:dyDescent="0.2">
      <c r="A69" s="63" t="s">
        <v>160</v>
      </c>
      <c r="B69" s="64" t="s">
        <v>155</v>
      </c>
      <c r="C69" s="65" t="s">
        <v>6</v>
      </c>
      <c r="D69" s="65" t="s">
        <v>8</v>
      </c>
      <c r="E69" s="65" t="s">
        <v>7</v>
      </c>
      <c r="F69" s="65" t="s">
        <v>28</v>
      </c>
      <c r="G69" s="65" t="str">
        <f t="shared" si="18"/>
        <v>UsdLibor6M</v>
      </c>
      <c r="H69" s="63" t="str">
        <f t="shared" si="19"/>
        <v>USDAM3L55Y_S6L3L_Quote</v>
      </c>
      <c r="I69" s="138">
        <v>0</v>
      </c>
      <c r="J69" s="69"/>
    </row>
    <row r="70" spans="1:29" ht="11.25" customHeight="1" x14ac:dyDescent="0.2">
      <c r="A70" s="1" t="s">
        <v>160</v>
      </c>
      <c r="B70" s="9" t="s">
        <v>147</v>
      </c>
      <c r="C70" s="7" t="s">
        <v>6</v>
      </c>
      <c r="D70" s="7" t="s">
        <v>8</v>
      </c>
      <c r="E70" s="7" t="s">
        <v>7</v>
      </c>
      <c r="F70" s="7" t="s">
        <v>28</v>
      </c>
      <c r="G70" s="7" t="str">
        <f t="shared" si="18"/>
        <v>UsdLibor6M</v>
      </c>
      <c r="H70" s="1" t="str">
        <f t="shared" si="19"/>
        <v>USDAM3L60Y_S6L3L_Quote</v>
      </c>
      <c r="I70" s="141">
        <v>0</v>
      </c>
      <c r="J70" s="3" t="str">
        <f>_xll.qlSwapRateHelper2(,H70,,B70,JoinCalendar,USD6M!D70,USD6M!E70,USD6M!F70,USD6M!G70,USD6M!I70,USD6M!C70,Discounting,PillarDate,,Permanent,Trigger,ObjectOverwrite)</f>
        <v>obj_0029c#0006</v>
      </c>
    </row>
    <row r="71" spans="1:29" ht="11.25" customHeight="1" x14ac:dyDescent="0.2"/>
    <row r="72" spans="1:29" ht="11.25" customHeight="1" x14ac:dyDescent="0.2"/>
    <row r="73" spans="1:29" ht="11.25" customHeight="1" x14ac:dyDescent="0.2"/>
    <row r="74" spans="1:29" ht="11.25" customHeight="1" x14ac:dyDescent="0.2"/>
    <row r="75" spans="1:29" ht="11.25" customHeight="1" x14ac:dyDescent="0.2"/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50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0" hidden="1" customWidth="1" outlineLevel="1"/>
    <col min="2" max="2" width="6" style="55" hidden="1" customWidth="1" outlineLevel="1"/>
    <col min="3" max="3" width="6.7109375" style="54" hidden="1" customWidth="1" outlineLevel="1"/>
    <col min="4" max="4" width="7" style="54" hidden="1" customWidth="1" outlineLevel="1"/>
    <col min="5" max="5" width="19.28515625" style="54" hidden="1" customWidth="1" outlineLevel="1"/>
    <col min="6" max="6" width="11" style="54" hidden="1" customWidth="1" outlineLevel="1"/>
    <col min="7" max="7" width="15.140625" style="54" hidden="1" customWidth="1" outlineLevel="1"/>
    <col min="8" max="8" width="23.42578125" style="56" hidden="1" customWidth="1" outlineLevel="1"/>
    <col min="9" max="9" width="17.28515625" style="50" hidden="1" customWidth="1" outlineLevel="1"/>
    <col min="10" max="10" width="15.140625" style="50" hidden="1" customWidth="1" outlineLevel="1"/>
    <col min="11" max="11" width="2.7109375" style="50" customWidth="1" collapsed="1"/>
    <col min="12" max="12" width="6" style="50" hidden="1" customWidth="1" outlineLevel="1"/>
    <col min="13" max="13" width="15.140625" style="114" hidden="1" customWidth="1" outlineLevel="1"/>
    <col min="14" max="14" width="22.42578125" style="114" hidden="1" customWidth="1" outlineLevel="1"/>
    <col min="15" max="15" width="9.7109375" style="114" hidden="1" customWidth="1" outlineLevel="1"/>
    <col min="16" max="16" width="7.85546875" style="114" hidden="1" customWidth="1" outlineLevel="1"/>
    <col min="17" max="17" width="9" style="114" hidden="1" customWidth="1" outlineLevel="1"/>
    <col min="18" max="18" width="5.85546875" style="114" hidden="1" customWidth="1" outlineLevel="1"/>
    <col min="19" max="20" width="10.7109375" style="114" hidden="1" customWidth="1" outlineLevel="1"/>
    <col min="21" max="21" width="2.7109375" style="52" hidden="1" customWidth="1" outlineLevel="1"/>
    <col min="22" max="22" width="6" style="50" bestFit="1" customWidth="1" collapsed="1"/>
    <col min="23" max="23" width="10.140625" style="50" hidden="1" customWidth="1" outlineLevel="1"/>
    <col min="24" max="24" width="24.7109375" style="50" customWidth="1" collapsed="1"/>
    <col min="25" max="26" width="9.7109375" style="50" customWidth="1"/>
    <col min="27" max="28" width="17.28515625" style="50" bestFit="1" customWidth="1"/>
    <col min="29" max="29" width="12" style="50" bestFit="1" customWidth="1"/>
    <col min="30" max="30" width="2.7109375" style="50" customWidth="1"/>
    <col min="31" max="31" width="24.42578125" style="50" bestFit="1" customWidth="1"/>
    <col min="32" max="32" width="9" style="50" bestFit="1" customWidth="1"/>
    <col min="33" max="16384" width="9.140625" style="50"/>
  </cols>
  <sheetData>
    <row r="1" spans="1:32" ht="18" customHeight="1" x14ac:dyDescent="0.2">
      <c r="G1" s="54" t="s">
        <v>2</v>
      </c>
      <c r="H1" s="54" t="str">
        <f>"_SYNTH"&amp;Tenor</f>
        <v>_SYNTH1M</v>
      </c>
      <c r="L1" s="72" t="s">
        <v>25</v>
      </c>
      <c r="M1" s="117"/>
      <c r="N1" s="117"/>
      <c r="O1" s="117"/>
      <c r="P1" s="117"/>
      <c r="Q1" s="117"/>
      <c r="R1" s="117"/>
      <c r="S1" s="117"/>
      <c r="T1" s="107"/>
      <c r="U1" s="104"/>
      <c r="V1" s="80" t="str">
        <f>Currency&amp;Tenor</f>
        <v>USD1M</v>
      </c>
      <c r="W1" s="189"/>
      <c r="X1" s="71"/>
      <c r="Y1" s="74"/>
      <c r="Z1" s="74"/>
      <c r="AA1" s="71"/>
      <c r="AB1" s="189"/>
      <c r="AC1" s="78" t="s">
        <v>33</v>
      </c>
    </row>
    <row r="2" spans="1:32" ht="21.75" customHeight="1" x14ac:dyDescent="0.2">
      <c r="A2" s="70" t="s">
        <v>9</v>
      </c>
      <c r="B2" s="70" t="s">
        <v>30</v>
      </c>
      <c r="C2" s="70" t="s">
        <v>125</v>
      </c>
      <c r="D2" s="70"/>
      <c r="E2" s="70"/>
      <c r="F2" s="70"/>
      <c r="G2" s="70" t="s">
        <v>4</v>
      </c>
      <c r="H2" s="70" t="s">
        <v>1</v>
      </c>
      <c r="I2" s="70"/>
      <c r="J2" s="70" t="s">
        <v>25</v>
      </c>
      <c r="L2" s="79" t="s">
        <v>9</v>
      </c>
      <c r="M2" s="79" t="s">
        <v>25</v>
      </c>
      <c r="N2" s="79" t="s">
        <v>112</v>
      </c>
      <c r="O2" s="79" t="s">
        <v>115</v>
      </c>
      <c r="P2" s="79" t="s">
        <v>113</v>
      </c>
      <c r="Q2" s="79" t="s">
        <v>114</v>
      </c>
      <c r="R2" s="79" t="s">
        <v>116</v>
      </c>
      <c r="S2" s="79" t="s">
        <v>23</v>
      </c>
      <c r="T2" s="79" t="s">
        <v>109</v>
      </c>
      <c r="U2" s="104"/>
      <c r="V2" s="79" t="s">
        <v>9</v>
      </c>
      <c r="W2" s="79" t="s">
        <v>25</v>
      </c>
      <c r="X2" s="79" t="s">
        <v>112</v>
      </c>
      <c r="Y2" s="81" t="s">
        <v>24</v>
      </c>
      <c r="Z2" s="81" t="s">
        <v>117</v>
      </c>
      <c r="AA2" s="79" t="s">
        <v>23</v>
      </c>
      <c r="AB2" s="79" t="s">
        <v>109</v>
      </c>
      <c r="AC2" s="82">
        <f t="array" ref="AC2:AC55">_xll.qlPiecewiseYieldCurveData(YieldCurve_1M,Trigger)</f>
        <v>1</v>
      </c>
      <c r="AE2" s="197" t="s">
        <v>118</v>
      </c>
      <c r="AF2" s="198"/>
    </row>
    <row r="3" spans="1:32" ht="11.25" customHeight="1" x14ac:dyDescent="0.2">
      <c r="A3" s="121" t="s">
        <v>27</v>
      </c>
      <c r="B3" s="122" t="s">
        <v>104</v>
      </c>
      <c r="C3" s="123" t="s">
        <v>49</v>
      </c>
      <c r="D3" s="135"/>
      <c r="E3" s="135"/>
      <c r="F3" s="135"/>
      <c r="G3" s="124" t="str">
        <f>PROPER(Currency)&amp;"FedFunds"</f>
        <v>UsdFedFunds</v>
      </c>
      <c r="H3" s="132" t="str">
        <f t="shared" ref="H3:H7" si="0">Currency&amp;$B3&amp;"D"&amp;$H$1&amp;QuoteSuffix</f>
        <v>USDSND_SYNTH1M_Quote</v>
      </c>
      <c r="I3" s="135"/>
      <c r="J3" s="125"/>
      <c r="K3" s="53"/>
      <c r="L3" s="73" t="str">
        <f>A3</f>
        <v>Dp</v>
      </c>
      <c r="M3" s="144" t="str">
        <f>IF(ISBLANK(J3),"--",J3)</f>
        <v>--</v>
      </c>
      <c r="N3" s="158" t="str">
        <f>IFERROR(_xll.qlRateHelperQuoteName(M3,Trigger),"--")</f>
        <v>--</v>
      </c>
      <c r="O3" s="146" t="str">
        <f>IFERROR(_xll.qlRateHelperQuoteValue($M3,Trigger),"--")</f>
        <v>--</v>
      </c>
      <c r="P3" s="145" t="b">
        <v>0</v>
      </c>
      <c r="Q3" s="144">
        <v>10</v>
      </c>
      <c r="R3" s="144">
        <v>1</v>
      </c>
      <c r="S3" s="147" t="str">
        <f>IFERROR(_xll.qlRateHelperEarliestDate(M3,Trigger),"--")</f>
        <v>--</v>
      </c>
      <c r="T3" s="147" t="str">
        <f>IFERROR(_xll.qlRateHelperPillarDate(M3,Trigger),"--")</f>
        <v>--</v>
      </c>
      <c r="V3" s="4" t="str">
        <f>IFERROR(INDEX($L$3:$L$55,MATCH(X3,$N$3:$N$55,0),1),"")</f>
        <v>Dp</v>
      </c>
      <c r="W3" s="4" t="str">
        <f t="array" ref="W3:W55">_xll.qlRateHelperSelection(_xll.ohFilter(RateHelpers,IncludeFlag),_xll.ohFilter(Priority,IncludeFlag),$AF$3,$AF$4,$AF$5,$AF$6,_xll.ohFilter(MinDistance,IncludeFlag),Trigger)</f>
        <v>obj_002f9</v>
      </c>
      <c r="X3" s="4" t="str">
        <f>IFERROR(_xll.qlRateHelperQuoteName(W3,Trigger),"")</f>
        <v>USDSWD_SYNTH1M_Quote</v>
      </c>
      <c r="Y3" s="75">
        <f>IFERROR(_xll.qlRateHelperRate(W3,Trigger),"")</f>
        <v>4.5339999999999998E-3</v>
      </c>
      <c r="Z3" s="11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42482</v>
      </c>
      <c r="AB3" s="5">
        <f>IFERROR(_xll.qlRateHelperPillarDate(W3,Trigger),"")</f>
        <v>42489</v>
      </c>
      <c r="AC3" s="83">
        <v>0.99991184666058508</v>
      </c>
      <c r="AE3" s="118" t="s">
        <v>119</v>
      </c>
      <c r="AF3" s="119">
        <v>0</v>
      </c>
    </row>
    <row r="4" spans="1:32" ht="11.25" customHeight="1" x14ac:dyDescent="0.2">
      <c r="A4" s="57" t="s">
        <v>27</v>
      </c>
      <c r="B4" s="58" t="s">
        <v>124</v>
      </c>
      <c r="C4" s="60" t="s">
        <v>50</v>
      </c>
      <c r="D4" s="142"/>
      <c r="E4" s="142"/>
      <c r="F4" s="142"/>
      <c r="G4" s="59" t="str">
        <f>PROPER(Currency)&amp;FamilyName&amp;B4</f>
        <v>UsdLiborSW</v>
      </c>
      <c r="H4" s="169" t="str">
        <f t="shared" si="0"/>
        <v>USDSWD_SYNTH1M_Quote</v>
      </c>
      <c r="I4" s="142"/>
      <c r="J4" s="69" t="str">
        <f>_xll.qlDepositRateHelper(,H4,G4,Permanent,Trigger,ObjectOverwrite)</f>
        <v>obj_002f9#0006</v>
      </c>
      <c r="K4" s="52"/>
      <c r="L4" s="11" t="str">
        <f t="shared" ref="L4:L7" si="1">A4</f>
        <v>Dp</v>
      </c>
      <c r="M4" s="105" t="str">
        <f t="shared" ref="M4:M7" si="2">IF(ISBLANK(J4),"--",J4)</f>
        <v>obj_002f9#0006</v>
      </c>
      <c r="N4" s="159" t="str">
        <f>IFERROR(_xll.qlRateHelperQuoteName(M4,Trigger),"--")</f>
        <v>USDSWD_SYNTH1M_Quote</v>
      </c>
      <c r="O4" s="109">
        <f>IFERROR(_xll.qlRateHelperQuoteValue($M4,Trigger),"--")</f>
        <v>4.5339999999999998E-3</v>
      </c>
      <c r="P4" s="108" t="b">
        <v>1</v>
      </c>
      <c r="Q4" s="105">
        <v>10</v>
      </c>
      <c r="R4" s="105">
        <v>1</v>
      </c>
      <c r="S4" s="110">
        <f>IFERROR(_xll.qlRateHelperEarliestDate(M4,Trigger),"--")</f>
        <v>42482</v>
      </c>
      <c r="T4" s="110">
        <f>IFERROR(_xll.qlRateHelperPillarDate(M4,Trigger),"--")</f>
        <v>42489</v>
      </c>
      <c r="V4" s="4" t="str">
        <f t="shared" ref="V4:V55" si="3">IFERROR(INDEX($L$3:$L$55,MATCH(X4,$N$3:$N$55,0),1),"")</f>
        <v>Dp</v>
      </c>
      <c r="W4" s="4" t="str">
        <v>obj_002a3</v>
      </c>
      <c r="X4" s="4" t="str">
        <f>IFERROR(_xll.qlRateHelperQuoteName(W4,Trigger),"")</f>
        <v>USD1MD_SYNTH1M_Quote</v>
      </c>
      <c r="Y4" s="75">
        <f>IFERROR(_xll.qlRateHelperRate(W4,Trigger),"")</f>
        <v>4.411E-3</v>
      </c>
      <c r="Z4" s="11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42482</v>
      </c>
      <c r="AB4" s="5">
        <f>IFERROR(_xll.qlRateHelperPillarDate(W4,Trigger),"")</f>
        <v>42513</v>
      </c>
      <c r="AC4" s="83">
        <v>0.99962030810958002</v>
      </c>
      <c r="AE4" s="118" t="s">
        <v>120</v>
      </c>
      <c r="AF4" s="119">
        <v>0</v>
      </c>
    </row>
    <row r="5" spans="1:32" ht="11.25" customHeight="1" x14ac:dyDescent="0.2">
      <c r="A5" s="175" t="s">
        <v>27</v>
      </c>
      <c r="B5" s="176" t="s">
        <v>51</v>
      </c>
      <c r="C5" s="177" t="str">
        <f>B5</f>
        <v>2W</v>
      </c>
      <c r="D5" s="178"/>
      <c r="E5" s="178"/>
      <c r="F5" s="178"/>
      <c r="G5" s="179" t="str">
        <f>_xll.qlLibor(,Currency,C5,,Permanent,Trigger,ObjectOverwrite)</f>
        <v>obj_002a0#0006</v>
      </c>
      <c r="H5" s="180" t="str">
        <f t="shared" si="0"/>
        <v>USD2WD_SYNTH1M_Quote</v>
      </c>
      <c r="I5" s="178"/>
      <c r="J5" s="181"/>
      <c r="K5" s="52"/>
      <c r="L5" s="11" t="str">
        <f t="shared" si="1"/>
        <v>Dp</v>
      </c>
      <c r="M5" s="105" t="str">
        <f t="shared" si="2"/>
        <v>--</v>
      </c>
      <c r="N5" s="159" t="str">
        <f>IFERROR(_xll.qlRateHelperQuoteName(M5,Trigger),"--")</f>
        <v>--</v>
      </c>
      <c r="O5" s="109" t="str">
        <f>IFERROR(_xll.qlRateHelperQuoteValue($M5,Trigger),"--")</f>
        <v>--</v>
      </c>
      <c r="P5" s="108" t="b">
        <v>0</v>
      </c>
      <c r="Q5" s="105">
        <v>10</v>
      </c>
      <c r="R5" s="105">
        <v>1</v>
      </c>
      <c r="S5" s="110" t="str">
        <f>IFERROR(_xll.qlRateHelperEarliestDate(M5,Trigger),"--")</f>
        <v>--</v>
      </c>
      <c r="T5" s="110" t="str">
        <f>IFERROR(_xll.qlRateHelperPillarDate(M5,Trigger),"--")</f>
        <v>--</v>
      </c>
      <c r="V5" s="4" t="str">
        <f t="shared" si="3"/>
        <v>Sw</v>
      </c>
      <c r="W5" s="4" t="str">
        <v>obj_002e2</v>
      </c>
      <c r="X5" s="4" t="str">
        <f>IFERROR(_xll.qlRateHelperQuoteName(W5,Trigger),"")</f>
        <v>USD3X1S_Quote</v>
      </c>
      <c r="Y5" s="75">
        <f>IFERROR(_xll.qlRateHelperRate(W5,Trigger),"")</f>
        <v>4.64E-3</v>
      </c>
      <c r="Z5" s="115">
        <f>IF(ISERROR(_xll.qlSwapRateHelperSpread($W5)),IF(ISERROR(_xll.qlFuturesRateHelperConvexityAdjustment($W5)),"",_xll.qlFuturesRateHelperConvexityAdjustment($W5)),_xll.qlSwapRateHelperSpread($W5))</f>
        <v>0</v>
      </c>
      <c r="AA5" s="5">
        <f>IFERROR(_xll.qlRateHelperEarliestDate(W5,Trigger),"")</f>
        <v>42482</v>
      </c>
      <c r="AB5" s="5">
        <f>IFERROR(_xll.qlRateHelperPillarDate(W5,Trigger),"")</f>
        <v>42573</v>
      </c>
      <c r="AC5" s="83">
        <v>0.99882840525109207</v>
      </c>
      <c r="AD5" s="86"/>
      <c r="AE5" s="118" t="s">
        <v>121</v>
      </c>
      <c r="AF5" s="119">
        <v>0</v>
      </c>
    </row>
    <row r="6" spans="1:32" ht="11.25" customHeight="1" x14ac:dyDescent="0.2">
      <c r="A6" s="182" t="s">
        <v>27</v>
      </c>
      <c r="B6" s="183" t="s">
        <v>52</v>
      </c>
      <c r="C6" s="184" t="str">
        <f t="shared" ref="C6:C7" si="4">B6</f>
        <v>3W</v>
      </c>
      <c r="D6" s="185"/>
      <c r="E6" s="185"/>
      <c r="F6" s="185"/>
      <c r="G6" s="186" t="str">
        <f>_xll.qlLibor(,Currency,C6,,Permanent,Trigger,ObjectOverwrite)</f>
        <v>obj_0030c#0006</v>
      </c>
      <c r="H6" s="187" t="str">
        <f t="shared" si="0"/>
        <v>USD3WD_SYNTH1M_Quote</v>
      </c>
      <c r="I6" s="185"/>
      <c r="J6" s="188"/>
      <c r="K6" s="52"/>
      <c r="L6" s="11" t="str">
        <f t="shared" si="1"/>
        <v>Dp</v>
      </c>
      <c r="M6" s="105" t="str">
        <f t="shared" si="2"/>
        <v>--</v>
      </c>
      <c r="N6" s="159" t="str">
        <f>IFERROR(_xll.qlRateHelperQuoteName(M6,Trigger),"--")</f>
        <v>--</v>
      </c>
      <c r="O6" s="109" t="str">
        <f>IFERROR(_xll.qlRateHelperQuoteValue($M6,Trigger),"--")</f>
        <v>--</v>
      </c>
      <c r="P6" s="108" t="b">
        <v>0</v>
      </c>
      <c r="Q6" s="105">
        <v>10</v>
      </c>
      <c r="R6" s="105">
        <v>1</v>
      </c>
      <c r="S6" s="110" t="str">
        <f>IFERROR(_xll.qlRateHelperEarliestDate(M6,Trigger),"--")</f>
        <v>--</v>
      </c>
      <c r="T6" s="110" t="str">
        <f>IFERROR(_xll.qlRateHelperPillarDate(M6,Trigger),"--")</f>
        <v>--</v>
      </c>
      <c r="V6" s="4" t="str">
        <f t="shared" si="3"/>
        <v>Sw</v>
      </c>
      <c r="W6" s="4" t="str">
        <v>obj_00303</v>
      </c>
      <c r="X6" s="4" t="str">
        <f>IFERROR(_xll.qlRateHelperQuoteName(W6,Trigger),"")</f>
        <v>USD6X1S_Quote</v>
      </c>
      <c r="Y6" s="75">
        <f>IFERROR(_xll.qlRateHelperRate(W6,Trigger),"")</f>
        <v>5.1000000000000004E-3</v>
      </c>
      <c r="Z6" s="115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42482</v>
      </c>
      <c r="AB6" s="5">
        <f>IFERROR(_xll.qlRateHelperPillarDate(W6,Trigger),"")</f>
        <v>42667</v>
      </c>
      <c r="AC6" s="83">
        <v>0.99738551817085197</v>
      </c>
      <c r="AE6" s="118" t="s">
        <v>122</v>
      </c>
      <c r="AF6" s="120" t="s">
        <v>123</v>
      </c>
    </row>
    <row r="7" spans="1:32" ht="11.25" customHeight="1" x14ac:dyDescent="0.2">
      <c r="A7" s="1" t="s">
        <v>27</v>
      </c>
      <c r="B7" s="9" t="s">
        <v>2</v>
      </c>
      <c r="C7" s="10" t="str">
        <f t="shared" si="4"/>
        <v>1M</v>
      </c>
      <c r="D7" s="137"/>
      <c r="E7" s="137"/>
      <c r="F7" s="137"/>
      <c r="G7" s="7" t="str">
        <f>PROPER(Currency)&amp;FamilyName&amp;B7</f>
        <v>UsdLibor1M</v>
      </c>
      <c r="H7" s="134" t="str">
        <f t="shared" si="0"/>
        <v>USD1MD_SYNTH1M_Quote</v>
      </c>
      <c r="I7" s="137"/>
      <c r="J7" s="3" t="str">
        <f>_xll.qlDepositRateHelper(,H7,G7,Permanent,Trigger,ObjectOverwrite)</f>
        <v>obj_002a3#0006</v>
      </c>
      <c r="K7" s="52"/>
      <c r="L7" s="11" t="str">
        <f t="shared" si="1"/>
        <v>Dp</v>
      </c>
      <c r="M7" s="105" t="str">
        <f t="shared" si="2"/>
        <v>obj_002a3#0006</v>
      </c>
      <c r="N7" s="159" t="str">
        <f>IFERROR(_xll.qlRateHelperQuoteName(M7,Trigger),"--")</f>
        <v>USD1MD_SYNTH1M_Quote</v>
      </c>
      <c r="O7" s="109">
        <f>IFERROR(_xll.qlRateHelperQuoteValue($M7,Trigger),"--")</f>
        <v>4.411E-3</v>
      </c>
      <c r="P7" s="108" t="b">
        <v>1</v>
      </c>
      <c r="Q7" s="105">
        <v>10</v>
      </c>
      <c r="R7" s="105">
        <v>1</v>
      </c>
      <c r="S7" s="110">
        <f>IFERROR(_xll.qlRateHelperEarliestDate(M7,Trigger),"--")</f>
        <v>42482</v>
      </c>
      <c r="T7" s="110">
        <f>IFERROR(_xll.qlRateHelperPillarDate(M7,Trigger),"--")</f>
        <v>42513</v>
      </c>
      <c r="V7" s="4" t="str">
        <f t="shared" si="3"/>
        <v>Sw</v>
      </c>
      <c r="W7" s="4" t="str">
        <v>obj_0029b</v>
      </c>
      <c r="X7" s="4" t="str">
        <f>IFERROR(_xll.qlRateHelperQuoteName(W7,Trigger),"")</f>
        <v>USD9X1S_Quote</v>
      </c>
      <c r="Y7" s="75">
        <f>IFERROR(_xll.qlRateHelperRate(W7,Trigger),"")</f>
        <v>5.5199999999999997E-3</v>
      </c>
      <c r="Z7" s="115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42482</v>
      </c>
      <c r="AB7" s="5">
        <f>IFERROR(_xll.qlRateHelperPillarDate(W7,Trigger),"")</f>
        <v>42758</v>
      </c>
      <c r="AC7" s="83">
        <v>0.99578439106368621</v>
      </c>
    </row>
    <row r="8" spans="1:32" ht="11.25" customHeight="1" x14ac:dyDescent="0.2">
      <c r="B8" s="50"/>
      <c r="C8" s="50"/>
      <c r="D8" s="50"/>
      <c r="E8" s="50"/>
      <c r="F8" s="50"/>
      <c r="G8" s="50" t="s">
        <v>158</v>
      </c>
      <c r="H8" s="50"/>
      <c r="K8" s="52"/>
      <c r="L8" s="73" t="str">
        <f>A10</f>
        <v>Sw</v>
      </c>
      <c r="M8" s="144" t="str">
        <f>IF(ISBLANK(J10),"--",J10)</f>
        <v>--</v>
      </c>
      <c r="N8" s="158" t="str">
        <f>IFERROR(_xll.qlRateHelperQuoteName(M8,Trigger),"--")</f>
        <v>--</v>
      </c>
      <c r="O8" s="146" t="str">
        <f>IFERROR(_xll.qlRateHelperQuoteValue($M8,Trigger),"--")</f>
        <v>--</v>
      </c>
      <c r="P8" s="145" t="b">
        <v>0</v>
      </c>
      <c r="Q8" s="144">
        <v>10</v>
      </c>
      <c r="R8" s="144">
        <v>1</v>
      </c>
      <c r="S8" s="147" t="str">
        <f>IFERROR(_xll.qlRateHelperEarliestDate(M8,Trigger),"--")</f>
        <v>--</v>
      </c>
      <c r="T8" s="147" t="str">
        <f>IFERROR(_xll.qlRateHelperPillarDate(M8,Trigger),"--")</f>
        <v>--</v>
      </c>
      <c r="V8" s="4" t="str">
        <f t="shared" si="3"/>
        <v>Sw</v>
      </c>
      <c r="W8" s="4" t="str">
        <v>obj_002ec</v>
      </c>
      <c r="X8" s="4" t="str">
        <f>IFERROR(_xll.qlRateHelperQuoteName(W8,Trigger),"")</f>
        <v>USD12X1S_Quote</v>
      </c>
      <c r="Y8" s="75">
        <f>IFERROR(_xll.qlRateHelperRate(W8,Trigger),"")</f>
        <v>5.8799999999999998E-3</v>
      </c>
      <c r="Z8" s="115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42482</v>
      </c>
      <c r="AB8" s="5">
        <f>IFERROR(_xll.qlRateHelperPillarDate(W8,Trigger),"")</f>
        <v>42849</v>
      </c>
      <c r="AC8" s="83">
        <v>0.99403852837664064</v>
      </c>
    </row>
    <row r="9" spans="1:32" ht="11.25" customHeight="1" x14ac:dyDescent="0.2">
      <c r="A9" s="70" t="s">
        <v>9</v>
      </c>
      <c r="B9" s="70" t="s">
        <v>30</v>
      </c>
      <c r="C9" s="70" t="s">
        <v>151</v>
      </c>
      <c r="D9" s="70" t="s">
        <v>5</v>
      </c>
      <c r="E9" s="70" t="s">
        <v>35</v>
      </c>
      <c r="F9" s="70" t="s">
        <v>152</v>
      </c>
      <c r="G9" s="70" t="s">
        <v>4</v>
      </c>
      <c r="H9" s="70" t="s">
        <v>1</v>
      </c>
      <c r="I9" s="70" t="s">
        <v>148</v>
      </c>
      <c r="J9" s="70" t="s">
        <v>25</v>
      </c>
      <c r="K9" s="52"/>
      <c r="L9" s="11" t="str">
        <f t="shared" ref="L9:L18" si="5">A11</f>
        <v>Sw</v>
      </c>
      <c r="M9" s="105" t="str">
        <f t="shared" ref="M9:M18" si="6">IF(ISBLANK(J11),"--",J11)</f>
        <v>obj_002e2#0006</v>
      </c>
      <c r="N9" s="159" t="str">
        <f>IFERROR(_xll.qlRateHelperQuoteName(M9,Trigger),"--")</f>
        <v>USD3X1S_Quote</v>
      </c>
      <c r="O9" s="109">
        <f>IFERROR(_xll.qlRateHelperQuoteValue($M9,Trigger),"--")</f>
        <v>4.64E-3</v>
      </c>
      <c r="P9" s="108" t="b">
        <v>1</v>
      </c>
      <c r="Q9" s="105">
        <v>10</v>
      </c>
      <c r="R9" s="105">
        <v>1</v>
      </c>
      <c r="S9" s="110">
        <f>IFERROR(_xll.qlRateHelperEarliestDate(M9,Trigger),"--")</f>
        <v>42482</v>
      </c>
      <c r="T9" s="110">
        <f>IFERROR(_xll.qlRateHelperPillarDate(M9,Trigger),"--")</f>
        <v>42573</v>
      </c>
      <c r="V9" s="4" t="str">
        <f t="shared" si="3"/>
        <v>BasSw</v>
      </c>
      <c r="W9" s="4" t="str">
        <v>obj_002da</v>
      </c>
      <c r="X9" s="4" t="str">
        <f>IFERROR(_xll.qlRateHelperQuoteName(W9,Trigger),"")</f>
        <v>USDAM3L2Y_Quote</v>
      </c>
      <c r="Y9" s="75">
        <f>IFERROR(_xll.qlRateHelperRate(W9,Trigger),"")</f>
        <v>8.7399999999999995E-3</v>
      </c>
      <c r="Z9" s="115">
        <f>IF(ISERROR(_xll.qlSwapRateHelperSpread($W9)),IF(ISERROR(_xll.qlFuturesRateHelperConvexityAdjustment($W9)),"",_xll.qlFuturesRateHelperConvexityAdjustment($W9)),_xll.qlSwapRateHelperSpread($W9))</f>
        <v>1.6100000000000001E-3</v>
      </c>
      <c r="AA9" s="5">
        <f>IFERROR(_xll.qlRateHelperEarliestDate(W9,Trigger),"")</f>
        <v>42482</v>
      </c>
      <c r="AB9" s="5">
        <f>IFERROR(_xll.qlRateHelperPillarDate(W9,Trigger),"")</f>
        <v>43213</v>
      </c>
      <c r="AC9" s="83">
        <v>0.98567129162395128</v>
      </c>
    </row>
    <row r="10" spans="1:32" ht="11.25" customHeight="1" x14ac:dyDescent="0.2">
      <c r="A10" s="57" t="s">
        <v>26</v>
      </c>
      <c r="B10" s="58" t="s">
        <v>53</v>
      </c>
      <c r="C10" s="59" t="s">
        <v>6</v>
      </c>
      <c r="D10" s="59" t="s">
        <v>8</v>
      </c>
      <c r="E10" s="59" t="s">
        <v>7</v>
      </c>
      <c r="F10" s="59" t="s">
        <v>28</v>
      </c>
      <c r="G10" s="59" t="str">
        <f t="shared" ref="G10:G20" si="7">PROPER(Currency)&amp;FamilyName&amp;Tenor</f>
        <v>UsdLibor1M</v>
      </c>
      <c r="H10" s="57" t="str">
        <f t="shared" ref="H10:H20" si="8">Currency&amp;SUBSTITUTE($B10,"M","")&amp;$G$8&amp;QuoteSuffix</f>
        <v>USD2X1S_Quote</v>
      </c>
      <c r="I10" s="139">
        <v>0</v>
      </c>
      <c r="J10" s="69"/>
      <c r="K10" s="52"/>
      <c r="L10" s="11" t="str">
        <f t="shared" si="5"/>
        <v>Sw</v>
      </c>
      <c r="M10" s="105" t="str">
        <f t="shared" si="6"/>
        <v>--</v>
      </c>
      <c r="N10" s="159" t="str">
        <f>IFERROR(_xll.qlRateHelperQuoteName(M10,Trigger),"--")</f>
        <v>--</v>
      </c>
      <c r="O10" s="109" t="str">
        <f>IFERROR(_xll.qlRateHelperQuoteValue($M10,Trigger),"--")</f>
        <v>--</v>
      </c>
      <c r="P10" s="108" t="b">
        <v>0</v>
      </c>
      <c r="Q10" s="105">
        <v>10</v>
      </c>
      <c r="R10" s="105">
        <v>1</v>
      </c>
      <c r="S10" s="110" t="str">
        <f>IFERROR(_xll.qlRateHelperEarliestDate(M10,Trigger),"--")</f>
        <v>--</v>
      </c>
      <c r="T10" s="110" t="str">
        <f>IFERROR(_xll.qlRateHelperPillarDate(M10,Trigger),"--")</f>
        <v>--</v>
      </c>
      <c r="V10" s="4" t="str">
        <f t="shared" si="3"/>
        <v>BasSw</v>
      </c>
      <c r="W10" s="4" t="str">
        <v>obj_00282</v>
      </c>
      <c r="X10" s="4" t="str">
        <f>IFERROR(_xll.qlRateHelperQuoteName(W10,Trigger),"")</f>
        <v>USDAM3L3Y_Quote</v>
      </c>
      <c r="Y10" s="75">
        <f>IFERROR(_xll.qlRateHelperRate(W10,Trigger),"")</f>
        <v>9.7700000000000009E-3</v>
      </c>
      <c r="Z10" s="115">
        <f>IF(ISERROR(_xll.qlSwapRateHelperSpread($W10)),IF(ISERROR(_xll.qlFuturesRateHelperConvexityAdjustment($W10)),"",_xll.qlFuturesRateHelperConvexityAdjustment($W10)),_xll.qlSwapRateHelperSpread($W10))</f>
        <v>1.5100000000000001E-3</v>
      </c>
      <c r="AA10" s="5">
        <f>IFERROR(_xll.qlRateHelperEarliestDate(W10,Trigger),"")</f>
        <v>42482</v>
      </c>
      <c r="AB10" s="5">
        <f>IFERROR(_xll.qlRateHelperPillarDate(W10,Trigger),"")</f>
        <v>43578</v>
      </c>
      <c r="AC10" s="83">
        <v>0.97523542643358252</v>
      </c>
    </row>
    <row r="11" spans="1:32" ht="11.25" customHeight="1" x14ac:dyDescent="0.2">
      <c r="A11" s="63" t="s">
        <v>26</v>
      </c>
      <c r="B11" s="64" t="s">
        <v>0</v>
      </c>
      <c r="C11" s="65" t="s">
        <v>6</v>
      </c>
      <c r="D11" s="65" t="s">
        <v>8</v>
      </c>
      <c r="E11" s="65" t="s">
        <v>7</v>
      </c>
      <c r="F11" s="65" t="s">
        <v>28</v>
      </c>
      <c r="G11" s="65" t="str">
        <f t="shared" si="7"/>
        <v>UsdLibor1M</v>
      </c>
      <c r="H11" s="63" t="str">
        <f t="shared" si="8"/>
        <v>USD3X1S_Quote</v>
      </c>
      <c r="I11" s="140">
        <v>0</v>
      </c>
      <c r="J11" s="69" t="str">
        <f>_xll.qlSwapRateHelper2(,H11,,B11,JoinCalendar,USD1M!D11,USD1M!E11,USD1M!F11,USD1M!G11,USD1M!I11,USD1M!C11,Discounting,PillarDate,,Permanent,Trigger,ObjectOverwrite)</f>
        <v>obj_002e2#0006</v>
      </c>
      <c r="K11" s="52"/>
      <c r="L11" s="11" t="str">
        <f t="shared" si="5"/>
        <v>Sw</v>
      </c>
      <c r="M11" s="105" t="str">
        <f t="shared" si="6"/>
        <v>--</v>
      </c>
      <c r="N11" s="159" t="str">
        <f>IFERROR(_xll.qlRateHelperQuoteName(M11,Trigger),"--")</f>
        <v>--</v>
      </c>
      <c r="O11" s="109" t="str">
        <f>IFERROR(_xll.qlRateHelperQuoteValue($M11,Trigger),"--")</f>
        <v>--</v>
      </c>
      <c r="P11" s="108" t="b">
        <v>0</v>
      </c>
      <c r="Q11" s="105">
        <v>10</v>
      </c>
      <c r="R11" s="105">
        <v>1</v>
      </c>
      <c r="S11" s="110" t="str">
        <f>IFERROR(_xll.qlRateHelperEarliestDate(M11,Trigger),"--")</f>
        <v>--</v>
      </c>
      <c r="T11" s="110" t="str">
        <f>IFERROR(_xll.qlRateHelperPillarDate(M11,Trigger),"--")</f>
        <v>--</v>
      </c>
      <c r="V11" s="4" t="str">
        <f t="shared" si="3"/>
        <v>BasSw</v>
      </c>
      <c r="W11" s="4" t="str">
        <v>obj_0028d</v>
      </c>
      <c r="X11" s="4" t="str">
        <f>IFERROR(_xll.qlRateHelperQuoteName(W11,Trigger),"")</f>
        <v>USDAM3L4Y_Quote</v>
      </c>
      <c r="Y11" s="75">
        <f>IFERROR(_xll.qlRateHelperRate(W11,Trigger),"")</f>
        <v>1.0789999999999999E-2</v>
      </c>
      <c r="Z11" s="115">
        <f>IF(ISERROR(_xll.qlSwapRateHelperSpread($W11)),IF(ISERROR(_xll.qlFuturesRateHelperConvexityAdjustment($W11)),"",_xll.qlFuturesRateHelperConvexityAdjustment($W11)),_xll.qlSwapRateHelperSpread($W11))</f>
        <v>1.41E-3</v>
      </c>
      <c r="AA11" s="5">
        <f>IFERROR(_xll.qlRateHelperEarliestDate(W11,Trigger),"")</f>
        <v>42482</v>
      </c>
      <c r="AB11" s="5">
        <f>IFERROR(_xll.qlRateHelperPillarDate(W11,Trigger),"")</f>
        <v>43943</v>
      </c>
      <c r="AC11" s="83">
        <v>0.9627275015831579</v>
      </c>
    </row>
    <row r="12" spans="1:32" ht="11.25" customHeight="1" x14ac:dyDescent="0.2">
      <c r="A12" s="63" t="s">
        <v>26</v>
      </c>
      <c r="B12" s="64" t="s">
        <v>54</v>
      </c>
      <c r="C12" s="65" t="s">
        <v>6</v>
      </c>
      <c r="D12" s="65" t="s">
        <v>8</v>
      </c>
      <c r="E12" s="65" t="s">
        <v>7</v>
      </c>
      <c r="F12" s="65" t="s">
        <v>28</v>
      </c>
      <c r="G12" s="65" t="str">
        <f t="shared" si="7"/>
        <v>UsdLibor1M</v>
      </c>
      <c r="H12" s="63" t="str">
        <f t="shared" si="8"/>
        <v>USD4X1S_Quote</v>
      </c>
      <c r="I12" s="140">
        <v>0</v>
      </c>
      <c r="J12" s="69"/>
      <c r="K12" s="52" t="s">
        <v>47</v>
      </c>
      <c r="L12" s="11" t="str">
        <f t="shared" si="5"/>
        <v>Sw</v>
      </c>
      <c r="M12" s="105" t="str">
        <f t="shared" si="6"/>
        <v>obj_00303#0006</v>
      </c>
      <c r="N12" s="159" t="str">
        <f>IFERROR(_xll.qlRateHelperQuoteName(M12,Trigger),"--")</f>
        <v>USD6X1S_Quote</v>
      </c>
      <c r="O12" s="109">
        <f>IFERROR(_xll.qlRateHelperQuoteValue($M12,Trigger),"--")</f>
        <v>5.1000000000000004E-3</v>
      </c>
      <c r="P12" s="108" t="b">
        <v>1</v>
      </c>
      <c r="Q12" s="105">
        <v>70</v>
      </c>
      <c r="R12" s="105">
        <v>1</v>
      </c>
      <c r="S12" s="110">
        <f>IFERROR(_xll.qlRateHelperEarliestDate(M12,Trigger),"--")</f>
        <v>42482</v>
      </c>
      <c r="T12" s="110">
        <f>IFERROR(_xll.qlRateHelperPillarDate(M12,Trigger),"--")</f>
        <v>42667</v>
      </c>
      <c r="V12" s="4" t="str">
        <f t="shared" si="3"/>
        <v>BasSw</v>
      </c>
      <c r="W12" s="4" t="str">
        <v>obj_002e4</v>
      </c>
      <c r="X12" s="4" t="str">
        <f>IFERROR(_xll.qlRateHelperQuoteName(W12,Trigger),"")</f>
        <v>USDAM3L5Y_Quote</v>
      </c>
      <c r="Y12" s="75">
        <f>IFERROR(_xll.qlRateHelperRate(W12,Trigger),"")</f>
        <v>1.1810000000000001E-2</v>
      </c>
      <c r="Z12" s="115">
        <f>IF(ISERROR(_xll.qlSwapRateHelperSpread($W12)),IF(ISERROR(_xll.qlFuturesRateHelperConvexityAdjustment($W12)),"",_xll.qlFuturesRateHelperConvexityAdjustment($W12)),_xll.qlSwapRateHelperSpread($W12))</f>
        <v>1.32E-3</v>
      </c>
      <c r="AA12" s="5">
        <f>IFERROR(_xll.qlRateHelperEarliestDate(W12,Trigger),"")</f>
        <v>42482</v>
      </c>
      <c r="AB12" s="5">
        <f>IFERROR(_xll.qlRateHelperPillarDate(W12,Trigger),"")</f>
        <v>44308</v>
      </c>
      <c r="AC12" s="83">
        <v>0.94824416455393046</v>
      </c>
    </row>
    <row r="13" spans="1:32" ht="11.25" customHeight="1" x14ac:dyDescent="0.2">
      <c r="A13" s="63" t="s">
        <v>26</v>
      </c>
      <c r="B13" s="64" t="s">
        <v>55</v>
      </c>
      <c r="C13" s="65" t="s">
        <v>6</v>
      </c>
      <c r="D13" s="65" t="s">
        <v>8</v>
      </c>
      <c r="E13" s="65" t="s">
        <v>7</v>
      </c>
      <c r="F13" s="65" t="s">
        <v>28</v>
      </c>
      <c r="G13" s="65" t="str">
        <f t="shared" si="7"/>
        <v>UsdLibor1M</v>
      </c>
      <c r="H13" s="63" t="str">
        <f t="shared" si="8"/>
        <v>USD5X1S_Quote</v>
      </c>
      <c r="I13" s="140">
        <v>0</v>
      </c>
      <c r="J13" s="69"/>
      <c r="K13" s="52"/>
      <c r="L13" s="11" t="str">
        <f t="shared" si="5"/>
        <v>Sw</v>
      </c>
      <c r="M13" s="105" t="str">
        <f t="shared" si="6"/>
        <v>--</v>
      </c>
      <c r="N13" s="159" t="str">
        <f>IFERROR(_xll.qlRateHelperQuoteName(M13,Trigger),"--")</f>
        <v>--</v>
      </c>
      <c r="O13" s="109" t="str">
        <f>IFERROR(_xll.qlRateHelperQuoteValue($M13,Trigger),"--")</f>
        <v>--</v>
      </c>
      <c r="P13" s="108" t="b">
        <v>0</v>
      </c>
      <c r="Q13" s="105">
        <v>20</v>
      </c>
      <c r="R13" s="105">
        <v>1</v>
      </c>
      <c r="S13" s="110" t="str">
        <f>IFERROR(_xll.qlRateHelperEarliestDate(M13,Trigger),"--")</f>
        <v>--</v>
      </c>
      <c r="T13" s="110" t="str">
        <f>IFERROR(_xll.qlRateHelperPillarDate(M13,Trigger),"--")</f>
        <v>--</v>
      </c>
      <c r="V13" s="4" t="str">
        <f t="shared" si="3"/>
        <v>BasSw</v>
      </c>
      <c r="W13" s="4" t="str">
        <v>obj_002d2</v>
      </c>
      <c r="X13" s="4" t="str">
        <f>IFERROR(_xll.qlRateHelperQuoteName(W13,Trigger),"")</f>
        <v>USDAM3L6Y_Quote</v>
      </c>
      <c r="Y13" s="75">
        <f>IFERROR(_xll.qlRateHelperRate(W13,Trigger),"")</f>
        <v>1.2810000000000002E-2</v>
      </c>
      <c r="Z13" s="115">
        <f>IF(ISERROR(_xll.qlSwapRateHelperSpread($W13)),IF(ISERROR(_xll.qlFuturesRateHelperConvexityAdjustment($W13)),"",_xll.qlFuturesRateHelperConvexityAdjustment($W13)),_xll.qlSwapRateHelperSpread($W13))</f>
        <v>1.24E-3</v>
      </c>
      <c r="AA13" s="5">
        <f>IFERROR(_xll.qlRateHelperEarliestDate(W13,Trigger),"")</f>
        <v>42482</v>
      </c>
      <c r="AB13" s="5">
        <f>IFERROR(_xll.qlRateHelperPillarDate(W13,Trigger),"")</f>
        <v>44673</v>
      </c>
      <c r="AC13" s="83">
        <v>0.93200398595281819</v>
      </c>
    </row>
    <row r="14" spans="1:32" ht="11.25" customHeight="1" x14ac:dyDescent="0.2">
      <c r="A14" s="63" t="s">
        <v>26</v>
      </c>
      <c r="B14" s="64" t="s">
        <v>3</v>
      </c>
      <c r="C14" s="65" t="s">
        <v>6</v>
      </c>
      <c r="D14" s="65" t="s">
        <v>8</v>
      </c>
      <c r="E14" s="65" t="s">
        <v>7</v>
      </c>
      <c r="F14" s="65" t="s">
        <v>28</v>
      </c>
      <c r="G14" s="65" t="str">
        <f t="shared" si="7"/>
        <v>UsdLibor1M</v>
      </c>
      <c r="H14" s="63" t="str">
        <f t="shared" si="8"/>
        <v>USD6X1S_Quote</v>
      </c>
      <c r="I14" s="140">
        <v>0</v>
      </c>
      <c r="J14" s="69" t="str">
        <f>_xll.qlSwapRateHelper2(,H14,,B14,JoinCalendar,USD1M!D14,USD1M!E14,USD1M!F14,USD1M!G14,USD1M!I14,USD1M!C14,Discounting,PillarDate,,Permanent,Trigger,ObjectOverwrite)</f>
        <v>obj_00303#0006</v>
      </c>
      <c r="K14" s="52"/>
      <c r="L14" s="11" t="str">
        <f t="shared" si="5"/>
        <v>Sw</v>
      </c>
      <c r="M14" s="105" t="str">
        <f t="shared" si="6"/>
        <v>--</v>
      </c>
      <c r="N14" s="159" t="str">
        <f>IFERROR(_xll.qlRateHelperQuoteName(M14,Trigger),"--")</f>
        <v>--</v>
      </c>
      <c r="O14" s="109" t="str">
        <f>IFERROR(_xll.qlRateHelperQuoteValue($M14,Trigger),"--")</f>
        <v>--</v>
      </c>
      <c r="P14" s="108" t="b">
        <v>0</v>
      </c>
      <c r="Q14" s="105">
        <v>20</v>
      </c>
      <c r="R14" s="105">
        <v>1</v>
      </c>
      <c r="S14" s="110" t="str">
        <f>IFERROR(_xll.qlRateHelperEarliestDate(M14,Trigger),"--")</f>
        <v>--</v>
      </c>
      <c r="T14" s="110" t="str">
        <f>IFERROR(_xll.qlRateHelperPillarDate(M14,Trigger),"--")</f>
        <v>--</v>
      </c>
      <c r="V14" s="4" t="str">
        <f t="shared" si="3"/>
        <v>BasSw</v>
      </c>
      <c r="W14" s="4" t="str">
        <v>obj_002ad</v>
      </c>
      <c r="X14" s="4" t="str">
        <f>IFERROR(_xll.qlRateHelperQuoteName(W14,Trigger),"")</f>
        <v>USDAM3L7Y_Quote</v>
      </c>
      <c r="Y14" s="75">
        <f>IFERROR(_xll.qlRateHelperRate(W14,Trigger),"")</f>
        <v>1.375E-2</v>
      </c>
      <c r="Z14" s="115">
        <f>IF(ISERROR(_xll.qlSwapRateHelperSpread($W14)),IF(ISERROR(_xll.qlFuturesRateHelperConvexityAdjustment($W14)),"",_xll.qlFuturesRateHelperConvexityAdjustment($W14)),_xll.qlSwapRateHelperSpread($W14))</f>
        <v>1.1800000000000001E-3</v>
      </c>
      <c r="AA14" s="5">
        <f>IFERROR(_xll.qlRateHelperEarliestDate(W14,Trigger),"")</f>
        <v>42482</v>
      </c>
      <c r="AB14" s="5">
        <f>IFERROR(_xll.qlRateHelperPillarDate(W14,Trigger),"")</f>
        <v>45040</v>
      </c>
      <c r="AC14" s="83">
        <v>0.9144409836604841</v>
      </c>
    </row>
    <row r="15" spans="1:32" ht="11.25" customHeight="1" x14ac:dyDescent="0.2">
      <c r="A15" s="63" t="s">
        <v>26</v>
      </c>
      <c r="B15" s="64" t="s">
        <v>56</v>
      </c>
      <c r="C15" s="65" t="s">
        <v>6</v>
      </c>
      <c r="D15" s="65" t="s">
        <v>8</v>
      </c>
      <c r="E15" s="65" t="s">
        <v>7</v>
      </c>
      <c r="F15" s="65" t="s">
        <v>28</v>
      </c>
      <c r="G15" s="65" t="str">
        <f t="shared" si="7"/>
        <v>UsdLibor1M</v>
      </c>
      <c r="H15" s="63" t="str">
        <f t="shared" si="8"/>
        <v>USD7X1S_Quote</v>
      </c>
      <c r="I15" s="140">
        <v>0</v>
      </c>
      <c r="J15" s="69"/>
      <c r="K15" s="52"/>
      <c r="L15" s="11" t="str">
        <f t="shared" si="5"/>
        <v>Sw</v>
      </c>
      <c r="M15" s="105" t="str">
        <f t="shared" si="6"/>
        <v>obj_0029b#0006</v>
      </c>
      <c r="N15" s="159" t="str">
        <f>IFERROR(_xll.qlRateHelperQuoteName(M15,Trigger),"--")</f>
        <v>USD9X1S_Quote</v>
      </c>
      <c r="O15" s="109">
        <f>IFERROR(_xll.qlRateHelperQuoteValue($M15,Trigger),"--")</f>
        <v>5.5199999999999997E-3</v>
      </c>
      <c r="P15" s="108" t="b">
        <v>1</v>
      </c>
      <c r="Q15" s="105">
        <v>20</v>
      </c>
      <c r="R15" s="105">
        <v>1</v>
      </c>
      <c r="S15" s="110">
        <f>IFERROR(_xll.qlRateHelperEarliestDate(M15,Trigger),"--")</f>
        <v>42482</v>
      </c>
      <c r="T15" s="110">
        <f>IFERROR(_xll.qlRateHelperPillarDate(M15,Trigger),"--")</f>
        <v>42758</v>
      </c>
      <c r="V15" s="4" t="str">
        <f t="shared" si="3"/>
        <v>BasSw</v>
      </c>
      <c r="W15" s="4" t="str">
        <v>obj_002b9</v>
      </c>
      <c r="X15" s="4" t="str">
        <f>IFERROR(_xll.qlRateHelperQuoteName(W15,Trigger),"")</f>
        <v>USDAM3L8Y_Quote</v>
      </c>
      <c r="Y15" s="75">
        <f>IFERROR(_xll.qlRateHelperRate(W15,Trigger),"")</f>
        <v>1.4569999999999998E-2</v>
      </c>
      <c r="Z15" s="115">
        <f>IF(ISERROR(_xll.qlSwapRateHelperSpread($W15)),IF(ISERROR(_xll.qlFuturesRateHelperConvexityAdjustment($W15)),"",_xll.qlFuturesRateHelperConvexityAdjustment($W15)),_xll.qlSwapRateHelperSpread($W15))</f>
        <v>1.1199999999999999E-3</v>
      </c>
      <c r="AA15" s="5">
        <f>IFERROR(_xll.qlRateHelperEarliestDate(W15,Trigger),"")</f>
        <v>42482</v>
      </c>
      <c r="AB15" s="5">
        <f>IFERROR(_xll.qlRateHelperPillarDate(W15,Trigger),"")</f>
        <v>45404</v>
      </c>
      <c r="AC15" s="83">
        <v>0.89630047594042128</v>
      </c>
    </row>
    <row r="16" spans="1:32" ht="11.25" customHeight="1" x14ac:dyDescent="0.2">
      <c r="A16" s="63" t="s">
        <v>26</v>
      </c>
      <c r="B16" s="64" t="s">
        <v>57</v>
      </c>
      <c r="C16" s="65" t="s">
        <v>6</v>
      </c>
      <c r="D16" s="65" t="s">
        <v>8</v>
      </c>
      <c r="E16" s="65" t="s">
        <v>7</v>
      </c>
      <c r="F16" s="65" t="s">
        <v>28</v>
      </c>
      <c r="G16" s="65" t="str">
        <f t="shared" si="7"/>
        <v>UsdLibor1M</v>
      </c>
      <c r="H16" s="63" t="str">
        <f t="shared" si="8"/>
        <v>USD8X1S_Quote</v>
      </c>
      <c r="I16" s="140">
        <v>0</v>
      </c>
      <c r="J16" s="69"/>
      <c r="K16" s="52"/>
      <c r="L16" s="11" t="str">
        <f t="shared" si="5"/>
        <v>Sw</v>
      </c>
      <c r="M16" s="105" t="str">
        <f t="shared" si="6"/>
        <v>--</v>
      </c>
      <c r="N16" s="159" t="str">
        <f>IFERROR(_xll.qlRateHelperQuoteName(M16,Trigger),"--")</f>
        <v>--</v>
      </c>
      <c r="O16" s="109" t="str">
        <f>IFERROR(_xll.qlRateHelperQuoteValue($M16,Trigger),"--")</f>
        <v>--</v>
      </c>
      <c r="P16" s="108" t="b">
        <v>0</v>
      </c>
      <c r="Q16" s="105">
        <v>20</v>
      </c>
      <c r="R16" s="105">
        <v>1</v>
      </c>
      <c r="S16" s="110" t="str">
        <f>IFERROR(_xll.qlRateHelperEarliestDate(M16,Trigger),"--")</f>
        <v>--</v>
      </c>
      <c r="T16" s="110" t="str">
        <f>IFERROR(_xll.qlRateHelperPillarDate(M16,Trigger),"--")</f>
        <v>--</v>
      </c>
      <c r="V16" s="4" t="str">
        <f t="shared" si="3"/>
        <v>BasSw</v>
      </c>
      <c r="W16" s="4" t="str">
        <v>obj_002f3</v>
      </c>
      <c r="X16" s="4" t="str">
        <f>IFERROR(_xll.qlRateHelperQuoteName(W16,Trigger),"")</f>
        <v>USDAM3L9Y_Quote</v>
      </c>
      <c r="Y16" s="75">
        <f>IFERROR(_xll.qlRateHelperRate(W16,Trigger),"")</f>
        <v>1.532E-2</v>
      </c>
      <c r="Z16" s="115">
        <f>IF(ISERROR(_xll.qlSwapRateHelperSpread($W16)),IF(ISERROR(_xll.qlFuturesRateHelperConvexityAdjustment($W16)),"",_xll.qlFuturesRateHelperConvexityAdjustment($W16)),_xll.qlSwapRateHelperSpread($W16))</f>
        <v>1.07E-3</v>
      </c>
      <c r="AA16" s="5">
        <f>IFERROR(_xll.qlRateHelperEarliestDate(W16,Trigger),"")</f>
        <v>42482</v>
      </c>
      <c r="AB16" s="5">
        <f>IFERROR(_xll.qlRateHelperPillarDate(W16,Trigger),"")</f>
        <v>45769</v>
      </c>
      <c r="AC16" s="83">
        <v>0.8775032588923527</v>
      </c>
    </row>
    <row r="17" spans="1:29" ht="11.25" customHeight="1" x14ac:dyDescent="0.2">
      <c r="A17" s="63" t="s">
        <v>26</v>
      </c>
      <c r="B17" s="64" t="s">
        <v>58</v>
      </c>
      <c r="C17" s="65" t="s">
        <v>6</v>
      </c>
      <c r="D17" s="65" t="s">
        <v>8</v>
      </c>
      <c r="E17" s="65" t="s">
        <v>7</v>
      </c>
      <c r="F17" s="65" t="s">
        <v>28</v>
      </c>
      <c r="G17" s="65" t="str">
        <f t="shared" si="7"/>
        <v>UsdLibor1M</v>
      </c>
      <c r="H17" s="63" t="str">
        <f t="shared" si="8"/>
        <v>USD9X1S_Quote</v>
      </c>
      <c r="I17" s="140">
        <v>0</v>
      </c>
      <c r="J17" s="69" t="str">
        <f>_xll.qlSwapRateHelper2(,H17,,B17,JoinCalendar,USD1M!D17,USD1M!E17,USD1M!F17,USD1M!G17,USD1M!I17,USD1M!C17,Discounting,PillarDate,,Permanent,Trigger,ObjectOverwrite)</f>
        <v>obj_0029b#0006</v>
      </c>
      <c r="K17" s="52"/>
      <c r="L17" s="11" t="str">
        <f t="shared" si="5"/>
        <v>Sw</v>
      </c>
      <c r="M17" s="105" t="str">
        <f t="shared" si="6"/>
        <v>--</v>
      </c>
      <c r="N17" s="159" t="str">
        <f>IFERROR(_xll.qlRateHelperQuoteName(M17,Trigger),"--")</f>
        <v>--</v>
      </c>
      <c r="O17" s="109" t="str">
        <f>IFERROR(_xll.qlRateHelperQuoteValue($M17,Trigger),"--")</f>
        <v>--</v>
      </c>
      <c r="P17" s="108" t="b">
        <v>0</v>
      </c>
      <c r="Q17" s="105">
        <v>20</v>
      </c>
      <c r="R17" s="105">
        <v>1</v>
      </c>
      <c r="S17" s="110" t="str">
        <f>IFERROR(_xll.qlRateHelperEarliestDate(M17,Trigger),"--")</f>
        <v>--</v>
      </c>
      <c r="T17" s="110" t="str">
        <f>IFERROR(_xll.qlRateHelperPillarDate(M17,Trigger),"--")</f>
        <v>--</v>
      </c>
      <c r="V17" s="4" t="str">
        <f t="shared" si="3"/>
        <v>BasSw</v>
      </c>
      <c r="W17" s="4" t="str">
        <v>obj_002dc</v>
      </c>
      <c r="X17" s="4" t="str">
        <f>IFERROR(_xll.qlRateHelperQuoteName(W17,Trigger),"")</f>
        <v>USDAM3L10Y_Quote</v>
      </c>
      <c r="Y17" s="75">
        <f>IFERROR(_xll.qlRateHelperRate(W17,Trigger),"")</f>
        <v>1.602E-2</v>
      </c>
      <c r="Z17" s="115">
        <f>IF(ISERROR(_xll.qlSwapRateHelperSpread($W17)),IF(ISERROR(_xll.qlFuturesRateHelperConvexityAdjustment($W17)),"",_xll.qlFuturesRateHelperConvexityAdjustment($W17)),_xll.qlSwapRateHelperSpread($W17))</f>
        <v>1.0300000000000001E-3</v>
      </c>
      <c r="AA17" s="5">
        <f>IFERROR(_xll.qlRateHelperEarliestDate(W17,Trigger),"")</f>
        <v>42482</v>
      </c>
      <c r="AB17" s="5">
        <f>IFERROR(_xll.qlRateHelperPillarDate(W17,Trigger),"")</f>
        <v>46134</v>
      </c>
      <c r="AC17" s="83">
        <v>0.85815848829180041</v>
      </c>
    </row>
    <row r="18" spans="1:29" ht="11.25" customHeight="1" x14ac:dyDescent="0.2">
      <c r="A18" s="63" t="s">
        <v>26</v>
      </c>
      <c r="B18" s="64" t="s">
        <v>59</v>
      </c>
      <c r="C18" s="65" t="s">
        <v>6</v>
      </c>
      <c r="D18" s="65" t="s">
        <v>8</v>
      </c>
      <c r="E18" s="65" t="s">
        <v>7</v>
      </c>
      <c r="F18" s="65" t="s">
        <v>28</v>
      </c>
      <c r="G18" s="65" t="str">
        <f t="shared" si="7"/>
        <v>UsdLibor1M</v>
      </c>
      <c r="H18" s="63" t="str">
        <f t="shared" si="8"/>
        <v>USD10X1S_Quote</v>
      </c>
      <c r="I18" s="140">
        <v>0</v>
      </c>
      <c r="J18" s="69"/>
      <c r="K18" s="52"/>
      <c r="L18" s="12" t="str">
        <f t="shared" si="5"/>
        <v>Sw</v>
      </c>
      <c r="M18" s="106" t="str">
        <f t="shared" si="6"/>
        <v>obj_002ec#0006</v>
      </c>
      <c r="N18" s="160" t="str">
        <f>IFERROR(_xll.qlRateHelperQuoteName(M18,Trigger),"--")</f>
        <v>USD12X1S_Quote</v>
      </c>
      <c r="O18" s="112">
        <f>IFERROR(_xll.qlRateHelperQuoteValue($M18,Trigger),"--")</f>
        <v>5.8799999999999998E-3</v>
      </c>
      <c r="P18" s="173" t="b">
        <f>NOT(ISERROR(_xll.qlQuoteValue(N18)))</f>
        <v>1</v>
      </c>
      <c r="Q18" s="106">
        <v>20</v>
      </c>
      <c r="R18" s="106">
        <v>1</v>
      </c>
      <c r="S18" s="113">
        <f>IFERROR(_xll.qlRateHelperEarliestDate(M18,Trigger),"--")</f>
        <v>42482</v>
      </c>
      <c r="T18" s="113">
        <f>IFERROR(_xll.qlRateHelperPillarDate(M18,Trigger),"--")</f>
        <v>42849</v>
      </c>
      <c r="V18" s="4" t="str">
        <f t="shared" si="3"/>
        <v>BasSw</v>
      </c>
      <c r="W18" s="4" t="str">
        <v>obj_002f5</v>
      </c>
      <c r="X18" s="4" t="str">
        <f>IFERROR(_xll.qlRateHelperQuoteName(W18,Trigger),"")</f>
        <v>USDAM3L12Y_Quote</v>
      </c>
      <c r="Y18" s="75">
        <f>IFERROR(_xll.qlRateHelperRate(W18,Trigger),"")</f>
        <v>1.7219999999999999E-2</v>
      </c>
      <c r="Z18" s="115">
        <f>IF(ISERROR(_xll.qlSwapRateHelperSpread($W18)),IF(ISERROR(_xll.qlFuturesRateHelperConvexityAdjustment($W18)),"",_xll.qlFuturesRateHelperConvexityAdjustment($W18)),_xll.qlSwapRateHelperSpread($W18))</f>
        <v>9.7999999999999997E-4</v>
      </c>
      <c r="AA18" s="5">
        <f>IFERROR(_xll.qlRateHelperEarliestDate(W18,Trigger),"")</f>
        <v>42482</v>
      </c>
      <c r="AB18" s="5">
        <f>IFERROR(_xll.qlRateHelperPillarDate(W18,Trigger),"")</f>
        <v>46867</v>
      </c>
      <c r="AC18" s="83">
        <v>0.81906725570232564</v>
      </c>
    </row>
    <row r="19" spans="1:29" ht="11.25" customHeight="1" x14ac:dyDescent="0.2">
      <c r="A19" s="63" t="s">
        <v>26</v>
      </c>
      <c r="B19" s="64" t="s">
        <v>60</v>
      </c>
      <c r="C19" s="65" t="s">
        <v>6</v>
      </c>
      <c r="D19" s="65" t="s">
        <v>8</v>
      </c>
      <c r="E19" s="65" t="s">
        <v>7</v>
      </c>
      <c r="F19" s="65" t="s">
        <v>28</v>
      </c>
      <c r="G19" s="65" t="str">
        <f t="shared" si="7"/>
        <v>UsdLibor1M</v>
      </c>
      <c r="H19" s="63" t="str">
        <f t="shared" si="8"/>
        <v>USD11X1S_Quote</v>
      </c>
      <c r="I19" s="140">
        <v>0</v>
      </c>
      <c r="J19" s="69"/>
      <c r="K19" s="52"/>
      <c r="L19" s="73" t="str">
        <f>A23</f>
        <v>BasSw</v>
      </c>
      <c r="M19" s="144" t="str">
        <f>IF(ISBLANK(J23),"--",J23)</f>
        <v>--</v>
      </c>
      <c r="N19" s="158" t="str">
        <f>IFERROR(_xll.qlRateHelperQuoteName(M19,Trigger),"--")</f>
        <v>--</v>
      </c>
      <c r="O19" s="146" t="str">
        <f>IFERROR(_xll.qlRateHelperQuoteValue($M19,Trigger),"--")</f>
        <v>--</v>
      </c>
      <c r="P19" s="145" t="b">
        <v>0</v>
      </c>
      <c r="Q19" s="144">
        <v>20</v>
      </c>
      <c r="R19" s="144">
        <v>1</v>
      </c>
      <c r="S19" s="147" t="str">
        <f>IFERROR(_xll.qlRateHelperEarliestDate(M19,Trigger),"--")</f>
        <v>--</v>
      </c>
      <c r="T19" s="147" t="str">
        <f>IFERROR(_xll.qlRateHelperPillarDate(M19,Trigger),"--")</f>
        <v>--</v>
      </c>
      <c r="V19" s="4" t="str">
        <f t="shared" si="3"/>
        <v>BasSw</v>
      </c>
      <c r="W19" s="4" t="str">
        <v>obj_00298</v>
      </c>
      <c r="X19" s="4" t="str">
        <f>IFERROR(_xll.qlRateHelperQuoteName(W19,Trigger),"")</f>
        <v>USDAM3L15Y_Quote</v>
      </c>
      <c r="Y19" s="75">
        <f>IFERROR(_xll.qlRateHelperRate(W19,Trigger),"")</f>
        <v>1.8489999999999999E-2</v>
      </c>
      <c r="Z19" s="115">
        <f>IF(ISERROR(_xll.qlSwapRateHelperSpread($W19)),IF(ISERROR(_xll.qlFuturesRateHelperConvexityAdjustment($W19)),"",_xll.qlFuturesRateHelperConvexityAdjustment($W19)),_xll.qlSwapRateHelperSpread($W19))</f>
        <v>9.6999999999999994E-4</v>
      </c>
      <c r="AA19" s="5">
        <f>IFERROR(_xll.qlRateHelperEarliestDate(W19,Trigger),"")</f>
        <v>42482</v>
      </c>
      <c r="AB19" s="5">
        <f>IFERROR(_xll.qlRateHelperPillarDate(W19,Trigger),"")</f>
        <v>47960</v>
      </c>
      <c r="AC19" s="83">
        <v>0.7634500964378359</v>
      </c>
    </row>
    <row r="20" spans="1:29" ht="11.25" customHeight="1" x14ac:dyDescent="0.2">
      <c r="A20" s="1" t="s">
        <v>26</v>
      </c>
      <c r="B20" s="9" t="s">
        <v>157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UsdLibor1M</v>
      </c>
      <c r="H20" s="1" t="str">
        <f t="shared" si="8"/>
        <v>USD12X1S_Quote</v>
      </c>
      <c r="I20" s="143">
        <v>0</v>
      </c>
      <c r="J20" s="3" t="str">
        <f>_xll.qlSwapRateHelper2(,H20,,B20,JoinCalendar,USD1M!D20,USD1M!E20,USD1M!F20,USD1M!G20,USD1M!I20,USD1M!C20,Discounting,PillarDate,,Permanent,Trigger,ObjectOverwrite)</f>
        <v>obj_002ec#0006</v>
      </c>
      <c r="K20" s="52"/>
      <c r="L20" s="11" t="str">
        <f t="shared" ref="L20:L55" si="9">A24</f>
        <v>BasSw</v>
      </c>
      <c r="M20" s="105" t="str">
        <f t="shared" ref="M20:M55" si="10">IF(ISBLANK(J24),"--",J24)</f>
        <v>--</v>
      </c>
      <c r="N20" s="159" t="str">
        <f>IFERROR(_xll.qlRateHelperQuoteName(M20,Trigger),"--")</f>
        <v>--</v>
      </c>
      <c r="O20" s="109" t="str">
        <f>IFERROR(_xll.qlRateHelperQuoteValue($M20,Trigger),"--")</f>
        <v>--</v>
      </c>
      <c r="P20" s="108" t="b">
        <v>0</v>
      </c>
      <c r="Q20" s="105">
        <v>20</v>
      </c>
      <c r="R20" s="105">
        <v>1</v>
      </c>
      <c r="S20" s="110" t="str">
        <f>IFERROR(_xll.qlRateHelperEarliestDate(M20,Trigger),"--")</f>
        <v>--</v>
      </c>
      <c r="T20" s="110" t="str">
        <f>IFERROR(_xll.qlRateHelperPillarDate(M20,Trigger),"--")</f>
        <v>--</v>
      </c>
      <c r="V20" s="4" t="str">
        <f t="shared" si="3"/>
        <v>BasSw</v>
      </c>
      <c r="W20" s="4" t="str">
        <v>obj_002d1</v>
      </c>
      <c r="X20" s="4" t="str">
        <f>IFERROR(_xll.qlRateHelperQuoteName(W20,Trigger),"")</f>
        <v>USDAM3L20Y_Quote</v>
      </c>
      <c r="Y20" s="75">
        <f>IFERROR(_xll.qlRateHelperRate(W20,Trigger),"")</f>
        <v>1.976E-2</v>
      </c>
      <c r="Z20" s="115">
        <f>IF(ISERROR(_xll.qlSwapRateHelperSpread($W20)),IF(ISERROR(_xll.qlFuturesRateHelperConvexityAdjustment($W20)),"",_xll.qlFuturesRateHelperConvexityAdjustment($W20)),_xll.qlSwapRateHelperSpread($W20))</f>
        <v>1.08E-3</v>
      </c>
      <c r="AA20" s="5">
        <f>IFERROR(_xll.qlRateHelperEarliestDate(W20,Trigger),"")</f>
        <v>42482</v>
      </c>
      <c r="AB20" s="5">
        <f>IFERROR(_xll.qlRateHelperPillarDate(W20,Trigger),"")</f>
        <v>49787</v>
      </c>
      <c r="AC20" s="83">
        <v>0.68055706638513169</v>
      </c>
    </row>
    <row r="21" spans="1:29" ht="11.25" customHeight="1" x14ac:dyDescent="0.2">
      <c r="F21" s="54" t="s">
        <v>150</v>
      </c>
      <c r="G21" s="54" t="s">
        <v>149</v>
      </c>
      <c r="H21" s="54" t="s">
        <v>159</v>
      </c>
      <c r="K21" s="52"/>
      <c r="L21" s="11" t="str">
        <f t="shared" si="9"/>
        <v>BasSw</v>
      </c>
      <c r="M21" s="105" t="str">
        <f t="shared" si="10"/>
        <v>--</v>
      </c>
      <c r="N21" s="159" t="str">
        <f>IFERROR(_xll.qlRateHelperQuoteName(M21,Trigger),"--")</f>
        <v>--</v>
      </c>
      <c r="O21" s="109" t="str">
        <f>IFERROR(_xll.qlRateHelperQuoteValue($M21,Trigger),"--")</f>
        <v>--</v>
      </c>
      <c r="P21" s="108" t="b">
        <v>0</v>
      </c>
      <c r="Q21" s="105">
        <v>20</v>
      </c>
      <c r="R21" s="105">
        <v>1</v>
      </c>
      <c r="S21" s="110" t="str">
        <f>IFERROR(_xll.qlRateHelperEarliestDate(M21,Trigger),"--")</f>
        <v>--</v>
      </c>
      <c r="T21" s="110" t="str">
        <f>IFERROR(_xll.qlRateHelperPillarDate(M21,Trigger),"--")</f>
        <v>--</v>
      </c>
      <c r="V21" s="4" t="str">
        <f t="shared" si="3"/>
        <v>BasSw</v>
      </c>
      <c r="W21" s="4" t="str">
        <v>obj_002e5</v>
      </c>
      <c r="X21" s="4" t="str">
        <f>IFERROR(_xll.qlRateHelperQuoteName(W21,Trigger),"")</f>
        <v>USDAM3L25Y_Quote</v>
      </c>
      <c r="Y21" s="75">
        <f>IFERROR(_xll.qlRateHelperRate(W21,Trigger),"")</f>
        <v>2.0409999999999998E-2</v>
      </c>
      <c r="Z21" s="115">
        <f>IF(ISERROR(_xll.qlSwapRateHelperSpread($W21)),IF(ISERROR(_xll.qlFuturesRateHelperConvexityAdjustment($W21)),"",_xll.qlFuturesRateHelperConvexityAdjustment($W21)),_xll.qlSwapRateHelperSpread($W21))</f>
        <v>1.1999999999999999E-3</v>
      </c>
      <c r="AA21" s="5">
        <f>IFERROR(_xll.qlRateHelperEarliestDate(W21,Trigger),"")</f>
        <v>42482</v>
      </c>
      <c r="AB21" s="5">
        <f>IFERROR(_xll.qlRateHelperPillarDate(W21,Trigger),"")</f>
        <v>51614</v>
      </c>
      <c r="AC21" s="83">
        <v>0.60960407299365049</v>
      </c>
    </row>
    <row r="22" spans="1:29" ht="11.25" customHeight="1" x14ac:dyDescent="0.2">
      <c r="A22" s="70" t="s">
        <v>9</v>
      </c>
      <c r="B22" s="70" t="s">
        <v>30</v>
      </c>
      <c r="C22" s="70" t="s">
        <v>151</v>
      </c>
      <c r="D22" s="70" t="s">
        <v>5</v>
      </c>
      <c r="E22" s="70" t="s">
        <v>35</v>
      </c>
      <c r="F22" s="70" t="s">
        <v>152</v>
      </c>
      <c r="G22" s="70" t="s">
        <v>4</v>
      </c>
      <c r="H22" s="70" t="s">
        <v>1</v>
      </c>
      <c r="I22" s="70" t="s">
        <v>148</v>
      </c>
      <c r="J22" s="70" t="s">
        <v>25</v>
      </c>
      <c r="K22" s="52"/>
      <c r="L22" s="11" t="str">
        <f t="shared" si="9"/>
        <v>BasSw</v>
      </c>
      <c r="M22" s="105" t="str">
        <f t="shared" si="10"/>
        <v>--</v>
      </c>
      <c r="N22" s="159" t="str">
        <f>IFERROR(_xll.qlRateHelperQuoteName(M22,Trigger),"--")</f>
        <v>--</v>
      </c>
      <c r="O22" s="109" t="str">
        <f>IFERROR(_xll.qlRateHelperQuoteValue($M22,Trigger),"--")</f>
        <v>--</v>
      </c>
      <c r="P22" s="108" t="b">
        <v>0</v>
      </c>
      <c r="Q22" s="105">
        <v>20</v>
      </c>
      <c r="R22" s="105">
        <v>1</v>
      </c>
      <c r="S22" s="110" t="str">
        <f>IFERROR(_xll.qlRateHelperEarliestDate(M22,Trigger),"--")</f>
        <v>--</v>
      </c>
      <c r="T22" s="110" t="str">
        <f>IFERROR(_xll.qlRateHelperPillarDate(M22,Trigger),"--")</f>
        <v>--</v>
      </c>
      <c r="V22" s="4" t="str">
        <f t="shared" si="3"/>
        <v>BasSw</v>
      </c>
      <c r="W22" s="4" t="str">
        <v>obj_002bf</v>
      </c>
      <c r="X22" s="4" t="str">
        <f>IFERROR(_xll.qlRateHelperQuoteName(W22,Trigger),"")</f>
        <v>USDAM3L30Y_Quote</v>
      </c>
      <c r="Y22" s="75">
        <f>IFERROR(_xll.qlRateHelperRate(W22,Trigger),"")</f>
        <v>2.078E-2</v>
      </c>
      <c r="Z22" s="115">
        <f>IF(ISERROR(_xll.qlSwapRateHelperSpread($W22)),IF(ISERROR(_xll.qlFuturesRateHelperConvexityAdjustment($W22)),"",_xll.qlFuturesRateHelperConvexityAdjustment($W22)),_xll.qlSwapRateHelperSpread($W22))</f>
        <v>1.2699999999999999E-3</v>
      </c>
      <c r="AA22" s="5">
        <f>IFERROR(_xll.qlRateHelperEarliestDate(W22,Trigger),"")</f>
        <v>42482</v>
      </c>
      <c r="AB22" s="5">
        <f>IFERROR(_xll.qlRateHelperPillarDate(W22,Trigger),"")</f>
        <v>53440</v>
      </c>
      <c r="AC22" s="83">
        <v>0.54712537843875542</v>
      </c>
    </row>
    <row r="23" spans="1:29" ht="11.25" customHeight="1" x14ac:dyDescent="0.2">
      <c r="A23" s="63" t="s">
        <v>160</v>
      </c>
      <c r="B23" s="64" t="s">
        <v>29</v>
      </c>
      <c r="C23" s="65" t="s">
        <v>6</v>
      </c>
      <c r="D23" s="65" t="s">
        <v>8</v>
      </c>
      <c r="E23" s="65" t="s">
        <v>7</v>
      </c>
      <c r="F23" s="65" t="s">
        <v>28</v>
      </c>
      <c r="G23" s="65" t="str">
        <f t="shared" ref="G23:G59" si="11">PROPER(Currency)&amp;FamilyName&amp;Tenor</f>
        <v>UsdLibor1M</v>
      </c>
      <c r="H23" s="63" t="str">
        <f t="shared" ref="H23:H59" si="12">Currency&amp;$G$21&amp;$F$21&amp;$B23&amp;QuoteSuffix</f>
        <v>USDAM3L1Y_Quote</v>
      </c>
      <c r="I23" s="170" t="str">
        <f t="shared" ref="I23:I59" si="13">Currency&amp;$F$21&amp;$H$21&amp;$B23&amp;QuoteSuffix</f>
        <v>USD3L1L1Y_Quote</v>
      </c>
      <c r="J23" s="69"/>
      <c r="K23" s="52"/>
      <c r="L23" s="11" t="str">
        <f t="shared" si="9"/>
        <v>BasSw</v>
      </c>
      <c r="M23" s="105" t="str">
        <f t="shared" si="10"/>
        <v>obj_002da#0006</v>
      </c>
      <c r="N23" s="159" t="str">
        <f>IFERROR(_xll.qlRateHelperQuoteName(M23,Trigger),"--")</f>
        <v>USDAM3L2Y_Quote</v>
      </c>
      <c r="O23" s="109">
        <f>IFERROR(_xll.qlRateHelperQuoteValue($M23,Trigger),"--")</f>
        <v>8.7399999999999995E-3</v>
      </c>
      <c r="P23" s="108" t="b">
        <v>1</v>
      </c>
      <c r="Q23" s="105">
        <v>20</v>
      </c>
      <c r="R23" s="105">
        <v>1</v>
      </c>
      <c r="S23" s="110">
        <f>IFERROR(_xll.qlRateHelperEarliestDate(M23,Trigger),"--")</f>
        <v>42482</v>
      </c>
      <c r="T23" s="110">
        <f>IFERROR(_xll.qlRateHelperPillarDate(M23,Trigger),"--")</f>
        <v>43213</v>
      </c>
      <c r="V23" s="4" t="str">
        <f t="shared" si="3"/>
        <v>BasSw</v>
      </c>
      <c r="W23" s="4" t="str">
        <v>obj_00281</v>
      </c>
      <c r="X23" s="4" t="str">
        <f>IFERROR(_xll.qlRateHelperQuoteName(W23,Trigger),"")</f>
        <v>USDAM3L40Y_Quote</v>
      </c>
      <c r="Y23" s="75">
        <f>IFERROR(_xll.qlRateHelperRate(W23,Trigger),"")</f>
        <v>2.094E-2</v>
      </c>
      <c r="Z23" s="115">
        <f>IF(ISERROR(_xll.qlSwapRateHelperSpread($W23)),IF(ISERROR(_xll.qlFuturesRateHelperConvexityAdjustment($W23)),"",_xll.qlFuturesRateHelperConvexityAdjustment($W23)),_xll.qlSwapRateHelperSpread($W23))</f>
        <v>1.2699999999999999E-3</v>
      </c>
      <c r="AA23" s="5">
        <f>IFERROR(_xll.qlRateHelperEarliestDate(W23,Trigger),"")</f>
        <v>42482</v>
      </c>
      <c r="AB23" s="5">
        <f>IFERROR(_xll.qlRateHelperPillarDate(W23,Trigger),"")</f>
        <v>57094</v>
      </c>
      <c r="AC23" s="83">
        <v>0.44583459488064137</v>
      </c>
    </row>
    <row r="24" spans="1:29" ht="11.25" customHeight="1" x14ac:dyDescent="0.2">
      <c r="A24" s="63" t="s">
        <v>160</v>
      </c>
      <c r="B24" s="64" t="s">
        <v>63</v>
      </c>
      <c r="C24" s="65" t="s">
        <v>6</v>
      </c>
      <c r="D24" s="65" t="s">
        <v>8</v>
      </c>
      <c r="E24" s="65" t="s">
        <v>7</v>
      </c>
      <c r="F24" s="65" t="s">
        <v>28</v>
      </c>
      <c r="G24" s="65" t="str">
        <f t="shared" si="11"/>
        <v>UsdLibor1M</v>
      </c>
      <c r="H24" s="63" t="str">
        <f t="shared" si="12"/>
        <v>USDAM3L15M_Quote</v>
      </c>
      <c r="I24" s="170" t="str">
        <f t="shared" si="13"/>
        <v>USD3L1L15M_Quote</v>
      </c>
      <c r="J24" s="69"/>
      <c r="K24" s="52"/>
      <c r="L24" s="11" t="str">
        <f t="shared" si="9"/>
        <v>BasSw</v>
      </c>
      <c r="M24" s="105" t="str">
        <f t="shared" si="10"/>
        <v>obj_00282#0006</v>
      </c>
      <c r="N24" s="159" t="str">
        <f>IFERROR(_xll.qlRateHelperQuoteName(M24,Trigger),"--")</f>
        <v>USDAM3L3Y_Quote</v>
      </c>
      <c r="O24" s="109">
        <f>IFERROR(_xll.qlRateHelperQuoteValue($M24,Trigger),"--")</f>
        <v>9.7700000000000009E-3</v>
      </c>
      <c r="P24" s="108" t="b">
        <v>1</v>
      </c>
      <c r="Q24" s="105">
        <v>20</v>
      </c>
      <c r="R24" s="105">
        <v>1</v>
      </c>
      <c r="S24" s="110">
        <f>IFERROR(_xll.qlRateHelperEarliestDate(M24,Trigger),"--")</f>
        <v>42482</v>
      </c>
      <c r="T24" s="110">
        <f>IFERROR(_xll.qlRateHelperPillarDate(M24,Trigger),"--")</f>
        <v>43578</v>
      </c>
      <c r="V24" s="4" t="str">
        <f t="shared" si="3"/>
        <v>BasSw</v>
      </c>
      <c r="W24" s="4" t="str">
        <v>obj_002ea</v>
      </c>
      <c r="X24" s="4" t="str">
        <f>IFERROR(_xll.qlRateHelperQuoteName(W24,Trigger),"")</f>
        <v>USDAM3L50Y_Quote</v>
      </c>
      <c r="Y24" s="75">
        <f>IFERROR(_xll.qlRateHelperRate(W24,Trigger),"")</f>
        <v>2.0819999999999998E-2</v>
      </c>
      <c r="Z24" s="115">
        <f>IF(ISERROR(_xll.qlSwapRateHelperSpread($W24)),IF(ISERROR(_xll.qlFuturesRateHelperConvexityAdjustment($W24)),"",_xll.qlFuturesRateHelperConvexityAdjustment($W24)),_xll.qlSwapRateHelperSpread($W24))</f>
        <v>1.2699999999999999E-3</v>
      </c>
      <c r="AA24" s="5">
        <f>IFERROR(_xll.qlRateHelperEarliestDate(W24,Trigger),"")</f>
        <v>42482</v>
      </c>
      <c r="AB24" s="5">
        <f>IFERROR(_xll.qlRateHelperPillarDate(W24,Trigger),"")</f>
        <v>60744</v>
      </c>
      <c r="AC24" s="83">
        <v>0.36916984122777147</v>
      </c>
    </row>
    <row r="25" spans="1:29" ht="11.25" customHeight="1" x14ac:dyDescent="0.2">
      <c r="A25" s="63" t="s">
        <v>160</v>
      </c>
      <c r="B25" s="64" t="s">
        <v>66</v>
      </c>
      <c r="C25" s="65" t="s">
        <v>6</v>
      </c>
      <c r="D25" s="65" t="s">
        <v>8</v>
      </c>
      <c r="E25" s="65" t="s">
        <v>7</v>
      </c>
      <c r="F25" s="65" t="s">
        <v>28</v>
      </c>
      <c r="G25" s="65" t="str">
        <f t="shared" si="11"/>
        <v>UsdLibor1M</v>
      </c>
      <c r="H25" s="63" t="str">
        <f t="shared" si="12"/>
        <v>USDAM3L18M_Quote</v>
      </c>
      <c r="I25" s="170" t="str">
        <f t="shared" si="13"/>
        <v>USD3L1L18M_Quote</v>
      </c>
      <c r="J25" s="69"/>
      <c r="K25" s="52"/>
      <c r="L25" s="11" t="str">
        <f t="shared" si="9"/>
        <v>BasSw</v>
      </c>
      <c r="M25" s="105" t="str">
        <f t="shared" si="10"/>
        <v>obj_0028d#0006</v>
      </c>
      <c r="N25" s="159" t="str">
        <f>IFERROR(_xll.qlRateHelperQuoteName(M25,Trigger),"--")</f>
        <v>USDAM3L4Y_Quote</v>
      </c>
      <c r="O25" s="109">
        <f>IFERROR(_xll.qlRateHelperQuoteValue($M25,Trigger),"--")</f>
        <v>1.0789999999999999E-2</v>
      </c>
      <c r="P25" s="108" t="b">
        <v>1</v>
      </c>
      <c r="Q25" s="105">
        <v>20</v>
      </c>
      <c r="R25" s="105">
        <v>1</v>
      </c>
      <c r="S25" s="110">
        <f>IFERROR(_xll.qlRateHelperEarliestDate(M25,Trigger),"--")</f>
        <v>42482</v>
      </c>
      <c r="T25" s="110">
        <f>IFERROR(_xll.qlRateHelperPillarDate(M25,Trigger),"--")</f>
        <v>43943</v>
      </c>
      <c r="V25" s="4" t="str">
        <f t="shared" si="3"/>
        <v/>
      </c>
      <c r="W25" s="4" t="e">
        <v>#N/A</v>
      </c>
      <c r="X25" s="4" t="str">
        <f>IFERROR(_xll.qlRateHelperQuoteName(W25,Trigger),"")</f>
        <v/>
      </c>
      <c r="Y25" s="75" t="str">
        <f>IFERROR(_xll.qlRateHelperRate(W25,Trigger),"")</f>
        <v/>
      </c>
      <c r="Z25" s="115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3" t="e">
        <v>#N/A</v>
      </c>
    </row>
    <row r="26" spans="1:29" ht="11.25" customHeight="1" x14ac:dyDescent="0.2">
      <c r="A26" s="63" t="s">
        <v>160</v>
      </c>
      <c r="B26" s="64" t="s">
        <v>69</v>
      </c>
      <c r="C26" s="65" t="s">
        <v>6</v>
      </c>
      <c r="D26" s="65" t="s">
        <v>8</v>
      </c>
      <c r="E26" s="65" t="s">
        <v>7</v>
      </c>
      <c r="F26" s="65" t="s">
        <v>28</v>
      </c>
      <c r="G26" s="65" t="str">
        <f t="shared" si="11"/>
        <v>UsdLibor1M</v>
      </c>
      <c r="H26" s="63" t="str">
        <f t="shared" si="12"/>
        <v>USDAM3L21M_Quote</v>
      </c>
      <c r="I26" s="170" t="str">
        <f t="shared" si="13"/>
        <v>USD3L1L21M_Quote</v>
      </c>
      <c r="J26" s="69"/>
      <c r="K26" s="52"/>
      <c r="L26" s="11" t="str">
        <f t="shared" si="9"/>
        <v>BasSw</v>
      </c>
      <c r="M26" s="105" t="str">
        <f t="shared" si="10"/>
        <v>obj_002e4#0006</v>
      </c>
      <c r="N26" s="159" t="str">
        <f>IFERROR(_xll.qlRateHelperQuoteName(M26,Trigger),"--")</f>
        <v>USDAM3L5Y_Quote</v>
      </c>
      <c r="O26" s="109">
        <f>IFERROR(_xll.qlRateHelperQuoteValue($M26,Trigger),"--")</f>
        <v>1.1810000000000001E-2</v>
      </c>
      <c r="P26" s="108" t="b">
        <v>1</v>
      </c>
      <c r="Q26" s="105">
        <v>20</v>
      </c>
      <c r="R26" s="105">
        <v>1</v>
      </c>
      <c r="S26" s="110">
        <f>IFERROR(_xll.qlRateHelperEarliestDate(M26,Trigger),"--")</f>
        <v>42482</v>
      </c>
      <c r="T26" s="110">
        <f>IFERROR(_xll.qlRateHelperPillarDate(M26,Trigger),"--")</f>
        <v>44308</v>
      </c>
      <c r="V26" s="4" t="str">
        <f t="shared" si="3"/>
        <v/>
      </c>
      <c r="W26" s="4" t="e">
        <v>#N/A</v>
      </c>
      <c r="X26" s="4" t="str">
        <f>IFERROR(_xll.qlRateHelperQuoteName(W26,Trigger),"")</f>
        <v/>
      </c>
      <c r="Y26" s="75" t="str">
        <f>IFERROR(_xll.qlRateHelperRate(W26,Trigger),"")</f>
        <v/>
      </c>
      <c r="Z26" s="115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3" t="e">
        <v>#N/A</v>
      </c>
    </row>
    <row r="27" spans="1:29" ht="11.25" customHeight="1" x14ac:dyDescent="0.2">
      <c r="A27" s="63" t="s">
        <v>160</v>
      </c>
      <c r="B27" s="64" t="s">
        <v>72</v>
      </c>
      <c r="C27" s="65" t="s">
        <v>6</v>
      </c>
      <c r="D27" s="65" t="s">
        <v>8</v>
      </c>
      <c r="E27" s="65" t="s">
        <v>7</v>
      </c>
      <c r="F27" s="65" t="s">
        <v>28</v>
      </c>
      <c r="G27" s="65" t="str">
        <f t="shared" si="11"/>
        <v>UsdLibor1M</v>
      </c>
      <c r="H27" s="63" t="str">
        <f t="shared" si="12"/>
        <v>USDAM3L2Y_Quote</v>
      </c>
      <c r="I27" s="170" t="str">
        <f t="shared" si="13"/>
        <v>USD3L1L2Y_Quote</v>
      </c>
      <c r="J27" s="69" t="str">
        <f>_xll.qlSwapRateHelper2(,H27,,B27,JoinCalendar,USD1M!D27,USD1M!E27,USD1M!F27,USD1M!G27,USD1M!I27,USD1M!C27,Discounting,PillarDate,,Permanent,Trigger,ObjectOverwrite)</f>
        <v>obj_002da#0006</v>
      </c>
      <c r="K27" s="52"/>
      <c r="L27" s="11" t="str">
        <f t="shared" si="9"/>
        <v>BasSw</v>
      </c>
      <c r="M27" s="105" t="str">
        <f t="shared" si="10"/>
        <v>obj_002d2#0006</v>
      </c>
      <c r="N27" s="159" t="str">
        <f>IFERROR(_xll.qlRateHelperQuoteName(M27,Trigger),"--")</f>
        <v>USDAM3L6Y_Quote</v>
      </c>
      <c r="O27" s="109">
        <f>IFERROR(_xll.qlRateHelperQuoteValue($M27,Trigger),"--")</f>
        <v>1.2810000000000002E-2</v>
      </c>
      <c r="P27" s="108" t="b">
        <v>1</v>
      </c>
      <c r="Q27" s="105">
        <v>20</v>
      </c>
      <c r="R27" s="105">
        <v>1</v>
      </c>
      <c r="S27" s="110">
        <f>IFERROR(_xll.qlRateHelperEarliestDate(M27,Trigger),"--")</f>
        <v>42482</v>
      </c>
      <c r="T27" s="110">
        <f>IFERROR(_xll.qlRateHelperPillarDate(M27,Trigger),"--")</f>
        <v>44673</v>
      </c>
      <c r="V27" s="4" t="str">
        <f t="shared" si="3"/>
        <v/>
      </c>
      <c r="W27" s="4" t="e">
        <v>#N/A</v>
      </c>
      <c r="X27" s="4" t="str">
        <f>IFERROR(_xll.qlRateHelperQuoteName(W27,Trigger),"")</f>
        <v/>
      </c>
      <c r="Y27" s="75" t="str">
        <f>IFERROR(_xll.qlRateHelperRate(W27,Trigger),"")</f>
        <v/>
      </c>
      <c r="Z27" s="115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3" t="e">
        <v>#N/A</v>
      </c>
    </row>
    <row r="28" spans="1:29" ht="11.25" customHeight="1" x14ac:dyDescent="0.2">
      <c r="A28" s="63" t="s">
        <v>160</v>
      </c>
      <c r="B28" s="64" t="s">
        <v>76</v>
      </c>
      <c r="C28" s="65" t="s">
        <v>6</v>
      </c>
      <c r="D28" s="65" t="s">
        <v>8</v>
      </c>
      <c r="E28" s="65" t="s">
        <v>7</v>
      </c>
      <c r="F28" s="65" t="s">
        <v>28</v>
      </c>
      <c r="G28" s="65" t="str">
        <f t="shared" si="11"/>
        <v>UsdLibor1M</v>
      </c>
      <c r="H28" s="63" t="str">
        <f t="shared" si="12"/>
        <v>USDAM3L3Y_Quote</v>
      </c>
      <c r="I28" s="170" t="str">
        <f t="shared" si="13"/>
        <v>USD3L1L3Y_Quote</v>
      </c>
      <c r="J28" s="69" t="str">
        <f>_xll.qlSwapRateHelper2(,H28,,B28,JoinCalendar,USD1M!D28,USD1M!E28,USD1M!F28,USD1M!G28,USD1M!I28,USD1M!C28,Discounting,PillarDate,,Permanent,Trigger,ObjectOverwrite)</f>
        <v>obj_00282#0006</v>
      </c>
      <c r="K28" s="52"/>
      <c r="L28" s="11" t="str">
        <f t="shared" si="9"/>
        <v>BasSw</v>
      </c>
      <c r="M28" s="105" t="str">
        <f t="shared" si="10"/>
        <v>obj_002ad#0006</v>
      </c>
      <c r="N28" s="159" t="str">
        <f>IFERROR(_xll.qlRateHelperQuoteName(M28,Trigger),"--")</f>
        <v>USDAM3L7Y_Quote</v>
      </c>
      <c r="O28" s="109">
        <f>IFERROR(_xll.qlRateHelperQuoteValue($M28,Trigger),"--")</f>
        <v>1.375E-2</v>
      </c>
      <c r="P28" s="108" t="b">
        <v>1</v>
      </c>
      <c r="Q28" s="105">
        <v>20</v>
      </c>
      <c r="R28" s="105">
        <v>1</v>
      </c>
      <c r="S28" s="110">
        <f>IFERROR(_xll.qlRateHelperEarliestDate(M28,Trigger),"--")</f>
        <v>42482</v>
      </c>
      <c r="T28" s="110">
        <f>IFERROR(_xll.qlRateHelperPillarDate(M28,Trigger),"--")</f>
        <v>45040</v>
      </c>
      <c r="V28" s="4" t="str">
        <f t="shared" si="3"/>
        <v/>
      </c>
      <c r="W28" s="4" t="e">
        <v>#N/A</v>
      </c>
      <c r="X28" s="4" t="str">
        <f>IFERROR(_xll.qlRateHelperQuoteName(W28,Trigger),"")</f>
        <v/>
      </c>
      <c r="Y28" s="75" t="str">
        <f>IFERROR(_xll.qlRateHelperRate(W28,Trigger),"")</f>
        <v/>
      </c>
      <c r="Z28" s="115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3" t="e">
        <v>#N/A</v>
      </c>
    </row>
    <row r="29" spans="1:29" ht="11.25" customHeight="1" x14ac:dyDescent="0.2">
      <c r="A29" s="63" t="s">
        <v>160</v>
      </c>
      <c r="B29" s="64" t="s">
        <v>80</v>
      </c>
      <c r="C29" s="65" t="s">
        <v>6</v>
      </c>
      <c r="D29" s="65" t="s">
        <v>8</v>
      </c>
      <c r="E29" s="65" t="s">
        <v>7</v>
      </c>
      <c r="F29" s="65" t="s">
        <v>28</v>
      </c>
      <c r="G29" s="65" t="str">
        <f t="shared" si="11"/>
        <v>UsdLibor1M</v>
      </c>
      <c r="H29" s="63" t="str">
        <f t="shared" si="12"/>
        <v>USDAM3L4Y_Quote</v>
      </c>
      <c r="I29" s="170" t="str">
        <f t="shared" si="13"/>
        <v>USD3L1L4Y_Quote</v>
      </c>
      <c r="J29" s="69" t="str">
        <f>_xll.qlSwapRateHelper2(,H29,,B29,JoinCalendar,USD1M!D29,USD1M!E29,USD1M!F29,USD1M!G29,USD1M!I29,USD1M!C29,Discounting,PillarDate,,Permanent,Trigger,ObjectOverwrite)</f>
        <v>obj_0028d#0006</v>
      </c>
      <c r="K29" s="52"/>
      <c r="L29" s="11" t="str">
        <f t="shared" si="9"/>
        <v>BasSw</v>
      </c>
      <c r="M29" s="105" t="str">
        <f t="shared" si="10"/>
        <v>obj_002b9#0006</v>
      </c>
      <c r="N29" s="159" t="str">
        <f>IFERROR(_xll.qlRateHelperQuoteName(M29,Trigger),"--")</f>
        <v>USDAM3L8Y_Quote</v>
      </c>
      <c r="O29" s="109">
        <f>IFERROR(_xll.qlRateHelperQuoteValue($M29,Trigger),"--")</f>
        <v>1.4569999999999998E-2</v>
      </c>
      <c r="P29" s="108" t="b">
        <v>1</v>
      </c>
      <c r="Q29" s="105">
        <v>20</v>
      </c>
      <c r="R29" s="105">
        <v>1</v>
      </c>
      <c r="S29" s="110">
        <f>IFERROR(_xll.qlRateHelperEarliestDate(M29,Trigger),"--")</f>
        <v>42482</v>
      </c>
      <c r="T29" s="110">
        <f>IFERROR(_xll.qlRateHelperPillarDate(M29,Trigger),"--")</f>
        <v>45404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5" t="str">
        <f>IFERROR(_xll.qlRateHelperRate(W29,Trigger),"")</f>
        <v/>
      </c>
      <c r="Z29" s="115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3" t="e">
        <v>#N/A</v>
      </c>
    </row>
    <row r="30" spans="1:29" ht="11.25" customHeight="1" x14ac:dyDescent="0.2">
      <c r="A30" s="63" t="s">
        <v>160</v>
      </c>
      <c r="B30" s="64" t="s">
        <v>84</v>
      </c>
      <c r="C30" s="65" t="s">
        <v>6</v>
      </c>
      <c r="D30" s="65" t="s">
        <v>8</v>
      </c>
      <c r="E30" s="65" t="s">
        <v>7</v>
      </c>
      <c r="F30" s="65" t="s">
        <v>28</v>
      </c>
      <c r="G30" s="65" t="str">
        <f t="shared" si="11"/>
        <v>UsdLibor1M</v>
      </c>
      <c r="H30" s="63" t="str">
        <f t="shared" si="12"/>
        <v>USDAM3L5Y_Quote</v>
      </c>
      <c r="I30" s="170" t="str">
        <f t="shared" si="13"/>
        <v>USD3L1L5Y_Quote</v>
      </c>
      <c r="J30" s="69" t="str">
        <f>_xll.qlSwapRateHelper2(,H30,,B30,JoinCalendar,USD1M!D30,USD1M!E30,USD1M!F30,USD1M!G30,USD1M!I30,USD1M!C30,Discounting,PillarDate,,Permanent,Trigger,ObjectOverwrite)</f>
        <v>obj_002e4#0006</v>
      </c>
      <c r="K30" s="52"/>
      <c r="L30" s="11" t="str">
        <f t="shared" si="9"/>
        <v>BasSw</v>
      </c>
      <c r="M30" s="105" t="str">
        <f t="shared" si="10"/>
        <v>obj_002f3#0006</v>
      </c>
      <c r="N30" s="159" t="str">
        <f>IFERROR(_xll.qlRateHelperQuoteName(M30,Trigger),"--")</f>
        <v>USDAM3L9Y_Quote</v>
      </c>
      <c r="O30" s="109">
        <f>IFERROR(_xll.qlRateHelperQuoteValue($M30,Trigger),"--")</f>
        <v>1.532E-2</v>
      </c>
      <c r="P30" s="108" t="b">
        <v>1</v>
      </c>
      <c r="Q30" s="105">
        <v>20</v>
      </c>
      <c r="R30" s="105">
        <v>1</v>
      </c>
      <c r="S30" s="110">
        <f>IFERROR(_xll.qlRateHelperEarliestDate(M30,Trigger),"--")</f>
        <v>42482</v>
      </c>
      <c r="T30" s="110">
        <f>IFERROR(_xll.qlRateHelperPillarDate(M30,Trigger),"--")</f>
        <v>45769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5" t="str">
        <f>IFERROR(_xll.qlRateHelperRate(W30,Trigger),"")</f>
        <v/>
      </c>
      <c r="Z30" s="11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3" t="e">
        <v>#N/A</v>
      </c>
    </row>
    <row r="31" spans="1:29" ht="11.25" customHeight="1" x14ac:dyDescent="0.2">
      <c r="A31" s="63" t="s">
        <v>160</v>
      </c>
      <c r="B31" s="64" t="s">
        <v>85</v>
      </c>
      <c r="C31" s="65" t="s">
        <v>6</v>
      </c>
      <c r="D31" s="65" t="s">
        <v>8</v>
      </c>
      <c r="E31" s="65" t="s">
        <v>7</v>
      </c>
      <c r="F31" s="65" t="s">
        <v>28</v>
      </c>
      <c r="G31" s="65" t="str">
        <f t="shared" si="11"/>
        <v>UsdLibor1M</v>
      </c>
      <c r="H31" s="63" t="str">
        <f t="shared" si="12"/>
        <v>USDAM3L6Y_Quote</v>
      </c>
      <c r="I31" s="170" t="str">
        <f t="shared" si="13"/>
        <v>USD3L1L6Y_Quote</v>
      </c>
      <c r="J31" s="69" t="str">
        <f>_xll.qlSwapRateHelper2(,H31,,B31,JoinCalendar,USD1M!D31,USD1M!E31,USD1M!F31,USD1M!G31,USD1M!I31,USD1M!C31,Discounting,PillarDate,,Permanent,Trigger,ObjectOverwrite)</f>
        <v>obj_002d2#0006</v>
      </c>
      <c r="K31" s="52"/>
      <c r="L31" s="11" t="str">
        <f t="shared" si="9"/>
        <v>BasSw</v>
      </c>
      <c r="M31" s="105" t="str">
        <f t="shared" si="10"/>
        <v>obj_002dc#0006</v>
      </c>
      <c r="N31" s="159" t="str">
        <f>IFERROR(_xll.qlRateHelperQuoteName(M31,Trigger),"--")</f>
        <v>USDAM3L10Y_Quote</v>
      </c>
      <c r="O31" s="109">
        <f>IFERROR(_xll.qlRateHelperQuoteValue($M31,Trigger),"--")</f>
        <v>1.602E-2</v>
      </c>
      <c r="P31" s="108" t="b">
        <v>1</v>
      </c>
      <c r="Q31" s="105">
        <v>40</v>
      </c>
      <c r="R31" s="105">
        <v>1</v>
      </c>
      <c r="S31" s="110">
        <f>IFERROR(_xll.qlRateHelperEarliestDate(M31,Trigger),"--")</f>
        <v>42482</v>
      </c>
      <c r="T31" s="110">
        <f>IFERROR(_xll.qlRateHelperPillarDate(M31,Trigger),"--")</f>
        <v>46134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5" t="str">
        <f>IFERROR(_xll.qlRateHelperRate(W31,Trigger),"")</f>
        <v/>
      </c>
      <c r="Z31" s="11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3" t="e">
        <v>#N/A</v>
      </c>
    </row>
    <row r="32" spans="1:29" ht="11.25" customHeight="1" x14ac:dyDescent="0.2">
      <c r="A32" s="63" t="s">
        <v>160</v>
      </c>
      <c r="B32" s="64" t="s">
        <v>86</v>
      </c>
      <c r="C32" s="65" t="s">
        <v>6</v>
      </c>
      <c r="D32" s="65" t="s">
        <v>8</v>
      </c>
      <c r="E32" s="65" t="s">
        <v>7</v>
      </c>
      <c r="F32" s="65" t="s">
        <v>28</v>
      </c>
      <c r="G32" s="65" t="str">
        <f t="shared" si="11"/>
        <v>UsdLibor1M</v>
      </c>
      <c r="H32" s="63" t="str">
        <f t="shared" si="12"/>
        <v>USDAM3L7Y_Quote</v>
      </c>
      <c r="I32" s="170" t="str">
        <f t="shared" si="13"/>
        <v>USD3L1L7Y_Quote</v>
      </c>
      <c r="J32" s="69" t="str">
        <f>_xll.qlSwapRateHelper2(,H32,,B32,JoinCalendar,USD1M!D32,USD1M!E32,USD1M!F32,USD1M!G32,USD1M!I32,USD1M!C32,Discounting,PillarDate,,Permanent,Trigger,ObjectOverwrite)</f>
        <v>obj_002ad#0006</v>
      </c>
      <c r="K32" s="52"/>
      <c r="L32" s="11" t="str">
        <f t="shared" si="9"/>
        <v>BasSw</v>
      </c>
      <c r="M32" s="105" t="str">
        <f t="shared" si="10"/>
        <v>--</v>
      </c>
      <c r="N32" s="159" t="str">
        <f>IFERROR(_xll.qlRateHelperQuoteName(M32,Trigger),"--")</f>
        <v>--</v>
      </c>
      <c r="O32" s="109" t="str">
        <f>IFERROR(_xll.qlRateHelperQuoteValue($M32,Trigger),"--")</f>
        <v>--</v>
      </c>
      <c r="P32" s="108" t="b">
        <v>0</v>
      </c>
      <c r="Q32" s="105">
        <v>40</v>
      </c>
      <c r="R32" s="105">
        <v>1</v>
      </c>
      <c r="S32" s="110" t="str">
        <f>IFERROR(_xll.qlRateHelperEarliestDate(M32,Trigger),"--")</f>
        <v>--</v>
      </c>
      <c r="T32" s="110" t="str">
        <f>IFERROR(_xll.qlRateHelperPillarDate(M32,Trigger),"--")</f>
        <v>--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5" t="str">
        <f>IFERROR(_xll.qlRateHelperRate(W32,Trigger),"")</f>
        <v/>
      </c>
      <c r="Z32" s="11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3" t="e">
        <v>#N/A</v>
      </c>
    </row>
    <row r="33" spans="1:29" ht="11.25" customHeight="1" x14ac:dyDescent="0.2">
      <c r="A33" s="63" t="s">
        <v>160</v>
      </c>
      <c r="B33" s="64" t="s">
        <v>87</v>
      </c>
      <c r="C33" s="65" t="s">
        <v>6</v>
      </c>
      <c r="D33" s="65" t="s">
        <v>8</v>
      </c>
      <c r="E33" s="65" t="s">
        <v>7</v>
      </c>
      <c r="F33" s="65" t="s">
        <v>28</v>
      </c>
      <c r="G33" s="65" t="str">
        <f t="shared" si="11"/>
        <v>UsdLibor1M</v>
      </c>
      <c r="H33" s="63" t="str">
        <f t="shared" si="12"/>
        <v>USDAM3L8Y_Quote</v>
      </c>
      <c r="I33" s="170" t="str">
        <f t="shared" si="13"/>
        <v>USD3L1L8Y_Quote</v>
      </c>
      <c r="J33" s="69" t="str">
        <f>_xll.qlSwapRateHelper2(,H33,,B33,JoinCalendar,USD1M!D33,USD1M!E33,USD1M!F33,USD1M!G33,USD1M!I33,USD1M!C33,Discounting,PillarDate,,Permanent,Trigger,ObjectOverwrite)</f>
        <v>obj_002b9#0006</v>
      </c>
      <c r="K33" s="52"/>
      <c r="L33" s="11" t="str">
        <f t="shared" si="9"/>
        <v>BasSw</v>
      </c>
      <c r="M33" s="105" t="str">
        <f t="shared" si="10"/>
        <v>obj_002f5#0006</v>
      </c>
      <c r="N33" s="159" t="str">
        <f>IFERROR(_xll.qlRateHelperQuoteName(M33,Trigger),"--")</f>
        <v>USDAM3L12Y_Quote</v>
      </c>
      <c r="O33" s="109">
        <f>IFERROR(_xll.qlRateHelperQuoteValue($M33,Trigger),"--")</f>
        <v>1.7219999999999999E-2</v>
      </c>
      <c r="P33" s="108" t="b">
        <v>1</v>
      </c>
      <c r="Q33" s="105">
        <v>40</v>
      </c>
      <c r="R33" s="105">
        <v>1</v>
      </c>
      <c r="S33" s="110">
        <f>IFERROR(_xll.qlRateHelperEarliestDate(M33,Trigger),"--")</f>
        <v>42482</v>
      </c>
      <c r="T33" s="110">
        <f>IFERROR(_xll.qlRateHelperPillarDate(M33,Trigger),"--")</f>
        <v>46867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5" t="str">
        <f>IFERROR(_xll.qlRateHelperRate(W33,Trigger),"")</f>
        <v/>
      </c>
      <c r="Z33" s="11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3" t="e">
        <v>#N/A</v>
      </c>
    </row>
    <row r="34" spans="1:29" ht="11.25" customHeight="1" x14ac:dyDescent="0.2">
      <c r="A34" s="63" t="s">
        <v>160</v>
      </c>
      <c r="B34" s="64" t="s">
        <v>88</v>
      </c>
      <c r="C34" s="65" t="s">
        <v>6</v>
      </c>
      <c r="D34" s="65" t="s">
        <v>8</v>
      </c>
      <c r="E34" s="65" t="s">
        <v>7</v>
      </c>
      <c r="F34" s="65" t="s">
        <v>28</v>
      </c>
      <c r="G34" s="65" t="str">
        <f t="shared" si="11"/>
        <v>UsdLibor1M</v>
      </c>
      <c r="H34" s="63" t="str">
        <f t="shared" si="12"/>
        <v>USDAM3L9Y_Quote</v>
      </c>
      <c r="I34" s="170" t="str">
        <f t="shared" si="13"/>
        <v>USD3L1L9Y_Quote</v>
      </c>
      <c r="J34" s="69" t="str">
        <f>_xll.qlSwapRateHelper2(,H34,,B34,JoinCalendar,USD1M!D34,USD1M!E34,USD1M!F34,USD1M!G34,USD1M!I34,USD1M!C34,Discounting,PillarDate,,Permanent,Trigger,ObjectOverwrite)</f>
        <v>obj_002f3#0006</v>
      </c>
      <c r="K34" s="52"/>
      <c r="L34" s="11" t="str">
        <f t="shared" si="9"/>
        <v>BasSw</v>
      </c>
      <c r="M34" s="105" t="str">
        <f t="shared" si="10"/>
        <v>--</v>
      </c>
      <c r="N34" s="159" t="str">
        <f>IFERROR(_xll.qlRateHelperQuoteName(M34,Trigger),"--")</f>
        <v>--</v>
      </c>
      <c r="O34" s="109" t="str">
        <f>IFERROR(_xll.qlRateHelperQuoteValue($M34,Trigger),"--")</f>
        <v>--</v>
      </c>
      <c r="P34" s="108" t="b">
        <v>0</v>
      </c>
      <c r="Q34" s="105">
        <v>40</v>
      </c>
      <c r="R34" s="105">
        <v>1</v>
      </c>
      <c r="S34" s="110" t="str">
        <f>IFERROR(_xll.qlRateHelperEarliestDate(M34,Trigger),"--")</f>
        <v>--</v>
      </c>
      <c r="T34" s="110" t="str">
        <f>IFERROR(_xll.qlRateHelperPillarDate(M34,Trigger),"--")</f>
        <v>--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5" t="str">
        <f>IFERROR(_xll.qlRateHelperRate(W34,Trigger),"")</f>
        <v/>
      </c>
      <c r="Z34" s="11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3" t="e">
        <v>#N/A</v>
      </c>
    </row>
    <row r="35" spans="1:29" ht="11.25" customHeight="1" x14ac:dyDescent="0.2">
      <c r="A35" s="63" t="s">
        <v>160</v>
      </c>
      <c r="B35" s="64" t="s">
        <v>89</v>
      </c>
      <c r="C35" s="65" t="s">
        <v>6</v>
      </c>
      <c r="D35" s="65" t="s">
        <v>8</v>
      </c>
      <c r="E35" s="65" t="s">
        <v>7</v>
      </c>
      <c r="F35" s="65" t="s">
        <v>28</v>
      </c>
      <c r="G35" s="65" t="str">
        <f t="shared" si="11"/>
        <v>UsdLibor1M</v>
      </c>
      <c r="H35" s="63" t="str">
        <f t="shared" si="12"/>
        <v>USDAM3L10Y_Quote</v>
      </c>
      <c r="I35" s="170" t="str">
        <f t="shared" si="13"/>
        <v>USD3L1L10Y_Quote</v>
      </c>
      <c r="J35" s="69" t="str">
        <f>_xll.qlSwapRateHelper2(,H35,,B35,JoinCalendar,USD1M!D35,USD1M!E35,USD1M!F35,USD1M!G35,USD1M!I35,USD1M!C35,Discounting,PillarDate,,Permanent,Trigger,ObjectOverwrite)</f>
        <v>obj_002dc#0006</v>
      </c>
      <c r="K35" s="52"/>
      <c r="L35" s="11" t="str">
        <f t="shared" si="9"/>
        <v>BasSw</v>
      </c>
      <c r="M35" s="105" t="str">
        <f t="shared" si="10"/>
        <v>--</v>
      </c>
      <c r="N35" s="159" t="str">
        <f>IFERROR(_xll.qlRateHelperQuoteName(M35,Trigger),"--")</f>
        <v>--</v>
      </c>
      <c r="O35" s="109" t="str">
        <f>IFERROR(_xll.qlRateHelperQuoteValue($M35,Trigger),"--")</f>
        <v>--</v>
      </c>
      <c r="P35" s="108" t="b">
        <v>0</v>
      </c>
      <c r="Q35" s="105">
        <v>40</v>
      </c>
      <c r="R35" s="105">
        <v>1</v>
      </c>
      <c r="S35" s="110" t="str">
        <f>IFERROR(_xll.qlRateHelperEarliestDate(M35,Trigger),"--")</f>
        <v>--</v>
      </c>
      <c r="T35" s="110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5" t="str">
        <f>IFERROR(_xll.qlRateHelperRate(W35,Trigger),"")</f>
        <v/>
      </c>
      <c r="Z35" s="11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3" t="e">
        <v>#N/A</v>
      </c>
    </row>
    <row r="36" spans="1:29" ht="11.25" customHeight="1" x14ac:dyDescent="0.2">
      <c r="A36" s="63" t="s">
        <v>160</v>
      </c>
      <c r="B36" s="64" t="s">
        <v>133</v>
      </c>
      <c r="C36" s="65" t="s">
        <v>6</v>
      </c>
      <c r="D36" s="65" t="s">
        <v>8</v>
      </c>
      <c r="E36" s="65" t="s">
        <v>7</v>
      </c>
      <c r="F36" s="65" t="s">
        <v>28</v>
      </c>
      <c r="G36" s="65" t="str">
        <f t="shared" si="11"/>
        <v>UsdLibor1M</v>
      </c>
      <c r="H36" s="63" t="str">
        <f t="shared" si="12"/>
        <v>USDAM3L11Y_Quote</v>
      </c>
      <c r="I36" s="170" t="str">
        <f t="shared" si="13"/>
        <v>USD3L1L11Y_Quote</v>
      </c>
      <c r="J36" s="69"/>
      <c r="K36" s="52"/>
      <c r="L36" s="11" t="str">
        <f t="shared" si="9"/>
        <v>BasSw</v>
      </c>
      <c r="M36" s="105" t="str">
        <f t="shared" si="10"/>
        <v>obj_00298#0006</v>
      </c>
      <c r="N36" s="159" t="str">
        <f>IFERROR(_xll.qlRateHelperQuoteName(M36,Trigger),"--")</f>
        <v>USDAM3L15Y_Quote</v>
      </c>
      <c r="O36" s="109">
        <f>IFERROR(_xll.qlRateHelperQuoteValue($M36,Trigger),"--")</f>
        <v>1.8489999999999999E-2</v>
      </c>
      <c r="P36" s="108" t="b">
        <v>1</v>
      </c>
      <c r="Q36" s="105">
        <v>40</v>
      </c>
      <c r="R36" s="105">
        <v>1</v>
      </c>
      <c r="S36" s="110">
        <f>IFERROR(_xll.qlRateHelperEarliestDate(M36,Trigger),"--")</f>
        <v>42482</v>
      </c>
      <c r="T36" s="110">
        <f>IFERROR(_xll.qlRateHelperPillarDate(M36,Trigger),"--")</f>
        <v>47960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5" t="str">
        <f>IFERROR(_xll.qlRateHelperRate(W36,Trigger),"")</f>
        <v/>
      </c>
      <c r="Z36" s="11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3" t="e">
        <v>#N/A</v>
      </c>
    </row>
    <row r="37" spans="1:29" ht="11.25" customHeight="1" x14ac:dyDescent="0.2">
      <c r="A37" s="63" t="s">
        <v>160</v>
      </c>
      <c r="B37" s="64" t="s">
        <v>90</v>
      </c>
      <c r="C37" s="65" t="s">
        <v>6</v>
      </c>
      <c r="D37" s="65" t="s">
        <v>8</v>
      </c>
      <c r="E37" s="65" t="s">
        <v>7</v>
      </c>
      <c r="F37" s="65" t="s">
        <v>28</v>
      </c>
      <c r="G37" s="65" t="str">
        <f t="shared" si="11"/>
        <v>UsdLibor1M</v>
      </c>
      <c r="H37" s="63" t="str">
        <f t="shared" si="12"/>
        <v>USDAM3L12Y_Quote</v>
      </c>
      <c r="I37" s="170" t="str">
        <f t="shared" si="13"/>
        <v>USD3L1L12Y_Quote</v>
      </c>
      <c r="J37" s="69" t="str">
        <f>_xll.qlSwapRateHelper2(,H37,,B37,JoinCalendar,USD1M!D37,USD1M!E37,USD1M!F37,USD1M!G37,USD1M!I37,USD1M!C37,Discounting,PillarDate,,Permanent,Trigger,ObjectOverwrite)</f>
        <v>obj_002f5#0006</v>
      </c>
      <c r="K37" s="52"/>
      <c r="L37" s="11" t="str">
        <f t="shared" si="9"/>
        <v>BasSw</v>
      </c>
      <c r="M37" s="105" t="str">
        <f t="shared" si="10"/>
        <v>--</v>
      </c>
      <c r="N37" s="159" t="str">
        <f>IFERROR(_xll.qlRateHelperQuoteName(M37,Trigger),"--")</f>
        <v>--</v>
      </c>
      <c r="O37" s="109" t="str">
        <f>IFERROR(_xll.qlRateHelperQuoteValue($M37,Trigger),"--")</f>
        <v>--</v>
      </c>
      <c r="P37" s="108" t="b">
        <v>0</v>
      </c>
      <c r="Q37" s="105">
        <v>40</v>
      </c>
      <c r="R37" s="105">
        <v>1</v>
      </c>
      <c r="S37" s="110" t="str">
        <f>IFERROR(_xll.qlRateHelperEarliestDate(M37,Trigger),"--")</f>
        <v>--</v>
      </c>
      <c r="T37" s="110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5" t="str">
        <f>IFERROR(_xll.qlRateHelperRate(W37,Trigger),"")</f>
        <v/>
      </c>
      <c r="Z37" s="11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3" t="e">
        <v>#N/A</v>
      </c>
    </row>
    <row r="38" spans="1:29" ht="11.25" customHeight="1" x14ac:dyDescent="0.2">
      <c r="A38" s="63" t="s">
        <v>160</v>
      </c>
      <c r="B38" s="64" t="s">
        <v>134</v>
      </c>
      <c r="C38" s="65" t="s">
        <v>6</v>
      </c>
      <c r="D38" s="65" t="s">
        <v>8</v>
      </c>
      <c r="E38" s="65" t="s">
        <v>7</v>
      </c>
      <c r="F38" s="65" t="s">
        <v>28</v>
      </c>
      <c r="G38" s="65" t="str">
        <f t="shared" si="11"/>
        <v>UsdLibor1M</v>
      </c>
      <c r="H38" s="63" t="str">
        <f t="shared" si="12"/>
        <v>USDAM3L13Y_Quote</v>
      </c>
      <c r="I38" s="170" t="str">
        <f t="shared" si="13"/>
        <v>USD3L1L13Y_Quote</v>
      </c>
      <c r="J38" s="69"/>
      <c r="K38" s="52"/>
      <c r="L38" s="11" t="str">
        <f t="shared" si="9"/>
        <v>BasSw</v>
      </c>
      <c r="M38" s="105" t="str">
        <f t="shared" si="10"/>
        <v>--</v>
      </c>
      <c r="N38" s="159" t="str">
        <f>IFERROR(_xll.qlRateHelperQuoteName(M38,Trigger),"--")</f>
        <v>--</v>
      </c>
      <c r="O38" s="109" t="str">
        <f>IFERROR(_xll.qlRateHelperQuoteValue($M38,Trigger),"--")</f>
        <v>--</v>
      </c>
      <c r="P38" s="108" t="b">
        <v>0</v>
      </c>
      <c r="Q38" s="105">
        <v>40</v>
      </c>
      <c r="R38" s="105">
        <v>1</v>
      </c>
      <c r="S38" s="110" t="str">
        <f>IFERROR(_xll.qlRateHelperEarliestDate(M38,Trigger),"--")</f>
        <v>--</v>
      </c>
      <c r="T38" s="110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5" t="str">
        <f>IFERROR(_xll.qlRateHelperRate(W38,Trigger),"")</f>
        <v/>
      </c>
      <c r="Z38" s="11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3" t="e">
        <v>#N/A</v>
      </c>
    </row>
    <row r="39" spans="1:29" ht="11.25" customHeight="1" x14ac:dyDescent="0.2">
      <c r="A39" s="63" t="s">
        <v>160</v>
      </c>
      <c r="B39" s="64" t="s">
        <v>135</v>
      </c>
      <c r="C39" s="65" t="s">
        <v>6</v>
      </c>
      <c r="D39" s="65" t="s">
        <v>8</v>
      </c>
      <c r="E39" s="65" t="s">
        <v>7</v>
      </c>
      <c r="F39" s="65" t="s">
        <v>28</v>
      </c>
      <c r="G39" s="65" t="str">
        <f t="shared" si="11"/>
        <v>UsdLibor1M</v>
      </c>
      <c r="H39" s="63" t="str">
        <f t="shared" si="12"/>
        <v>USDAM3L14Y_Quote</v>
      </c>
      <c r="I39" s="170" t="str">
        <f t="shared" si="13"/>
        <v>USD3L1L14Y_Quote</v>
      </c>
      <c r="J39" s="69"/>
      <c r="K39" s="52"/>
      <c r="L39" s="11" t="str">
        <f t="shared" si="9"/>
        <v>BasSw</v>
      </c>
      <c r="M39" s="105" t="str">
        <f t="shared" si="10"/>
        <v>--</v>
      </c>
      <c r="N39" s="159" t="str">
        <f>IFERROR(_xll.qlRateHelperQuoteName(M39,Trigger),"--")</f>
        <v>--</v>
      </c>
      <c r="O39" s="109" t="str">
        <f>IFERROR(_xll.qlRateHelperQuoteValue($M39,Trigger),"--")</f>
        <v>--</v>
      </c>
      <c r="P39" s="108" t="b">
        <v>0</v>
      </c>
      <c r="Q39" s="105">
        <v>40</v>
      </c>
      <c r="R39" s="105">
        <v>1</v>
      </c>
      <c r="S39" s="110" t="str">
        <f>IFERROR(_xll.qlRateHelperEarliestDate(M39,Trigger),"--")</f>
        <v>--</v>
      </c>
      <c r="T39" s="110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5" t="str">
        <f>IFERROR(_xll.qlRateHelperRate(W39,Trigger),"")</f>
        <v/>
      </c>
      <c r="Z39" s="11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3" t="e">
        <v>#N/A</v>
      </c>
    </row>
    <row r="40" spans="1:29" ht="11.25" customHeight="1" x14ac:dyDescent="0.2">
      <c r="A40" s="63" t="s">
        <v>160</v>
      </c>
      <c r="B40" s="64" t="s">
        <v>91</v>
      </c>
      <c r="C40" s="65" t="s">
        <v>6</v>
      </c>
      <c r="D40" s="65" t="s">
        <v>8</v>
      </c>
      <c r="E40" s="65" t="s">
        <v>7</v>
      </c>
      <c r="F40" s="65" t="s">
        <v>28</v>
      </c>
      <c r="G40" s="65" t="str">
        <f t="shared" si="11"/>
        <v>UsdLibor1M</v>
      </c>
      <c r="H40" s="63" t="str">
        <f t="shared" si="12"/>
        <v>USDAM3L15Y_Quote</v>
      </c>
      <c r="I40" s="170" t="str">
        <f t="shared" si="13"/>
        <v>USD3L1L15Y_Quote</v>
      </c>
      <c r="J40" s="69" t="str">
        <f>_xll.qlSwapRateHelper2(,H40,,B40,JoinCalendar,USD1M!D40,USD1M!E40,USD1M!F40,USD1M!G40,USD1M!I40,USD1M!C40,Discounting,PillarDate,,Permanent,Trigger,ObjectOverwrite)</f>
        <v>obj_00298#0006</v>
      </c>
      <c r="K40" s="52"/>
      <c r="L40" s="11" t="str">
        <f t="shared" si="9"/>
        <v>BasSw</v>
      </c>
      <c r="M40" s="105" t="str">
        <f t="shared" si="10"/>
        <v>--</v>
      </c>
      <c r="N40" s="159" t="str">
        <f>IFERROR(_xll.qlRateHelperQuoteName(M40,Trigger),"--")</f>
        <v>--</v>
      </c>
      <c r="O40" s="109" t="str">
        <f>IFERROR(_xll.qlRateHelperQuoteValue($M40,Trigger),"--")</f>
        <v>--</v>
      </c>
      <c r="P40" s="108" t="b">
        <v>0</v>
      </c>
      <c r="Q40" s="105">
        <v>40</v>
      </c>
      <c r="R40" s="105">
        <v>1</v>
      </c>
      <c r="S40" s="110" t="str">
        <f>IFERROR(_xll.qlRateHelperEarliestDate(M40,Trigger),"--")</f>
        <v>--</v>
      </c>
      <c r="T40" s="110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5" t="str">
        <f>IFERROR(_xll.qlRateHelperRate(W40,Trigger),"")</f>
        <v/>
      </c>
      <c r="Z40" s="11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3" t="e">
        <v>#N/A</v>
      </c>
    </row>
    <row r="41" spans="1:29" ht="11.25" customHeight="1" x14ac:dyDescent="0.2">
      <c r="A41" s="63" t="s">
        <v>160</v>
      </c>
      <c r="B41" s="64" t="s">
        <v>136</v>
      </c>
      <c r="C41" s="65" t="s">
        <v>6</v>
      </c>
      <c r="D41" s="65" t="s">
        <v>8</v>
      </c>
      <c r="E41" s="65" t="s">
        <v>7</v>
      </c>
      <c r="F41" s="65" t="s">
        <v>28</v>
      </c>
      <c r="G41" s="65" t="str">
        <f t="shared" si="11"/>
        <v>UsdLibor1M</v>
      </c>
      <c r="H41" s="63" t="str">
        <f t="shared" si="12"/>
        <v>USDAM3L16Y_Quote</v>
      </c>
      <c r="I41" s="170" t="str">
        <f t="shared" si="13"/>
        <v>USD3L1L16Y_Quote</v>
      </c>
      <c r="J41" s="69"/>
      <c r="L41" s="11" t="str">
        <f t="shared" si="9"/>
        <v>BasSw</v>
      </c>
      <c r="M41" s="105" t="str">
        <f t="shared" si="10"/>
        <v>obj_002d1#0006</v>
      </c>
      <c r="N41" s="159" t="str">
        <f>IFERROR(_xll.qlRateHelperQuoteName(M41,Trigger),"--")</f>
        <v>USDAM3L20Y_Quote</v>
      </c>
      <c r="O41" s="109">
        <f>IFERROR(_xll.qlRateHelperQuoteValue($M41,Trigger),"--")</f>
        <v>1.976E-2</v>
      </c>
      <c r="P41" s="108" t="b">
        <v>1</v>
      </c>
      <c r="Q41" s="105">
        <v>40</v>
      </c>
      <c r="R41" s="105">
        <v>1</v>
      </c>
      <c r="S41" s="110">
        <f>IFERROR(_xll.qlRateHelperEarliestDate(M41,Trigger),"--")</f>
        <v>42482</v>
      </c>
      <c r="T41" s="110">
        <f>IFERROR(_xll.qlRateHelperPillarDate(M41,Trigger),"--")</f>
        <v>49787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5" t="str">
        <f>IFERROR(_xll.qlRateHelperRate(W41,Trigger),"")</f>
        <v/>
      </c>
      <c r="Z41" s="11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3" t="e">
        <v>#N/A</v>
      </c>
    </row>
    <row r="42" spans="1:29" ht="11.25" customHeight="1" x14ac:dyDescent="0.2">
      <c r="A42" s="63" t="s">
        <v>160</v>
      </c>
      <c r="B42" s="64" t="s">
        <v>137</v>
      </c>
      <c r="C42" s="65" t="s">
        <v>6</v>
      </c>
      <c r="D42" s="65" t="s">
        <v>8</v>
      </c>
      <c r="E42" s="65" t="s">
        <v>7</v>
      </c>
      <c r="F42" s="65" t="s">
        <v>28</v>
      </c>
      <c r="G42" s="65" t="str">
        <f t="shared" si="11"/>
        <v>UsdLibor1M</v>
      </c>
      <c r="H42" s="63" t="str">
        <f t="shared" si="12"/>
        <v>USDAM3L17Y_Quote</v>
      </c>
      <c r="I42" s="170" t="str">
        <f t="shared" si="13"/>
        <v>USD3L1L17Y_Quote</v>
      </c>
      <c r="J42" s="69"/>
      <c r="L42" s="11" t="str">
        <f t="shared" si="9"/>
        <v>BasSw</v>
      </c>
      <c r="M42" s="105" t="str">
        <f t="shared" si="10"/>
        <v>--</v>
      </c>
      <c r="N42" s="159" t="str">
        <f>IFERROR(_xll.qlRateHelperQuoteName(M42,Trigger),"--")</f>
        <v>--</v>
      </c>
      <c r="O42" s="109" t="str">
        <f>IFERROR(_xll.qlRateHelperQuoteValue($M42,Trigger),"--")</f>
        <v>--</v>
      </c>
      <c r="P42" s="108" t="b">
        <v>0</v>
      </c>
      <c r="Q42" s="105">
        <v>40</v>
      </c>
      <c r="R42" s="105">
        <v>1</v>
      </c>
      <c r="S42" s="110" t="str">
        <f>IFERROR(_xll.qlRateHelperEarliestDate(M42,Trigger),"--")</f>
        <v>--</v>
      </c>
      <c r="T42" s="110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5" t="str">
        <f>IFERROR(_xll.qlRateHelperRate(W42,Trigger),"")</f>
        <v/>
      </c>
      <c r="Z42" s="11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3" t="e">
        <v>#N/A</v>
      </c>
    </row>
    <row r="43" spans="1:29" ht="11.25" customHeight="1" x14ac:dyDescent="0.2">
      <c r="A43" s="63" t="s">
        <v>160</v>
      </c>
      <c r="B43" s="64" t="s">
        <v>138</v>
      </c>
      <c r="C43" s="65" t="s">
        <v>6</v>
      </c>
      <c r="D43" s="65" t="s">
        <v>8</v>
      </c>
      <c r="E43" s="65" t="s">
        <v>7</v>
      </c>
      <c r="F43" s="65" t="s">
        <v>28</v>
      </c>
      <c r="G43" s="65" t="str">
        <f t="shared" si="11"/>
        <v>UsdLibor1M</v>
      </c>
      <c r="H43" s="63" t="str">
        <f t="shared" si="12"/>
        <v>USDAM3L18Y_Quote</v>
      </c>
      <c r="I43" s="170" t="str">
        <f t="shared" si="13"/>
        <v>USD3L1L18Y_Quote</v>
      </c>
      <c r="J43" s="69"/>
      <c r="L43" s="11" t="str">
        <f t="shared" si="9"/>
        <v>BasSw</v>
      </c>
      <c r="M43" s="105" t="str">
        <f t="shared" si="10"/>
        <v>--</v>
      </c>
      <c r="N43" s="159" t="str">
        <f>IFERROR(_xll.qlRateHelperQuoteName(M43,Trigger),"--")</f>
        <v>--</v>
      </c>
      <c r="O43" s="109" t="str">
        <f>IFERROR(_xll.qlRateHelperQuoteValue($M43,Trigger),"--")</f>
        <v>--</v>
      </c>
      <c r="P43" s="108" t="b">
        <v>0</v>
      </c>
      <c r="Q43" s="105">
        <v>40</v>
      </c>
      <c r="R43" s="105">
        <v>1</v>
      </c>
      <c r="S43" s="110" t="str">
        <f>IFERROR(_xll.qlRateHelperEarliestDate(M43,Trigger),"--")</f>
        <v>--</v>
      </c>
      <c r="T43" s="110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5" t="str">
        <f>IFERROR(_xll.qlRateHelperRate(W43,Trigger),"")</f>
        <v/>
      </c>
      <c r="Z43" s="11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3" t="e">
        <v>#N/A</v>
      </c>
    </row>
    <row r="44" spans="1:29" ht="11.25" customHeight="1" x14ac:dyDescent="0.2">
      <c r="A44" s="63" t="s">
        <v>160</v>
      </c>
      <c r="B44" s="64" t="s">
        <v>139</v>
      </c>
      <c r="C44" s="65" t="s">
        <v>6</v>
      </c>
      <c r="D44" s="65" t="s">
        <v>8</v>
      </c>
      <c r="E44" s="65" t="s">
        <v>7</v>
      </c>
      <c r="F44" s="65" t="s">
        <v>28</v>
      </c>
      <c r="G44" s="65" t="str">
        <f t="shared" si="11"/>
        <v>UsdLibor1M</v>
      </c>
      <c r="H44" s="63" t="str">
        <f t="shared" si="12"/>
        <v>USDAM3L19Y_Quote</v>
      </c>
      <c r="I44" s="170" t="str">
        <f t="shared" si="13"/>
        <v>USD3L1L19Y_Quote</v>
      </c>
      <c r="J44" s="69"/>
      <c r="L44" s="11" t="str">
        <f t="shared" si="9"/>
        <v>BasSw</v>
      </c>
      <c r="M44" s="105" t="str">
        <f t="shared" si="10"/>
        <v>--</v>
      </c>
      <c r="N44" s="159" t="str">
        <f>IFERROR(_xll.qlRateHelperQuoteName(M44,Trigger),"--")</f>
        <v>--</v>
      </c>
      <c r="O44" s="109" t="str">
        <f>IFERROR(_xll.qlRateHelperQuoteValue($M44,Trigger),"--")</f>
        <v>--</v>
      </c>
      <c r="P44" s="108" t="b">
        <v>0</v>
      </c>
      <c r="Q44" s="105">
        <v>40</v>
      </c>
      <c r="R44" s="105">
        <v>1</v>
      </c>
      <c r="S44" s="110" t="str">
        <f>IFERROR(_xll.qlRateHelperEarliestDate(M44,Trigger),"--")</f>
        <v>--</v>
      </c>
      <c r="T44" s="110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5" t="str">
        <f>IFERROR(_xll.qlRateHelperRate(W44,Trigger),"")</f>
        <v/>
      </c>
      <c r="Z44" s="11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3" t="e">
        <v>#N/A</v>
      </c>
    </row>
    <row r="45" spans="1:29" ht="11.25" customHeight="1" x14ac:dyDescent="0.2">
      <c r="A45" s="63" t="s">
        <v>160</v>
      </c>
      <c r="B45" s="64" t="s">
        <v>92</v>
      </c>
      <c r="C45" s="65" t="s">
        <v>6</v>
      </c>
      <c r="D45" s="65" t="s">
        <v>8</v>
      </c>
      <c r="E45" s="65" t="s">
        <v>7</v>
      </c>
      <c r="F45" s="65" t="s">
        <v>28</v>
      </c>
      <c r="G45" s="65" t="str">
        <f t="shared" si="11"/>
        <v>UsdLibor1M</v>
      </c>
      <c r="H45" s="63" t="str">
        <f t="shared" si="12"/>
        <v>USDAM3L20Y_Quote</v>
      </c>
      <c r="I45" s="170" t="str">
        <f t="shared" si="13"/>
        <v>USD3L1L20Y_Quote</v>
      </c>
      <c r="J45" s="69" t="str">
        <f>_xll.qlSwapRateHelper2(,H45,,B45,JoinCalendar,USD1M!D45,USD1M!E45,USD1M!F45,USD1M!G45,USD1M!I45,USD1M!C45,Discounting,PillarDate,,Permanent,Trigger,ObjectOverwrite)</f>
        <v>obj_002d1#0006</v>
      </c>
      <c r="L45" s="11" t="str">
        <f t="shared" si="9"/>
        <v>BasSw</v>
      </c>
      <c r="M45" s="105" t="str">
        <f t="shared" si="10"/>
        <v>--</v>
      </c>
      <c r="N45" s="159" t="str">
        <f>IFERROR(_xll.qlRateHelperQuoteName(M45,Trigger),"--")</f>
        <v>--</v>
      </c>
      <c r="O45" s="109" t="str">
        <f>IFERROR(_xll.qlRateHelperQuoteValue($M45,Trigger),"--")</f>
        <v>--</v>
      </c>
      <c r="P45" s="108" t="b">
        <v>0</v>
      </c>
      <c r="Q45" s="105">
        <v>40</v>
      </c>
      <c r="R45" s="105">
        <v>1</v>
      </c>
      <c r="S45" s="110" t="str">
        <f>IFERROR(_xll.qlRateHelperEarliestDate(M45,Trigger),"--")</f>
        <v>--</v>
      </c>
      <c r="T45" s="110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5" t="str">
        <f>IFERROR(_xll.qlRateHelperRate(W45,Trigger),"")</f>
        <v/>
      </c>
      <c r="Z45" s="11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3" t="e">
        <v>#N/A</v>
      </c>
    </row>
    <row r="46" spans="1:29" ht="11.25" customHeight="1" x14ac:dyDescent="0.2">
      <c r="A46" s="63" t="s">
        <v>160</v>
      </c>
      <c r="B46" s="64" t="s">
        <v>140</v>
      </c>
      <c r="C46" s="65" t="s">
        <v>6</v>
      </c>
      <c r="D46" s="65" t="s">
        <v>8</v>
      </c>
      <c r="E46" s="65" t="s">
        <v>7</v>
      </c>
      <c r="F46" s="65" t="s">
        <v>28</v>
      </c>
      <c r="G46" s="65" t="str">
        <f t="shared" si="11"/>
        <v>UsdLibor1M</v>
      </c>
      <c r="H46" s="63" t="str">
        <f t="shared" si="12"/>
        <v>USDAM3L21Y_Quote</v>
      </c>
      <c r="I46" s="170" t="str">
        <f t="shared" si="13"/>
        <v>USD3L1L21Y_Quote</v>
      </c>
      <c r="J46" s="69"/>
      <c r="L46" s="11" t="str">
        <f t="shared" si="9"/>
        <v>BasSw</v>
      </c>
      <c r="M46" s="105" t="str">
        <f t="shared" si="10"/>
        <v>obj_002e5#0006</v>
      </c>
      <c r="N46" s="159" t="str">
        <f>IFERROR(_xll.qlRateHelperQuoteName(M46,Trigger),"--")</f>
        <v>USDAM3L25Y_Quote</v>
      </c>
      <c r="O46" s="109">
        <f>IFERROR(_xll.qlRateHelperQuoteValue($M46,Trigger),"--")</f>
        <v>2.0409999999999998E-2</v>
      </c>
      <c r="P46" s="108" t="b">
        <v>1</v>
      </c>
      <c r="Q46" s="105">
        <v>40</v>
      </c>
      <c r="R46" s="105">
        <v>1</v>
      </c>
      <c r="S46" s="110">
        <f>IFERROR(_xll.qlRateHelperEarliestDate(M46,Trigger),"--")</f>
        <v>42482</v>
      </c>
      <c r="T46" s="110">
        <f>IFERROR(_xll.qlRateHelperPillarDate(M46,Trigger),"--")</f>
        <v>51614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5" t="str">
        <f>IFERROR(_xll.qlRateHelperRate(W46,Trigger),"")</f>
        <v/>
      </c>
      <c r="Z46" s="11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3" t="e">
        <v>#N/A</v>
      </c>
    </row>
    <row r="47" spans="1:29" ht="11.25" customHeight="1" x14ac:dyDescent="0.2">
      <c r="A47" s="63" t="s">
        <v>160</v>
      </c>
      <c r="B47" s="64" t="s">
        <v>141</v>
      </c>
      <c r="C47" s="65" t="s">
        <v>6</v>
      </c>
      <c r="D47" s="65" t="s">
        <v>8</v>
      </c>
      <c r="E47" s="65" t="s">
        <v>7</v>
      </c>
      <c r="F47" s="65" t="s">
        <v>28</v>
      </c>
      <c r="G47" s="65" t="str">
        <f t="shared" si="11"/>
        <v>UsdLibor1M</v>
      </c>
      <c r="H47" s="63" t="str">
        <f t="shared" si="12"/>
        <v>USDAM3L22Y_Quote</v>
      </c>
      <c r="I47" s="170" t="str">
        <f t="shared" si="13"/>
        <v>USD3L1L22Y_Quote</v>
      </c>
      <c r="J47" s="69"/>
      <c r="L47" s="11" t="str">
        <f t="shared" si="9"/>
        <v>BasSw</v>
      </c>
      <c r="M47" s="105" t="str">
        <f t="shared" si="10"/>
        <v>--</v>
      </c>
      <c r="N47" s="159" t="str">
        <f>IFERROR(_xll.qlRateHelperQuoteName(M47,Trigger),"--")</f>
        <v>--</v>
      </c>
      <c r="O47" s="109" t="str">
        <f>IFERROR(_xll.qlRateHelperQuoteValue($M47,Trigger),"--")</f>
        <v>--</v>
      </c>
      <c r="P47" s="108" t="b">
        <v>0</v>
      </c>
      <c r="Q47" s="105">
        <v>40</v>
      </c>
      <c r="R47" s="105">
        <v>1</v>
      </c>
      <c r="S47" s="110" t="str">
        <f>IFERROR(_xll.qlRateHelperEarliestDate(M47,Trigger),"--")</f>
        <v>--</v>
      </c>
      <c r="T47" s="110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5" t="str">
        <f>IFERROR(_xll.qlRateHelperRate(W47,Trigger),"")</f>
        <v/>
      </c>
      <c r="Z47" s="11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3" t="e">
        <v>#N/A</v>
      </c>
    </row>
    <row r="48" spans="1:29" ht="11.25" customHeight="1" x14ac:dyDescent="0.2">
      <c r="A48" s="63" t="s">
        <v>160</v>
      </c>
      <c r="B48" s="64" t="s">
        <v>142</v>
      </c>
      <c r="C48" s="65" t="s">
        <v>6</v>
      </c>
      <c r="D48" s="65" t="s">
        <v>8</v>
      </c>
      <c r="E48" s="65" t="s">
        <v>7</v>
      </c>
      <c r="F48" s="65" t="s">
        <v>28</v>
      </c>
      <c r="G48" s="65" t="str">
        <f t="shared" si="11"/>
        <v>UsdLibor1M</v>
      </c>
      <c r="H48" s="63" t="str">
        <f t="shared" si="12"/>
        <v>USDAM3L23Y_Quote</v>
      </c>
      <c r="I48" s="170" t="str">
        <f t="shared" si="13"/>
        <v>USD3L1L23Y_Quote</v>
      </c>
      <c r="J48" s="69"/>
      <c r="L48" s="11" t="str">
        <f t="shared" si="9"/>
        <v>BasSw</v>
      </c>
      <c r="M48" s="105" t="str">
        <f t="shared" si="10"/>
        <v>--</v>
      </c>
      <c r="N48" s="159" t="str">
        <f>IFERROR(_xll.qlRateHelperQuoteName(M48,Trigger),"--")</f>
        <v>--</v>
      </c>
      <c r="O48" s="109" t="str">
        <f>IFERROR(_xll.qlRateHelperQuoteValue($M48,Trigger),"--")</f>
        <v>--</v>
      </c>
      <c r="P48" s="108" t="b">
        <v>0</v>
      </c>
      <c r="Q48" s="105">
        <v>40</v>
      </c>
      <c r="R48" s="105">
        <v>1</v>
      </c>
      <c r="S48" s="110" t="str">
        <f>IFERROR(_xll.qlRateHelperEarliestDate(M48,Trigger),"--")</f>
        <v>--</v>
      </c>
      <c r="T48" s="110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5" t="str">
        <f>IFERROR(_xll.qlRateHelperRate(W48,Trigger),"")</f>
        <v/>
      </c>
      <c r="Z48" s="11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3" t="e">
        <v>#N/A</v>
      </c>
    </row>
    <row r="49" spans="1:29" ht="11.25" customHeight="1" x14ac:dyDescent="0.2">
      <c r="A49" s="63" t="s">
        <v>160</v>
      </c>
      <c r="B49" s="64" t="s">
        <v>143</v>
      </c>
      <c r="C49" s="65" t="s">
        <v>6</v>
      </c>
      <c r="D49" s="65" t="s">
        <v>8</v>
      </c>
      <c r="E49" s="65" t="s">
        <v>7</v>
      </c>
      <c r="F49" s="65" t="s">
        <v>28</v>
      </c>
      <c r="G49" s="65" t="str">
        <f t="shared" si="11"/>
        <v>UsdLibor1M</v>
      </c>
      <c r="H49" s="63" t="str">
        <f t="shared" si="12"/>
        <v>USDAM3L24Y_Quote</v>
      </c>
      <c r="I49" s="170" t="str">
        <f t="shared" si="13"/>
        <v>USD3L1L24Y_Quote</v>
      </c>
      <c r="J49" s="69"/>
      <c r="L49" s="11" t="str">
        <f t="shared" si="9"/>
        <v>BasSw</v>
      </c>
      <c r="M49" s="105" t="str">
        <f t="shared" si="10"/>
        <v>--</v>
      </c>
      <c r="N49" s="159" t="str">
        <f>IFERROR(_xll.qlRateHelperQuoteName(M49,Trigger),"--")</f>
        <v>--</v>
      </c>
      <c r="O49" s="109" t="str">
        <f>IFERROR(_xll.qlRateHelperQuoteValue($M49,Trigger),"--")</f>
        <v>--</v>
      </c>
      <c r="P49" s="108" t="b">
        <v>0</v>
      </c>
      <c r="Q49" s="105">
        <v>40</v>
      </c>
      <c r="R49" s="105">
        <v>1</v>
      </c>
      <c r="S49" s="110" t="str">
        <f>IFERROR(_xll.qlRateHelperEarliestDate(M49,Trigger),"--")</f>
        <v>--</v>
      </c>
      <c r="T49" s="110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5" t="str">
        <f>IFERROR(_xll.qlRateHelperRate(W49,Trigger),"")</f>
        <v/>
      </c>
      <c r="Z49" s="11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3" t="e">
        <v>#N/A</v>
      </c>
    </row>
    <row r="50" spans="1:29" ht="11.25" customHeight="1" x14ac:dyDescent="0.2">
      <c r="A50" s="63" t="s">
        <v>160</v>
      </c>
      <c r="B50" s="64" t="s">
        <v>93</v>
      </c>
      <c r="C50" s="65" t="s">
        <v>6</v>
      </c>
      <c r="D50" s="65" t="s">
        <v>8</v>
      </c>
      <c r="E50" s="65" t="s">
        <v>7</v>
      </c>
      <c r="F50" s="65" t="s">
        <v>28</v>
      </c>
      <c r="G50" s="65" t="str">
        <f t="shared" si="11"/>
        <v>UsdLibor1M</v>
      </c>
      <c r="H50" s="63" t="str">
        <f t="shared" si="12"/>
        <v>USDAM3L25Y_Quote</v>
      </c>
      <c r="I50" s="170" t="str">
        <f t="shared" si="13"/>
        <v>USD3L1L25Y_Quote</v>
      </c>
      <c r="J50" s="69" t="str">
        <f>_xll.qlSwapRateHelper2(,H50,,B50,JoinCalendar,USD1M!D50,USD1M!E50,USD1M!F50,USD1M!G50,USD1M!I50,USD1M!C50,Discounting,PillarDate,,Permanent,Trigger,ObjectOverwrite)</f>
        <v>obj_002e5#0006</v>
      </c>
      <c r="L50" s="11" t="str">
        <f t="shared" si="9"/>
        <v>BasSw</v>
      </c>
      <c r="M50" s="105" t="str">
        <f t="shared" si="10"/>
        <v>--</v>
      </c>
      <c r="N50" s="159" t="str">
        <f>IFERROR(_xll.qlRateHelperQuoteName(M50,Trigger),"--")</f>
        <v>--</v>
      </c>
      <c r="O50" s="109" t="str">
        <f>IFERROR(_xll.qlRateHelperQuoteValue($M50,Trigger),"--")</f>
        <v>--</v>
      </c>
      <c r="P50" s="108" t="b">
        <v>0</v>
      </c>
      <c r="Q50" s="105">
        <v>40</v>
      </c>
      <c r="R50" s="105">
        <v>1</v>
      </c>
      <c r="S50" s="110" t="str">
        <f>IFERROR(_xll.qlRateHelperEarliestDate(M50,Trigger),"--")</f>
        <v>--</v>
      </c>
      <c r="T50" s="110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5" t="str">
        <f>IFERROR(_xll.qlRateHelperRate(W50,Trigger),"")</f>
        <v/>
      </c>
      <c r="Z50" s="11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3" t="e">
        <v>#N/A</v>
      </c>
    </row>
    <row r="51" spans="1:29" ht="11.25" customHeight="1" x14ac:dyDescent="0.2">
      <c r="A51" s="63" t="s">
        <v>160</v>
      </c>
      <c r="B51" s="64" t="s">
        <v>144</v>
      </c>
      <c r="C51" s="65" t="s">
        <v>6</v>
      </c>
      <c r="D51" s="65" t="s">
        <v>8</v>
      </c>
      <c r="E51" s="65" t="s">
        <v>7</v>
      </c>
      <c r="F51" s="65" t="s">
        <v>28</v>
      </c>
      <c r="G51" s="65" t="str">
        <f t="shared" si="11"/>
        <v>UsdLibor1M</v>
      </c>
      <c r="H51" s="63" t="str">
        <f t="shared" si="12"/>
        <v>USDAM3L26Y_Quote</v>
      </c>
      <c r="I51" s="170" t="str">
        <f t="shared" si="13"/>
        <v>USD3L1L26Y_Quote</v>
      </c>
      <c r="J51" s="69"/>
      <c r="L51" s="11" t="str">
        <f t="shared" si="9"/>
        <v>BasSw</v>
      </c>
      <c r="M51" s="105" t="str">
        <f t="shared" si="10"/>
        <v>obj_002bf#0006</v>
      </c>
      <c r="N51" s="159" t="str">
        <f>IFERROR(_xll.qlRateHelperQuoteName(M51,Trigger),"--")</f>
        <v>USDAM3L30Y_Quote</v>
      </c>
      <c r="O51" s="109">
        <f>IFERROR(_xll.qlRateHelperQuoteValue($M51,Trigger),"--")</f>
        <v>2.078E-2</v>
      </c>
      <c r="P51" s="108" t="b">
        <v>1</v>
      </c>
      <c r="Q51" s="105">
        <v>40</v>
      </c>
      <c r="R51" s="105">
        <v>1</v>
      </c>
      <c r="S51" s="110">
        <f>IFERROR(_xll.qlRateHelperEarliestDate(M51,Trigger),"--")</f>
        <v>42482</v>
      </c>
      <c r="T51" s="110">
        <f>IFERROR(_xll.qlRateHelperPillarDate(M51,Trigger),"--")</f>
        <v>53440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5" t="str">
        <f>IFERROR(_xll.qlRateHelperRate(W51,Trigger),"")</f>
        <v/>
      </c>
      <c r="Z51" s="11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3" t="e">
        <v>#N/A</v>
      </c>
    </row>
    <row r="52" spans="1:29" ht="11.25" customHeight="1" x14ac:dyDescent="0.2">
      <c r="A52" s="63" t="s">
        <v>160</v>
      </c>
      <c r="B52" s="64" t="s">
        <v>94</v>
      </c>
      <c r="C52" s="65" t="s">
        <v>6</v>
      </c>
      <c r="D52" s="65" t="s">
        <v>8</v>
      </c>
      <c r="E52" s="65" t="s">
        <v>7</v>
      </c>
      <c r="F52" s="65" t="s">
        <v>28</v>
      </c>
      <c r="G52" s="65" t="str">
        <f t="shared" si="11"/>
        <v>UsdLibor1M</v>
      </c>
      <c r="H52" s="63" t="str">
        <f t="shared" si="12"/>
        <v>USDAM3L27Y_Quote</v>
      </c>
      <c r="I52" s="170" t="str">
        <f t="shared" si="13"/>
        <v>USD3L1L27Y_Quote</v>
      </c>
      <c r="J52" s="69"/>
      <c r="L52" s="11" t="str">
        <f t="shared" si="9"/>
        <v>BasSw</v>
      </c>
      <c r="M52" s="105" t="str">
        <f t="shared" si="10"/>
        <v>--</v>
      </c>
      <c r="N52" s="159" t="str">
        <f>IFERROR(_xll.qlRateHelperQuoteName(M52,Trigger),"--")</f>
        <v>--</v>
      </c>
      <c r="O52" s="109" t="str">
        <f>IFERROR(_xll.qlRateHelperQuoteValue($M52,Trigger),"--")</f>
        <v>--</v>
      </c>
      <c r="P52" s="108" t="b">
        <v>0</v>
      </c>
      <c r="Q52" s="105">
        <v>40</v>
      </c>
      <c r="R52" s="105">
        <v>1</v>
      </c>
      <c r="S52" s="110" t="str">
        <f>IFERROR(_xll.qlRateHelperEarliestDate(M52,Trigger),"--")</f>
        <v>--</v>
      </c>
      <c r="T52" s="110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5" t="str">
        <f>IFERROR(_xll.qlRateHelperRate(W52,Trigger),"")</f>
        <v/>
      </c>
      <c r="Z52" s="11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3" t="e">
        <v>#N/A</v>
      </c>
    </row>
    <row r="53" spans="1:29" ht="11.25" customHeight="1" x14ac:dyDescent="0.2">
      <c r="A53" s="63" t="s">
        <v>160</v>
      </c>
      <c r="B53" s="64" t="s">
        <v>145</v>
      </c>
      <c r="C53" s="65" t="s">
        <v>6</v>
      </c>
      <c r="D53" s="65" t="s">
        <v>8</v>
      </c>
      <c r="E53" s="65" t="s">
        <v>7</v>
      </c>
      <c r="F53" s="65" t="s">
        <v>28</v>
      </c>
      <c r="G53" s="65" t="str">
        <f t="shared" si="11"/>
        <v>UsdLibor1M</v>
      </c>
      <c r="H53" s="63" t="str">
        <f t="shared" si="12"/>
        <v>USDAM3L28Y_Quote</v>
      </c>
      <c r="I53" s="170" t="str">
        <f t="shared" si="13"/>
        <v>USD3L1L28Y_Quote</v>
      </c>
      <c r="J53" s="69"/>
      <c r="L53" s="11" t="str">
        <f t="shared" si="9"/>
        <v>BasSw</v>
      </c>
      <c r="M53" s="105" t="str">
        <f t="shared" si="10"/>
        <v>obj_00281#0006</v>
      </c>
      <c r="N53" s="159" t="str">
        <f>IFERROR(_xll.qlRateHelperQuoteName(M53,Trigger),"--")</f>
        <v>USDAM3L40Y_Quote</v>
      </c>
      <c r="O53" s="109">
        <f>IFERROR(_xll.qlRateHelperQuoteValue($M53,Trigger),"--")</f>
        <v>2.094E-2</v>
      </c>
      <c r="P53" s="174" t="b">
        <f>NOT(ISERROR(_xll.qlQuoteValue(N53)))</f>
        <v>1</v>
      </c>
      <c r="Q53" s="105">
        <v>40</v>
      </c>
      <c r="R53" s="105">
        <v>1</v>
      </c>
      <c r="S53" s="110">
        <f>IFERROR(_xll.qlRateHelperEarliestDate(M53,Trigger),"--")</f>
        <v>42482</v>
      </c>
      <c r="T53" s="110">
        <f>IFERROR(_xll.qlRateHelperPillarDate(M53,Trigger),"--")</f>
        <v>57094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5" t="str">
        <f>IFERROR(_xll.qlRateHelperRate(W53,Trigger),"")</f>
        <v/>
      </c>
      <c r="Z53" s="11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3" t="e">
        <v>#N/A</v>
      </c>
    </row>
    <row r="54" spans="1:29" ht="11.25" customHeight="1" x14ac:dyDescent="0.2">
      <c r="A54" s="63" t="s">
        <v>160</v>
      </c>
      <c r="B54" s="64" t="s">
        <v>146</v>
      </c>
      <c r="C54" s="65" t="s">
        <v>6</v>
      </c>
      <c r="D54" s="65" t="s">
        <v>8</v>
      </c>
      <c r="E54" s="65" t="s">
        <v>7</v>
      </c>
      <c r="F54" s="65" t="s">
        <v>28</v>
      </c>
      <c r="G54" s="65" t="str">
        <f t="shared" si="11"/>
        <v>UsdLibor1M</v>
      </c>
      <c r="H54" s="63" t="str">
        <f t="shared" si="12"/>
        <v>USDAM3L29Y_Quote</v>
      </c>
      <c r="I54" s="170" t="str">
        <f t="shared" si="13"/>
        <v>USD3L1L29Y_Quote</v>
      </c>
      <c r="J54" s="69"/>
      <c r="L54" s="11" t="str">
        <f t="shared" si="9"/>
        <v>BasSw</v>
      </c>
      <c r="M54" s="105" t="str">
        <f t="shared" si="10"/>
        <v>obj_002ea#0006</v>
      </c>
      <c r="N54" s="159" t="str">
        <f>IFERROR(_xll.qlRateHelperQuoteName(M54,Trigger),"--")</f>
        <v>USDAM3L50Y_Quote</v>
      </c>
      <c r="O54" s="109">
        <f>IFERROR(_xll.qlRateHelperQuoteValue($M54,Trigger),"--")</f>
        <v>2.0819999999999998E-2</v>
      </c>
      <c r="P54" s="174" t="b">
        <f>NOT(ISERROR(_xll.qlQuoteValue(N54)))</f>
        <v>1</v>
      </c>
      <c r="Q54" s="105">
        <v>40</v>
      </c>
      <c r="R54" s="105">
        <v>1</v>
      </c>
      <c r="S54" s="110">
        <f>IFERROR(_xll.qlRateHelperEarliestDate(M54,Trigger),"--")</f>
        <v>42482</v>
      </c>
      <c r="T54" s="110">
        <f>IFERROR(_xll.qlRateHelperPillarDate(M54,Trigger),"--")</f>
        <v>60744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5" t="str">
        <f>IFERROR(_xll.qlRateHelperRate(W54,Trigger),"")</f>
        <v/>
      </c>
      <c r="Z54" s="11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3" t="e">
        <v>#N/A</v>
      </c>
    </row>
    <row r="55" spans="1:29" ht="11.25" customHeight="1" x14ac:dyDescent="0.2">
      <c r="A55" s="63" t="s">
        <v>160</v>
      </c>
      <c r="B55" s="64" t="s">
        <v>95</v>
      </c>
      <c r="C55" s="65" t="s">
        <v>6</v>
      </c>
      <c r="D55" s="65" t="s">
        <v>8</v>
      </c>
      <c r="E55" s="65" t="s">
        <v>7</v>
      </c>
      <c r="F55" s="65" t="s">
        <v>28</v>
      </c>
      <c r="G55" s="65" t="str">
        <f t="shared" si="11"/>
        <v>UsdLibor1M</v>
      </c>
      <c r="H55" s="63" t="str">
        <f t="shared" si="12"/>
        <v>USDAM3L30Y_Quote</v>
      </c>
      <c r="I55" s="170" t="str">
        <f t="shared" si="13"/>
        <v>USD3L1L30Y_Quote</v>
      </c>
      <c r="J55" s="69" t="str">
        <f>_xll.qlSwapRateHelper2(,H55,,B55,JoinCalendar,USD1M!D55,USD1M!E55,USD1M!F55,USD1M!G55,USD1M!I55,USD1M!C55,Discounting,PillarDate,,Permanent,Trigger,ObjectOverwrite)</f>
        <v>obj_002bf#0006</v>
      </c>
      <c r="L55" s="12" t="str">
        <f t="shared" si="9"/>
        <v>BasSw</v>
      </c>
      <c r="M55" s="106" t="str">
        <f t="shared" si="10"/>
        <v>--</v>
      </c>
      <c r="N55" s="160" t="str">
        <f>IFERROR(_xll.qlRateHelperQuoteName(M55,Trigger),"--")</f>
        <v>--</v>
      </c>
      <c r="O55" s="112" t="str">
        <f>IFERROR(_xll.qlRateHelperQuoteValue($M55,Trigger),"--")</f>
        <v>--</v>
      </c>
      <c r="P55" s="111" t="b">
        <v>0</v>
      </c>
      <c r="Q55" s="106">
        <v>40</v>
      </c>
      <c r="R55" s="106">
        <v>1</v>
      </c>
      <c r="S55" s="113" t="str">
        <f>IFERROR(_xll.qlRateHelperEarliestDate(M55,Trigger),"--")</f>
        <v>--</v>
      </c>
      <c r="T55" s="113" t="str">
        <f>IFERROR(_xll.qlRateHelperPillarDate(M55,Trigger),"--")</f>
        <v>--</v>
      </c>
      <c r="V55" s="6" t="str">
        <f t="shared" si="3"/>
        <v/>
      </c>
      <c r="W55" s="6" t="e">
        <v>#N/A</v>
      </c>
      <c r="X55" s="6" t="str">
        <f>IFERROR(_xll.qlRateHelperQuoteName(W55,Trigger),"")</f>
        <v/>
      </c>
      <c r="Y55" s="85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13" t="str">
        <f>IFERROR(_xll.qlRateHelperEarliestDate(W55,Trigger),"")</f>
        <v/>
      </c>
      <c r="AB55" s="13" t="str">
        <f>IFERROR(_xll.qlRateHelperPillarDate(W55,Trigger),"")</f>
        <v/>
      </c>
      <c r="AC55" s="84" t="e">
        <v>#N/A</v>
      </c>
    </row>
    <row r="56" spans="1:29" ht="11.25" customHeight="1" x14ac:dyDescent="0.2">
      <c r="A56" s="63" t="s">
        <v>160</v>
      </c>
      <c r="B56" s="64" t="s">
        <v>96</v>
      </c>
      <c r="C56" s="65" t="s">
        <v>6</v>
      </c>
      <c r="D56" s="65" t="s">
        <v>8</v>
      </c>
      <c r="E56" s="65" t="s">
        <v>7</v>
      </c>
      <c r="F56" s="65" t="s">
        <v>28</v>
      </c>
      <c r="G56" s="65" t="str">
        <f t="shared" si="11"/>
        <v>UsdLibor1M</v>
      </c>
      <c r="H56" s="63" t="str">
        <f t="shared" si="12"/>
        <v>USDAM3L35Y_Quote</v>
      </c>
      <c r="I56" s="170" t="str">
        <f t="shared" si="13"/>
        <v>USD3L1L35Y_Quote</v>
      </c>
      <c r="J56" s="69"/>
    </row>
    <row r="57" spans="1:29" ht="11.25" customHeight="1" x14ac:dyDescent="0.2">
      <c r="A57" s="63" t="s">
        <v>160</v>
      </c>
      <c r="B57" s="64" t="s">
        <v>97</v>
      </c>
      <c r="C57" s="65" t="s">
        <v>6</v>
      </c>
      <c r="D57" s="65" t="s">
        <v>8</v>
      </c>
      <c r="E57" s="65" t="s">
        <v>7</v>
      </c>
      <c r="F57" s="65" t="s">
        <v>28</v>
      </c>
      <c r="G57" s="65" t="str">
        <f t="shared" si="11"/>
        <v>UsdLibor1M</v>
      </c>
      <c r="H57" s="63" t="str">
        <f t="shared" si="12"/>
        <v>USDAM3L40Y_Quote</v>
      </c>
      <c r="I57" s="170" t="str">
        <f t="shared" si="13"/>
        <v>USD3L1L40Y_Quote</v>
      </c>
      <c r="J57" s="69" t="str">
        <f>_xll.qlSwapRateHelper2(,H57,,B57,JoinCalendar,USD1M!D57,USD1M!E57,USD1M!F57,USD1M!G57,USD1M!I57,USD1M!C57,Discounting,PillarDate,,Permanent,Trigger,ObjectOverwrite)</f>
        <v>obj_00281#0006</v>
      </c>
    </row>
    <row r="58" spans="1:29" ht="11.25" customHeight="1" x14ac:dyDescent="0.2">
      <c r="A58" s="63" t="s">
        <v>160</v>
      </c>
      <c r="B58" s="64" t="s">
        <v>99</v>
      </c>
      <c r="C58" s="65" t="s">
        <v>6</v>
      </c>
      <c r="D58" s="65" t="s">
        <v>8</v>
      </c>
      <c r="E58" s="65" t="s">
        <v>7</v>
      </c>
      <c r="F58" s="65" t="s">
        <v>28</v>
      </c>
      <c r="G58" s="65" t="str">
        <f t="shared" si="11"/>
        <v>UsdLibor1M</v>
      </c>
      <c r="H58" s="63" t="str">
        <f t="shared" si="12"/>
        <v>USDAM3L50Y_Quote</v>
      </c>
      <c r="I58" s="170" t="str">
        <f t="shared" si="13"/>
        <v>USD3L1L50Y_Quote</v>
      </c>
      <c r="J58" s="69" t="str">
        <f>_xll.qlSwapRateHelper2(,H58,,B58,JoinCalendar,USD1M!D58,USD1M!E58,USD1M!F58,USD1M!G58,USD1M!I58,USD1M!C58,Discounting,PillarDate,,Permanent,Trigger,ObjectOverwrite)</f>
        <v>obj_002ea#0006</v>
      </c>
    </row>
    <row r="59" spans="1:29" ht="11.25" customHeight="1" x14ac:dyDescent="0.2">
      <c r="A59" s="1" t="s">
        <v>160</v>
      </c>
      <c r="B59" s="9" t="s">
        <v>147</v>
      </c>
      <c r="C59" s="7" t="s">
        <v>6</v>
      </c>
      <c r="D59" s="7" t="s">
        <v>8</v>
      </c>
      <c r="E59" s="7" t="s">
        <v>7</v>
      </c>
      <c r="F59" s="7" t="s">
        <v>28</v>
      </c>
      <c r="G59" s="7" t="str">
        <f t="shared" si="11"/>
        <v>UsdLibor1M</v>
      </c>
      <c r="H59" s="1" t="str">
        <f t="shared" si="12"/>
        <v>USDAM3L60Y_Quote</v>
      </c>
      <c r="I59" s="171" t="str">
        <f t="shared" si="13"/>
        <v>USD3L1L60Y_Quote</v>
      </c>
      <c r="J59" s="3"/>
    </row>
    <row r="60" spans="1:29" ht="11.25" customHeight="1" x14ac:dyDescent="0.2"/>
    <row r="61" spans="1:29" ht="11.25" customHeight="1" x14ac:dyDescent="0.2"/>
    <row r="62" spans="1:29" ht="11.25" customHeight="1" x14ac:dyDescent="0.2"/>
    <row r="63" spans="1:29" ht="11.25" customHeight="1" x14ac:dyDescent="0.2"/>
    <row r="64" spans="1:29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50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0" hidden="1" customWidth="1" outlineLevel="1"/>
    <col min="2" max="2" width="6" style="55" hidden="1" customWidth="1" outlineLevel="1"/>
    <col min="3" max="3" width="6.7109375" style="54" hidden="1" customWidth="1" outlineLevel="1"/>
    <col min="4" max="4" width="7" style="54" hidden="1" customWidth="1" outlineLevel="1"/>
    <col min="5" max="5" width="19.28515625" style="54" hidden="1" customWidth="1" outlineLevel="1"/>
    <col min="6" max="6" width="11" style="54" hidden="1" customWidth="1" outlineLevel="1"/>
    <col min="7" max="7" width="15.140625" style="54" hidden="1" customWidth="1" outlineLevel="1"/>
    <col min="8" max="8" width="24.42578125" style="56" hidden="1" customWidth="1" outlineLevel="1"/>
    <col min="9" max="9" width="9" style="50" hidden="1" customWidth="1" outlineLevel="1"/>
    <col min="10" max="10" width="15.140625" style="50" hidden="1" customWidth="1" outlineLevel="1"/>
    <col min="11" max="11" width="2.7109375" style="50" customWidth="1" collapsed="1"/>
    <col min="12" max="12" width="6" style="50" hidden="1" customWidth="1" outlineLevel="1"/>
    <col min="13" max="13" width="15.140625" style="114" hidden="1" customWidth="1" outlineLevel="1"/>
    <col min="14" max="14" width="22.42578125" style="114" hidden="1" customWidth="1" outlineLevel="1"/>
    <col min="15" max="15" width="9.7109375" style="114" hidden="1" customWidth="1" outlineLevel="1"/>
    <col min="16" max="16" width="7.85546875" style="114" hidden="1" customWidth="1" outlineLevel="1"/>
    <col min="17" max="17" width="9" style="114" hidden="1" customWidth="1" outlineLevel="1"/>
    <col min="18" max="18" width="5.85546875" style="114" hidden="1" customWidth="1" outlineLevel="1"/>
    <col min="19" max="20" width="10.7109375" style="114" hidden="1" customWidth="1" outlineLevel="1"/>
    <col min="21" max="21" width="2.7109375" style="52" hidden="1" customWidth="1" outlineLevel="1"/>
    <col min="22" max="22" width="6" style="50" bestFit="1" customWidth="1" collapsed="1"/>
    <col min="23" max="23" width="10.140625" style="50" hidden="1" customWidth="1" outlineLevel="1"/>
    <col min="24" max="24" width="24.7109375" style="50" customWidth="1" collapsed="1"/>
    <col min="25" max="26" width="9.7109375" style="50" customWidth="1"/>
    <col min="27" max="28" width="17.28515625" style="50" bestFit="1" customWidth="1"/>
    <col min="29" max="29" width="12" style="50" bestFit="1" customWidth="1"/>
    <col min="30" max="30" width="2.7109375" style="50" customWidth="1"/>
    <col min="31" max="31" width="24.42578125" style="50" bestFit="1" customWidth="1"/>
    <col min="32" max="32" width="9" style="50" bestFit="1" customWidth="1"/>
    <col min="33" max="16384" width="9.140625" style="50"/>
  </cols>
  <sheetData>
    <row r="1" spans="1:32" ht="18" customHeight="1" x14ac:dyDescent="0.2">
      <c r="G1" s="54" t="s">
        <v>29</v>
      </c>
      <c r="H1" s="54" t="str">
        <f>"_SYNTH"&amp;Tenor</f>
        <v>_SYNTH1Y</v>
      </c>
      <c r="L1" s="72" t="s">
        <v>25</v>
      </c>
      <c r="M1" s="117"/>
      <c r="N1" s="117"/>
      <c r="O1" s="117"/>
      <c r="P1" s="117"/>
      <c r="Q1" s="117"/>
      <c r="R1" s="117"/>
      <c r="S1" s="117"/>
      <c r="T1" s="107"/>
      <c r="U1" s="104"/>
      <c r="V1" s="80" t="str">
        <f>Currency&amp;Tenor</f>
        <v>USD1Y</v>
      </c>
      <c r="W1" s="71"/>
      <c r="X1" s="71"/>
      <c r="Y1" s="74"/>
      <c r="Z1" s="74"/>
      <c r="AA1" s="71"/>
      <c r="AB1" s="71"/>
      <c r="AC1" s="78" t="s">
        <v>33</v>
      </c>
    </row>
    <row r="2" spans="1:32" ht="21.75" customHeight="1" x14ac:dyDescent="0.2">
      <c r="A2" s="70" t="s">
        <v>9</v>
      </c>
      <c r="B2" s="70" t="s">
        <v>30</v>
      </c>
      <c r="C2" s="70" t="s">
        <v>125</v>
      </c>
      <c r="D2" s="70"/>
      <c r="E2" s="70"/>
      <c r="F2" s="70"/>
      <c r="G2" s="70" t="s">
        <v>4</v>
      </c>
      <c r="H2" s="70" t="s">
        <v>1</v>
      </c>
      <c r="I2" s="70"/>
      <c r="J2" s="70" t="s">
        <v>25</v>
      </c>
      <c r="L2" s="79" t="s">
        <v>9</v>
      </c>
      <c r="M2" s="79" t="s">
        <v>25</v>
      </c>
      <c r="N2" s="79" t="s">
        <v>112</v>
      </c>
      <c r="O2" s="79" t="s">
        <v>115</v>
      </c>
      <c r="P2" s="79" t="s">
        <v>113</v>
      </c>
      <c r="Q2" s="79" t="s">
        <v>114</v>
      </c>
      <c r="R2" s="79" t="s">
        <v>116</v>
      </c>
      <c r="S2" s="79" t="s">
        <v>23</v>
      </c>
      <c r="T2" s="79" t="s">
        <v>109</v>
      </c>
      <c r="U2" s="104"/>
      <c r="V2" s="79" t="s">
        <v>9</v>
      </c>
      <c r="W2" s="79" t="s">
        <v>25</v>
      </c>
      <c r="X2" s="79" t="s">
        <v>112</v>
      </c>
      <c r="Y2" s="81" t="s">
        <v>24</v>
      </c>
      <c r="Z2" s="81" t="s">
        <v>117</v>
      </c>
      <c r="AA2" s="79" t="s">
        <v>23</v>
      </c>
      <c r="AB2" s="79" t="s">
        <v>109</v>
      </c>
      <c r="AC2" s="82">
        <f t="array" ref="AC2:AC78">_xll.qlPiecewiseYieldCurveData(YieldCurve_1Y,Trigger)</f>
        <v>1</v>
      </c>
      <c r="AE2" s="197" t="s">
        <v>118</v>
      </c>
      <c r="AF2" s="198"/>
    </row>
    <row r="3" spans="1:32" ht="11.25" customHeight="1" x14ac:dyDescent="0.2">
      <c r="A3" s="121" t="s">
        <v>27</v>
      </c>
      <c r="B3" s="122" t="s">
        <v>104</v>
      </c>
      <c r="C3" s="123" t="s">
        <v>49</v>
      </c>
      <c r="D3" s="135"/>
      <c r="E3" s="135"/>
      <c r="F3" s="135"/>
      <c r="G3" s="124" t="str">
        <f>Currency&amp;"FedFunds"</f>
        <v>USDFedFunds</v>
      </c>
      <c r="H3" s="132" t="str">
        <f t="shared" ref="H3:H18" si="0">Currency&amp;$B3&amp;"D"&amp;$H$1&amp;QuoteSuffix</f>
        <v>USDSND_SYNTH1Y_Quote</v>
      </c>
      <c r="I3" s="135"/>
      <c r="J3" s="125"/>
      <c r="K3" s="53"/>
      <c r="L3" s="73" t="str">
        <f>A3</f>
        <v>Dp</v>
      </c>
      <c r="M3" s="144" t="str">
        <f>IF(ISBLANK(J3),"--",J3)</f>
        <v>--</v>
      </c>
      <c r="N3" s="158" t="str">
        <f>IFERROR(_xll.qlRateHelperQuoteName(M3,Trigger),"--")</f>
        <v>--</v>
      </c>
      <c r="O3" s="146" t="str">
        <f>IFERROR(_xll.qlRateHelperQuoteValue($M3,Trigger),"--")</f>
        <v>--</v>
      </c>
      <c r="P3" s="145" t="b">
        <v>0</v>
      </c>
      <c r="Q3" s="144">
        <v>10</v>
      </c>
      <c r="R3" s="144">
        <v>1</v>
      </c>
      <c r="S3" s="147" t="str">
        <f>IFERROR(_xll.qlRateHelperEarliestDate(M3,Trigger),"--")</f>
        <v>--</v>
      </c>
      <c r="T3" s="147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78">_xll.qlRateHelperSelection(_xll.ohFilter(RateHelpers,IncludeFlag),_xll.ohFilter(Priority,IncludeFlag),$AF$3,$AF$4,$AF$5,$AF$6,_xll.ohFilter(MinDistance,IncludeFlag),Trigger)</f>
        <v>obj_002af</v>
      </c>
      <c r="X3" s="4" t="str">
        <f>IFERROR(_xll.qlRateHelperQuoteName(W3,Trigger),"")</f>
        <v>USD1MD_SYNTH1Y_Quote</v>
      </c>
      <c r="Y3" s="75">
        <f>IFERROR(_xll.qlRateHelperRate(W3,Trigger),"")</f>
        <v>1.2879E-2</v>
      </c>
      <c r="Z3" s="11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42482</v>
      </c>
      <c r="AB3" s="5">
        <f>IFERROR(_xll.qlRateHelperPillarDate(W3,Trigger),"")</f>
        <v>42513</v>
      </c>
      <c r="AC3" s="83">
        <v>0.99889220357393138</v>
      </c>
      <c r="AE3" s="118" t="s">
        <v>119</v>
      </c>
      <c r="AF3" s="119">
        <v>0</v>
      </c>
    </row>
    <row r="4" spans="1:32" ht="11.25" customHeight="1" x14ac:dyDescent="0.2">
      <c r="A4" s="57" t="s">
        <v>27</v>
      </c>
      <c r="B4" s="58" t="s">
        <v>124</v>
      </c>
      <c r="C4" s="60" t="s">
        <v>50</v>
      </c>
      <c r="D4" s="142"/>
      <c r="E4" s="142"/>
      <c r="F4" s="142"/>
      <c r="G4" s="59" t="str">
        <f>Currency&amp;FamilyName&amp;B4</f>
        <v>USDLiborSW</v>
      </c>
      <c r="H4" s="169" t="str">
        <f t="shared" si="0"/>
        <v>USDSWD_SYNTH1Y_Quote</v>
      </c>
      <c r="I4" s="142"/>
      <c r="J4" s="62"/>
      <c r="K4" s="52"/>
      <c r="L4" s="11" t="str">
        <f t="shared" ref="L4:L18" si="1">A4</f>
        <v>Dp</v>
      </c>
      <c r="M4" s="105" t="str">
        <f t="shared" ref="M4:M18" si="2">IF(ISBLANK(J4),"--",J4)</f>
        <v>--</v>
      </c>
      <c r="N4" s="159" t="str">
        <f>IFERROR(_xll.qlRateHelperQuoteName(M4,Trigger),"--")</f>
        <v>--</v>
      </c>
      <c r="O4" s="109" t="str">
        <f>IFERROR(_xll.qlRateHelperQuoteValue($M4,Trigger),"--")</f>
        <v>--</v>
      </c>
      <c r="P4" s="108" t="b">
        <v>0</v>
      </c>
      <c r="Q4" s="105">
        <v>10</v>
      </c>
      <c r="R4" s="105">
        <v>1</v>
      </c>
      <c r="S4" s="110" t="str">
        <f>IFERROR(_xll.qlRateHelperEarliestDate(M4,Trigger),"--")</f>
        <v>--</v>
      </c>
      <c r="T4" s="110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obj_00289</v>
      </c>
      <c r="X4" s="4" t="str">
        <f>IFERROR(_xll.qlRateHelperQuoteName(W4,Trigger),"")</f>
        <v>USD2MD_SYNTH1Y_Quote</v>
      </c>
      <c r="Y4" s="75">
        <f>IFERROR(_xll.qlRateHelperRate(W4,Trigger),"")</f>
        <v>1.2775999999999999E-2</v>
      </c>
      <c r="Z4" s="11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42482</v>
      </c>
      <c r="AB4" s="5">
        <f>IFERROR(_xll.qlRateHelperPillarDate(W4,Trigger),"")</f>
        <v>42543</v>
      </c>
      <c r="AC4" s="83">
        <v>0.99783985410960452</v>
      </c>
      <c r="AE4" s="118" t="s">
        <v>120</v>
      </c>
      <c r="AF4" s="119">
        <v>0</v>
      </c>
    </row>
    <row r="5" spans="1:32" ht="11.25" customHeight="1" x14ac:dyDescent="0.2">
      <c r="A5" s="175" t="s">
        <v>27</v>
      </c>
      <c r="B5" s="176" t="s">
        <v>51</v>
      </c>
      <c r="C5" s="177" t="str">
        <f>B5</f>
        <v>2W</v>
      </c>
      <c r="D5" s="178"/>
      <c r="E5" s="178"/>
      <c r="F5" s="178"/>
      <c r="G5" s="179" t="str">
        <f>_xll.qlLibor(,Currency,C5,,Permanent,Trigger,ObjectOverwrite)</f>
        <v>obj_0030d#0006</v>
      </c>
      <c r="H5" s="180" t="str">
        <f t="shared" si="0"/>
        <v>USD2WD_SYNTH1Y_Quote</v>
      </c>
      <c r="I5" s="178"/>
      <c r="J5" s="181"/>
      <c r="K5" s="52"/>
      <c r="L5" s="11" t="str">
        <f t="shared" si="1"/>
        <v>Dp</v>
      </c>
      <c r="M5" s="105" t="str">
        <f t="shared" si="2"/>
        <v>--</v>
      </c>
      <c r="N5" s="159" t="str">
        <f>IFERROR(_xll.qlRateHelperQuoteName(M5,Trigger),"--")</f>
        <v>--</v>
      </c>
      <c r="O5" s="109" t="str">
        <f>IFERROR(_xll.qlRateHelperQuoteValue($M5,Trigger),"--")</f>
        <v>--</v>
      </c>
      <c r="P5" s="108" t="b">
        <v>0</v>
      </c>
      <c r="Q5" s="105">
        <v>10</v>
      </c>
      <c r="R5" s="105">
        <v>1</v>
      </c>
      <c r="S5" s="110" t="str">
        <f>IFERROR(_xll.qlRateHelperEarliestDate(M5,Trigger),"--")</f>
        <v>--</v>
      </c>
      <c r="T5" s="110" t="str">
        <f>IFERROR(_xll.qlRateHelperPillarDate(M5,Trigger),"--")</f>
        <v>--</v>
      </c>
      <c r="V5" s="4" t="str">
        <f t="shared" si="3"/>
        <v>Dp</v>
      </c>
      <c r="W5" s="4" t="str">
        <v>obj_00296</v>
      </c>
      <c r="X5" s="4" t="str">
        <f>IFERROR(_xll.qlRateHelperQuoteName(W5,Trigger),"")</f>
        <v>USD3MD_SYNTH1Y_Quote</v>
      </c>
      <c r="Y5" s="75">
        <f>IFERROR(_xll.qlRateHelperRate(W5,Trigger),"")</f>
        <v>1.2743000000000001E-2</v>
      </c>
      <c r="Z5" s="11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42482</v>
      </c>
      <c r="AB5" s="5">
        <f>IFERROR(_xll.qlRateHelperPillarDate(W5,Trigger),"")</f>
        <v>42573</v>
      </c>
      <c r="AC5" s="83">
        <v>0.99678919525257115</v>
      </c>
      <c r="AD5" s="86"/>
      <c r="AE5" s="118" t="s">
        <v>121</v>
      </c>
      <c r="AF5" s="119">
        <v>0</v>
      </c>
    </row>
    <row r="6" spans="1:32" ht="11.25" customHeight="1" x14ac:dyDescent="0.2">
      <c r="A6" s="182" t="s">
        <v>27</v>
      </c>
      <c r="B6" s="183" t="s">
        <v>52</v>
      </c>
      <c r="C6" s="184" t="str">
        <f t="shared" ref="C6:C18" si="4">B6</f>
        <v>3W</v>
      </c>
      <c r="D6" s="185"/>
      <c r="E6" s="185"/>
      <c r="F6" s="185"/>
      <c r="G6" s="186" t="str">
        <f>_xll.qlLibor(,Currency,C6,,Permanent,Trigger,ObjectOverwrite)</f>
        <v>obj_002f8#0006</v>
      </c>
      <c r="H6" s="187" t="str">
        <f t="shared" si="0"/>
        <v>USD3WD_SYNTH1Y_Quote</v>
      </c>
      <c r="I6" s="185"/>
      <c r="J6" s="188"/>
      <c r="K6" s="52"/>
      <c r="L6" s="11" t="str">
        <f t="shared" si="1"/>
        <v>Dp</v>
      </c>
      <c r="M6" s="105" t="str">
        <f t="shared" si="2"/>
        <v>--</v>
      </c>
      <c r="N6" s="159" t="str">
        <f>IFERROR(_xll.qlRateHelperQuoteName(M6,Trigger),"--")</f>
        <v>--</v>
      </c>
      <c r="O6" s="109" t="str">
        <f>IFERROR(_xll.qlRateHelperQuoteValue($M6,Trigger),"--")</f>
        <v>--</v>
      </c>
      <c r="P6" s="108" t="b">
        <v>0</v>
      </c>
      <c r="Q6" s="105">
        <v>10</v>
      </c>
      <c r="R6" s="105">
        <v>1</v>
      </c>
      <c r="S6" s="110" t="str">
        <f>IFERROR(_xll.qlRateHelperEarliestDate(M6,Trigger),"--")</f>
        <v>--</v>
      </c>
      <c r="T6" s="110" t="str">
        <f>IFERROR(_xll.qlRateHelperPillarDate(M6,Trigger),"--")</f>
        <v>--</v>
      </c>
      <c r="V6" s="4" t="str">
        <f t="shared" si="3"/>
        <v>Dp</v>
      </c>
      <c r="W6" s="4" t="str">
        <v>obj_002ee</v>
      </c>
      <c r="X6" s="4" t="str">
        <f>IFERROR(_xll.qlRateHelperQuoteName(W6,Trigger),"")</f>
        <v>USD4MD_SYNTH1Y_Quote</v>
      </c>
      <c r="Y6" s="75">
        <f>IFERROR(_xll.qlRateHelperRate(W6,Trigger),"")</f>
        <v>1.2714E-2</v>
      </c>
      <c r="Z6" s="11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42482</v>
      </c>
      <c r="AB6" s="5">
        <f>IFERROR(_xll.qlRateHelperPillarDate(W6,Trigger),"")</f>
        <v>42604</v>
      </c>
      <c r="AC6" s="83">
        <v>0.99570985134417023</v>
      </c>
      <c r="AE6" s="118" t="s">
        <v>122</v>
      </c>
      <c r="AF6" s="120" t="s">
        <v>123</v>
      </c>
    </row>
    <row r="7" spans="1:32" ht="11.25" customHeight="1" x14ac:dyDescent="0.2">
      <c r="A7" s="63" t="s">
        <v>27</v>
      </c>
      <c r="B7" s="64" t="s">
        <v>2</v>
      </c>
      <c r="C7" s="67" t="str">
        <f t="shared" si="4"/>
        <v>1M</v>
      </c>
      <c r="D7" s="136"/>
      <c r="E7" s="136"/>
      <c r="F7" s="136"/>
      <c r="G7" s="65" t="str">
        <f>Currency&amp;FamilyName&amp;B7</f>
        <v>USDLibor1M</v>
      </c>
      <c r="H7" s="133" t="str">
        <f t="shared" si="0"/>
        <v>USD1MD_SYNTH1Y_Quote</v>
      </c>
      <c r="I7" s="136"/>
      <c r="J7" s="69" t="str">
        <f>_xll.qlDepositRateHelper(,H7,G7,Permanent,Trigger,ObjectOverwrite)</f>
        <v>obj_002af#0006</v>
      </c>
      <c r="K7" s="52"/>
      <c r="L7" s="11" t="str">
        <f t="shared" si="1"/>
        <v>Dp</v>
      </c>
      <c r="M7" s="105" t="str">
        <f t="shared" si="2"/>
        <v>obj_002af#0006</v>
      </c>
      <c r="N7" s="159" t="str">
        <f>IFERROR(_xll.qlRateHelperQuoteName(M7,Trigger),"--")</f>
        <v>USD1MD_SYNTH1Y_Quote</v>
      </c>
      <c r="O7" s="109">
        <f>IFERROR(_xll.qlRateHelperQuoteValue($M7,Trigger),"--")</f>
        <v>1.2879E-2</v>
      </c>
      <c r="P7" s="108" t="b">
        <v>1</v>
      </c>
      <c r="Q7" s="105">
        <v>10</v>
      </c>
      <c r="R7" s="105">
        <v>1</v>
      </c>
      <c r="S7" s="110">
        <f>IFERROR(_xll.qlRateHelperEarliestDate(M7,Trigger),"--")</f>
        <v>42482</v>
      </c>
      <c r="T7" s="110">
        <f>IFERROR(_xll.qlRateHelperPillarDate(M7,Trigger),"--")</f>
        <v>42513</v>
      </c>
      <c r="V7" s="4" t="str">
        <f t="shared" si="3"/>
        <v>Dp</v>
      </c>
      <c r="W7" s="4" t="str">
        <v>obj_002fb</v>
      </c>
      <c r="X7" s="4" t="str">
        <f>IFERROR(_xll.qlRateHelperQuoteName(W7,Trigger),"")</f>
        <v>USD5MD_SYNTH1Y_Quote</v>
      </c>
      <c r="Y7" s="75">
        <f>IFERROR(_xll.qlRateHelperRate(W7,Trigger),"")</f>
        <v>1.2645999999999999E-2</v>
      </c>
      <c r="Z7" s="11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42482</v>
      </c>
      <c r="AB7" s="5">
        <f>IFERROR(_xll.qlRateHelperPillarDate(W7,Trigger),"")</f>
        <v>42635</v>
      </c>
      <c r="AC7" s="83">
        <v>0.99465418136952055</v>
      </c>
    </row>
    <row r="8" spans="1:32" ht="11.25" customHeight="1" x14ac:dyDescent="0.25">
      <c r="A8" s="63" t="s">
        <v>27</v>
      </c>
      <c r="B8" s="64" t="s">
        <v>53</v>
      </c>
      <c r="C8" s="67" t="str">
        <f t="shared" si="4"/>
        <v>2M</v>
      </c>
      <c r="D8" s="136"/>
      <c r="E8" s="136"/>
      <c r="F8" s="136"/>
      <c r="G8" s="65" t="str">
        <f>Currency&amp;FamilyName&amp;B8</f>
        <v>USDLibor2M</v>
      </c>
      <c r="H8" s="133" t="str">
        <f t="shared" si="0"/>
        <v>USD2MD_SYNTH1Y_Quote</v>
      </c>
      <c r="I8" s="136"/>
      <c r="J8" s="69" t="str">
        <f>_xll.qlDepositRateHelper(,H8,G8,Permanent,Trigger,ObjectOverwrite)</f>
        <v>obj_00289#0006</v>
      </c>
      <c r="K8" s="52"/>
      <c r="L8" s="11" t="str">
        <f t="shared" si="1"/>
        <v>Dp</v>
      </c>
      <c r="M8" s="105" t="str">
        <f t="shared" si="2"/>
        <v>obj_00289#0006</v>
      </c>
      <c r="N8" s="159" t="str">
        <f>IFERROR(_xll.qlRateHelperQuoteName(M8,Trigger),"--")</f>
        <v>USD2MD_SYNTH1Y_Quote</v>
      </c>
      <c r="O8" s="109">
        <f>IFERROR(_xll.qlRateHelperQuoteValue($M8,Trigger),"--")</f>
        <v>1.2775999999999999E-2</v>
      </c>
      <c r="P8" s="108" t="b">
        <v>1</v>
      </c>
      <c r="Q8" s="105">
        <v>10</v>
      </c>
      <c r="R8" s="105">
        <v>1</v>
      </c>
      <c r="S8" s="110">
        <f>IFERROR(_xll.qlRateHelperEarliestDate(M8,Trigger),"--")</f>
        <v>42482</v>
      </c>
      <c r="T8" s="110">
        <f>IFERROR(_xll.qlRateHelperPillarDate(M8,Trigger),"--")</f>
        <v>42543</v>
      </c>
      <c r="V8" s="4" t="str">
        <f t="shared" si="3"/>
        <v>Dp</v>
      </c>
      <c r="W8" s="4" t="str">
        <v>obj_002f7</v>
      </c>
      <c r="X8" s="4" t="str">
        <f>IFERROR(_xll.qlRateHelperQuoteName(W8,Trigger),"")</f>
        <v>USD6MD_SYNTH1Y_Quote</v>
      </c>
      <c r="Y8" s="75">
        <f>IFERROR(_xll.qlRateHelperRate(W8,Trigger),"")</f>
        <v>1.2611000000000001E-2</v>
      </c>
      <c r="Z8" s="11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42482</v>
      </c>
      <c r="AB8" s="5">
        <f>IFERROR(_xll.qlRateHelperPillarDate(W8,Trigger),"")</f>
        <v>42667</v>
      </c>
      <c r="AC8" s="83">
        <v>0.99356107565516338</v>
      </c>
    </row>
    <row r="9" spans="1:32" ht="11.25" customHeight="1" x14ac:dyDescent="0.25">
      <c r="A9" s="63" t="s">
        <v>27</v>
      </c>
      <c r="B9" s="64" t="s">
        <v>0</v>
      </c>
      <c r="C9" s="67" t="str">
        <f t="shared" si="4"/>
        <v>3M</v>
      </c>
      <c r="D9" s="136"/>
      <c r="E9" s="136"/>
      <c r="F9" s="136"/>
      <c r="G9" s="65" t="str">
        <f>Currency&amp;FamilyName&amp;B9</f>
        <v>USDLibor3M</v>
      </c>
      <c r="H9" s="133" t="str">
        <f t="shared" si="0"/>
        <v>USD3MD_SYNTH1Y_Quote</v>
      </c>
      <c r="I9" s="136"/>
      <c r="J9" s="69" t="str">
        <f>_xll.qlDepositRateHelper(,H9,G9,Permanent,Trigger,ObjectOverwrite)</f>
        <v>obj_00296#0006</v>
      </c>
      <c r="K9" s="52"/>
      <c r="L9" s="11" t="str">
        <f t="shared" si="1"/>
        <v>Dp</v>
      </c>
      <c r="M9" s="105" t="str">
        <f t="shared" si="2"/>
        <v>obj_00296#0006</v>
      </c>
      <c r="N9" s="159" t="str">
        <f>IFERROR(_xll.qlRateHelperQuoteName(M9,Trigger),"--")</f>
        <v>USD3MD_SYNTH1Y_Quote</v>
      </c>
      <c r="O9" s="109">
        <f>IFERROR(_xll.qlRateHelperQuoteValue($M9,Trigger),"--")</f>
        <v>1.2743000000000001E-2</v>
      </c>
      <c r="P9" s="108" t="b">
        <v>1</v>
      </c>
      <c r="Q9" s="105">
        <v>10</v>
      </c>
      <c r="R9" s="105">
        <v>1</v>
      </c>
      <c r="S9" s="110">
        <f>IFERROR(_xll.qlRateHelperEarliestDate(M9,Trigger),"--")</f>
        <v>42482</v>
      </c>
      <c r="T9" s="110">
        <f>IFERROR(_xll.qlRateHelperPillarDate(M9,Trigger),"--")</f>
        <v>42573</v>
      </c>
      <c r="V9" s="4" t="str">
        <f t="shared" si="3"/>
        <v>Dp</v>
      </c>
      <c r="W9" s="4" t="str">
        <v>obj_00310</v>
      </c>
      <c r="X9" s="4" t="str">
        <f>IFERROR(_xll.qlRateHelperQuoteName(W9,Trigger),"")</f>
        <v>USD9MD_SYNTH1Y_Quote</v>
      </c>
      <c r="Y9" s="75">
        <f>IFERROR(_xll.qlRateHelperRate(W9,Trigger),"")</f>
        <v>1.2434000000000001E-2</v>
      </c>
      <c r="Z9" s="11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42482</v>
      </c>
      <c r="AB9" s="5">
        <f>IFERROR(_xll.qlRateHelperPillarDate(W9,Trigger),"")</f>
        <v>42758</v>
      </c>
      <c r="AC9" s="83">
        <v>0.99055728158327494</v>
      </c>
    </row>
    <row r="10" spans="1:32" ht="11.25" customHeight="1" x14ac:dyDescent="0.25">
      <c r="A10" s="175" t="s">
        <v>27</v>
      </c>
      <c r="B10" s="176" t="s">
        <v>54</v>
      </c>
      <c r="C10" s="177" t="str">
        <f t="shared" si="4"/>
        <v>4M</v>
      </c>
      <c r="D10" s="178"/>
      <c r="E10" s="178"/>
      <c r="F10" s="178"/>
      <c r="G10" s="179" t="str">
        <f>_xll.qlLibor(,Currency,C10,,Permanent,Trigger,ObjectOverwrite)</f>
        <v>obj_00284#0006</v>
      </c>
      <c r="H10" s="180" t="str">
        <f t="shared" si="0"/>
        <v>USD4MD_SYNTH1Y_Quote</v>
      </c>
      <c r="I10" s="178"/>
      <c r="J10" s="181" t="str">
        <f>_xll.qlDepositRateHelper(,H10,G10,Permanent,Trigger,ObjectOverwrite)</f>
        <v>obj_002ee#0006</v>
      </c>
      <c r="K10" s="52"/>
      <c r="L10" s="11" t="str">
        <f t="shared" si="1"/>
        <v>Dp</v>
      </c>
      <c r="M10" s="105" t="str">
        <f t="shared" si="2"/>
        <v>obj_002ee#0006</v>
      </c>
      <c r="N10" s="159" t="str">
        <f>IFERROR(_xll.qlRateHelperQuoteName(M10,Trigger),"--")</f>
        <v>USD4MD_SYNTH1Y_Quote</v>
      </c>
      <c r="O10" s="109">
        <f>IFERROR(_xll.qlRateHelperQuoteValue($M10,Trigger),"--")</f>
        <v>1.2714E-2</v>
      </c>
      <c r="P10" s="108" t="b">
        <v>1</v>
      </c>
      <c r="Q10" s="105">
        <v>10</v>
      </c>
      <c r="R10" s="105">
        <v>1</v>
      </c>
      <c r="S10" s="110">
        <f>IFERROR(_xll.qlRateHelperEarliestDate(M10,Trigger),"--")</f>
        <v>42482</v>
      </c>
      <c r="T10" s="110">
        <f>IFERROR(_xll.qlRateHelperPillarDate(M10,Trigger),"--")</f>
        <v>42604</v>
      </c>
      <c r="V10" s="4" t="str">
        <f t="shared" si="3"/>
        <v>Dp</v>
      </c>
      <c r="W10" s="4" t="str">
        <v>obj_002fc</v>
      </c>
      <c r="X10" s="4" t="str">
        <f>IFERROR(_xll.qlRateHelperQuoteName(W10,Trigger),"")</f>
        <v>USD1YD_SYNTH1Y_Quote</v>
      </c>
      <c r="Y10" s="75">
        <f>IFERROR(_xll.qlRateHelperRate(W10,Trigger),"")</f>
        <v>1.2246999999999999E-2</v>
      </c>
      <c r="Z10" s="11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42482</v>
      </c>
      <c r="AB10" s="5">
        <f>IFERROR(_xll.qlRateHelperPillarDate(W10,Trigger),"")</f>
        <v>42849</v>
      </c>
      <c r="AC10" s="83">
        <v>0.98766882034528836</v>
      </c>
    </row>
    <row r="11" spans="1:32" ht="11.25" customHeight="1" x14ac:dyDescent="0.25">
      <c r="A11" s="182" t="s">
        <v>27</v>
      </c>
      <c r="B11" s="183" t="s">
        <v>55</v>
      </c>
      <c r="C11" s="184" t="str">
        <f t="shared" si="4"/>
        <v>5M</v>
      </c>
      <c r="D11" s="185"/>
      <c r="E11" s="185"/>
      <c r="F11" s="185"/>
      <c r="G11" s="186" t="str">
        <f>_xll.qlLibor(,Currency,C11,,Permanent,Trigger,ObjectOverwrite)</f>
        <v>obj_002fa#0006</v>
      </c>
      <c r="H11" s="187" t="str">
        <f t="shared" si="0"/>
        <v>USD5MD_SYNTH1Y_Quote</v>
      </c>
      <c r="I11" s="185"/>
      <c r="J11" s="188" t="str">
        <f>_xll.qlDepositRateHelper(,H11,G11,Permanent,Trigger,ObjectOverwrite)</f>
        <v>obj_002fb#0006</v>
      </c>
      <c r="K11" s="52"/>
      <c r="L11" s="11" t="str">
        <f t="shared" si="1"/>
        <v>Dp</v>
      </c>
      <c r="M11" s="105" t="str">
        <f t="shared" si="2"/>
        <v>obj_002fb#0006</v>
      </c>
      <c r="N11" s="159" t="str">
        <f>IFERROR(_xll.qlRateHelperQuoteName(M11,Trigger),"--")</f>
        <v>USD5MD_SYNTH1Y_Quote</v>
      </c>
      <c r="O11" s="109">
        <f>IFERROR(_xll.qlRateHelperQuoteValue($M11,Trigger),"--")</f>
        <v>1.2645999999999999E-2</v>
      </c>
      <c r="P11" s="108" t="b">
        <v>1</v>
      </c>
      <c r="Q11" s="105">
        <v>10</v>
      </c>
      <c r="R11" s="105">
        <v>1</v>
      </c>
      <c r="S11" s="110">
        <f>IFERROR(_xll.qlRateHelperEarliestDate(M11,Trigger),"--")</f>
        <v>42482</v>
      </c>
      <c r="T11" s="110">
        <f>IFERROR(_xll.qlRateHelperPillarDate(M11,Trigger),"--")</f>
        <v>42635</v>
      </c>
      <c r="V11" s="4" t="str">
        <f t="shared" si="3"/>
        <v>FRA</v>
      </c>
      <c r="W11" s="4" t="str">
        <v>obj_002f4</v>
      </c>
      <c r="X11" s="4" t="str">
        <f>IFERROR(_xll.qlRateHelperQuoteName(W11,Trigger),"")</f>
        <v>USD1x13F_Quote</v>
      </c>
      <c r="Y11" s="75">
        <f>IFERROR(_xll.qlRateHelperRate(W11,Trigger),"")</f>
        <v>1.2119999999999999E-2</v>
      </c>
      <c r="Z11" s="11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42513</v>
      </c>
      <c r="AB11" s="5">
        <f>IFERROR(_xll.qlRateHelperPillarDate(W11,Trigger),"")</f>
        <v>42877</v>
      </c>
      <c r="AC11" s="83">
        <v>0.98679763529690301</v>
      </c>
    </row>
    <row r="12" spans="1:32" ht="11.25" customHeight="1" x14ac:dyDescent="0.25">
      <c r="A12" s="63" t="s">
        <v>27</v>
      </c>
      <c r="B12" s="64" t="s">
        <v>3</v>
      </c>
      <c r="C12" s="67" t="str">
        <f t="shared" si="4"/>
        <v>6M</v>
      </c>
      <c r="D12" s="136"/>
      <c r="E12" s="136"/>
      <c r="F12" s="136"/>
      <c r="G12" s="65" t="str">
        <f>Currency&amp;FamilyName&amp;B12</f>
        <v>USDLibor6M</v>
      </c>
      <c r="H12" s="133" t="str">
        <f t="shared" si="0"/>
        <v>USD6MD_SYNTH1Y_Quote</v>
      </c>
      <c r="I12" s="136"/>
      <c r="J12" s="69" t="str">
        <f>_xll.qlDepositRateHelper(,H12,G12,Permanent,Trigger,ObjectOverwrite)</f>
        <v>obj_002f7#0006</v>
      </c>
      <c r="K12" s="52" t="s">
        <v>47</v>
      </c>
      <c r="L12" s="11" t="str">
        <f t="shared" si="1"/>
        <v>Dp</v>
      </c>
      <c r="M12" s="105" t="str">
        <f t="shared" si="2"/>
        <v>obj_002f7#0006</v>
      </c>
      <c r="N12" s="159" t="str">
        <f>IFERROR(_xll.qlRateHelperQuoteName(M12,Trigger),"--")</f>
        <v>USD6MD_SYNTH1Y_Quote</v>
      </c>
      <c r="O12" s="109">
        <f>IFERROR(_xll.qlRateHelperQuoteValue($M12,Trigger),"--")</f>
        <v>1.2611000000000001E-2</v>
      </c>
      <c r="P12" s="108" t="b">
        <v>1</v>
      </c>
      <c r="Q12" s="105">
        <v>10</v>
      </c>
      <c r="R12" s="105">
        <v>1</v>
      </c>
      <c r="S12" s="110">
        <f>IFERROR(_xll.qlRateHelperEarliestDate(M12,Trigger),"--")</f>
        <v>42482</v>
      </c>
      <c r="T12" s="110">
        <f>IFERROR(_xll.qlRateHelperPillarDate(M12,Trigger),"--")</f>
        <v>42667</v>
      </c>
      <c r="V12" s="4" t="str">
        <f t="shared" si="3"/>
        <v>FRA</v>
      </c>
      <c r="W12" s="4" t="str">
        <v>obj_0029f</v>
      </c>
      <c r="X12" s="4" t="str">
        <f>IFERROR(_xll.qlRateHelperQuoteName(W12,Trigger),"")</f>
        <v>USD2x14F_Quote</v>
      </c>
      <c r="Y12" s="75">
        <f>IFERROR(_xll.qlRateHelperRate(W12,Trigger),"")</f>
        <v>1.1990000000000001E-2</v>
      </c>
      <c r="Z12" s="11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42543</v>
      </c>
      <c r="AB12" s="5">
        <f>IFERROR(_xll.qlRateHelperPillarDate(W12,Trigger),"")</f>
        <v>42908</v>
      </c>
      <c r="AC12" s="83">
        <v>0.98585527704928611</v>
      </c>
    </row>
    <row r="13" spans="1:32" ht="11.25" customHeight="1" x14ac:dyDescent="0.2">
      <c r="A13" s="175" t="s">
        <v>27</v>
      </c>
      <c r="B13" s="176" t="s">
        <v>56</v>
      </c>
      <c r="C13" s="177" t="str">
        <f t="shared" si="4"/>
        <v>7M</v>
      </c>
      <c r="D13" s="178"/>
      <c r="E13" s="178"/>
      <c r="F13" s="178"/>
      <c r="G13" s="179" t="str">
        <f>_xll.qlLibor(,Currency,C13,,Permanent,Trigger,ObjectOverwrite)</f>
        <v>obj_002e0#0006</v>
      </c>
      <c r="H13" s="180" t="str">
        <f t="shared" si="0"/>
        <v>USD7MD_SYNTH1Y_Quote</v>
      </c>
      <c r="I13" s="178"/>
      <c r="J13" s="181"/>
      <c r="K13" s="52"/>
      <c r="L13" s="11" t="str">
        <f t="shared" si="1"/>
        <v>Dp</v>
      </c>
      <c r="M13" s="105" t="str">
        <f t="shared" si="2"/>
        <v>--</v>
      </c>
      <c r="N13" s="159" t="str">
        <f>IFERROR(_xll.qlRateHelperQuoteName(M13,Trigger),"--")</f>
        <v>--</v>
      </c>
      <c r="O13" s="109" t="str">
        <f>IFERROR(_xll.qlRateHelperQuoteValue($M13,Trigger),"--")</f>
        <v>--</v>
      </c>
      <c r="P13" s="108" t="b">
        <v>0</v>
      </c>
      <c r="Q13" s="105">
        <v>10</v>
      </c>
      <c r="R13" s="105">
        <v>1</v>
      </c>
      <c r="S13" s="110" t="str">
        <f>IFERROR(_xll.qlRateHelperEarliestDate(M13,Trigger),"--")</f>
        <v>--</v>
      </c>
      <c r="T13" s="110" t="str">
        <f>IFERROR(_xll.qlRateHelperPillarDate(M13,Trigger),"--")</f>
        <v>--</v>
      </c>
      <c r="V13" s="4" t="str">
        <f t="shared" si="3"/>
        <v>FRA</v>
      </c>
      <c r="W13" s="4" t="str">
        <v>obj_002d4</v>
      </c>
      <c r="X13" s="4" t="str">
        <f>IFERROR(_xll.qlRateHelperQuoteName(W13,Trigger),"")</f>
        <v>USD3x15F_Quote</v>
      </c>
      <c r="Y13" s="75">
        <f>IFERROR(_xll.qlRateHelperRate(W13,Trigger),"")</f>
        <v>1.1850000000000001E-2</v>
      </c>
      <c r="Z13" s="11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42573</v>
      </c>
      <c r="AB13" s="5">
        <f>IFERROR(_xll.qlRateHelperPillarDate(W13,Trigger),"")</f>
        <v>42940</v>
      </c>
      <c r="AC13" s="83">
        <v>0.98489129800134079</v>
      </c>
    </row>
    <row r="14" spans="1:32" ht="11.25" customHeight="1" x14ac:dyDescent="0.2">
      <c r="A14" s="63" t="s">
        <v>27</v>
      </c>
      <c r="B14" s="64" t="s">
        <v>57</v>
      </c>
      <c r="C14" s="67" t="str">
        <f t="shared" si="4"/>
        <v>8M</v>
      </c>
      <c r="D14" s="136"/>
      <c r="E14" s="136"/>
      <c r="F14" s="136"/>
      <c r="G14" s="65" t="str">
        <f>_xll.qlLibor(,Currency,C14,,Permanent,Trigger,ObjectOverwrite)</f>
        <v>obj_0030b#0006</v>
      </c>
      <c r="H14" s="133" t="str">
        <f t="shared" si="0"/>
        <v>USD8MD_SYNTH1Y_Quote</v>
      </c>
      <c r="I14" s="136"/>
      <c r="J14" s="69"/>
      <c r="K14" s="52"/>
      <c r="L14" s="11" t="str">
        <f t="shared" si="1"/>
        <v>Dp</v>
      </c>
      <c r="M14" s="105" t="str">
        <f t="shared" si="2"/>
        <v>--</v>
      </c>
      <c r="N14" s="159" t="str">
        <f>IFERROR(_xll.qlRateHelperQuoteName(M14,Trigger),"--")</f>
        <v>--</v>
      </c>
      <c r="O14" s="109" t="str">
        <f>IFERROR(_xll.qlRateHelperQuoteValue($M14,Trigger),"--")</f>
        <v>--</v>
      </c>
      <c r="P14" s="108" t="b">
        <v>0</v>
      </c>
      <c r="Q14" s="105">
        <v>10</v>
      </c>
      <c r="R14" s="105">
        <v>1</v>
      </c>
      <c r="S14" s="110" t="str">
        <f>IFERROR(_xll.qlRateHelperEarliestDate(M14,Trigger),"--")</f>
        <v>--</v>
      </c>
      <c r="T14" s="110" t="str">
        <f>IFERROR(_xll.qlRateHelperPillarDate(M14,Trigger),"--")</f>
        <v>--</v>
      </c>
      <c r="V14" s="4" t="str">
        <f t="shared" si="3"/>
        <v>FRA</v>
      </c>
      <c r="W14" s="4" t="str">
        <v>obj_00288</v>
      </c>
      <c r="X14" s="4" t="str">
        <f>IFERROR(_xll.qlRateHelperQuoteName(W14,Trigger),"")</f>
        <v>USD4x16F_Quote</v>
      </c>
      <c r="Y14" s="75">
        <f>IFERROR(_xll.qlRateHelperRate(W14,Trigger),"")</f>
        <v>1.201E-2</v>
      </c>
      <c r="Z14" s="11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42604</v>
      </c>
      <c r="AB14" s="5">
        <f>IFERROR(_xll.qlRateHelperPillarDate(W14,Trigger),"")</f>
        <v>42969</v>
      </c>
      <c r="AC14" s="83">
        <v>0.98373114843078946</v>
      </c>
    </row>
    <row r="15" spans="1:32" ht="11.25" customHeight="1" x14ac:dyDescent="0.2">
      <c r="A15" s="63" t="s">
        <v>27</v>
      </c>
      <c r="B15" s="64" t="s">
        <v>58</v>
      </c>
      <c r="C15" s="67" t="str">
        <f t="shared" si="4"/>
        <v>9M</v>
      </c>
      <c r="D15" s="136"/>
      <c r="E15" s="136"/>
      <c r="F15" s="136"/>
      <c r="G15" s="65" t="str">
        <f>_xll.qlLibor(,Currency,C15,,Permanent,Trigger,ObjectOverwrite)</f>
        <v>obj_0030f#0006</v>
      </c>
      <c r="H15" s="133" t="str">
        <f t="shared" si="0"/>
        <v>USD9MD_SYNTH1Y_Quote</v>
      </c>
      <c r="I15" s="136"/>
      <c r="J15" s="69" t="str">
        <f>_xll.qlDepositRateHelper(,H15,G15,Permanent,Trigger,ObjectOverwrite)</f>
        <v>obj_00310#0006</v>
      </c>
      <c r="K15" s="52"/>
      <c r="L15" s="11" t="str">
        <f t="shared" si="1"/>
        <v>Dp</v>
      </c>
      <c r="M15" s="105" t="str">
        <f t="shared" si="2"/>
        <v>obj_00310#0006</v>
      </c>
      <c r="N15" s="159" t="str">
        <f>IFERROR(_xll.qlRateHelperQuoteName(M15,Trigger),"--")</f>
        <v>USD9MD_SYNTH1Y_Quote</v>
      </c>
      <c r="O15" s="109">
        <f>IFERROR(_xll.qlRateHelperQuoteValue($M15,Trigger),"--")</f>
        <v>1.2434000000000001E-2</v>
      </c>
      <c r="P15" s="108" t="b">
        <v>1</v>
      </c>
      <c r="Q15" s="105">
        <v>10</v>
      </c>
      <c r="R15" s="105">
        <v>1</v>
      </c>
      <c r="S15" s="110">
        <f>IFERROR(_xll.qlRateHelperEarliestDate(M15,Trigger),"--")</f>
        <v>42482</v>
      </c>
      <c r="T15" s="110">
        <f>IFERROR(_xll.qlRateHelperPillarDate(M15,Trigger),"--")</f>
        <v>42758</v>
      </c>
      <c r="V15" s="4" t="str">
        <f t="shared" si="3"/>
        <v>FRA</v>
      </c>
      <c r="W15" s="4" t="str">
        <v>obj_0030a</v>
      </c>
      <c r="X15" s="4" t="str">
        <f>IFERROR(_xll.qlRateHelperQuoteName(W15,Trigger),"")</f>
        <v>USD5x17F_Quote</v>
      </c>
      <c r="Y15" s="75">
        <f>IFERROR(_xll.qlRateHelperRate(W15,Trigger),"")</f>
        <v>1.217E-2</v>
      </c>
      <c r="Z15" s="11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42635</v>
      </c>
      <c r="AB15" s="5">
        <f>IFERROR(_xll.qlRateHelperPillarDate(W15,Trigger),"")</f>
        <v>43000</v>
      </c>
      <c r="AC15" s="83">
        <v>0.98253070767500195</v>
      </c>
    </row>
    <row r="16" spans="1:32" ht="11.25" customHeight="1" x14ac:dyDescent="0.2">
      <c r="A16" s="63" t="s">
        <v>27</v>
      </c>
      <c r="B16" s="64" t="s">
        <v>59</v>
      </c>
      <c r="C16" s="67" t="str">
        <f t="shared" si="4"/>
        <v>10M</v>
      </c>
      <c r="D16" s="136"/>
      <c r="E16" s="136"/>
      <c r="F16" s="136"/>
      <c r="G16" s="65" t="str">
        <f>_xll.qlLibor(,Currency,C16,,Permanent,Trigger,ObjectOverwrite)</f>
        <v>obj_0028a#0006</v>
      </c>
      <c r="H16" s="133" t="str">
        <f t="shared" si="0"/>
        <v>USD10MD_SYNTH1Y_Quote</v>
      </c>
      <c r="I16" s="136"/>
      <c r="J16" s="69"/>
      <c r="K16" s="52"/>
      <c r="L16" s="11" t="str">
        <f t="shared" si="1"/>
        <v>Dp</v>
      </c>
      <c r="M16" s="105" t="str">
        <f t="shared" si="2"/>
        <v>--</v>
      </c>
      <c r="N16" s="159" t="str">
        <f>IFERROR(_xll.qlRateHelperQuoteName(M16,Trigger),"--")</f>
        <v>--</v>
      </c>
      <c r="O16" s="109" t="str">
        <f>IFERROR(_xll.qlRateHelperQuoteValue($M16,Trigger),"--")</f>
        <v>--</v>
      </c>
      <c r="P16" s="108" t="b">
        <v>0</v>
      </c>
      <c r="Q16" s="105">
        <v>10</v>
      </c>
      <c r="R16" s="105">
        <v>1</v>
      </c>
      <c r="S16" s="110" t="str">
        <f>IFERROR(_xll.qlRateHelperEarliestDate(M16,Trigger),"--")</f>
        <v>--</v>
      </c>
      <c r="T16" s="110" t="str">
        <f>IFERROR(_xll.qlRateHelperPillarDate(M16,Trigger),"--")</f>
        <v>--</v>
      </c>
      <c r="V16" s="4" t="str">
        <f t="shared" si="3"/>
        <v>FRA</v>
      </c>
      <c r="W16" s="4" t="str">
        <v>obj_002ac</v>
      </c>
      <c r="X16" s="4" t="str">
        <f>IFERROR(_xll.qlRateHelperQuoteName(W16,Trigger),"")</f>
        <v>USD6x18F_Quote</v>
      </c>
      <c r="Y16" s="75">
        <f>IFERROR(_xll.qlRateHelperRate(W16,Trigger),"")</f>
        <v>1.2319999999999999E-2</v>
      </c>
      <c r="Z16" s="11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42667</v>
      </c>
      <c r="AB16" s="5">
        <f>IFERROR(_xll.qlRateHelperPillarDate(W16,Trigger),"")</f>
        <v>43031</v>
      </c>
      <c r="AC16" s="83">
        <v>0.98134131718472672</v>
      </c>
    </row>
    <row r="17" spans="1:29" ht="11.25" customHeight="1" x14ac:dyDescent="0.2">
      <c r="A17" s="182" t="s">
        <v>27</v>
      </c>
      <c r="B17" s="183" t="s">
        <v>60</v>
      </c>
      <c r="C17" s="184" t="str">
        <f t="shared" si="4"/>
        <v>11M</v>
      </c>
      <c r="D17" s="185"/>
      <c r="E17" s="185"/>
      <c r="F17" s="185"/>
      <c r="G17" s="186" t="str">
        <f>_xll.qlLibor(,Currency,C17,,Permanent,Trigger,ObjectOverwrite)</f>
        <v>obj_002a8#0006</v>
      </c>
      <c r="H17" s="187" t="str">
        <f t="shared" si="0"/>
        <v>USD11MD_SYNTH1Y_Quote</v>
      </c>
      <c r="I17" s="185"/>
      <c r="J17" s="188"/>
      <c r="K17" s="52"/>
      <c r="L17" s="11" t="str">
        <f t="shared" si="1"/>
        <v>Dp</v>
      </c>
      <c r="M17" s="105" t="str">
        <f t="shared" si="2"/>
        <v>--</v>
      </c>
      <c r="N17" s="159" t="str">
        <f>IFERROR(_xll.qlRateHelperQuoteName(M17,Trigger),"--")</f>
        <v>--</v>
      </c>
      <c r="O17" s="109" t="str">
        <f>IFERROR(_xll.qlRateHelperQuoteValue($M17,Trigger),"--")</f>
        <v>--</v>
      </c>
      <c r="P17" s="108" t="b">
        <v>0</v>
      </c>
      <c r="Q17" s="105">
        <v>10</v>
      </c>
      <c r="R17" s="105">
        <v>1</v>
      </c>
      <c r="S17" s="110" t="str">
        <f>IFERROR(_xll.qlRateHelperEarliestDate(M17,Trigger),"--")</f>
        <v>--</v>
      </c>
      <c r="T17" s="110" t="str">
        <f>IFERROR(_xll.qlRateHelperPillarDate(M17,Trigger),"--")</f>
        <v>--</v>
      </c>
      <c r="V17" s="4" t="str">
        <f t="shared" si="3"/>
        <v>FRA</v>
      </c>
      <c r="W17" s="4" t="str">
        <v>obj_002e3</v>
      </c>
      <c r="X17" s="4" t="str">
        <f>IFERROR(_xll.qlRateHelperQuoteName(W17,Trigger),"")</f>
        <v>USD9x21F_Quote</v>
      </c>
      <c r="Y17" s="75">
        <f>IFERROR(_xll.qlRateHelperRate(W17,Trigger),"")</f>
        <v>1.2840000000000001E-2</v>
      </c>
      <c r="Z17" s="115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42758</v>
      </c>
      <c r="AB17" s="5">
        <f>IFERROR(_xll.qlRateHelperPillarDate(W17,Trigger),"")</f>
        <v>43122</v>
      </c>
      <c r="AC17" s="83">
        <v>0.97786997354191629</v>
      </c>
    </row>
    <row r="18" spans="1:29" ht="11.25" customHeight="1" x14ac:dyDescent="0.2">
      <c r="A18" s="1" t="s">
        <v>27</v>
      </c>
      <c r="B18" s="9" t="s">
        <v>29</v>
      </c>
      <c r="C18" s="10" t="str">
        <f t="shared" si="4"/>
        <v>1Y</v>
      </c>
      <c r="D18" s="137"/>
      <c r="E18" s="137"/>
      <c r="F18" s="137"/>
      <c r="G18" s="7" t="str">
        <f>Currency&amp;FamilyName&amp;B18</f>
        <v>USDLibor1Y</v>
      </c>
      <c r="H18" s="134" t="str">
        <f t="shared" si="0"/>
        <v>USD1YD_SYNTH1Y_Quote</v>
      </c>
      <c r="I18" s="137"/>
      <c r="J18" s="3" t="str">
        <f>_xll.qlDepositRateHelper(,H18,G18,Permanent,Trigger,ObjectOverwrite)</f>
        <v>obj_002fc#0006</v>
      </c>
      <c r="K18" s="52"/>
      <c r="L18" s="12" t="str">
        <f t="shared" si="1"/>
        <v>Dp</v>
      </c>
      <c r="M18" s="106" t="str">
        <f t="shared" si="2"/>
        <v>obj_002fc#0006</v>
      </c>
      <c r="N18" s="160" t="str">
        <f>IFERROR(_xll.qlRateHelperQuoteName(M18,Trigger),"--")</f>
        <v>USD1YD_SYNTH1Y_Quote</v>
      </c>
      <c r="O18" s="112">
        <f>IFERROR(_xll.qlRateHelperQuoteValue($M18,Trigger),"--")</f>
        <v>1.2246999999999999E-2</v>
      </c>
      <c r="P18" s="111" t="b">
        <v>1</v>
      </c>
      <c r="Q18" s="106">
        <v>10</v>
      </c>
      <c r="R18" s="106">
        <v>1</v>
      </c>
      <c r="S18" s="113">
        <f>IFERROR(_xll.qlRateHelperEarliestDate(M18,Trigger),"--")</f>
        <v>42482</v>
      </c>
      <c r="T18" s="113">
        <f>IFERROR(_xll.qlRateHelperPillarDate(M18,Trigger),"--")</f>
        <v>42849</v>
      </c>
      <c r="V18" s="4" t="str">
        <f t="shared" si="3"/>
        <v>BasSw</v>
      </c>
      <c r="W18" s="4" t="str">
        <v>obj_002eb</v>
      </c>
      <c r="X18" s="4" t="str">
        <f>IFERROR(_xll.qlRateHelperQuoteName(W18,Trigger),"")</f>
        <v>USDAM3L2Y_S12L3L_Quote</v>
      </c>
      <c r="Y18" s="75">
        <f>IFERROR(_xll.qlRateHelperRate(W18,Trigger),"")</f>
        <v>1.3251945202747974E-2</v>
      </c>
      <c r="Z18" s="11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42482</v>
      </c>
      <c r="AB18" s="5">
        <f>IFERROR(_xll.qlRateHelperPillarDate(W18,Trigger),"")</f>
        <v>43213</v>
      </c>
      <c r="AC18" s="83">
        <v>0.97361868186289624</v>
      </c>
    </row>
    <row r="19" spans="1:29" ht="11.25" customHeight="1" x14ac:dyDescent="0.2">
      <c r="B19" s="50"/>
      <c r="C19" s="50">
        <v>12</v>
      </c>
      <c r="D19" s="50"/>
      <c r="E19" s="50"/>
      <c r="F19" s="50"/>
      <c r="G19" s="50"/>
      <c r="H19" s="50"/>
      <c r="K19" s="52"/>
      <c r="L19" s="73" t="str">
        <f>A21</f>
        <v>FRA</v>
      </c>
      <c r="M19" s="144" t="str">
        <f>IF(ISBLANK(J21),"--",J21)</f>
        <v>obj_002f4#0006</v>
      </c>
      <c r="N19" s="158" t="str">
        <f>IFERROR(_xll.qlRateHelperQuoteName(M19,Trigger),"--")</f>
        <v>USD1x13F_Quote</v>
      </c>
      <c r="O19" s="146">
        <f>IFERROR(_xll.qlRateHelperQuoteValue($M19,Trigger),"--")</f>
        <v>1.2119999999999999E-2</v>
      </c>
      <c r="P19" s="145" t="b">
        <v>1</v>
      </c>
      <c r="Q19" s="144">
        <v>20</v>
      </c>
      <c r="R19" s="144">
        <v>1</v>
      </c>
      <c r="S19" s="147">
        <f>IFERROR(_xll.qlRateHelperEarliestDate(M19,Trigger),"--")</f>
        <v>42513</v>
      </c>
      <c r="T19" s="147">
        <f>IFERROR(_xll.qlRateHelperPillarDate(M19,Trigger),"--")</f>
        <v>42877</v>
      </c>
      <c r="V19" s="4" t="str">
        <f t="shared" si="3"/>
        <v>BasSw</v>
      </c>
      <c r="W19" s="4" t="str">
        <v>obj_002db</v>
      </c>
      <c r="X19" s="4" t="str">
        <f>IFERROR(_xll.qlRateHelperQuoteName(W19,Trigger),"")</f>
        <v>USDAM3L3Y_S12L3L_Quote</v>
      </c>
      <c r="Y19" s="75">
        <f>IFERROR(_xll.qlRateHelperRate(W19,Trigger),"")</f>
        <v>1.4131934179495492E-2</v>
      </c>
      <c r="Z19" s="11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42482</v>
      </c>
      <c r="AB19" s="5">
        <f>IFERROR(_xll.qlRateHelperPillarDate(W19,Trigger),"")</f>
        <v>43578</v>
      </c>
      <c r="AC19" s="83">
        <v>0.95815672347107772</v>
      </c>
    </row>
    <row r="20" spans="1:29" ht="11.25" customHeight="1" x14ac:dyDescent="0.2">
      <c r="A20" s="70" t="s">
        <v>9</v>
      </c>
      <c r="B20" s="70" t="s">
        <v>126</v>
      </c>
      <c r="C20" s="70" t="s">
        <v>127</v>
      </c>
      <c r="D20" s="70"/>
      <c r="E20" s="70"/>
      <c r="F20" s="70"/>
      <c r="G20" s="70" t="s">
        <v>4</v>
      </c>
      <c r="H20" s="70" t="s">
        <v>1</v>
      </c>
      <c r="I20" s="70"/>
      <c r="J20" s="70" t="s">
        <v>25</v>
      </c>
      <c r="K20" s="52"/>
      <c r="L20" s="11" t="str">
        <f t="shared" ref="L20:L42" si="5">A22</f>
        <v>FRA</v>
      </c>
      <c r="M20" s="105" t="str">
        <f t="shared" ref="M20:M42" si="6">IF(ISBLANK(J22),"--",J22)</f>
        <v>obj_0029f#0006</v>
      </c>
      <c r="N20" s="159" t="str">
        <f>IFERROR(_xll.qlRateHelperQuoteName(M20,Trigger),"--")</f>
        <v>USD2x14F_Quote</v>
      </c>
      <c r="O20" s="109">
        <f>IFERROR(_xll.qlRateHelperQuoteValue($M20,Trigger),"--")</f>
        <v>1.1990000000000001E-2</v>
      </c>
      <c r="P20" s="108" t="b">
        <v>1</v>
      </c>
      <c r="Q20" s="105">
        <v>20</v>
      </c>
      <c r="R20" s="105">
        <v>1</v>
      </c>
      <c r="S20" s="110">
        <f>IFERROR(_xll.qlRateHelperEarliestDate(M20,Trigger),"--")</f>
        <v>42543</v>
      </c>
      <c r="T20" s="110">
        <f>IFERROR(_xll.qlRateHelperPillarDate(M20,Trigger),"--")</f>
        <v>42908</v>
      </c>
      <c r="V20" s="4" t="str">
        <f t="shared" si="3"/>
        <v>BasSw</v>
      </c>
      <c r="W20" s="4" t="str">
        <v>obj_00299</v>
      </c>
      <c r="X20" s="4" t="str">
        <f>IFERROR(_xll.qlRateHelperQuoteName(W20,Trigger),"")</f>
        <v>USDAM3L4Y_S12L3L_Quote</v>
      </c>
      <c r="Y20" s="75">
        <f>IFERROR(_xll.qlRateHelperRate(W20,Trigger),"")</f>
        <v>1.5028066280066274E-2</v>
      </c>
      <c r="Z20" s="11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42482</v>
      </c>
      <c r="AB20" s="5">
        <f>IFERROR(_xll.qlRateHelperPillarDate(W20,Trigger),"")</f>
        <v>43943</v>
      </c>
      <c r="AC20" s="83">
        <v>0.94119914899481039</v>
      </c>
    </row>
    <row r="21" spans="1:29" ht="11.25" customHeight="1" x14ac:dyDescent="0.2">
      <c r="A21" s="57" t="s">
        <v>128</v>
      </c>
      <c r="B21" s="126">
        <v>1</v>
      </c>
      <c r="C21" s="60" t="str">
        <f>"x"&amp;B21+$C$19&amp;"F"</f>
        <v>x13F</v>
      </c>
      <c r="D21" s="142"/>
      <c r="E21" s="142"/>
      <c r="F21" s="142"/>
      <c r="G21" s="59" t="str">
        <f t="shared" ref="G21:G44" si="7">PROPER(Currency)&amp;FamilyName&amp;Tenor</f>
        <v>UsdLibor1Y</v>
      </c>
      <c r="H21" s="129" t="str">
        <f t="shared" ref="H21:H29" si="8">Currency&amp;B21&amp;C21&amp;QuoteSuffix</f>
        <v>USD1x13F_Quote</v>
      </c>
      <c r="I21" s="142"/>
      <c r="J21" s="62" t="str">
        <f>_xll.qlFraRateHelper(,H21,B21&amp;"M",G21,PillarDate,,Permanent,Trigger,ObjectOverwrite)</f>
        <v>obj_002f4#0006</v>
      </c>
      <c r="K21" s="52"/>
      <c r="L21" s="11" t="str">
        <f t="shared" si="5"/>
        <v>FRA</v>
      </c>
      <c r="M21" s="105" t="str">
        <f t="shared" si="6"/>
        <v>obj_002d4#0006</v>
      </c>
      <c r="N21" s="159" t="str">
        <f>IFERROR(_xll.qlRateHelperQuoteName(M21,Trigger),"--")</f>
        <v>USD3x15F_Quote</v>
      </c>
      <c r="O21" s="109">
        <f>IFERROR(_xll.qlRateHelperQuoteValue($M21,Trigger),"--")</f>
        <v>1.1850000000000001E-2</v>
      </c>
      <c r="P21" s="108" t="b">
        <v>1</v>
      </c>
      <c r="Q21" s="105">
        <v>20</v>
      </c>
      <c r="R21" s="105">
        <v>1</v>
      </c>
      <c r="S21" s="110">
        <f>IFERROR(_xll.qlRateHelperEarliestDate(M21,Trigger),"--")</f>
        <v>42573</v>
      </c>
      <c r="T21" s="110">
        <f>IFERROR(_xll.qlRateHelperPillarDate(M21,Trigger),"--")</f>
        <v>42940</v>
      </c>
      <c r="V21" s="4" t="str">
        <f t="shared" si="3"/>
        <v>BasSw</v>
      </c>
      <c r="W21" s="4" t="str">
        <v>obj_00308</v>
      </c>
      <c r="X21" s="4" t="str">
        <f>IFERROR(_xll.qlRateHelperQuoteName(W21,Trigger),"")</f>
        <v>USDAM3L5Y_S12L3L_Quote</v>
      </c>
      <c r="Y21" s="75">
        <f>IFERROR(_xll.qlRateHelperRate(W21,Trigger),"")</f>
        <v>1.5999404770846763E-2</v>
      </c>
      <c r="Z21" s="11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42482</v>
      </c>
      <c r="AB21" s="5">
        <f>IFERROR(_xll.qlRateHelperPillarDate(W21,Trigger),"")</f>
        <v>44308</v>
      </c>
      <c r="AC21" s="83">
        <v>0.92249919797230495</v>
      </c>
    </row>
    <row r="22" spans="1:29" ht="11.25" customHeight="1" x14ac:dyDescent="0.2">
      <c r="A22" s="63" t="s">
        <v>128</v>
      </c>
      <c r="B22" s="127">
        <v>2</v>
      </c>
      <c r="C22" s="67" t="str">
        <f t="shared" ref="C22:C44" si="9">"x"&amp;B22+$C$19&amp;"F"</f>
        <v>x14F</v>
      </c>
      <c r="D22" s="136"/>
      <c r="E22" s="136"/>
      <c r="F22" s="136"/>
      <c r="G22" s="65" t="str">
        <f t="shared" si="7"/>
        <v>UsdLibor1Y</v>
      </c>
      <c r="H22" s="130" t="str">
        <f t="shared" si="8"/>
        <v>USD2x14F_Quote</v>
      </c>
      <c r="I22" s="136"/>
      <c r="J22" s="69" t="str">
        <f>_xll.qlFraRateHelper(,H22,B22&amp;"M",G22,PillarDate,,Permanent,Trigger,ObjectOverwrite)</f>
        <v>obj_0029f#0006</v>
      </c>
      <c r="K22" s="52"/>
      <c r="L22" s="11" t="str">
        <f t="shared" si="5"/>
        <v>FRA</v>
      </c>
      <c r="M22" s="105" t="str">
        <f t="shared" si="6"/>
        <v>obj_00288#0006</v>
      </c>
      <c r="N22" s="159" t="str">
        <f>IFERROR(_xll.qlRateHelperQuoteName(M22,Trigger),"--")</f>
        <v>USD4x16F_Quote</v>
      </c>
      <c r="O22" s="109">
        <f>IFERROR(_xll.qlRateHelperQuoteValue($M22,Trigger),"--")</f>
        <v>1.201E-2</v>
      </c>
      <c r="P22" s="108" t="b">
        <v>1</v>
      </c>
      <c r="Q22" s="105">
        <v>20</v>
      </c>
      <c r="R22" s="105">
        <v>1</v>
      </c>
      <c r="S22" s="110">
        <f>IFERROR(_xll.qlRateHelperEarliestDate(M22,Trigger),"--")</f>
        <v>42604</v>
      </c>
      <c r="T22" s="110">
        <f>IFERROR(_xll.qlRateHelperPillarDate(M22,Trigger),"--")</f>
        <v>42969</v>
      </c>
      <c r="V22" s="4" t="str">
        <f t="shared" si="3"/>
        <v>BasSw</v>
      </c>
      <c r="W22" s="4" t="str">
        <v>obj_002d9</v>
      </c>
      <c r="X22" s="4" t="str">
        <f>IFERROR(_xll.qlRateHelperQuoteName(W22,Trigger),"")</f>
        <v>USDAM3L6Y_S12L3L_Quote</v>
      </c>
      <c r="Y22" s="75">
        <f>IFERROR(_xll.qlRateHelperRate(W22,Trigger),"")</f>
        <v>1.6800087591375905E-2</v>
      </c>
      <c r="Z22" s="11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42482</v>
      </c>
      <c r="AB22" s="5">
        <f>IFERROR(_xll.qlRateHelperPillarDate(W22,Trigger),"")</f>
        <v>44673</v>
      </c>
      <c r="AC22" s="83">
        <v>0.90330966820481229</v>
      </c>
    </row>
    <row r="23" spans="1:29" ht="11.25" customHeight="1" x14ac:dyDescent="0.2">
      <c r="A23" s="63" t="s">
        <v>128</v>
      </c>
      <c r="B23" s="127">
        <v>3</v>
      </c>
      <c r="C23" s="67" t="str">
        <f t="shared" si="9"/>
        <v>x15F</v>
      </c>
      <c r="D23" s="136"/>
      <c r="E23" s="136"/>
      <c r="F23" s="136"/>
      <c r="G23" s="65" t="str">
        <f t="shared" si="7"/>
        <v>UsdLibor1Y</v>
      </c>
      <c r="H23" s="130" t="str">
        <f t="shared" si="8"/>
        <v>USD3x15F_Quote</v>
      </c>
      <c r="I23" s="136"/>
      <c r="J23" s="69" t="str">
        <f>_xll.qlFraRateHelper(,H23,B23&amp;"M",G23,PillarDate,,Permanent,Trigger,ObjectOverwrite)</f>
        <v>obj_002d4#0006</v>
      </c>
      <c r="K23" s="52"/>
      <c r="L23" s="11" t="str">
        <f t="shared" si="5"/>
        <v>FRA</v>
      </c>
      <c r="M23" s="105" t="str">
        <f t="shared" si="6"/>
        <v>obj_0030a#0006</v>
      </c>
      <c r="N23" s="159" t="str">
        <f>IFERROR(_xll.qlRateHelperQuoteName(M23,Trigger),"--")</f>
        <v>USD5x17F_Quote</v>
      </c>
      <c r="O23" s="109">
        <f>IFERROR(_xll.qlRateHelperQuoteValue($M23,Trigger),"--")</f>
        <v>1.217E-2</v>
      </c>
      <c r="P23" s="108" t="b">
        <v>1</v>
      </c>
      <c r="Q23" s="105">
        <v>20</v>
      </c>
      <c r="R23" s="105">
        <v>1</v>
      </c>
      <c r="S23" s="110">
        <f>IFERROR(_xll.qlRateHelperEarliestDate(M23,Trigger),"--")</f>
        <v>42635</v>
      </c>
      <c r="T23" s="110">
        <f>IFERROR(_xll.qlRateHelperPillarDate(M23,Trigger),"--")</f>
        <v>43000</v>
      </c>
      <c r="V23" s="4" t="str">
        <f t="shared" si="3"/>
        <v>BasSw</v>
      </c>
      <c r="W23" s="4" t="str">
        <v>obj_0029d</v>
      </c>
      <c r="X23" s="4" t="str">
        <f>IFERROR(_xll.qlRateHelperQuoteName(W23,Trigger),"")</f>
        <v>USDAM3L7Y_S12L3L_Quote</v>
      </c>
      <c r="Y23" s="75">
        <f>IFERROR(_xll.qlRateHelperRate(W23,Trigger),"")</f>
        <v>1.7515484720278255E-2</v>
      </c>
      <c r="Z23" s="11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42482</v>
      </c>
      <c r="AB23" s="5">
        <f>IFERROR(_xll.qlRateHelperPillarDate(W23,Trigger),"")</f>
        <v>45040</v>
      </c>
      <c r="AC23" s="83">
        <v>0.88350456527635779</v>
      </c>
    </row>
    <row r="24" spans="1:29" ht="11.25" customHeight="1" x14ac:dyDescent="0.2">
      <c r="A24" s="63" t="s">
        <v>128</v>
      </c>
      <c r="B24" s="127">
        <v>4</v>
      </c>
      <c r="C24" s="67" t="str">
        <f t="shared" si="9"/>
        <v>x16F</v>
      </c>
      <c r="D24" s="136"/>
      <c r="E24" s="136"/>
      <c r="F24" s="136"/>
      <c r="G24" s="65" t="str">
        <f t="shared" si="7"/>
        <v>UsdLibor1Y</v>
      </c>
      <c r="H24" s="130" t="str">
        <f t="shared" si="8"/>
        <v>USD4x16F_Quote</v>
      </c>
      <c r="I24" s="136"/>
      <c r="J24" s="69" t="str">
        <f>_xll.qlFraRateHelper(,H24,B24&amp;"M",G24,PillarDate,,Permanent,Trigger,ObjectOverwrite)</f>
        <v>obj_00288#0006</v>
      </c>
      <c r="K24" s="52"/>
      <c r="L24" s="11" t="str">
        <f t="shared" si="5"/>
        <v>FRA</v>
      </c>
      <c r="M24" s="105" t="str">
        <f t="shared" si="6"/>
        <v>obj_002ac#0006</v>
      </c>
      <c r="N24" s="159" t="str">
        <f>IFERROR(_xll.qlRateHelperQuoteName(M24,Trigger),"--")</f>
        <v>USD6x18F_Quote</v>
      </c>
      <c r="O24" s="109">
        <f>IFERROR(_xll.qlRateHelperQuoteValue($M24,Trigger),"--")</f>
        <v>1.2319999999999999E-2</v>
      </c>
      <c r="P24" s="108" t="b">
        <v>1</v>
      </c>
      <c r="Q24" s="105">
        <v>20</v>
      </c>
      <c r="R24" s="105">
        <v>1</v>
      </c>
      <c r="S24" s="110">
        <f>IFERROR(_xll.qlRateHelperEarliestDate(M24,Trigger),"--")</f>
        <v>42667</v>
      </c>
      <c r="T24" s="110">
        <f>IFERROR(_xll.qlRateHelperPillarDate(M24,Trigger),"--")</f>
        <v>43031</v>
      </c>
      <c r="V24" s="4" t="str">
        <f t="shared" si="3"/>
        <v>BasSw</v>
      </c>
      <c r="W24" s="4" t="str">
        <v>obj_00305</v>
      </c>
      <c r="X24" s="4" t="str">
        <f>IFERROR(_xll.qlRateHelperQuoteName(W24,Trigger),"")</f>
        <v>USDAM3L8Y_S12L3L_Quote</v>
      </c>
      <c r="Y24" s="75">
        <f>IFERROR(_xll.qlRateHelperRate(W24,Trigger),"")</f>
        <v>1.8210981929439946E-2</v>
      </c>
      <c r="Z24" s="11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42482</v>
      </c>
      <c r="AB24" s="5">
        <f>IFERROR(_xll.qlRateHelperPillarDate(W24,Trigger),"")</f>
        <v>45404</v>
      </c>
      <c r="AC24" s="83">
        <v>0.86309730215303015</v>
      </c>
    </row>
    <row r="25" spans="1:29" ht="11.25" customHeight="1" x14ac:dyDescent="0.2">
      <c r="A25" s="63" t="s">
        <v>128</v>
      </c>
      <c r="B25" s="127">
        <v>5</v>
      </c>
      <c r="C25" s="67" t="str">
        <f t="shared" si="9"/>
        <v>x17F</v>
      </c>
      <c r="D25" s="136"/>
      <c r="E25" s="136"/>
      <c r="F25" s="136"/>
      <c r="G25" s="65" t="str">
        <f t="shared" si="7"/>
        <v>UsdLibor1Y</v>
      </c>
      <c r="H25" s="130" t="str">
        <f t="shared" si="8"/>
        <v>USD5x17F_Quote</v>
      </c>
      <c r="I25" s="136"/>
      <c r="J25" s="69" t="str">
        <f>_xll.qlFraRateHelper(,H25,B25&amp;"M",G25,PillarDate,,Permanent,Trigger,ObjectOverwrite)</f>
        <v>obj_0030a#0006</v>
      </c>
      <c r="K25" s="52"/>
      <c r="L25" s="11" t="str">
        <f t="shared" si="5"/>
        <v>FRA</v>
      </c>
      <c r="M25" s="105" t="str">
        <f t="shared" si="6"/>
        <v>--</v>
      </c>
      <c r="N25" s="159" t="str">
        <f>IFERROR(_xll.qlRateHelperQuoteName(M25,Trigger),"--")</f>
        <v>--</v>
      </c>
      <c r="O25" s="109" t="str">
        <f>IFERROR(_xll.qlRateHelperQuoteValue($M25,Trigger),"--")</f>
        <v>--</v>
      </c>
      <c r="P25" s="108" t="b">
        <v>0</v>
      </c>
      <c r="Q25" s="105">
        <v>20</v>
      </c>
      <c r="R25" s="105">
        <v>1</v>
      </c>
      <c r="S25" s="110" t="str">
        <f>IFERROR(_xll.qlRateHelperEarliestDate(M25,Trigger),"--")</f>
        <v>--</v>
      </c>
      <c r="T25" s="110" t="str">
        <f>IFERROR(_xll.qlRateHelperPillarDate(M25,Trigger),"--")</f>
        <v>--</v>
      </c>
      <c r="V25" s="4" t="str">
        <f t="shared" si="3"/>
        <v>BasSw</v>
      </c>
      <c r="W25" s="4" t="str">
        <v>obj_002d7</v>
      </c>
      <c r="X25" s="4" t="str">
        <f>IFERROR(_xll.qlRateHelperQuoteName(W25,Trigger),"")</f>
        <v>USDAM3L9Y_S12L3L_Quote</v>
      </c>
      <c r="Y25" s="75">
        <f>IFERROR(_xll.qlRateHelperRate(W25,Trigger),"")</f>
        <v>1.8823805879187437E-2</v>
      </c>
      <c r="Z25" s="11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42482</v>
      </c>
      <c r="AB25" s="5">
        <f>IFERROR(_xll.qlRateHelperPillarDate(W25,Trigger),"")</f>
        <v>45769</v>
      </c>
      <c r="AC25" s="83">
        <v>0.84253101304439026</v>
      </c>
    </row>
    <row r="26" spans="1:29" ht="11.25" customHeight="1" x14ac:dyDescent="0.2">
      <c r="A26" s="63" t="s">
        <v>128</v>
      </c>
      <c r="B26" s="127">
        <v>6</v>
      </c>
      <c r="C26" s="67" t="str">
        <f t="shared" si="9"/>
        <v>x18F</v>
      </c>
      <c r="D26" s="136"/>
      <c r="E26" s="136"/>
      <c r="F26" s="136"/>
      <c r="G26" s="65" t="str">
        <f t="shared" si="7"/>
        <v>UsdLibor1Y</v>
      </c>
      <c r="H26" s="130" t="str">
        <f t="shared" si="8"/>
        <v>USD6x18F_Quote</v>
      </c>
      <c r="I26" s="136"/>
      <c r="J26" s="69" t="str">
        <f>_xll.qlFraRateHelper(,H26,B26&amp;"M",G26,PillarDate,,Permanent,Trigger,ObjectOverwrite)</f>
        <v>obj_002ac#0006</v>
      </c>
      <c r="K26" s="52"/>
      <c r="L26" s="11" t="str">
        <f t="shared" si="5"/>
        <v>FRA</v>
      </c>
      <c r="M26" s="105" t="str">
        <f t="shared" si="6"/>
        <v>--</v>
      </c>
      <c r="N26" s="159" t="str">
        <f>IFERROR(_xll.qlRateHelperQuoteName(M26,Trigger),"--")</f>
        <v>--</v>
      </c>
      <c r="O26" s="109" t="str">
        <f>IFERROR(_xll.qlRateHelperQuoteValue($M26,Trigger),"--")</f>
        <v>--</v>
      </c>
      <c r="P26" s="108" t="b">
        <v>0</v>
      </c>
      <c r="Q26" s="105">
        <v>20</v>
      </c>
      <c r="R26" s="105">
        <v>1</v>
      </c>
      <c r="S26" s="110" t="str">
        <f>IFERROR(_xll.qlRateHelperEarliestDate(M26,Trigger),"--")</f>
        <v>--</v>
      </c>
      <c r="T26" s="110" t="str">
        <f>IFERROR(_xll.qlRateHelperPillarDate(M26,Trigger),"--")</f>
        <v>--</v>
      </c>
      <c r="V26" s="4" t="str">
        <f t="shared" si="3"/>
        <v>BasSw</v>
      </c>
      <c r="W26" s="4" t="str">
        <v>obj_00315</v>
      </c>
      <c r="X26" s="4" t="str">
        <f>IFERROR(_xll.qlRateHelperQuoteName(W26,Trigger),"")</f>
        <v>USDAM3L10Y_S12L3L_Quote</v>
      </c>
      <c r="Y26" s="75">
        <f>IFERROR(_xll.qlRateHelperRate(W26,Trigger),"")</f>
        <v>1.9399051646713864E-2</v>
      </c>
      <c r="Z26" s="11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42482</v>
      </c>
      <c r="AB26" s="5">
        <f>IFERROR(_xll.qlRateHelperPillarDate(W26,Trigger),"")</f>
        <v>46134</v>
      </c>
      <c r="AC26" s="83">
        <v>0.82169404504166521</v>
      </c>
    </row>
    <row r="27" spans="1:29" ht="11.25" customHeight="1" x14ac:dyDescent="0.2">
      <c r="A27" s="63" t="s">
        <v>128</v>
      </c>
      <c r="B27" s="127">
        <v>7</v>
      </c>
      <c r="C27" s="67" t="str">
        <f t="shared" si="9"/>
        <v>x19F</v>
      </c>
      <c r="D27" s="136"/>
      <c r="E27" s="136"/>
      <c r="F27" s="136"/>
      <c r="G27" s="65" t="str">
        <f t="shared" si="7"/>
        <v>UsdLibor1Y</v>
      </c>
      <c r="H27" s="130" t="str">
        <f t="shared" si="8"/>
        <v>USD7x19F_Quote</v>
      </c>
      <c r="I27" s="136"/>
      <c r="J27" s="69"/>
      <c r="K27" s="52"/>
      <c r="L27" s="11" t="str">
        <f t="shared" si="5"/>
        <v>FRA</v>
      </c>
      <c r="M27" s="105" t="str">
        <f t="shared" si="6"/>
        <v>obj_002e3#0006</v>
      </c>
      <c r="N27" s="159" t="str">
        <f>IFERROR(_xll.qlRateHelperQuoteName(M27,Trigger),"--")</f>
        <v>USD9x21F_Quote</v>
      </c>
      <c r="O27" s="109">
        <f>IFERROR(_xll.qlRateHelperQuoteValue($M27,Trigger),"--")</f>
        <v>1.2840000000000001E-2</v>
      </c>
      <c r="P27" s="108" t="b">
        <v>1</v>
      </c>
      <c r="Q27" s="105">
        <v>20</v>
      </c>
      <c r="R27" s="105">
        <v>1</v>
      </c>
      <c r="S27" s="110">
        <f>IFERROR(_xll.qlRateHelperEarliestDate(M27,Trigger),"--")</f>
        <v>42758</v>
      </c>
      <c r="T27" s="110">
        <f>IFERROR(_xll.qlRateHelperPillarDate(M27,Trigger),"--")</f>
        <v>43122</v>
      </c>
      <c r="V27" s="4" t="str">
        <f t="shared" si="3"/>
        <v>BasSw</v>
      </c>
      <c r="W27" s="4" t="str">
        <v>obj_002be</v>
      </c>
      <c r="X27" s="4" t="str">
        <f>IFERROR(_xll.qlRateHelperQuoteName(W27,Trigger),"")</f>
        <v>USDAM3L11Y_S12L3L_Quote</v>
      </c>
      <c r="Y27" s="75">
        <f>IFERROR(_xll.qlRateHelperRate(W27,Trigger),"")</f>
        <v>2.0059994872302006E-2</v>
      </c>
      <c r="Z27" s="11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42482</v>
      </c>
      <c r="AB27" s="5">
        <f>IFERROR(_xll.qlRateHelperPillarDate(W27,Trigger),"")</f>
        <v>46499</v>
      </c>
      <c r="AC27" s="83">
        <v>0.79955235667875146</v>
      </c>
    </row>
    <row r="28" spans="1:29" ht="11.25" customHeight="1" x14ac:dyDescent="0.2">
      <c r="A28" s="63" t="s">
        <v>128</v>
      </c>
      <c r="B28" s="127">
        <v>8</v>
      </c>
      <c r="C28" s="67" t="str">
        <f t="shared" si="9"/>
        <v>x20F</v>
      </c>
      <c r="D28" s="136"/>
      <c r="E28" s="136"/>
      <c r="F28" s="136"/>
      <c r="G28" s="65" t="str">
        <f t="shared" si="7"/>
        <v>UsdLibor1Y</v>
      </c>
      <c r="H28" s="130" t="str">
        <f t="shared" si="8"/>
        <v>USD8x20F_Quote</v>
      </c>
      <c r="I28" s="136"/>
      <c r="J28" s="69"/>
      <c r="K28" s="52"/>
      <c r="L28" s="11" t="str">
        <f t="shared" si="5"/>
        <v>FRA</v>
      </c>
      <c r="M28" s="105" t="str">
        <f t="shared" si="6"/>
        <v>--</v>
      </c>
      <c r="N28" s="159" t="str">
        <f>IFERROR(_xll.qlRateHelperQuoteName(M28,Trigger),"--")</f>
        <v>--</v>
      </c>
      <c r="O28" s="109" t="str">
        <f>IFERROR(_xll.qlRateHelperQuoteValue($M28,Trigger),"--")</f>
        <v>--</v>
      </c>
      <c r="P28" s="108" t="b">
        <v>0</v>
      </c>
      <c r="Q28" s="105">
        <v>20</v>
      </c>
      <c r="R28" s="105">
        <v>1</v>
      </c>
      <c r="S28" s="110" t="str">
        <f>IFERROR(_xll.qlRateHelperEarliestDate(M28,Trigger),"--")</f>
        <v>--</v>
      </c>
      <c r="T28" s="110" t="str">
        <f>IFERROR(_xll.qlRateHelperPillarDate(M28,Trigger),"--")</f>
        <v>--</v>
      </c>
      <c r="V28" s="4" t="str">
        <f t="shared" si="3"/>
        <v>BasSw</v>
      </c>
      <c r="W28" s="4" t="str">
        <v>obj_00302</v>
      </c>
      <c r="X28" s="4" t="str">
        <f>IFERROR(_xll.qlRateHelperQuoteName(W28,Trigger),"")</f>
        <v>USDAM3L12Y_S12L3L_Quote</v>
      </c>
      <c r="Y28" s="75">
        <f>IFERROR(_xll.qlRateHelperRate(W28,Trigger),"")</f>
        <v>2.0663337626321481E-2</v>
      </c>
      <c r="Z28" s="11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42482</v>
      </c>
      <c r="AB28" s="5">
        <f>IFERROR(_xll.qlRateHelperPillarDate(W28,Trigger),"")</f>
        <v>46867</v>
      </c>
      <c r="AC28" s="83">
        <v>0.77732030967984544</v>
      </c>
    </row>
    <row r="29" spans="1:29" ht="11.25" customHeight="1" x14ac:dyDescent="0.2">
      <c r="A29" s="63" t="s">
        <v>128</v>
      </c>
      <c r="B29" s="127">
        <v>9</v>
      </c>
      <c r="C29" s="67" t="str">
        <f t="shared" si="9"/>
        <v>x21F</v>
      </c>
      <c r="D29" s="136"/>
      <c r="E29" s="136"/>
      <c r="F29" s="136"/>
      <c r="G29" s="65" t="str">
        <f t="shared" si="7"/>
        <v>UsdLibor1Y</v>
      </c>
      <c r="H29" s="130" t="str">
        <f t="shared" si="8"/>
        <v>USD9x21F_Quote</v>
      </c>
      <c r="I29" s="136"/>
      <c r="J29" s="69" t="str">
        <f>_xll.qlFraRateHelper(,H29,B29&amp;"M",G29,PillarDate,,Permanent,Trigger,ObjectOverwrite)</f>
        <v>obj_002e3#0006</v>
      </c>
      <c r="K29" s="52"/>
      <c r="L29" s="11" t="str">
        <f t="shared" si="5"/>
        <v>FRA</v>
      </c>
      <c r="M29" s="105" t="str">
        <f t="shared" si="6"/>
        <v>--</v>
      </c>
      <c r="N29" s="159" t="str">
        <f>IFERROR(_xll.qlRateHelperQuoteName(M29,Trigger),"--")</f>
        <v>--</v>
      </c>
      <c r="O29" s="109" t="str">
        <f>IFERROR(_xll.qlRateHelperQuoteValue($M29,Trigger),"--")</f>
        <v>--</v>
      </c>
      <c r="P29" s="108" t="b">
        <v>0</v>
      </c>
      <c r="Q29" s="105">
        <v>20</v>
      </c>
      <c r="R29" s="105">
        <v>1</v>
      </c>
      <c r="S29" s="110" t="str">
        <f>IFERROR(_xll.qlRateHelperEarliestDate(M29,Trigger),"--")</f>
        <v>--</v>
      </c>
      <c r="T29" s="110" t="str">
        <f>IFERROR(_xll.qlRateHelperPillarDate(M29,Trigger),"--")</f>
        <v>--</v>
      </c>
      <c r="V29" s="4" t="str">
        <f t="shared" si="3"/>
        <v>BasSw</v>
      </c>
      <c r="W29" s="4" t="str">
        <v>obj_002a2</v>
      </c>
      <c r="X29" s="4" t="str">
        <f>IFERROR(_xll.qlRateHelperQuoteName(W29,Trigger),"")</f>
        <v>USDAM3L13Y_S12L3L_Quote</v>
      </c>
      <c r="Y29" s="75">
        <f>IFERROR(_xll.qlRateHelperRate(W29,Trigger),"")</f>
        <v>2.1186032047341458E-2</v>
      </c>
      <c r="Z29" s="11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42482</v>
      </c>
      <c r="AB29" s="5">
        <f>IFERROR(_xll.qlRateHelperPillarDate(W29,Trigger),"")</f>
        <v>47231</v>
      </c>
      <c r="AC29" s="83">
        <v>0.75572086020478457</v>
      </c>
    </row>
    <row r="30" spans="1:29" ht="11.25" customHeight="1" x14ac:dyDescent="0.2">
      <c r="A30" s="63" t="s">
        <v>128</v>
      </c>
      <c r="B30" s="127">
        <v>10</v>
      </c>
      <c r="C30" s="67" t="str">
        <f t="shared" si="9"/>
        <v>x22F</v>
      </c>
      <c r="D30" s="136"/>
      <c r="E30" s="136"/>
      <c r="F30" s="136"/>
      <c r="G30" s="65" t="str">
        <f t="shared" si="7"/>
        <v>UsdLibor1Y</v>
      </c>
      <c r="H30" s="130" t="str">
        <f t="shared" ref="H30:H44" si="10">Currency&amp;B30&amp;C30&amp;QuoteSuffix</f>
        <v>USD10x22F_Quote</v>
      </c>
      <c r="I30" s="136"/>
      <c r="J30" s="69"/>
      <c r="K30" s="52"/>
      <c r="L30" s="11" t="str">
        <f t="shared" si="5"/>
        <v>FRA</v>
      </c>
      <c r="M30" s="105" t="str">
        <f t="shared" si="6"/>
        <v>obj_00301#0006</v>
      </c>
      <c r="N30" s="159" t="str">
        <f>IFERROR(_xll.qlRateHelperQuoteName(M30,Trigger),"--")</f>
        <v>USD12x24F_Quote</v>
      </c>
      <c r="O30" s="109">
        <f>IFERROR(_xll.qlRateHelperQuoteValue($M30,Trigger),"--")</f>
        <v>1.3309999999999999E-2</v>
      </c>
      <c r="P30" s="108" t="b">
        <v>1</v>
      </c>
      <c r="Q30" s="105">
        <v>20</v>
      </c>
      <c r="R30" s="105">
        <v>1</v>
      </c>
      <c r="S30" s="110">
        <f>IFERROR(_xll.qlRateHelperEarliestDate(M30,Trigger),"--")</f>
        <v>42849</v>
      </c>
      <c r="T30" s="110">
        <f>IFERROR(_xll.qlRateHelperPillarDate(M30,Trigger),"--")</f>
        <v>43213</v>
      </c>
      <c r="V30" s="4" t="str">
        <f t="shared" si="3"/>
        <v>BasSw</v>
      </c>
      <c r="W30" s="4" t="str">
        <v>obj_0028b</v>
      </c>
      <c r="X30" s="4" t="str">
        <f>IFERROR(_xll.qlRateHelperQuoteName(W30,Trigger),"")</f>
        <v>USDAM3L14Y_S12L3L_Quote</v>
      </c>
      <c r="Y30" s="75">
        <f>IFERROR(_xll.qlRateHelperRate(W30,Trigger),"")</f>
        <v>2.1651192393256483E-2</v>
      </c>
      <c r="Z30" s="11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42482</v>
      </c>
      <c r="AB30" s="5">
        <f>IFERROR(_xll.qlRateHelperPillarDate(W30,Trigger),"")</f>
        <v>47596</v>
      </c>
      <c r="AC30" s="83">
        <v>0.73446659716286877</v>
      </c>
    </row>
    <row r="31" spans="1:29" ht="11.25" customHeight="1" x14ac:dyDescent="0.2">
      <c r="A31" s="63" t="s">
        <v>128</v>
      </c>
      <c r="B31" s="127">
        <v>11</v>
      </c>
      <c r="C31" s="67" t="str">
        <f t="shared" si="9"/>
        <v>x23F</v>
      </c>
      <c r="D31" s="136"/>
      <c r="E31" s="136"/>
      <c r="F31" s="136"/>
      <c r="G31" s="65" t="str">
        <f t="shared" si="7"/>
        <v>UsdLibor1Y</v>
      </c>
      <c r="H31" s="130" t="str">
        <f t="shared" si="10"/>
        <v>USD11x23F_Quote</v>
      </c>
      <c r="I31" s="136"/>
      <c r="J31" s="69"/>
      <c r="K31" s="52"/>
      <c r="L31" s="11" t="str">
        <f t="shared" si="5"/>
        <v>FRA</v>
      </c>
      <c r="M31" s="105" t="str">
        <f t="shared" si="6"/>
        <v>--</v>
      </c>
      <c r="N31" s="159" t="str">
        <f>IFERROR(_xll.qlRateHelperQuoteName(M31,Trigger),"--")</f>
        <v>--</v>
      </c>
      <c r="O31" s="109" t="str">
        <f>IFERROR(_xll.qlRateHelperQuoteValue($M31,Trigger),"--")</f>
        <v>--</v>
      </c>
      <c r="P31" s="108" t="b">
        <v>0</v>
      </c>
      <c r="Q31" s="105">
        <v>40</v>
      </c>
      <c r="R31" s="105">
        <v>1</v>
      </c>
      <c r="S31" s="110" t="str">
        <f>IFERROR(_xll.qlRateHelperEarliestDate(M31,Trigger),"--")</f>
        <v>--</v>
      </c>
      <c r="T31" s="110" t="str">
        <f>IFERROR(_xll.qlRateHelperPillarDate(M31,Trigger),"--")</f>
        <v>--</v>
      </c>
      <c r="V31" s="4" t="str">
        <f t="shared" si="3"/>
        <v>BasSw</v>
      </c>
      <c r="W31" s="4" t="str">
        <v>obj_002c8</v>
      </c>
      <c r="X31" s="4" t="str">
        <f>IFERROR(_xll.qlRateHelperQuoteName(W31,Trigger),"")</f>
        <v>USDAM3L15Y_S12L3L_Quote</v>
      </c>
      <c r="Y31" s="75">
        <f>IFERROR(_xll.qlRateHelperRate(W31,Trigger),"")</f>
        <v>2.2060600612511978E-2</v>
      </c>
      <c r="Z31" s="11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42482</v>
      </c>
      <c r="AB31" s="5">
        <f>IFERROR(_xll.qlRateHelperPillarDate(W31,Trigger),"")</f>
        <v>47960</v>
      </c>
      <c r="AC31" s="83">
        <v>0.71376130525827652</v>
      </c>
    </row>
    <row r="32" spans="1:29" ht="11.25" customHeight="1" x14ac:dyDescent="0.2">
      <c r="A32" s="63" t="s">
        <v>128</v>
      </c>
      <c r="B32" s="127">
        <v>12</v>
      </c>
      <c r="C32" s="67" t="str">
        <f t="shared" si="9"/>
        <v>x24F</v>
      </c>
      <c r="D32" s="136"/>
      <c r="E32" s="136"/>
      <c r="F32" s="136"/>
      <c r="G32" s="65" t="str">
        <f t="shared" si="7"/>
        <v>UsdLibor1Y</v>
      </c>
      <c r="H32" s="130" t="str">
        <f t="shared" si="10"/>
        <v>USD12x24F_Quote</v>
      </c>
      <c r="I32" s="136"/>
      <c r="J32" s="69" t="str">
        <f>_xll.qlFraRateHelper(,H32,B32&amp;"M",G32,PillarDate,,Permanent,Trigger,ObjectOverwrite)</f>
        <v>obj_00301#0006</v>
      </c>
      <c r="K32" s="52"/>
      <c r="L32" s="11" t="str">
        <f t="shared" si="5"/>
        <v>FRA</v>
      </c>
      <c r="M32" s="105" t="str">
        <f t="shared" si="6"/>
        <v>--</v>
      </c>
      <c r="N32" s="159" t="str">
        <f>IFERROR(_xll.qlRateHelperQuoteName(M32,Trigger),"--")</f>
        <v>--</v>
      </c>
      <c r="O32" s="109" t="str">
        <f>IFERROR(_xll.qlRateHelperQuoteValue($M32,Trigger),"--")</f>
        <v>--</v>
      </c>
      <c r="P32" s="108" t="b">
        <v>0</v>
      </c>
      <c r="Q32" s="105">
        <v>40</v>
      </c>
      <c r="R32" s="105">
        <v>1</v>
      </c>
      <c r="S32" s="110" t="str">
        <f>IFERROR(_xll.qlRateHelperEarliestDate(M32,Trigger),"--")</f>
        <v>--</v>
      </c>
      <c r="T32" s="110" t="str">
        <f>IFERROR(_xll.qlRateHelperPillarDate(M32,Trigger),"--")</f>
        <v>--</v>
      </c>
      <c r="V32" s="4" t="str">
        <f t="shared" si="3"/>
        <v>BasSw</v>
      </c>
      <c r="W32" s="4" t="str">
        <v>obj_00309</v>
      </c>
      <c r="X32" s="4" t="str">
        <f>IFERROR(_xll.qlRateHelperQuoteName(W32,Trigger),"")</f>
        <v>USDAM3L20Y_S12L3L_Quote</v>
      </c>
      <c r="Y32" s="75">
        <f>IFERROR(_xll.qlRateHelperRate(W32,Trigger),"")</f>
        <v>2.3445421835756635E-2</v>
      </c>
      <c r="Z32" s="11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42482</v>
      </c>
      <c r="AB32" s="5">
        <f>IFERROR(_xll.qlRateHelperPillarDate(W32,Trigger),"")</f>
        <v>49787</v>
      </c>
      <c r="AC32" s="83">
        <v>0.61893995416534808</v>
      </c>
    </row>
    <row r="33" spans="1:29" ht="11.25" customHeight="1" x14ac:dyDescent="0.2">
      <c r="A33" s="63" t="s">
        <v>128</v>
      </c>
      <c r="B33" s="127">
        <v>13</v>
      </c>
      <c r="C33" s="67" t="str">
        <f t="shared" si="9"/>
        <v>x25F</v>
      </c>
      <c r="D33" s="136"/>
      <c r="E33" s="136"/>
      <c r="F33" s="136"/>
      <c r="G33" s="65" t="str">
        <f t="shared" si="7"/>
        <v>UsdLibor1Y</v>
      </c>
      <c r="H33" s="130" t="str">
        <f t="shared" si="10"/>
        <v>USD13x25F_Quote</v>
      </c>
      <c r="I33" s="136"/>
      <c r="J33" s="69"/>
      <c r="K33" s="52"/>
      <c r="L33" s="11" t="str">
        <f t="shared" si="5"/>
        <v>FRA</v>
      </c>
      <c r="M33" s="105" t="str">
        <f t="shared" si="6"/>
        <v>--</v>
      </c>
      <c r="N33" s="159" t="str">
        <f>IFERROR(_xll.qlRateHelperQuoteName(M33,Trigger),"--")</f>
        <v>--</v>
      </c>
      <c r="O33" s="109" t="str">
        <f>IFERROR(_xll.qlRateHelperQuoteValue($M33,Trigger),"--")</f>
        <v>--</v>
      </c>
      <c r="P33" s="108" t="b">
        <v>0</v>
      </c>
      <c r="Q33" s="105">
        <v>40</v>
      </c>
      <c r="R33" s="105">
        <v>1</v>
      </c>
      <c r="S33" s="110" t="str">
        <f>IFERROR(_xll.qlRateHelperEarliestDate(M33,Trigger),"--")</f>
        <v>--</v>
      </c>
      <c r="T33" s="110" t="str">
        <f>IFERROR(_xll.qlRateHelperPillarDate(M33,Trigger),"--")</f>
        <v>--</v>
      </c>
      <c r="V33" s="4" t="str">
        <f t="shared" si="3"/>
        <v>BasSw</v>
      </c>
      <c r="W33" s="4" t="str">
        <v>obj_002d5</v>
      </c>
      <c r="X33" s="4" t="str">
        <f>IFERROR(_xll.qlRateHelperQuoteName(W33,Trigger),"")</f>
        <v>USDAM3L25Y_S12L3L_Quote</v>
      </c>
      <c r="Y33" s="75">
        <f>IFERROR(_xll.qlRateHelperRate(W33,Trigger),"")</f>
        <v>2.4159182420098346E-2</v>
      </c>
      <c r="Z33" s="11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42482</v>
      </c>
      <c r="AB33" s="5">
        <f>IFERROR(_xll.qlRateHelperPillarDate(W33,Trigger),"")</f>
        <v>51614</v>
      </c>
      <c r="AC33" s="83">
        <v>0.53845905249827941</v>
      </c>
    </row>
    <row r="34" spans="1:29" ht="11.25" customHeight="1" x14ac:dyDescent="0.2">
      <c r="A34" s="63" t="s">
        <v>128</v>
      </c>
      <c r="B34" s="127">
        <v>14</v>
      </c>
      <c r="C34" s="67" t="str">
        <f t="shared" si="9"/>
        <v>x26F</v>
      </c>
      <c r="D34" s="136"/>
      <c r="E34" s="136"/>
      <c r="F34" s="136"/>
      <c r="G34" s="65" t="str">
        <f t="shared" si="7"/>
        <v>UsdLibor1Y</v>
      </c>
      <c r="H34" s="130" t="str">
        <f t="shared" si="10"/>
        <v>USD14x26F_Quote</v>
      </c>
      <c r="I34" s="136"/>
      <c r="J34" s="69"/>
      <c r="K34" s="52"/>
      <c r="L34" s="11" t="str">
        <f t="shared" si="5"/>
        <v>FRA</v>
      </c>
      <c r="M34" s="105" t="str">
        <f t="shared" si="6"/>
        <v>--</v>
      </c>
      <c r="N34" s="159" t="str">
        <f>IFERROR(_xll.qlRateHelperQuoteName(M34,Trigger),"--")</f>
        <v>--</v>
      </c>
      <c r="O34" s="109" t="str">
        <f>IFERROR(_xll.qlRateHelperQuoteValue($M34,Trigger),"--")</f>
        <v>--</v>
      </c>
      <c r="P34" s="108" t="b">
        <v>0</v>
      </c>
      <c r="Q34" s="105">
        <v>40</v>
      </c>
      <c r="R34" s="105">
        <v>1</v>
      </c>
      <c r="S34" s="110" t="str">
        <f>IFERROR(_xll.qlRateHelperEarliestDate(M34,Trigger),"--")</f>
        <v>--</v>
      </c>
      <c r="T34" s="110" t="str">
        <f>IFERROR(_xll.qlRateHelperPillarDate(M34,Trigger),"--")</f>
        <v>--</v>
      </c>
      <c r="V34" s="4" t="str">
        <f t="shared" si="3"/>
        <v>BasSw</v>
      </c>
      <c r="W34" s="4" t="str">
        <v>obj_00295</v>
      </c>
      <c r="X34" s="4" t="str">
        <f>IFERROR(_xll.qlRateHelperQuoteName(W34,Trigger),"")</f>
        <v>USDAM3L30Y_S12L3L_Quote</v>
      </c>
      <c r="Y34" s="75">
        <f>IFERROR(_xll.qlRateHelperRate(W34,Trigger),"")</f>
        <v>2.4580006180790349E-2</v>
      </c>
      <c r="Z34" s="11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42482</v>
      </c>
      <c r="AB34" s="5">
        <f>IFERROR(_xll.qlRateHelperPillarDate(W34,Trigger),"")</f>
        <v>53440</v>
      </c>
      <c r="AC34" s="83">
        <v>0.4693919604888826</v>
      </c>
    </row>
    <row r="35" spans="1:29" ht="11.25" customHeight="1" x14ac:dyDescent="0.2">
      <c r="A35" s="63" t="s">
        <v>128</v>
      </c>
      <c r="B35" s="127">
        <v>15</v>
      </c>
      <c r="C35" s="67" t="str">
        <f t="shared" si="9"/>
        <v>x27F</v>
      </c>
      <c r="D35" s="136"/>
      <c r="E35" s="136"/>
      <c r="F35" s="136"/>
      <c r="G35" s="65" t="str">
        <f t="shared" si="7"/>
        <v>UsdLibor1Y</v>
      </c>
      <c r="H35" s="130" t="str">
        <f t="shared" si="10"/>
        <v>USD15x27F_Quote</v>
      </c>
      <c r="I35" s="136"/>
      <c r="J35" s="69"/>
      <c r="K35" s="52"/>
      <c r="L35" s="11" t="str">
        <f t="shared" si="5"/>
        <v>FRA</v>
      </c>
      <c r="M35" s="105" t="str">
        <f t="shared" si="6"/>
        <v>--</v>
      </c>
      <c r="N35" s="159" t="str">
        <f>IFERROR(_xll.qlRateHelperQuoteName(M35,Trigger),"--")</f>
        <v>--</v>
      </c>
      <c r="O35" s="109" t="str">
        <f>IFERROR(_xll.qlRateHelperQuoteValue($M35,Trigger),"--")</f>
        <v>--</v>
      </c>
      <c r="P35" s="108" t="b">
        <v>0</v>
      </c>
      <c r="Q35" s="105">
        <v>40</v>
      </c>
      <c r="R35" s="105">
        <v>1</v>
      </c>
      <c r="S35" s="110" t="str">
        <f>IFERROR(_xll.qlRateHelperEarliestDate(M35,Trigger),"--")</f>
        <v>--</v>
      </c>
      <c r="T35" s="110" t="str">
        <f>IFERROR(_xll.qlRateHelperPillarDate(M35,Trigger),"--")</f>
        <v>--</v>
      </c>
      <c r="V35" s="4" t="str">
        <f t="shared" si="3"/>
        <v>BasSw</v>
      </c>
      <c r="W35" s="4" t="str">
        <v>obj_002c4</v>
      </c>
      <c r="X35" s="4" t="str">
        <f>IFERROR(_xll.qlRateHelperQuoteName(W35,Trigger),"")</f>
        <v>USDAM3L35Y_S12L3L_Quote</v>
      </c>
      <c r="Y35" s="75">
        <f>IFERROR(_xll.qlRateHelperRate(W35,Trigger),"")</f>
        <v>2.4727023210823196E-2</v>
      </c>
      <c r="Z35" s="115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42482</v>
      </c>
      <c r="AB35" s="5">
        <f>IFERROR(_xll.qlRateHelperPillarDate(W35,Trigger),"")</f>
        <v>55267</v>
      </c>
      <c r="AC35" s="83">
        <v>0.41211578538488053</v>
      </c>
    </row>
    <row r="36" spans="1:29" ht="11.25" customHeight="1" x14ac:dyDescent="0.2">
      <c r="A36" s="63" t="s">
        <v>128</v>
      </c>
      <c r="B36" s="127">
        <v>16</v>
      </c>
      <c r="C36" s="67" t="str">
        <f t="shared" si="9"/>
        <v>x28F</v>
      </c>
      <c r="D36" s="136"/>
      <c r="E36" s="136"/>
      <c r="F36" s="136"/>
      <c r="G36" s="65" t="str">
        <f t="shared" si="7"/>
        <v>UsdLibor1Y</v>
      </c>
      <c r="H36" s="130" t="str">
        <f t="shared" si="10"/>
        <v>USD16x28F_Quote</v>
      </c>
      <c r="I36" s="136"/>
      <c r="J36" s="69"/>
      <c r="K36" s="52"/>
      <c r="L36" s="11" t="str">
        <f t="shared" si="5"/>
        <v>FRA</v>
      </c>
      <c r="M36" s="105" t="str">
        <f t="shared" si="6"/>
        <v>--</v>
      </c>
      <c r="N36" s="159" t="str">
        <f>IFERROR(_xll.qlRateHelperQuoteName(M36,Trigger),"--")</f>
        <v>--</v>
      </c>
      <c r="O36" s="109" t="str">
        <f>IFERROR(_xll.qlRateHelperQuoteValue($M36,Trigger),"--")</f>
        <v>--</v>
      </c>
      <c r="P36" s="108" t="b">
        <v>0</v>
      </c>
      <c r="Q36" s="105">
        <v>40</v>
      </c>
      <c r="R36" s="105">
        <v>1</v>
      </c>
      <c r="S36" s="110" t="str">
        <f>IFERROR(_xll.qlRateHelperEarliestDate(M36,Trigger),"--")</f>
        <v>--</v>
      </c>
      <c r="T36" s="110" t="str">
        <f>IFERROR(_xll.qlRateHelperPillarDate(M36,Trigger),"--")</f>
        <v>--</v>
      </c>
      <c r="V36" s="4" t="str">
        <f t="shared" si="3"/>
        <v>BasSw</v>
      </c>
      <c r="W36" s="4" t="str">
        <v>obj_002a7</v>
      </c>
      <c r="X36" s="4" t="str">
        <f>IFERROR(_xll.qlRateHelperQuoteName(W36,Trigger),"")</f>
        <v>USDAM3L40Y_S12L3L_Quote</v>
      </c>
      <c r="Y36" s="75">
        <f>IFERROR(_xll.qlRateHelperRate(W36,Trigger),"")</f>
        <v>2.4739976848695278E-2</v>
      </c>
      <c r="Z36" s="115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42482</v>
      </c>
      <c r="AB36" s="5">
        <f>IFERROR(_xll.qlRateHelperPillarDate(W36,Trigger),"")</f>
        <v>57094</v>
      </c>
      <c r="AC36" s="83">
        <v>0.36381995237646086</v>
      </c>
    </row>
    <row r="37" spans="1:29" ht="11.25" customHeight="1" x14ac:dyDescent="0.2">
      <c r="A37" s="63" t="s">
        <v>128</v>
      </c>
      <c r="B37" s="127">
        <v>17</v>
      </c>
      <c r="C37" s="67" t="str">
        <f t="shared" si="9"/>
        <v>x29F</v>
      </c>
      <c r="D37" s="136"/>
      <c r="E37" s="136"/>
      <c r="F37" s="136"/>
      <c r="G37" s="65" t="str">
        <f t="shared" si="7"/>
        <v>UsdLibor1Y</v>
      </c>
      <c r="H37" s="130" t="str">
        <f t="shared" si="10"/>
        <v>USD17x29F_Quote</v>
      </c>
      <c r="I37" s="136"/>
      <c r="J37" s="69"/>
      <c r="K37" s="52"/>
      <c r="L37" s="11" t="str">
        <f t="shared" si="5"/>
        <v>FRA</v>
      </c>
      <c r="M37" s="105" t="str">
        <f t="shared" si="6"/>
        <v>--</v>
      </c>
      <c r="N37" s="159" t="str">
        <f>IFERROR(_xll.qlRateHelperQuoteName(M37,Trigger),"--")</f>
        <v>--</v>
      </c>
      <c r="O37" s="109" t="str">
        <f>IFERROR(_xll.qlRateHelperQuoteValue($M37,Trigger),"--")</f>
        <v>--</v>
      </c>
      <c r="P37" s="108" t="b">
        <v>0</v>
      </c>
      <c r="Q37" s="105">
        <v>40</v>
      </c>
      <c r="R37" s="105">
        <v>1</v>
      </c>
      <c r="S37" s="110" t="str">
        <f>IFERROR(_xll.qlRateHelperEarliestDate(M37,Trigger),"--")</f>
        <v>--</v>
      </c>
      <c r="T37" s="110" t="str">
        <f>IFERROR(_xll.qlRateHelperPillarDate(M37,Trigger),"--")</f>
        <v>--</v>
      </c>
      <c r="V37" s="4" t="str">
        <f t="shared" si="3"/>
        <v>BasSw</v>
      </c>
      <c r="W37" s="4" t="str">
        <v>obj_002ae</v>
      </c>
      <c r="X37" s="4" t="str">
        <f>IFERROR(_xll.qlRateHelperQuoteName(W37,Trigger),"")</f>
        <v>USDAM3L50Y_S12L3L_Quote</v>
      </c>
      <c r="Y37" s="75">
        <f>IFERROR(_xll.qlRateHelperRate(W37,Trigger),"")</f>
        <v>2.4619523959414875E-2</v>
      </c>
      <c r="Z37" s="115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42482</v>
      </c>
      <c r="AB37" s="5">
        <f>IFERROR(_xll.qlRateHelperPillarDate(W37,Trigger),"")</f>
        <v>60744</v>
      </c>
      <c r="AC37" s="83">
        <v>0.28654528301440368</v>
      </c>
    </row>
    <row r="38" spans="1:29" ht="11.25" customHeight="1" x14ac:dyDescent="0.2">
      <c r="A38" s="63" t="s">
        <v>128</v>
      </c>
      <c r="B38" s="127">
        <v>18</v>
      </c>
      <c r="C38" s="67" t="str">
        <f t="shared" si="9"/>
        <v>x30F</v>
      </c>
      <c r="D38" s="136"/>
      <c r="E38" s="136"/>
      <c r="F38" s="136"/>
      <c r="G38" s="65" t="str">
        <f t="shared" si="7"/>
        <v>UsdLibor1Y</v>
      </c>
      <c r="H38" s="130" t="str">
        <f t="shared" si="10"/>
        <v>USD18x30F_Quote</v>
      </c>
      <c r="I38" s="136"/>
      <c r="J38" s="69"/>
      <c r="K38" s="52"/>
      <c r="L38" s="11" t="str">
        <f t="shared" si="5"/>
        <v>FRA</v>
      </c>
      <c r="M38" s="105" t="str">
        <f t="shared" si="6"/>
        <v>--</v>
      </c>
      <c r="N38" s="159" t="str">
        <f>IFERROR(_xll.qlRateHelperQuoteName(M38,Trigger),"--")</f>
        <v>--</v>
      </c>
      <c r="O38" s="109" t="str">
        <f>IFERROR(_xll.qlRateHelperQuoteValue($M38,Trigger),"--")</f>
        <v>--</v>
      </c>
      <c r="P38" s="108" t="b">
        <v>0</v>
      </c>
      <c r="Q38" s="105">
        <v>40</v>
      </c>
      <c r="R38" s="105">
        <v>1</v>
      </c>
      <c r="S38" s="110" t="str">
        <f>IFERROR(_xll.qlRateHelperEarliestDate(M38,Trigger),"--")</f>
        <v>--</v>
      </c>
      <c r="T38" s="110" t="str">
        <f>IFERROR(_xll.qlRateHelperPillarDate(M38,Trigger),"--")</f>
        <v>--</v>
      </c>
      <c r="V38" s="4" t="str">
        <f t="shared" si="3"/>
        <v>BasSw</v>
      </c>
      <c r="W38" s="4" t="str">
        <v>obj_00316</v>
      </c>
      <c r="X38" s="4" t="str">
        <f>IFERROR(_xll.qlRateHelperQuoteName(W38,Trigger),"")</f>
        <v>USDAM3L60Y_S12L3L_Quote</v>
      </c>
      <c r="Y38" s="75">
        <f>IFERROR(_xll.qlRateHelperRate(W38,Trigger),"")</f>
        <v>2.4508459593707881E-2</v>
      </c>
      <c r="Z38" s="115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42482</v>
      </c>
      <c r="AB38" s="5">
        <f>IFERROR(_xll.qlRateHelperPillarDate(W38,Trigger),"")</f>
        <v>64397</v>
      </c>
      <c r="AC38" s="83">
        <v>0.22627274892729055</v>
      </c>
    </row>
    <row r="39" spans="1:29" ht="11.25" customHeight="1" x14ac:dyDescent="0.2">
      <c r="A39" s="63" t="s">
        <v>128</v>
      </c>
      <c r="B39" s="127">
        <v>19</v>
      </c>
      <c r="C39" s="67" t="str">
        <f t="shared" si="9"/>
        <v>x31F</v>
      </c>
      <c r="D39" s="136"/>
      <c r="E39" s="136"/>
      <c r="F39" s="136"/>
      <c r="G39" s="65" t="str">
        <f t="shared" si="7"/>
        <v>UsdLibor1Y</v>
      </c>
      <c r="H39" s="130" t="str">
        <f t="shared" si="10"/>
        <v>USD19x31F_Quote</v>
      </c>
      <c r="I39" s="136"/>
      <c r="J39" s="69"/>
      <c r="K39" s="52"/>
      <c r="L39" s="11" t="str">
        <f t="shared" si="5"/>
        <v>FRA</v>
      </c>
      <c r="M39" s="105" t="str">
        <f t="shared" si="6"/>
        <v>--</v>
      </c>
      <c r="N39" s="159" t="str">
        <f>IFERROR(_xll.qlRateHelperQuoteName(M39,Trigger),"--")</f>
        <v>--</v>
      </c>
      <c r="O39" s="109" t="str">
        <f>IFERROR(_xll.qlRateHelperQuoteValue($M39,Trigger),"--")</f>
        <v>--</v>
      </c>
      <c r="P39" s="108" t="b">
        <v>0</v>
      </c>
      <c r="Q39" s="105">
        <v>40</v>
      </c>
      <c r="R39" s="105">
        <v>1</v>
      </c>
      <c r="S39" s="110" t="str">
        <f>IFERROR(_xll.qlRateHelperEarliestDate(M39,Trigger),"--")</f>
        <v>--</v>
      </c>
      <c r="T39" s="110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5" t="str">
        <f>IFERROR(_xll.qlRateHelperRate(W39,Trigger),"")</f>
        <v/>
      </c>
      <c r="Z39" s="11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3" t="e">
        <v>#N/A</v>
      </c>
    </row>
    <row r="40" spans="1:29" ht="11.25" customHeight="1" x14ac:dyDescent="0.2">
      <c r="A40" s="63" t="s">
        <v>128</v>
      </c>
      <c r="B40" s="127">
        <v>20</v>
      </c>
      <c r="C40" s="67" t="str">
        <f t="shared" si="9"/>
        <v>x32F</v>
      </c>
      <c r="D40" s="136"/>
      <c r="E40" s="136"/>
      <c r="F40" s="136"/>
      <c r="G40" s="65" t="str">
        <f t="shared" si="7"/>
        <v>UsdLibor1Y</v>
      </c>
      <c r="H40" s="130" t="str">
        <f t="shared" si="10"/>
        <v>USD20x32F_Quote</v>
      </c>
      <c r="I40" s="136"/>
      <c r="J40" s="69"/>
      <c r="K40" s="52"/>
      <c r="L40" s="11" t="str">
        <f t="shared" si="5"/>
        <v>FRA</v>
      </c>
      <c r="M40" s="105" t="str">
        <f t="shared" si="6"/>
        <v>--</v>
      </c>
      <c r="N40" s="159" t="str">
        <f>IFERROR(_xll.qlRateHelperQuoteName(M40,Trigger),"--")</f>
        <v>--</v>
      </c>
      <c r="O40" s="109" t="str">
        <f>IFERROR(_xll.qlRateHelperQuoteValue($M40,Trigger),"--")</f>
        <v>--</v>
      </c>
      <c r="P40" s="108" t="b">
        <v>0</v>
      </c>
      <c r="Q40" s="105">
        <v>40</v>
      </c>
      <c r="R40" s="105">
        <v>1</v>
      </c>
      <c r="S40" s="110" t="str">
        <f>IFERROR(_xll.qlRateHelperEarliestDate(M40,Trigger),"--")</f>
        <v>--</v>
      </c>
      <c r="T40" s="110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5" t="str">
        <f>IFERROR(_xll.qlRateHelperRate(W40,Trigger),"")</f>
        <v/>
      </c>
      <c r="Z40" s="11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3" t="e">
        <v>#N/A</v>
      </c>
    </row>
    <row r="41" spans="1:29" ht="11.25" customHeight="1" x14ac:dyDescent="0.2">
      <c r="A41" s="63" t="s">
        <v>128</v>
      </c>
      <c r="B41" s="127">
        <v>21</v>
      </c>
      <c r="C41" s="67" t="str">
        <f t="shared" si="9"/>
        <v>x33F</v>
      </c>
      <c r="D41" s="136"/>
      <c r="E41" s="136"/>
      <c r="F41" s="136"/>
      <c r="G41" s="65" t="str">
        <f t="shared" si="7"/>
        <v>UsdLibor1Y</v>
      </c>
      <c r="H41" s="130" t="str">
        <f t="shared" si="10"/>
        <v>USD21x33F_Quote</v>
      </c>
      <c r="I41" s="136"/>
      <c r="J41" s="69"/>
      <c r="L41" s="11" t="str">
        <f t="shared" si="5"/>
        <v>FRA</v>
      </c>
      <c r="M41" s="105" t="str">
        <f t="shared" si="6"/>
        <v>--</v>
      </c>
      <c r="N41" s="159" t="str">
        <f>IFERROR(_xll.qlRateHelperQuoteName(M41,Trigger),"--")</f>
        <v>--</v>
      </c>
      <c r="O41" s="109" t="str">
        <f>IFERROR(_xll.qlRateHelperQuoteValue($M41,Trigger),"--")</f>
        <v>--</v>
      </c>
      <c r="P41" s="108" t="b">
        <v>0</v>
      </c>
      <c r="Q41" s="105">
        <v>40</v>
      </c>
      <c r="R41" s="105">
        <v>1</v>
      </c>
      <c r="S41" s="110" t="str">
        <f>IFERROR(_xll.qlRateHelperEarliestDate(M41,Trigger),"--")</f>
        <v>--</v>
      </c>
      <c r="T41" s="110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5" t="str">
        <f>IFERROR(_xll.qlRateHelperRate(W41,Trigger),"")</f>
        <v/>
      </c>
      <c r="Z41" s="11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3" t="e">
        <v>#N/A</v>
      </c>
    </row>
    <row r="42" spans="1:29" ht="11.25" customHeight="1" x14ac:dyDescent="0.2">
      <c r="A42" s="63" t="s">
        <v>128</v>
      </c>
      <c r="B42" s="127">
        <v>22</v>
      </c>
      <c r="C42" s="67" t="str">
        <f t="shared" si="9"/>
        <v>x34F</v>
      </c>
      <c r="D42" s="136"/>
      <c r="E42" s="136"/>
      <c r="F42" s="136"/>
      <c r="G42" s="65" t="str">
        <f t="shared" si="7"/>
        <v>UsdLibor1Y</v>
      </c>
      <c r="H42" s="130" t="str">
        <f t="shared" si="10"/>
        <v>USD22x34F_Quote</v>
      </c>
      <c r="I42" s="136"/>
      <c r="J42" s="69"/>
      <c r="L42" s="12" t="str">
        <f t="shared" si="5"/>
        <v>FRA</v>
      </c>
      <c r="M42" s="106" t="str">
        <f t="shared" si="6"/>
        <v>--</v>
      </c>
      <c r="N42" s="160" t="str">
        <f>IFERROR(_xll.qlRateHelperQuoteName(M42,Trigger),"--")</f>
        <v>--</v>
      </c>
      <c r="O42" s="112" t="str">
        <f>IFERROR(_xll.qlRateHelperQuoteValue($M42,Trigger),"--")</f>
        <v>--</v>
      </c>
      <c r="P42" s="111" t="b">
        <v>0</v>
      </c>
      <c r="Q42" s="106">
        <v>40</v>
      </c>
      <c r="R42" s="106">
        <v>1</v>
      </c>
      <c r="S42" s="113" t="str">
        <f>IFERROR(_xll.qlRateHelperEarliestDate(M42,Trigger),"--")</f>
        <v>--</v>
      </c>
      <c r="T42" s="113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5" t="str">
        <f>IFERROR(_xll.qlRateHelperRate(W42,Trigger),"")</f>
        <v/>
      </c>
      <c r="Z42" s="11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3" t="e">
        <v>#N/A</v>
      </c>
    </row>
    <row r="43" spans="1:29" ht="11.25" customHeight="1" x14ac:dyDescent="0.2">
      <c r="A43" s="63" t="s">
        <v>128</v>
      </c>
      <c r="B43" s="127">
        <v>23</v>
      </c>
      <c r="C43" s="67" t="str">
        <f t="shared" si="9"/>
        <v>x35F</v>
      </c>
      <c r="D43" s="136"/>
      <c r="E43" s="136"/>
      <c r="F43" s="136"/>
      <c r="G43" s="65" t="str">
        <f t="shared" si="7"/>
        <v>UsdLibor1Y</v>
      </c>
      <c r="H43" s="130" t="str">
        <f t="shared" si="10"/>
        <v>USD23x35F_Quote</v>
      </c>
      <c r="I43" s="136"/>
      <c r="J43" s="69"/>
      <c r="L43" s="73" t="str">
        <f>A47</f>
        <v>BasSw</v>
      </c>
      <c r="M43" s="144" t="str">
        <f>IF(ISBLANK(J47),"--",J47)</f>
        <v>--</v>
      </c>
      <c r="N43" s="158" t="str">
        <f>IFERROR(_xll.qlRateHelperQuoteName(M43,Trigger),"--")</f>
        <v>--</v>
      </c>
      <c r="O43" s="146" t="str">
        <f>IFERROR(_xll.qlRateHelperQuoteValue($M43,Trigger),"--")</f>
        <v>--</v>
      </c>
      <c r="P43" s="145" t="b">
        <v>0</v>
      </c>
      <c r="Q43" s="144">
        <v>40</v>
      </c>
      <c r="R43" s="144">
        <v>1</v>
      </c>
      <c r="S43" s="147" t="str">
        <f>IFERROR(_xll.qlRateHelperEarliestDate(M43,Trigger),"--")</f>
        <v>--</v>
      </c>
      <c r="T43" s="147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5" t="str">
        <f>IFERROR(_xll.qlRateHelperRate(W43,Trigger),"")</f>
        <v/>
      </c>
      <c r="Z43" s="11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3" t="e">
        <v>#N/A</v>
      </c>
    </row>
    <row r="44" spans="1:29" ht="11.25" customHeight="1" x14ac:dyDescent="0.2">
      <c r="A44" s="1" t="s">
        <v>128</v>
      </c>
      <c r="B44" s="128">
        <v>24</v>
      </c>
      <c r="C44" s="10" t="str">
        <f t="shared" si="9"/>
        <v>x36F</v>
      </c>
      <c r="D44" s="137"/>
      <c r="E44" s="137"/>
      <c r="F44" s="137"/>
      <c r="G44" s="7" t="str">
        <f t="shared" si="7"/>
        <v>UsdLibor1Y</v>
      </c>
      <c r="H44" s="131" t="str">
        <f t="shared" si="10"/>
        <v>USD24x36F_Quote</v>
      </c>
      <c r="I44" s="137"/>
      <c r="J44" s="3"/>
      <c r="L44" s="11" t="str">
        <f t="shared" ref="L44:L78" si="11">A48</f>
        <v>BasSw</v>
      </c>
      <c r="M44" s="105" t="str">
        <f t="shared" ref="M44:M78" si="12">IF(ISBLANK(J48),"--",J48)</f>
        <v>obj_002eb#0006</v>
      </c>
      <c r="N44" s="159" t="str">
        <f>IFERROR(_xll.qlRateHelperQuoteName(M44,Trigger),"--")</f>
        <v>USDAM3L2Y_S12L3L_Quote</v>
      </c>
      <c r="O44" s="109">
        <f>IFERROR(_xll.qlRateHelperQuoteValue($M44,Trigger),"--")</f>
        <v>1.3251945202747974E-2</v>
      </c>
      <c r="P44" s="108" t="b">
        <v>1</v>
      </c>
      <c r="Q44" s="105">
        <v>40</v>
      </c>
      <c r="R44" s="105">
        <v>7</v>
      </c>
      <c r="S44" s="110">
        <f>IFERROR(_xll.qlRateHelperEarliestDate(M44,Trigger),"--")</f>
        <v>42482</v>
      </c>
      <c r="T44" s="110">
        <f>IFERROR(_xll.qlRateHelperPillarDate(M44,Trigger),"--")</f>
        <v>43213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5" t="str">
        <f>IFERROR(_xll.qlRateHelperRate(W44,Trigger),"")</f>
        <v/>
      </c>
      <c r="Z44" s="11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3" t="e">
        <v>#N/A</v>
      </c>
    </row>
    <row r="45" spans="1:29" ht="11.25" customHeight="1" x14ac:dyDescent="0.2">
      <c r="B45" s="50"/>
      <c r="C45" s="50"/>
      <c r="D45" s="50"/>
      <c r="E45" s="50"/>
      <c r="F45" s="50" t="s">
        <v>150</v>
      </c>
      <c r="G45" s="50" t="s">
        <v>149</v>
      </c>
      <c r="H45" s="50" t="s">
        <v>161</v>
      </c>
      <c r="L45" s="11" t="str">
        <f t="shared" si="11"/>
        <v>BasSw</v>
      </c>
      <c r="M45" s="105" t="str">
        <f t="shared" si="12"/>
        <v>obj_002db#0006</v>
      </c>
      <c r="N45" s="159" t="str">
        <f>IFERROR(_xll.qlRateHelperQuoteName(M45,Trigger),"--")</f>
        <v>USDAM3L3Y_S12L3L_Quote</v>
      </c>
      <c r="O45" s="109">
        <f>IFERROR(_xll.qlRateHelperQuoteValue($M45,Trigger),"--")</f>
        <v>1.4131934179495492E-2</v>
      </c>
      <c r="P45" s="108" t="b">
        <v>1</v>
      </c>
      <c r="Q45" s="105">
        <v>40</v>
      </c>
      <c r="R45" s="105">
        <v>1</v>
      </c>
      <c r="S45" s="110">
        <f>IFERROR(_xll.qlRateHelperEarliestDate(M45,Trigger),"--")</f>
        <v>42482</v>
      </c>
      <c r="T45" s="110">
        <f>IFERROR(_xll.qlRateHelperPillarDate(M45,Trigger),"--")</f>
        <v>43578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5" t="str">
        <f>IFERROR(_xll.qlRateHelperRate(W45,Trigger),"")</f>
        <v/>
      </c>
      <c r="Z45" s="11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3" t="e">
        <v>#N/A</v>
      </c>
    </row>
    <row r="46" spans="1:29" ht="11.25" customHeight="1" x14ac:dyDescent="0.2">
      <c r="A46" s="70" t="s">
        <v>9</v>
      </c>
      <c r="B46" s="70" t="s">
        <v>30</v>
      </c>
      <c r="C46" s="70" t="s">
        <v>151</v>
      </c>
      <c r="D46" s="70" t="s">
        <v>5</v>
      </c>
      <c r="E46" s="70" t="s">
        <v>35</v>
      </c>
      <c r="F46" s="70" t="s">
        <v>152</v>
      </c>
      <c r="G46" s="70" t="s">
        <v>4</v>
      </c>
      <c r="H46" s="70" t="s">
        <v>1</v>
      </c>
      <c r="I46" s="70" t="s">
        <v>148</v>
      </c>
      <c r="J46" s="70" t="s">
        <v>25</v>
      </c>
      <c r="L46" s="11" t="str">
        <f t="shared" si="11"/>
        <v>BasSw</v>
      </c>
      <c r="M46" s="105" t="str">
        <f t="shared" si="12"/>
        <v>obj_00299#0006</v>
      </c>
      <c r="N46" s="159" t="str">
        <f>IFERROR(_xll.qlRateHelperQuoteName(M46,Trigger),"--")</f>
        <v>USDAM3L4Y_S12L3L_Quote</v>
      </c>
      <c r="O46" s="109">
        <f>IFERROR(_xll.qlRateHelperQuoteValue($M46,Trigger),"--")</f>
        <v>1.5028066280066274E-2</v>
      </c>
      <c r="P46" s="108" t="b">
        <v>1</v>
      </c>
      <c r="Q46" s="105">
        <v>40</v>
      </c>
      <c r="R46" s="105">
        <v>1</v>
      </c>
      <c r="S46" s="110">
        <f>IFERROR(_xll.qlRateHelperEarliestDate(M46,Trigger),"--")</f>
        <v>42482</v>
      </c>
      <c r="T46" s="110">
        <f>IFERROR(_xll.qlRateHelperPillarDate(M46,Trigger),"--")</f>
        <v>43943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5" t="str">
        <f>IFERROR(_xll.qlRateHelperRate(W46,Trigger),"")</f>
        <v/>
      </c>
      <c r="Z46" s="11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3" t="e">
        <v>#N/A</v>
      </c>
    </row>
    <row r="47" spans="1:29" ht="11.25" customHeight="1" x14ac:dyDescent="0.2">
      <c r="A47" s="57" t="s">
        <v>160</v>
      </c>
      <c r="B47" s="58" t="s">
        <v>29</v>
      </c>
      <c r="C47" s="59" t="s">
        <v>6</v>
      </c>
      <c r="D47" s="59" t="s">
        <v>8</v>
      </c>
      <c r="E47" s="59" t="s">
        <v>7</v>
      </c>
      <c r="F47" s="59" t="s">
        <v>28</v>
      </c>
      <c r="G47" s="59" t="str">
        <f t="shared" ref="G47:G82" si="13">PROPER(Currency)&amp;FamilyName&amp;Tenor</f>
        <v>UsdLibor1Y</v>
      </c>
      <c r="H47" s="57" t="str">
        <f t="shared" ref="H47:H82" si="14">Currency&amp;$G$45&amp;$F$45&amp;$B47&amp;"_S"&amp;$H$45&amp;$F$45&amp;QuoteSuffix</f>
        <v>USDAM3L1Y_S12L3L_Quote</v>
      </c>
      <c r="I47" s="139">
        <v>0</v>
      </c>
      <c r="J47" s="69"/>
      <c r="L47" s="11" t="str">
        <f t="shared" si="11"/>
        <v>BasSw</v>
      </c>
      <c r="M47" s="105" t="str">
        <f t="shared" si="12"/>
        <v>obj_00308#0006</v>
      </c>
      <c r="N47" s="159" t="str">
        <f>IFERROR(_xll.qlRateHelperQuoteName(M47,Trigger),"--")</f>
        <v>USDAM3L5Y_S12L3L_Quote</v>
      </c>
      <c r="O47" s="109">
        <f>IFERROR(_xll.qlRateHelperQuoteValue($M47,Trigger),"--")</f>
        <v>1.5999404770846763E-2</v>
      </c>
      <c r="P47" s="108" t="b">
        <v>1</v>
      </c>
      <c r="Q47" s="105">
        <v>40</v>
      </c>
      <c r="R47" s="105">
        <v>1</v>
      </c>
      <c r="S47" s="110">
        <f>IFERROR(_xll.qlRateHelperEarliestDate(M47,Trigger),"--")</f>
        <v>42482</v>
      </c>
      <c r="T47" s="110">
        <f>IFERROR(_xll.qlRateHelperPillarDate(M47,Trigger),"--")</f>
        <v>44308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5" t="str">
        <f>IFERROR(_xll.qlRateHelperRate(W47,Trigger),"")</f>
        <v/>
      </c>
      <c r="Z47" s="11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3" t="e">
        <v>#N/A</v>
      </c>
    </row>
    <row r="48" spans="1:29" ht="11.25" customHeight="1" x14ac:dyDescent="0.2">
      <c r="A48" s="63" t="s">
        <v>160</v>
      </c>
      <c r="B48" s="64" t="s">
        <v>72</v>
      </c>
      <c r="C48" s="65" t="s">
        <v>6</v>
      </c>
      <c r="D48" s="65" t="s">
        <v>8</v>
      </c>
      <c r="E48" s="65" t="s">
        <v>7</v>
      </c>
      <c r="F48" s="65" t="s">
        <v>28</v>
      </c>
      <c r="G48" s="65" t="str">
        <f t="shared" si="13"/>
        <v>UsdLibor1Y</v>
      </c>
      <c r="H48" s="63" t="str">
        <f t="shared" si="14"/>
        <v>USDAM3L2Y_S12L3L_Quote</v>
      </c>
      <c r="I48" s="140">
        <v>0</v>
      </c>
      <c r="J48" s="69" t="str">
        <f>_xll.qlSwapRateHelper2(,H48,,B48,JoinCalendar,USD1Y!D48,USD1Y!E48,USD1Y!F48,USD1Y!G48,USD1Y!I48,USD1Y!C48,Discounting,PillarDate,,Permanent,Trigger,ObjectOverwrite)</f>
        <v>obj_002eb#0006</v>
      </c>
      <c r="L48" s="11" t="str">
        <f t="shared" si="11"/>
        <v>BasSw</v>
      </c>
      <c r="M48" s="105" t="str">
        <f t="shared" si="12"/>
        <v>obj_002d9#0006</v>
      </c>
      <c r="N48" s="159" t="str">
        <f>IFERROR(_xll.qlRateHelperQuoteName(M48,Trigger),"--")</f>
        <v>USDAM3L6Y_S12L3L_Quote</v>
      </c>
      <c r="O48" s="109">
        <f>IFERROR(_xll.qlRateHelperQuoteValue($M48,Trigger),"--")</f>
        <v>1.6800087591375905E-2</v>
      </c>
      <c r="P48" s="108" t="b">
        <v>1</v>
      </c>
      <c r="Q48" s="105">
        <v>40</v>
      </c>
      <c r="R48" s="105">
        <v>1</v>
      </c>
      <c r="S48" s="110">
        <f>IFERROR(_xll.qlRateHelperEarliestDate(M48,Trigger),"--")</f>
        <v>42482</v>
      </c>
      <c r="T48" s="110">
        <f>IFERROR(_xll.qlRateHelperPillarDate(M48,Trigger),"--")</f>
        <v>44673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5" t="str">
        <f>IFERROR(_xll.qlRateHelperRate(W48,Trigger),"")</f>
        <v/>
      </c>
      <c r="Z48" s="11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3" t="e">
        <v>#N/A</v>
      </c>
    </row>
    <row r="49" spans="1:29" ht="11.25" customHeight="1" x14ac:dyDescent="0.2">
      <c r="A49" s="63" t="s">
        <v>160</v>
      </c>
      <c r="B49" s="64" t="s">
        <v>76</v>
      </c>
      <c r="C49" s="65" t="s">
        <v>6</v>
      </c>
      <c r="D49" s="65" t="s">
        <v>8</v>
      </c>
      <c r="E49" s="65" t="s">
        <v>7</v>
      </c>
      <c r="F49" s="65" t="s">
        <v>28</v>
      </c>
      <c r="G49" s="65" t="str">
        <f t="shared" si="13"/>
        <v>UsdLibor1Y</v>
      </c>
      <c r="H49" s="63" t="str">
        <f t="shared" si="14"/>
        <v>USDAM3L3Y_S12L3L_Quote</v>
      </c>
      <c r="I49" s="140">
        <v>0</v>
      </c>
      <c r="J49" s="69" t="str">
        <f>_xll.qlSwapRateHelper2(,H49,,B49,JoinCalendar,USD1Y!D49,USD1Y!E49,USD1Y!F49,USD1Y!G49,USD1Y!I49,USD1Y!C49,Discounting,PillarDate,,Permanent,Trigger,ObjectOverwrite)</f>
        <v>obj_002db#0006</v>
      </c>
      <c r="L49" s="11" t="str">
        <f t="shared" si="11"/>
        <v>BasSw</v>
      </c>
      <c r="M49" s="105" t="str">
        <f t="shared" si="12"/>
        <v>obj_0029d#0006</v>
      </c>
      <c r="N49" s="159" t="str">
        <f>IFERROR(_xll.qlRateHelperQuoteName(M49,Trigger),"--")</f>
        <v>USDAM3L7Y_S12L3L_Quote</v>
      </c>
      <c r="O49" s="109">
        <f>IFERROR(_xll.qlRateHelperQuoteValue($M49,Trigger),"--")</f>
        <v>1.7515484720278255E-2</v>
      </c>
      <c r="P49" s="108" t="b">
        <v>1</v>
      </c>
      <c r="Q49" s="105">
        <v>40</v>
      </c>
      <c r="R49" s="105">
        <v>1</v>
      </c>
      <c r="S49" s="110">
        <f>IFERROR(_xll.qlRateHelperEarliestDate(M49,Trigger),"--")</f>
        <v>42482</v>
      </c>
      <c r="T49" s="110">
        <f>IFERROR(_xll.qlRateHelperPillarDate(M49,Trigger),"--")</f>
        <v>45040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5" t="str">
        <f>IFERROR(_xll.qlRateHelperRate(W49,Trigger),"")</f>
        <v/>
      </c>
      <c r="Z49" s="11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3" t="e">
        <v>#N/A</v>
      </c>
    </row>
    <row r="50" spans="1:29" ht="11.25" customHeight="1" x14ac:dyDescent="0.2">
      <c r="A50" s="63" t="s">
        <v>160</v>
      </c>
      <c r="B50" s="64" t="s">
        <v>80</v>
      </c>
      <c r="C50" s="65" t="s">
        <v>6</v>
      </c>
      <c r="D50" s="65" t="s">
        <v>8</v>
      </c>
      <c r="E50" s="65" t="s">
        <v>7</v>
      </c>
      <c r="F50" s="65" t="s">
        <v>28</v>
      </c>
      <c r="G50" s="65" t="str">
        <f t="shared" si="13"/>
        <v>UsdLibor1Y</v>
      </c>
      <c r="H50" s="63" t="str">
        <f t="shared" si="14"/>
        <v>USDAM3L4Y_S12L3L_Quote</v>
      </c>
      <c r="I50" s="140">
        <v>0</v>
      </c>
      <c r="J50" s="69" t="str">
        <f>_xll.qlSwapRateHelper2(,H50,,B50,JoinCalendar,USD1Y!D50,USD1Y!E50,USD1Y!F50,USD1Y!G50,USD1Y!I50,USD1Y!C50,Discounting,PillarDate,,Permanent,Trigger,ObjectOverwrite)</f>
        <v>obj_00299#0006</v>
      </c>
      <c r="L50" s="11" t="str">
        <f t="shared" si="11"/>
        <v>BasSw</v>
      </c>
      <c r="M50" s="105" t="str">
        <f t="shared" si="12"/>
        <v>obj_00305#0006</v>
      </c>
      <c r="N50" s="159" t="str">
        <f>IFERROR(_xll.qlRateHelperQuoteName(M50,Trigger),"--")</f>
        <v>USDAM3L8Y_S12L3L_Quote</v>
      </c>
      <c r="O50" s="109">
        <f>IFERROR(_xll.qlRateHelperQuoteValue($M50,Trigger),"--")</f>
        <v>1.8210981929439946E-2</v>
      </c>
      <c r="P50" s="108" t="b">
        <v>1</v>
      </c>
      <c r="Q50" s="105">
        <v>40</v>
      </c>
      <c r="R50" s="105">
        <v>1</v>
      </c>
      <c r="S50" s="110">
        <f>IFERROR(_xll.qlRateHelperEarliestDate(M50,Trigger),"--")</f>
        <v>42482</v>
      </c>
      <c r="T50" s="110">
        <f>IFERROR(_xll.qlRateHelperPillarDate(M50,Trigger),"--")</f>
        <v>45404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5" t="str">
        <f>IFERROR(_xll.qlRateHelperRate(W50,Trigger),"")</f>
        <v/>
      </c>
      <c r="Z50" s="11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3" t="e">
        <v>#N/A</v>
      </c>
    </row>
    <row r="51" spans="1:29" ht="11.25" customHeight="1" x14ac:dyDescent="0.2">
      <c r="A51" s="63" t="s">
        <v>160</v>
      </c>
      <c r="B51" s="64" t="s">
        <v>84</v>
      </c>
      <c r="C51" s="65" t="s">
        <v>6</v>
      </c>
      <c r="D51" s="65" t="s">
        <v>8</v>
      </c>
      <c r="E51" s="65" t="s">
        <v>7</v>
      </c>
      <c r="F51" s="65" t="s">
        <v>28</v>
      </c>
      <c r="G51" s="65" t="str">
        <f t="shared" si="13"/>
        <v>UsdLibor1Y</v>
      </c>
      <c r="H51" s="63" t="str">
        <f t="shared" si="14"/>
        <v>USDAM3L5Y_S12L3L_Quote</v>
      </c>
      <c r="I51" s="140">
        <v>0</v>
      </c>
      <c r="J51" s="69" t="str">
        <f>_xll.qlSwapRateHelper2(,H51,,B51,JoinCalendar,USD1Y!D51,USD1Y!E51,USD1Y!F51,USD1Y!G51,USD1Y!I51,USD1Y!C51,Discounting,PillarDate,,Permanent,Trigger,ObjectOverwrite)</f>
        <v>obj_00308#0006</v>
      </c>
      <c r="L51" s="11" t="str">
        <f t="shared" si="11"/>
        <v>BasSw</v>
      </c>
      <c r="M51" s="105" t="str">
        <f t="shared" si="12"/>
        <v>obj_002d7#0006</v>
      </c>
      <c r="N51" s="159" t="str">
        <f>IFERROR(_xll.qlRateHelperQuoteName(M51,Trigger),"--")</f>
        <v>USDAM3L9Y_S12L3L_Quote</v>
      </c>
      <c r="O51" s="109">
        <f>IFERROR(_xll.qlRateHelperQuoteValue($M51,Trigger),"--")</f>
        <v>1.8823805879187437E-2</v>
      </c>
      <c r="P51" s="108" t="b">
        <v>1</v>
      </c>
      <c r="Q51" s="105">
        <v>40</v>
      </c>
      <c r="R51" s="105">
        <v>1</v>
      </c>
      <c r="S51" s="110">
        <f>IFERROR(_xll.qlRateHelperEarliestDate(M51,Trigger),"--")</f>
        <v>42482</v>
      </c>
      <c r="T51" s="110">
        <f>IFERROR(_xll.qlRateHelperPillarDate(M51,Trigger),"--")</f>
        <v>45769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5" t="str">
        <f>IFERROR(_xll.qlRateHelperRate(W51,Trigger),"")</f>
        <v/>
      </c>
      <c r="Z51" s="11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3" t="e">
        <v>#N/A</v>
      </c>
    </row>
    <row r="52" spans="1:29" ht="11.25" customHeight="1" x14ac:dyDescent="0.2">
      <c r="A52" s="63" t="s">
        <v>160</v>
      </c>
      <c r="B52" s="64" t="s">
        <v>85</v>
      </c>
      <c r="C52" s="65" t="s">
        <v>6</v>
      </c>
      <c r="D52" s="65" t="s">
        <v>8</v>
      </c>
      <c r="E52" s="65" t="s">
        <v>7</v>
      </c>
      <c r="F52" s="65" t="s">
        <v>28</v>
      </c>
      <c r="G52" s="65" t="str">
        <f t="shared" si="13"/>
        <v>UsdLibor1Y</v>
      </c>
      <c r="H52" s="63" t="str">
        <f t="shared" si="14"/>
        <v>USDAM3L6Y_S12L3L_Quote</v>
      </c>
      <c r="I52" s="140">
        <v>0</v>
      </c>
      <c r="J52" s="69" t="str">
        <f>_xll.qlSwapRateHelper2(,H52,,B52,JoinCalendar,USD1Y!D52,USD1Y!E52,USD1Y!F52,USD1Y!G52,USD1Y!I52,USD1Y!C52,Discounting,PillarDate,,Permanent,Trigger,ObjectOverwrite)</f>
        <v>obj_002d9#0006</v>
      </c>
      <c r="L52" s="11" t="str">
        <f t="shared" si="11"/>
        <v>BasSw</v>
      </c>
      <c r="M52" s="105" t="str">
        <f t="shared" si="12"/>
        <v>obj_00315#0006</v>
      </c>
      <c r="N52" s="159" t="str">
        <f>IFERROR(_xll.qlRateHelperQuoteName(M52,Trigger),"--")</f>
        <v>USDAM3L10Y_S12L3L_Quote</v>
      </c>
      <c r="O52" s="109">
        <f>IFERROR(_xll.qlRateHelperQuoteValue($M52,Trigger),"--")</f>
        <v>1.9399051646713864E-2</v>
      </c>
      <c r="P52" s="108" t="b">
        <v>1</v>
      </c>
      <c r="Q52" s="105">
        <v>40</v>
      </c>
      <c r="R52" s="105">
        <v>1</v>
      </c>
      <c r="S52" s="110">
        <f>IFERROR(_xll.qlRateHelperEarliestDate(M52,Trigger),"--")</f>
        <v>42482</v>
      </c>
      <c r="T52" s="110">
        <f>IFERROR(_xll.qlRateHelperPillarDate(M52,Trigger),"--")</f>
        <v>46134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5" t="str">
        <f>IFERROR(_xll.qlRateHelperRate(W52,Trigger),"")</f>
        <v/>
      </c>
      <c r="Z52" s="11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3" t="e">
        <v>#N/A</v>
      </c>
    </row>
    <row r="53" spans="1:29" ht="11.25" customHeight="1" x14ac:dyDescent="0.2">
      <c r="A53" s="63" t="s">
        <v>160</v>
      </c>
      <c r="B53" s="64" t="s">
        <v>86</v>
      </c>
      <c r="C53" s="65" t="s">
        <v>6</v>
      </c>
      <c r="D53" s="65" t="s">
        <v>8</v>
      </c>
      <c r="E53" s="65" t="s">
        <v>7</v>
      </c>
      <c r="F53" s="65" t="s">
        <v>28</v>
      </c>
      <c r="G53" s="65" t="str">
        <f t="shared" si="13"/>
        <v>UsdLibor1Y</v>
      </c>
      <c r="H53" s="63" t="str">
        <f t="shared" si="14"/>
        <v>USDAM3L7Y_S12L3L_Quote</v>
      </c>
      <c r="I53" s="140">
        <v>0</v>
      </c>
      <c r="J53" s="69" t="str">
        <f>_xll.qlSwapRateHelper2(,H53,,B53,JoinCalendar,USD1Y!D53,USD1Y!E53,USD1Y!F53,USD1Y!G53,USD1Y!I53,USD1Y!C53,Discounting,PillarDate,,Permanent,Trigger,ObjectOverwrite)</f>
        <v>obj_0029d#0006</v>
      </c>
      <c r="L53" s="11" t="str">
        <f t="shared" si="11"/>
        <v>BasSw</v>
      </c>
      <c r="M53" s="105" t="str">
        <f t="shared" si="12"/>
        <v>obj_002be#0006</v>
      </c>
      <c r="N53" s="159" t="str">
        <f>IFERROR(_xll.qlRateHelperQuoteName(M53,Trigger),"--")</f>
        <v>USDAM3L11Y_S12L3L_Quote</v>
      </c>
      <c r="O53" s="109">
        <f>IFERROR(_xll.qlRateHelperQuoteValue($M53,Trigger),"--")</f>
        <v>2.0059994872302006E-2</v>
      </c>
      <c r="P53" s="108" t="b">
        <v>1</v>
      </c>
      <c r="Q53" s="105">
        <v>40</v>
      </c>
      <c r="R53" s="105">
        <v>1</v>
      </c>
      <c r="S53" s="110">
        <f>IFERROR(_xll.qlRateHelperEarliestDate(M53,Trigger),"--")</f>
        <v>42482</v>
      </c>
      <c r="T53" s="110">
        <f>IFERROR(_xll.qlRateHelperPillarDate(M53,Trigger),"--")</f>
        <v>46499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5" t="str">
        <f>IFERROR(_xll.qlRateHelperRate(W53,Trigger),"")</f>
        <v/>
      </c>
      <c r="Z53" s="11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3" t="e">
        <v>#N/A</v>
      </c>
    </row>
    <row r="54" spans="1:29" ht="11.25" customHeight="1" x14ac:dyDescent="0.2">
      <c r="A54" s="63" t="s">
        <v>160</v>
      </c>
      <c r="B54" s="64" t="s">
        <v>87</v>
      </c>
      <c r="C54" s="65" t="s">
        <v>6</v>
      </c>
      <c r="D54" s="65" t="s">
        <v>8</v>
      </c>
      <c r="E54" s="65" t="s">
        <v>7</v>
      </c>
      <c r="F54" s="65" t="s">
        <v>28</v>
      </c>
      <c r="G54" s="65" t="str">
        <f t="shared" si="13"/>
        <v>UsdLibor1Y</v>
      </c>
      <c r="H54" s="63" t="str">
        <f t="shared" si="14"/>
        <v>USDAM3L8Y_S12L3L_Quote</v>
      </c>
      <c r="I54" s="140">
        <v>0</v>
      </c>
      <c r="J54" s="69" t="str">
        <f>_xll.qlSwapRateHelper2(,H54,,B54,JoinCalendar,USD1Y!D54,USD1Y!E54,USD1Y!F54,USD1Y!G54,USD1Y!I54,USD1Y!C54,Discounting,PillarDate,,Permanent,Trigger,ObjectOverwrite)</f>
        <v>obj_00305#0006</v>
      </c>
      <c r="L54" s="11" t="str">
        <f t="shared" si="11"/>
        <v>BasSw</v>
      </c>
      <c r="M54" s="105" t="str">
        <f t="shared" si="12"/>
        <v>obj_00302#0006</v>
      </c>
      <c r="N54" s="159" t="str">
        <f>IFERROR(_xll.qlRateHelperQuoteName(M54,Trigger),"--")</f>
        <v>USDAM3L12Y_S12L3L_Quote</v>
      </c>
      <c r="O54" s="109">
        <f>IFERROR(_xll.qlRateHelperQuoteValue($M54,Trigger),"--")</f>
        <v>2.0663337626321481E-2</v>
      </c>
      <c r="P54" s="108" t="b">
        <v>1</v>
      </c>
      <c r="Q54" s="105">
        <v>40</v>
      </c>
      <c r="R54" s="105">
        <v>1</v>
      </c>
      <c r="S54" s="110">
        <f>IFERROR(_xll.qlRateHelperEarliestDate(M54,Trigger),"--")</f>
        <v>42482</v>
      </c>
      <c r="T54" s="110">
        <f>IFERROR(_xll.qlRateHelperPillarDate(M54,Trigger),"--")</f>
        <v>46867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5" t="str">
        <f>IFERROR(_xll.qlRateHelperRate(W54,Trigger),"")</f>
        <v/>
      </c>
      <c r="Z54" s="11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3" t="e">
        <v>#N/A</v>
      </c>
    </row>
    <row r="55" spans="1:29" ht="11.25" customHeight="1" x14ac:dyDescent="0.2">
      <c r="A55" s="63" t="s">
        <v>160</v>
      </c>
      <c r="B55" s="64" t="s">
        <v>88</v>
      </c>
      <c r="C55" s="65" t="s">
        <v>6</v>
      </c>
      <c r="D55" s="65" t="s">
        <v>8</v>
      </c>
      <c r="E55" s="65" t="s">
        <v>7</v>
      </c>
      <c r="F55" s="65" t="s">
        <v>28</v>
      </c>
      <c r="G55" s="65" t="str">
        <f t="shared" si="13"/>
        <v>UsdLibor1Y</v>
      </c>
      <c r="H55" s="63" t="str">
        <f t="shared" si="14"/>
        <v>USDAM3L9Y_S12L3L_Quote</v>
      </c>
      <c r="I55" s="140">
        <v>0</v>
      </c>
      <c r="J55" s="69" t="str">
        <f>_xll.qlSwapRateHelper2(,H55,,B55,JoinCalendar,USD1Y!D55,USD1Y!E55,USD1Y!F55,USD1Y!G55,USD1Y!I55,USD1Y!C55,Discounting,PillarDate,,Permanent,Trigger,ObjectOverwrite)</f>
        <v>obj_002d7#0006</v>
      </c>
      <c r="L55" s="11" t="str">
        <f t="shared" si="11"/>
        <v>BasSw</v>
      </c>
      <c r="M55" s="105" t="str">
        <f t="shared" si="12"/>
        <v>obj_002a2#0006</v>
      </c>
      <c r="N55" s="159" t="str">
        <f>IFERROR(_xll.qlRateHelperQuoteName(M55,Trigger),"--")</f>
        <v>USDAM3L13Y_S12L3L_Quote</v>
      </c>
      <c r="O55" s="109">
        <f>IFERROR(_xll.qlRateHelperQuoteValue($M55,Trigger),"--")</f>
        <v>2.1186032047341458E-2</v>
      </c>
      <c r="P55" s="108" t="b">
        <v>1</v>
      </c>
      <c r="Q55" s="105">
        <v>40</v>
      </c>
      <c r="R55" s="105">
        <v>1</v>
      </c>
      <c r="S55" s="110">
        <f>IFERROR(_xll.qlRateHelperEarliestDate(M55,Trigger),"--")</f>
        <v>42482</v>
      </c>
      <c r="T55" s="110">
        <f>IFERROR(_xll.qlRateHelperPillarDate(M55,Trigger),"--")</f>
        <v>47231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5" t="str">
        <f>IFERROR(_xll.qlRateHelperRate(W55,Trigger),"")</f>
        <v/>
      </c>
      <c r="Z55" s="11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3" t="e">
        <v>#N/A</v>
      </c>
    </row>
    <row r="56" spans="1:29" ht="11.25" customHeight="1" x14ac:dyDescent="0.2">
      <c r="A56" s="63" t="s">
        <v>160</v>
      </c>
      <c r="B56" s="64" t="s">
        <v>89</v>
      </c>
      <c r="C56" s="65" t="s">
        <v>6</v>
      </c>
      <c r="D56" s="65" t="s">
        <v>8</v>
      </c>
      <c r="E56" s="65" t="s">
        <v>7</v>
      </c>
      <c r="F56" s="65" t="s">
        <v>28</v>
      </c>
      <c r="G56" s="65" t="str">
        <f t="shared" si="13"/>
        <v>UsdLibor1Y</v>
      </c>
      <c r="H56" s="63" t="str">
        <f t="shared" si="14"/>
        <v>USDAM3L10Y_S12L3L_Quote</v>
      </c>
      <c r="I56" s="140">
        <v>0</v>
      </c>
      <c r="J56" s="69" t="str">
        <f>_xll.qlSwapRateHelper2(,H56,,B56,JoinCalendar,USD1Y!D56,USD1Y!E56,USD1Y!F56,USD1Y!G56,USD1Y!I56,USD1Y!C56,Discounting,PillarDate,,Permanent,Trigger,ObjectOverwrite)</f>
        <v>obj_00315#0006</v>
      </c>
      <c r="L56" s="11" t="str">
        <f t="shared" si="11"/>
        <v>BasSw</v>
      </c>
      <c r="M56" s="105" t="str">
        <f t="shared" si="12"/>
        <v>obj_0028b#0006</v>
      </c>
      <c r="N56" s="159" t="str">
        <f>IFERROR(_xll.qlRateHelperQuoteName(M56,Trigger),"--")</f>
        <v>USDAM3L14Y_S12L3L_Quote</v>
      </c>
      <c r="O56" s="109">
        <f>IFERROR(_xll.qlRateHelperQuoteValue($M56,Trigger),"--")</f>
        <v>2.1651192393256483E-2</v>
      </c>
      <c r="P56" s="108" t="b">
        <v>1</v>
      </c>
      <c r="Q56" s="105">
        <v>40</v>
      </c>
      <c r="R56" s="105">
        <v>1</v>
      </c>
      <c r="S56" s="110">
        <f>IFERROR(_xll.qlRateHelperEarliestDate(M56,Trigger),"--")</f>
        <v>42482</v>
      </c>
      <c r="T56" s="110">
        <f>IFERROR(_xll.qlRateHelperPillarDate(M56,Trigger),"--")</f>
        <v>47596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5" t="str">
        <f>IFERROR(_xll.qlRateHelperRate(W56,Trigger),"")</f>
        <v/>
      </c>
      <c r="Z56" s="11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3" t="e">
        <v>#N/A</v>
      </c>
    </row>
    <row r="57" spans="1:29" ht="11.25" customHeight="1" x14ac:dyDescent="0.2">
      <c r="A57" s="63" t="s">
        <v>160</v>
      </c>
      <c r="B57" s="64" t="s">
        <v>133</v>
      </c>
      <c r="C57" s="65" t="s">
        <v>6</v>
      </c>
      <c r="D57" s="65" t="s">
        <v>8</v>
      </c>
      <c r="E57" s="65" t="s">
        <v>7</v>
      </c>
      <c r="F57" s="65" t="s">
        <v>28</v>
      </c>
      <c r="G57" s="65" t="str">
        <f t="shared" si="13"/>
        <v>UsdLibor1Y</v>
      </c>
      <c r="H57" s="63" t="str">
        <f t="shared" si="14"/>
        <v>USDAM3L11Y_S12L3L_Quote</v>
      </c>
      <c r="I57" s="140">
        <v>0</v>
      </c>
      <c r="J57" s="69" t="str">
        <f>_xll.qlSwapRateHelper2(,H57,,B57,JoinCalendar,USD1Y!D57,USD1Y!E57,USD1Y!F57,USD1Y!G57,USD1Y!I57,USD1Y!C57,Discounting,PillarDate,,Permanent,Trigger,ObjectOverwrite)</f>
        <v>obj_002be#0006</v>
      </c>
      <c r="L57" s="11" t="str">
        <f t="shared" si="11"/>
        <v>BasSw</v>
      </c>
      <c r="M57" s="105" t="str">
        <f t="shared" si="12"/>
        <v>obj_002c8#0006</v>
      </c>
      <c r="N57" s="159" t="str">
        <f>IFERROR(_xll.qlRateHelperQuoteName(M57,Trigger),"--")</f>
        <v>USDAM3L15Y_S12L3L_Quote</v>
      </c>
      <c r="O57" s="109">
        <f>IFERROR(_xll.qlRateHelperQuoteValue($M57,Trigger),"--")</f>
        <v>2.2060600612511978E-2</v>
      </c>
      <c r="P57" s="108" t="b">
        <v>1</v>
      </c>
      <c r="Q57" s="105">
        <v>40</v>
      </c>
      <c r="R57" s="105">
        <v>1</v>
      </c>
      <c r="S57" s="110">
        <f>IFERROR(_xll.qlRateHelperEarliestDate(M57,Trigger),"--")</f>
        <v>42482</v>
      </c>
      <c r="T57" s="110">
        <f>IFERROR(_xll.qlRateHelperPillarDate(M57,Trigger),"--")</f>
        <v>47960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5" t="str">
        <f>IFERROR(_xll.qlRateHelperRate(W57,Trigger),"")</f>
        <v/>
      </c>
      <c r="Z57" s="11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3" t="e">
        <v>#N/A</v>
      </c>
    </row>
    <row r="58" spans="1:29" ht="11.25" customHeight="1" x14ac:dyDescent="0.2">
      <c r="A58" s="63" t="s">
        <v>160</v>
      </c>
      <c r="B58" s="64" t="s">
        <v>90</v>
      </c>
      <c r="C58" s="65" t="s">
        <v>6</v>
      </c>
      <c r="D58" s="65" t="s">
        <v>8</v>
      </c>
      <c r="E58" s="65" t="s">
        <v>7</v>
      </c>
      <c r="F58" s="65" t="s">
        <v>28</v>
      </c>
      <c r="G58" s="65" t="str">
        <f t="shared" si="13"/>
        <v>UsdLibor1Y</v>
      </c>
      <c r="H58" s="63" t="str">
        <f t="shared" si="14"/>
        <v>USDAM3L12Y_S12L3L_Quote</v>
      </c>
      <c r="I58" s="140">
        <v>0</v>
      </c>
      <c r="J58" s="69" t="str">
        <f>_xll.qlSwapRateHelper2(,H58,,B58,JoinCalendar,USD1Y!D58,USD1Y!E58,USD1Y!F58,USD1Y!G58,USD1Y!I58,USD1Y!C58,Discounting,PillarDate,,Permanent,Trigger,ObjectOverwrite)</f>
        <v>obj_00302#0006</v>
      </c>
      <c r="L58" s="11" t="str">
        <f t="shared" si="11"/>
        <v>BasSw</v>
      </c>
      <c r="M58" s="105" t="str">
        <f t="shared" si="12"/>
        <v>--</v>
      </c>
      <c r="N58" s="159" t="str">
        <f>IFERROR(_xll.qlRateHelperQuoteName(M58,Trigger),"--")</f>
        <v>--</v>
      </c>
      <c r="O58" s="109" t="str">
        <f>IFERROR(_xll.qlRateHelperQuoteValue($M58,Trigger),"--")</f>
        <v>--</v>
      </c>
      <c r="P58" s="108" t="b">
        <v>0</v>
      </c>
      <c r="Q58" s="105">
        <v>40</v>
      </c>
      <c r="R58" s="105">
        <v>1</v>
      </c>
      <c r="S58" s="110" t="str">
        <f>IFERROR(_xll.qlRateHelperEarliestDate(M58,Trigger),"--")</f>
        <v>--</v>
      </c>
      <c r="T58" s="110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5" t="str">
        <f>IFERROR(_xll.qlRateHelperRate(W58,Trigger),"")</f>
        <v/>
      </c>
      <c r="Z58" s="11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3" t="e">
        <v>#N/A</v>
      </c>
    </row>
    <row r="59" spans="1:29" ht="11.25" customHeight="1" x14ac:dyDescent="0.2">
      <c r="A59" s="63" t="s">
        <v>160</v>
      </c>
      <c r="B59" s="64" t="s">
        <v>134</v>
      </c>
      <c r="C59" s="65" t="s">
        <v>6</v>
      </c>
      <c r="D59" s="65" t="s">
        <v>8</v>
      </c>
      <c r="E59" s="65" t="s">
        <v>7</v>
      </c>
      <c r="F59" s="65" t="s">
        <v>28</v>
      </c>
      <c r="G59" s="65" t="str">
        <f t="shared" si="13"/>
        <v>UsdLibor1Y</v>
      </c>
      <c r="H59" s="63" t="str">
        <f t="shared" si="14"/>
        <v>USDAM3L13Y_S12L3L_Quote</v>
      </c>
      <c r="I59" s="140">
        <v>0</v>
      </c>
      <c r="J59" s="69" t="str">
        <f>_xll.qlSwapRateHelper2(,H59,,B59,JoinCalendar,USD1Y!D59,USD1Y!E59,USD1Y!F59,USD1Y!G59,USD1Y!I59,USD1Y!C59,Discounting,PillarDate,,Permanent,Trigger,ObjectOverwrite)</f>
        <v>obj_002a2#0006</v>
      </c>
      <c r="L59" s="11" t="str">
        <f t="shared" si="11"/>
        <v>BasSw</v>
      </c>
      <c r="M59" s="105" t="str">
        <f t="shared" si="12"/>
        <v>--</v>
      </c>
      <c r="N59" s="159" t="str">
        <f>IFERROR(_xll.qlRateHelperQuoteName(M59,Trigger),"--")</f>
        <v>--</v>
      </c>
      <c r="O59" s="109" t="str">
        <f>IFERROR(_xll.qlRateHelperQuoteValue($M59,Trigger),"--")</f>
        <v>--</v>
      </c>
      <c r="P59" s="108" t="b">
        <v>0</v>
      </c>
      <c r="Q59" s="105">
        <v>40</v>
      </c>
      <c r="R59" s="105">
        <v>1</v>
      </c>
      <c r="S59" s="110" t="str">
        <f>IFERROR(_xll.qlRateHelperEarliestDate(M59,Trigger),"--")</f>
        <v>--</v>
      </c>
      <c r="T59" s="110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5" t="str">
        <f>IFERROR(_xll.qlRateHelperRate(W59,Trigger),"")</f>
        <v/>
      </c>
      <c r="Z59" s="11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3" t="e">
        <v>#N/A</v>
      </c>
    </row>
    <row r="60" spans="1:29" ht="11.25" customHeight="1" x14ac:dyDescent="0.2">
      <c r="A60" s="63" t="s">
        <v>160</v>
      </c>
      <c r="B60" s="64" t="s">
        <v>135</v>
      </c>
      <c r="C60" s="65" t="s">
        <v>6</v>
      </c>
      <c r="D60" s="65" t="s">
        <v>8</v>
      </c>
      <c r="E60" s="65" t="s">
        <v>7</v>
      </c>
      <c r="F60" s="65" t="s">
        <v>28</v>
      </c>
      <c r="G60" s="65" t="str">
        <f t="shared" si="13"/>
        <v>UsdLibor1Y</v>
      </c>
      <c r="H60" s="63" t="str">
        <f t="shared" si="14"/>
        <v>USDAM3L14Y_S12L3L_Quote</v>
      </c>
      <c r="I60" s="140">
        <v>0</v>
      </c>
      <c r="J60" s="69" t="str">
        <f>_xll.qlSwapRateHelper2(,H60,,B60,JoinCalendar,USD1Y!D60,USD1Y!E60,USD1Y!F60,USD1Y!G60,USD1Y!I60,USD1Y!C60,Discounting,PillarDate,,Permanent,Trigger,ObjectOverwrite)</f>
        <v>obj_0028b#0006</v>
      </c>
      <c r="L60" s="11" t="str">
        <f t="shared" si="11"/>
        <v>BasSw</v>
      </c>
      <c r="M60" s="105" t="str">
        <f t="shared" si="12"/>
        <v>--</v>
      </c>
      <c r="N60" s="159" t="str">
        <f>IFERROR(_xll.qlRateHelperQuoteName(M60,Trigger),"--")</f>
        <v>--</v>
      </c>
      <c r="O60" s="109" t="str">
        <f>IFERROR(_xll.qlRateHelperQuoteValue($M60,Trigger),"--")</f>
        <v>--</v>
      </c>
      <c r="P60" s="108" t="b">
        <v>0</v>
      </c>
      <c r="Q60" s="105">
        <v>40</v>
      </c>
      <c r="R60" s="105">
        <v>1</v>
      </c>
      <c r="S60" s="110" t="str">
        <f>IFERROR(_xll.qlRateHelperEarliestDate(M60,Trigger),"--")</f>
        <v>--</v>
      </c>
      <c r="T60" s="110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5" t="str">
        <f>IFERROR(_xll.qlRateHelperRate(W60,Trigger),"")</f>
        <v/>
      </c>
      <c r="Z60" s="11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3" t="e">
        <v>#N/A</v>
      </c>
    </row>
    <row r="61" spans="1:29" ht="11.25" customHeight="1" x14ac:dyDescent="0.2">
      <c r="A61" s="63" t="s">
        <v>160</v>
      </c>
      <c r="B61" s="64" t="s">
        <v>91</v>
      </c>
      <c r="C61" s="65" t="s">
        <v>6</v>
      </c>
      <c r="D61" s="65" t="s">
        <v>8</v>
      </c>
      <c r="E61" s="65" t="s">
        <v>7</v>
      </c>
      <c r="F61" s="65" t="s">
        <v>28</v>
      </c>
      <c r="G61" s="65" t="str">
        <f t="shared" si="13"/>
        <v>UsdLibor1Y</v>
      </c>
      <c r="H61" s="63" t="str">
        <f t="shared" si="14"/>
        <v>USDAM3L15Y_S12L3L_Quote</v>
      </c>
      <c r="I61" s="140">
        <v>0</v>
      </c>
      <c r="J61" s="69" t="str">
        <f>_xll.qlSwapRateHelper2(,H61,,B61,JoinCalendar,USD1Y!D61,USD1Y!E61,USD1Y!F61,USD1Y!G61,USD1Y!I61,USD1Y!C61,Discounting,PillarDate,,Permanent,Trigger,ObjectOverwrite)</f>
        <v>obj_002c8#0006</v>
      </c>
      <c r="L61" s="11" t="str">
        <f t="shared" si="11"/>
        <v>BasSw</v>
      </c>
      <c r="M61" s="105" t="str">
        <f t="shared" si="12"/>
        <v>--</v>
      </c>
      <c r="N61" s="159" t="str">
        <f>IFERROR(_xll.qlRateHelperQuoteName(M61,Trigger),"--")</f>
        <v>--</v>
      </c>
      <c r="O61" s="109" t="str">
        <f>IFERROR(_xll.qlRateHelperQuoteValue($M61,Trigger),"--")</f>
        <v>--</v>
      </c>
      <c r="P61" s="108" t="b">
        <v>0</v>
      </c>
      <c r="Q61" s="105">
        <v>40</v>
      </c>
      <c r="R61" s="105">
        <v>1</v>
      </c>
      <c r="S61" s="110" t="str">
        <f>IFERROR(_xll.qlRateHelperEarliestDate(M61,Trigger),"--")</f>
        <v>--</v>
      </c>
      <c r="T61" s="110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5" t="str">
        <f>IFERROR(_xll.qlRateHelperRate(W61,Trigger),"")</f>
        <v/>
      </c>
      <c r="Z61" s="11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3" t="e">
        <v>#N/A</v>
      </c>
    </row>
    <row r="62" spans="1:29" ht="11.25" customHeight="1" x14ac:dyDescent="0.2">
      <c r="A62" s="63" t="s">
        <v>160</v>
      </c>
      <c r="B62" s="64" t="s">
        <v>136</v>
      </c>
      <c r="C62" s="65" t="s">
        <v>6</v>
      </c>
      <c r="D62" s="65" t="s">
        <v>8</v>
      </c>
      <c r="E62" s="65" t="s">
        <v>7</v>
      </c>
      <c r="F62" s="65" t="s">
        <v>28</v>
      </c>
      <c r="G62" s="65" t="str">
        <f t="shared" si="13"/>
        <v>UsdLibor1Y</v>
      </c>
      <c r="H62" s="63" t="str">
        <f t="shared" si="14"/>
        <v>USDAM3L16Y_S12L3L_Quote</v>
      </c>
      <c r="I62" s="140">
        <v>0</v>
      </c>
      <c r="J62" s="69"/>
      <c r="L62" s="11" t="str">
        <f t="shared" si="11"/>
        <v>BasSw</v>
      </c>
      <c r="M62" s="105" t="str">
        <f t="shared" si="12"/>
        <v>obj_00309#0006</v>
      </c>
      <c r="N62" s="159" t="str">
        <f>IFERROR(_xll.qlRateHelperQuoteName(M62,Trigger),"--")</f>
        <v>USDAM3L20Y_S12L3L_Quote</v>
      </c>
      <c r="O62" s="109">
        <f>IFERROR(_xll.qlRateHelperQuoteValue($M62,Trigger),"--")</f>
        <v>2.3445421835756635E-2</v>
      </c>
      <c r="P62" s="108" t="b">
        <v>1</v>
      </c>
      <c r="Q62" s="105">
        <v>40</v>
      </c>
      <c r="R62" s="105">
        <v>1</v>
      </c>
      <c r="S62" s="110">
        <f>IFERROR(_xll.qlRateHelperEarliestDate(M62,Trigger),"--")</f>
        <v>42482</v>
      </c>
      <c r="T62" s="110">
        <f>IFERROR(_xll.qlRateHelperPillarDate(M62,Trigger),"--")</f>
        <v>49787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5" t="str">
        <f>IFERROR(_xll.qlRateHelperRate(W62,Trigger),"")</f>
        <v/>
      </c>
      <c r="Z62" s="11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3" t="e">
        <v>#N/A</v>
      </c>
    </row>
    <row r="63" spans="1:29" ht="11.25" customHeight="1" x14ac:dyDescent="0.2">
      <c r="A63" s="63" t="s">
        <v>160</v>
      </c>
      <c r="B63" s="64" t="s">
        <v>137</v>
      </c>
      <c r="C63" s="65" t="s">
        <v>6</v>
      </c>
      <c r="D63" s="65" t="s">
        <v>8</v>
      </c>
      <c r="E63" s="65" t="s">
        <v>7</v>
      </c>
      <c r="F63" s="65" t="s">
        <v>28</v>
      </c>
      <c r="G63" s="65" t="str">
        <f t="shared" si="13"/>
        <v>UsdLibor1Y</v>
      </c>
      <c r="H63" s="63" t="str">
        <f t="shared" si="14"/>
        <v>USDAM3L17Y_S12L3L_Quote</v>
      </c>
      <c r="I63" s="140">
        <v>0</v>
      </c>
      <c r="J63" s="69"/>
      <c r="L63" s="11" t="str">
        <f t="shared" si="11"/>
        <v>BasSw</v>
      </c>
      <c r="M63" s="105" t="str">
        <f t="shared" si="12"/>
        <v>--</v>
      </c>
      <c r="N63" s="159" t="str">
        <f>IFERROR(_xll.qlRateHelperQuoteName(M63,Trigger),"--")</f>
        <v>--</v>
      </c>
      <c r="O63" s="109" t="str">
        <f>IFERROR(_xll.qlRateHelperQuoteValue($M63,Trigger),"--")</f>
        <v>--</v>
      </c>
      <c r="P63" s="108" t="b">
        <v>0</v>
      </c>
      <c r="Q63" s="105">
        <v>40</v>
      </c>
      <c r="R63" s="105">
        <v>1</v>
      </c>
      <c r="S63" s="110" t="str">
        <f>IFERROR(_xll.qlRateHelperEarliestDate(M63,Trigger),"--")</f>
        <v>--</v>
      </c>
      <c r="T63" s="110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5" t="str">
        <f>IFERROR(_xll.qlRateHelperRate(W63,Trigger),"")</f>
        <v/>
      </c>
      <c r="Z63" s="11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3" t="e">
        <v>#N/A</v>
      </c>
    </row>
    <row r="64" spans="1:29" ht="11.25" customHeight="1" x14ac:dyDescent="0.2">
      <c r="A64" s="63" t="s">
        <v>160</v>
      </c>
      <c r="B64" s="64" t="s">
        <v>138</v>
      </c>
      <c r="C64" s="65" t="s">
        <v>6</v>
      </c>
      <c r="D64" s="65" t="s">
        <v>8</v>
      </c>
      <c r="E64" s="65" t="s">
        <v>7</v>
      </c>
      <c r="F64" s="65" t="s">
        <v>28</v>
      </c>
      <c r="G64" s="65" t="str">
        <f t="shared" si="13"/>
        <v>UsdLibor1Y</v>
      </c>
      <c r="H64" s="63" t="str">
        <f t="shared" si="14"/>
        <v>USDAM3L18Y_S12L3L_Quote</v>
      </c>
      <c r="I64" s="140">
        <v>0</v>
      </c>
      <c r="J64" s="69"/>
      <c r="L64" s="11" t="str">
        <f t="shared" si="11"/>
        <v>BasSw</v>
      </c>
      <c r="M64" s="105" t="str">
        <f t="shared" si="12"/>
        <v>--</v>
      </c>
      <c r="N64" s="159" t="str">
        <f>IFERROR(_xll.qlRateHelperQuoteName(M64,Trigger),"--")</f>
        <v>--</v>
      </c>
      <c r="O64" s="109" t="str">
        <f>IFERROR(_xll.qlRateHelperQuoteValue($M64,Trigger),"--")</f>
        <v>--</v>
      </c>
      <c r="P64" s="108" t="b">
        <v>0</v>
      </c>
      <c r="Q64" s="105">
        <v>40</v>
      </c>
      <c r="R64" s="105">
        <v>1</v>
      </c>
      <c r="S64" s="110" t="str">
        <f>IFERROR(_xll.qlRateHelperEarliestDate(M64,Trigger),"--")</f>
        <v>--</v>
      </c>
      <c r="T64" s="110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5" t="str">
        <f>IFERROR(_xll.qlRateHelperRate(W64,Trigger),"")</f>
        <v/>
      </c>
      <c r="Z64" s="11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3" t="e">
        <v>#N/A</v>
      </c>
    </row>
    <row r="65" spans="1:29" ht="11.25" customHeight="1" x14ac:dyDescent="0.2">
      <c r="A65" s="63" t="s">
        <v>160</v>
      </c>
      <c r="B65" s="64" t="s">
        <v>139</v>
      </c>
      <c r="C65" s="65" t="s">
        <v>6</v>
      </c>
      <c r="D65" s="65" t="s">
        <v>8</v>
      </c>
      <c r="E65" s="65" t="s">
        <v>7</v>
      </c>
      <c r="F65" s="65" t="s">
        <v>28</v>
      </c>
      <c r="G65" s="65" t="str">
        <f t="shared" si="13"/>
        <v>UsdLibor1Y</v>
      </c>
      <c r="H65" s="63" t="str">
        <f t="shared" si="14"/>
        <v>USDAM3L19Y_S12L3L_Quote</v>
      </c>
      <c r="I65" s="140">
        <v>0</v>
      </c>
      <c r="J65" s="69"/>
      <c r="L65" s="11" t="str">
        <f t="shared" si="11"/>
        <v>BasSw</v>
      </c>
      <c r="M65" s="105" t="str">
        <f t="shared" si="12"/>
        <v>--</v>
      </c>
      <c r="N65" s="159" t="str">
        <f>IFERROR(_xll.qlRateHelperQuoteName(M65,Trigger),"--")</f>
        <v>--</v>
      </c>
      <c r="O65" s="109" t="str">
        <f>IFERROR(_xll.qlRateHelperQuoteValue($M65,Trigger),"--")</f>
        <v>--</v>
      </c>
      <c r="P65" s="108" t="b">
        <v>0</v>
      </c>
      <c r="Q65" s="105">
        <v>40</v>
      </c>
      <c r="R65" s="105">
        <v>1</v>
      </c>
      <c r="S65" s="110" t="str">
        <f>IFERROR(_xll.qlRateHelperEarliestDate(M65,Trigger),"--")</f>
        <v>--</v>
      </c>
      <c r="T65" s="110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5" t="str">
        <f>IFERROR(_xll.qlRateHelperRate(W65,Trigger),"")</f>
        <v/>
      </c>
      <c r="Z65" s="11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3" t="e">
        <v>#N/A</v>
      </c>
    </row>
    <row r="66" spans="1:29" ht="11.25" customHeight="1" x14ac:dyDescent="0.2">
      <c r="A66" s="63" t="s">
        <v>160</v>
      </c>
      <c r="B66" s="64" t="s">
        <v>92</v>
      </c>
      <c r="C66" s="65" t="s">
        <v>6</v>
      </c>
      <c r="D66" s="65" t="s">
        <v>8</v>
      </c>
      <c r="E66" s="65" t="s">
        <v>7</v>
      </c>
      <c r="F66" s="65" t="s">
        <v>28</v>
      </c>
      <c r="G66" s="65" t="str">
        <f t="shared" si="13"/>
        <v>UsdLibor1Y</v>
      </c>
      <c r="H66" s="63" t="str">
        <f t="shared" si="14"/>
        <v>USDAM3L20Y_S12L3L_Quote</v>
      </c>
      <c r="I66" s="140">
        <v>0</v>
      </c>
      <c r="J66" s="69" t="str">
        <f>_xll.qlSwapRateHelper2(,H66,,B66,JoinCalendar,USD1Y!D66,USD1Y!E66,USD1Y!F66,USD1Y!G66,USD1Y!I66,USD1Y!C66,Discounting,PillarDate,,Permanent,Trigger,ObjectOverwrite)</f>
        <v>obj_00309#0006</v>
      </c>
      <c r="L66" s="11" t="str">
        <f t="shared" si="11"/>
        <v>BasSw</v>
      </c>
      <c r="M66" s="105" t="str">
        <f t="shared" si="12"/>
        <v>--</v>
      </c>
      <c r="N66" s="159" t="str">
        <f>IFERROR(_xll.qlRateHelperQuoteName(M66,Trigger),"--")</f>
        <v>--</v>
      </c>
      <c r="O66" s="109" t="str">
        <f>IFERROR(_xll.qlRateHelperQuoteValue($M66,Trigger),"--")</f>
        <v>--</v>
      </c>
      <c r="P66" s="108" t="b">
        <v>0</v>
      </c>
      <c r="Q66" s="105">
        <v>40</v>
      </c>
      <c r="R66" s="105">
        <v>1</v>
      </c>
      <c r="S66" s="110" t="str">
        <f>IFERROR(_xll.qlRateHelperEarliestDate(M66,Trigger),"--")</f>
        <v>--</v>
      </c>
      <c r="T66" s="110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5" t="str">
        <f>IFERROR(_xll.qlRateHelperRate(W66,Trigger),"")</f>
        <v/>
      </c>
      <c r="Z66" s="11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3" t="e">
        <v>#N/A</v>
      </c>
    </row>
    <row r="67" spans="1:29" ht="11.25" customHeight="1" x14ac:dyDescent="0.2">
      <c r="A67" s="63" t="s">
        <v>160</v>
      </c>
      <c r="B67" s="64" t="s">
        <v>140</v>
      </c>
      <c r="C67" s="65" t="s">
        <v>6</v>
      </c>
      <c r="D67" s="65" t="s">
        <v>8</v>
      </c>
      <c r="E67" s="65" t="s">
        <v>7</v>
      </c>
      <c r="F67" s="65" t="s">
        <v>28</v>
      </c>
      <c r="G67" s="65" t="str">
        <f t="shared" si="13"/>
        <v>UsdLibor1Y</v>
      </c>
      <c r="H67" s="63" t="str">
        <f t="shared" si="14"/>
        <v>USDAM3L21Y_S12L3L_Quote</v>
      </c>
      <c r="I67" s="140">
        <v>0</v>
      </c>
      <c r="J67" s="69"/>
      <c r="L67" s="11" t="str">
        <f t="shared" si="11"/>
        <v>BasSw</v>
      </c>
      <c r="M67" s="105" t="str">
        <f t="shared" si="12"/>
        <v>obj_002d5#0006</v>
      </c>
      <c r="N67" s="159" t="str">
        <f>IFERROR(_xll.qlRateHelperQuoteName(M67,Trigger),"--")</f>
        <v>USDAM3L25Y_S12L3L_Quote</v>
      </c>
      <c r="O67" s="109">
        <f>IFERROR(_xll.qlRateHelperQuoteValue($M67,Trigger),"--")</f>
        <v>2.4159182420098346E-2</v>
      </c>
      <c r="P67" s="108" t="b">
        <v>1</v>
      </c>
      <c r="Q67" s="105">
        <v>40</v>
      </c>
      <c r="R67" s="105">
        <v>1</v>
      </c>
      <c r="S67" s="110">
        <f>IFERROR(_xll.qlRateHelperEarliestDate(M67,Trigger),"--")</f>
        <v>42482</v>
      </c>
      <c r="T67" s="110">
        <f>IFERROR(_xll.qlRateHelperPillarDate(M67,Trigger),"--")</f>
        <v>51614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5" t="str">
        <f>IFERROR(_xll.qlRateHelperRate(W67,Trigger),"")</f>
        <v/>
      </c>
      <c r="Z67" s="11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3" t="e">
        <v>#N/A</v>
      </c>
    </row>
    <row r="68" spans="1:29" ht="11.25" customHeight="1" x14ac:dyDescent="0.2">
      <c r="A68" s="63" t="s">
        <v>160</v>
      </c>
      <c r="B68" s="64" t="s">
        <v>141</v>
      </c>
      <c r="C68" s="65" t="s">
        <v>6</v>
      </c>
      <c r="D68" s="65" t="s">
        <v>8</v>
      </c>
      <c r="E68" s="65" t="s">
        <v>7</v>
      </c>
      <c r="F68" s="65" t="s">
        <v>28</v>
      </c>
      <c r="G68" s="65" t="str">
        <f t="shared" si="13"/>
        <v>UsdLibor1Y</v>
      </c>
      <c r="H68" s="63" t="str">
        <f t="shared" si="14"/>
        <v>USDAM3L22Y_S12L3L_Quote</v>
      </c>
      <c r="I68" s="140">
        <v>0</v>
      </c>
      <c r="J68" s="69"/>
      <c r="L68" s="11" t="str">
        <f t="shared" si="11"/>
        <v>BasSw</v>
      </c>
      <c r="M68" s="105" t="str">
        <f t="shared" si="12"/>
        <v>--</v>
      </c>
      <c r="N68" s="159" t="str">
        <f>IFERROR(_xll.qlRateHelperQuoteName(M68,Trigger),"--")</f>
        <v>--</v>
      </c>
      <c r="O68" s="109" t="str">
        <f>IFERROR(_xll.qlRateHelperQuoteValue($M68,Trigger),"--")</f>
        <v>--</v>
      </c>
      <c r="P68" s="108" t="b">
        <v>0</v>
      </c>
      <c r="Q68" s="105">
        <v>40</v>
      </c>
      <c r="R68" s="105">
        <v>1</v>
      </c>
      <c r="S68" s="110" t="str">
        <f>IFERROR(_xll.qlRateHelperEarliestDate(M68,Trigger),"--")</f>
        <v>--</v>
      </c>
      <c r="T68" s="110" t="str">
        <f>IFERROR(_xll.qlRateHelperPillarDate(M68,Trigger),"--")</f>
        <v>--</v>
      </c>
      <c r="V68" s="4" t="str">
        <f t="shared" ref="V68:V78" si="15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5" t="str">
        <f>IFERROR(_xll.qlRateHelperRate(W68,Trigger),"")</f>
        <v/>
      </c>
      <c r="Z68" s="11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3" t="e">
        <v>#N/A</v>
      </c>
    </row>
    <row r="69" spans="1:29" ht="11.25" customHeight="1" x14ac:dyDescent="0.2">
      <c r="A69" s="63" t="s">
        <v>160</v>
      </c>
      <c r="B69" s="64" t="s">
        <v>142</v>
      </c>
      <c r="C69" s="65" t="s">
        <v>6</v>
      </c>
      <c r="D69" s="65" t="s">
        <v>8</v>
      </c>
      <c r="E69" s="65" t="s">
        <v>7</v>
      </c>
      <c r="F69" s="65" t="s">
        <v>28</v>
      </c>
      <c r="G69" s="65" t="str">
        <f t="shared" si="13"/>
        <v>UsdLibor1Y</v>
      </c>
      <c r="H69" s="63" t="str">
        <f t="shared" si="14"/>
        <v>USDAM3L23Y_S12L3L_Quote</v>
      </c>
      <c r="I69" s="140">
        <v>0</v>
      </c>
      <c r="J69" s="69"/>
      <c r="L69" s="11" t="str">
        <f t="shared" si="11"/>
        <v>BasSw</v>
      </c>
      <c r="M69" s="105" t="str">
        <f t="shared" si="12"/>
        <v>--</v>
      </c>
      <c r="N69" s="159" t="str">
        <f>IFERROR(_xll.qlRateHelperQuoteName(M69,Trigger),"--")</f>
        <v>--</v>
      </c>
      <c r="O69" s="109" t="str">
        <f>IFERROR(_xll.qlRateHelperQuoteValue($M69,Trigger),"--")</f>
        <v>--</v>
      </c>
      <c r="P69" s="108" t="b">
        <v>0</v>
      </c>
      <c r="Q69" s="105">
        <v>40</v>
      </c>
      <c r="R69" s="105">
        <v>1</v>
      </c>
      <c r="S69" s="110" t="str">
        <f>IFERROR(_xll.qlRateHelperEarliestDate(M69,Trigger),"--")</f>
        <v>--</v>
      </c>
      <c r="T69" s="110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5" t="str">
        <f>IFERROR(_xll.qlRateHelperRate(W69,Trigger),"")</f>
        <v/>
      </c>
      <c r="Z69" s="11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3" t="e">
        <v>#N/A</v>
      </c>
    </row>
    <row r="70" spans="1:29" ht="11.25" customHeight="1" x14ac:dyDescent="0.2">
      <c r="A70" s="63" t="s">
        <v>160</v>
      </c>
      <c r="B70" s="64" t="s">
        <v>143</v>
      </c>
      <c r="C70" s="65" t="s">
        <v>6</v>
      </c>
      <c r="D70" s="65" t="s">
        <v>8</v>
      </c>
      <c r="E70" s="65" t="s">
        <v>7</v>
      </c>
      <c r="F70" s="65" t="s">
        <v>28</v>
      </c>
      <c r="G70" s="65" t="str">
        <f t="shared" si="13"/>
        <v>UsdLibor1Y</v>
      </c>
      <c r="H70" s="63" t="str">
        <f t="shared" si="14"/>
        <v>USDAM3L24Y_S12L3L_Quote</v>
      </c>
      <c r="I70" s="140">
        <v>0</v>
      </c>
      <c r="J70" s="69"/>
      <c r="L70" s="11" t="str">
        <f t="shared" si="11"/>
        <v>BasSw</v>
      </c>
      <c r="M70" s="105" t="str">
        <f t="shared" si="12"/>
        <v>--</v>
      </c>
      <c r="N70" s="159" t="str">
        <f>IFERROR(_xll.qlRateHelperQuoteName(M70,Trigger),"--")</f>
        <v>--</v>
      </c>
      <c r="O70" s="109" t="str">
        <f>IFERROR(_xll.qlRateHelperQuoteValue($M70,Trigger),"--")</f>
        <v>--</v>
      </c>
      <c r="P70" s="108" t="b">
        <v>0</v>
      </c>
      <c r="Q70" s="105">
        <v>40</v>
      </c>
      <c r="R70" s="105">
        <v>1</v>
      </c>
      <c r="S70" s="110" t="str">
        <f>IFERROR(_xll.qlRateHelperEarliestDate(M70,Trigger),"--")</f>
        <v>--</v>
      </c>
      <c r="T70" s="110" t="str">
        <f>IFERROR(_xll.qlRateHelperPillarDate(M70,Trigger),"--")</f>
        <v>--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5" t="str">
        <f>IFERROR(_xll.qlRateHelperRate(W70,Trigger),"")</f>
        <v/>
      </c>
      <c r="Z70" s="11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3" t="e">
        <v>#N/A</v>
      </c>
    </row>
    <row r="71" spans="1:29" ht="11.25" customHeight="1" x14ac:dyDescent="0.2">
      <c r="A71" s="63" t="s">
        <v>160</v>
      </c>
      <c r="B71" s="64" t="s">
        <v>93</v>
      </c>
      <c r="C71" s="65" t="s">
        <v>6</v>
      </c>
      <c r="D71" s="65" t="s">
        <v>8</v>
      </c>
      <c r="E71" s="65" t="s">
        <v>7</v>
      </c>
      <c r="F71" s="65" t="s">
        <v>28</v>
      </c>
      <c r="G71" s="65" t="str">
        <f t="shared" si="13"/>
        <v>UsdLibor1Y</v>
      </c>
      <c r="H71" s="63" t="str">
        <f t="shared" si="14"/>
        <v>USDAM3L25Y_S12L3L_Quote</v>
      </c>
      <c r="I71" s="140">
        <v>0</v>
      </c>
      <c r="J71" s="69" t="str">
        <f>_xll.qlSwapRateHelper2(,H71,,B71,JoinCalendar,USD1Y!D71,USD1Y!E71,USD1Y!F71,USD1Y!G71,USD1Y!I71,USD1Y!C71,Discounting,PillarDate,,Permanent,Trigger,ObjectOverwrite)</f>
        <v>obj_002d5#0006</v>
      </c>
      <c r="L71" s="11" t="str">
        <f t="shared" si="11"/>
        <v>BasSw</v>
      </c>
      <c r="M71" s="105" t="str">
        <f t="shared" si="12"/>
        <v>--</v>
      </c>
      <c r="N71" s="159" t="str">
        <f>IFERROR(_xll.qlRateHelperQuoteName(M71,Trigger),"--")</f>
        <v>--</v>
      </c>
      <c r="O71" s="109" t="str">
        <f>IFERROR(_xll.qlRateHelperQuoteValue($M71,Trigger),"--")</f>
        <v>--</v>
      </c>
      <c r="P71" s="108" t="b">
        <v>0</v>
      </c>
      <c r="Q71" s="105">
        <v>40</v>
      </c>
      <c r="R71" s="105">
        <v>1</v>
      </c>
      <c r="S71" s="110" t="str">
        <f>IFERROR(_xll.qlRateHelperEarliestDate(M71,Trigger),"--")</f>
        <v>--</v>
      </c>
      <c r="T71" s="110" t="str">
        <f>IFERROR(_xll.qlRateHelperPillarDate(M71,Trigger),"--")</f>
        <v>--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5" t="str">
        <f>IFERROR(_xll.qlRateHelperRate(W71,Trigger),"")</f>
        <v/>
      </c>
      <c r="Z71" s="11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3" t="e">
        <v>#N/A</v>
      </c>
    </row>
    <row r="72" spans="1:29" ht="11.25" customHeight="1" x14ac:dyDescent="0.2">
      <c r="A72" s="63" t="s">
        <v>160</v>
      </c>
      <c r="B72" s="64" t="s">
        <v>144</v>
      </c>
      <c r="C72" s="65" t="s">
        <v>6</v>
      </c>
      <c r="D72" s="65" t="s">
        <v>8</v>
      </c>
      <c r="E72" s="65" t="s">
        <v>7</v>
      </c>
      <c r="F72" s="65" t="s">
        <v>28</v>
      </c>
      <c r="G72" s="65" t="str">
        <f t="shared" si="13"/>
        <v>UsdLibor1Y</v>
      </c>
      <c r="H72" s="63" t="str">
        <f t="shared" si="14"/>
        <v>USDAM3L26Y_S12L3L_Quote</v>
      </c>
      <c r="I72" s="140">
        <v>0</v>
      </c>
      <c r="J72" s="69"/>
      <c r="L72" s="11" t="str">
        <f t="shared" si="11"/>
        <v>BasSw</v>
      </c>
      <c r="M72" s="105" t="str">
        <f t="shared" si="12"/>
        <v>obj_00295#0006</v>
      </c>
      <c r="N72" s="159" t="str">
        <f>IFERROR(_xll.qlRateHelperQuoteName(M72,Trigger),"--")</f>
        <v>USDAM3L30Y_S12L3L_Quote</v>
      </c>
      <c r="O72" s="109">
        <f>IFERROR(_xll.qlRateHelperQuoteValue($M72,Trigger),"--")</f>
        <v>2.4580006180790349E-2</v>
      </c>
      <c r="P72" s="108" t="b">
        <v>1</v>
      </c>
      <c r="Q72" s="105">
        <v>40</v>
      </c>
      <c r="R72" s="105">
        <v>1</v>
      </c>
      <c r="S72" s="110">
        <f>IFERROR(_xll.qlRateHelperEarliestDate(M72,Trigger),"--")</f>
        <v>42482</v>
      </c>
      <c r="T72" s="110">
        <f>IFERROR(_xll.qlRateHelperPillarDate(M72,Trigger),"--")</f>
        <v>53440</v>
      </c>
      <c r="V72" s="4" t="str">
        <f t="shared" si="15"/>
        <v/>
      </c>
      <c r="W72" s="4" t="e">
        <v>#N/A</v>
      </c>
      <c r="X72" s="4" t="str">
        <f>IFERROR(_xll.qlRateHelperQuoteName(W72,Trigger),"")</f>
        <v/>
      </c>
      <c r="Y72" s="75" t="str">
        <f>IFERROR(_xll.qlRateHelperRate(W72,Trigger),"")</f>
        <v/>
      </c>
      <c r="Z72" s="11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3" t="e">
        <v>#N/A</v>
      </c>
    </row>
    <row r="73" spans="1:29" ht="11.25" customHeight="1" x14ac:dyDescent="0.2">
      <c r="A73" s="63" t="s">
        <v>160</v>
      </c>
      <c r="B73" s="64" t="s">
        <v>94</v>
      </c>
      <c r="C73" s="65" t="s">
        <v>6</v>
      </c>
      <c r="D73" s="65" t="s">
        <v>8</v>
      </c>
      <c r="E73" s="65" t="s">
        <v>7</v>
      </c>
      <c r="F73" s="65" t="s">
        <v>28</v>
      </c>
      <c r="G73" s="65" t="str">
        <f t="shared" si="13"/>
        <v>UsdLibor1Y</v>
      </c>
      <c r="H73" s="63" t="str">
        <f t="shared" si="14"/>
        <v>USDAM3L27Y_S12L3L_Quote</v>
      </c>
      <c r="I73" s="140">
        <v>0</v>
      </c>
      <c r="J73" s="69"/>
      <c r="L73" s="11" t="str">
        <f t="shared" si="11"/>
        <v>BasSw</v>
      </c>
      <c r="M73" s="105" t="str">
        <f t="shared" si="12"/>
        <v>obj_002c4#0006</v>
      </c>
      <c r="N73" s="159" t="str">
        <f>IFERROR(_xll.qlRateHelperQuoteName(M73,Trigger),"--")</f>
        <v>USDAM3L35Y_S12L3L_Quote</v>
      </c>
      <c r="O73" s="109">
        <f>IFERROR(_xll.qlRateHelperQuoteValue($M73,Trigger),"--")</f>
        <v>2.4727023210823196E-2</v>
      </c>
      <c r="P73" s="108" t="b">
        <v>1</v>
      </c>
      <c r="Q73" s="105">
        <v>40</v>
      </c>
      <c r="R73" s="105">
        <v>1</v>
      </c>
      <c r="S73" s="110">
        <f>IFERROR(_xll.qlRateHelperEarliestDate(M73,Trigger),"--")</f>
        <v>42482</v>
      </c>
      <c r="T73" s="110">
        <f>IFERROR(_xll.qlRateHelperPillarDate(M73,Trigger),"--")</f>
        <v>55267</v>
      </c>
      <c r="V73" s="4" t="str">
        <f t="shared" si="15"/>
        <v/>
      </c>
      <c r="W73" s="4" t="e">
        <v>#N/A</v>
      </c>
      <c r="X73" s="4" t="str">
        <f>IFERROR(_xll.qlRateHelperQuoteName(W73,Trigger),"")</f>
        <v/>
      </c>
      <c r="Y73" s="75" t="str">
        <f>IFERROR(_xll.qlRateHelperRate(W73,Trigger),"")</f>
        <v/>
      </c>
      <c r="Z73" s="11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3" t="e">
        <v>#N/A</v>
      </c>
    </row>
    <row r="74" spans="1:29" ht="11.25" customHeight="1" x14ac:dyDescent="0.2">
      <c r="A74" s="63" t="s">
        <v>160</v>
      </c>
      <c r="B74" s="64" t="s">
        <v>145</v>
      </c>
      <c r="C74" s="65" t="s">
        <v>6</v>
      </c>
      <c r="D74" s="65" t="s">
        <v>8</v>
      </c>
      <c r="E74" s="65" t="s">
        <v>7</v>
      </c>
      <c r="F74" s="65" t="s">
        <v>28</v>
      </c>
      <c r="G74" s="65" t="str">
        <f t="shared" si="13"/>
        <v>UsdLibor1Y</v>
      </c>
      <c r="H74" s="63" t="str">
        <f t="shared" si="14"/>
        <v>USDAM3L28Y_S12L3L_Quote</v>
      </c>
      <c r="I74" s="140">
        <v>0</v>
      </c>
      <c r="J74" s="69"/>
      <c r="L74" s="11" t="str">
        <f t="shared" si="11"/>
        <v>BasSw</v>
      </c>
      <c r="M74" s="105" t="str">
        <f t="shared" si="12"/>
        <v>obj_002a7#0006</v>
      </c>
      <c r="N74" s="159" t="str">
        <f>IFERROR(_xll.qlRateHelperQuoteName(M74,Trigger),"--")</f>
        <v>USDAM3L40Y_S12L3L_Quote</v>
      </c>
      <c r="O74" s="109">
        <f>IFERROR(_xll.qlRateHelperQuoteValue($M74,Trigger),"--")</f>
        <v>2.4739976848695278E-2</v>
      </c>
      <c r="P74" s="108" t="b">
        <v>1</v>
      </c>
      <c r="Q74" s="105">
        <v>40</v>
      </c>
      <c r="R74" s="105">
        <v>1</v>
      </c>
      <c r="S74" s="110">
        <f>IFERROR(_xll.qlRateHelperEarliestDate(M74,Trigger),"--")</f>
        <v>42482</v>
      </c>
      <c r="T74" s="110">
        <f>IFERROR(_xll.qlRateHelperPillarDate(M74,Trigger),"--")</f>
        <v>57094</v>
      </c>
      <c r="V74" s="4" t="str">
        <f t="shared" si="15"/>
        <v/>
      </c>
      <c r="W74" s="4" t="e">
        <v>#N/A</v>
      </c>
      <c r="X74" s="4" t="str">
        <f>IFERROR(_xll.qlRateHelperQuoteName(W74,Trigger),"")</f>
        <v/>
      </c>
      <c r="Y74" s="75" t="str">
        <f>IFERROR(_xll.qlRateHelperRate(W74,Trigger),"")</f>
        <v/>
      </c>
      <c r="Z74" s="11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3" t="e">
        <v>#N/A</v>
      </c>
    </row>
    <row r="75" spans="1:29" ht="11.25" customHeight="1" x14ac:dyDescent="0.2">
      <c r="A75" s="63" t="s">
        <v>160</v>
      </c>
      <c r="B75" s="64" t="s">
        <v>146</v>
      </c>
      <c r="C75" s="65" t="s">
        <v>6</v>
      </c>
      <c r="D75" s="65" t="s">
        <v>8</v>
      </c>
      <c r="E75" s="65" t="s">
        <v>7</v>
      </c>
      <c r="F75" s="65" t="s">
        <v>28</v>
      </c>
      <c r="G75" s="65" t="str">
        <f t="shared" si="13"/>
        <v>UsdLibor1Y</v>
      </c>
      <c r="H75" s="63" t="str">
        <f t="shared" si="14"/>
        <v>USDAM3L29Y_S12L3L_Quote</v>
      </c>
      <c r="I75" s="140">
        <v>0</v>
      </c>
      <c r="J75" s="69"/>
      <c r="L75" s="11" t="str">
        <f t="shared" si="11"/>
        <v>BasSw</v>
      </c>
      <c r="M75" s="105" t="str">
        <f t="shared" si="12"/>
        <v>--</v>
      </c>
      <c r="N75" s="159" t="str">
        <f>IFERROR(_xll.qlRateHelperQuoteName(M75,Trigger),"--")</f>
        <v>--</v>
      </c>
      <c r="O75" s="109" t="str">
        <f>IFERROR(_xll.qlRateHelperQuoteValue($M75,Trigger),"--")</f>
        <v>--</v>
      </c>
      <c r="P75" s="108" t="b">
        <v>0</v>
      </c>
      <c r="Q75" s="105">
        <v>40</v>
      </c>
      <c r="R75" s="105">
        <v>1</v>
      </c>
      <c r="S75" s="110" t="str">
        <f>IFERROR(_xll.qlRateHelperEarliestDate(M75,Trigger),"--")</f>
        <v>--</v>
      </c>
      <c r="T75" s="110" t="str">
        <f>IFERROR(_xll.qlRateHelperPillarDate(M75,Trigger),"--")</f>
        <v>--</v>
      </c>
      <c r="V75" s="4" t="str">
        <f t="shared" si="15"/>
        <v/>
      </c>
      <c r="W75" s="4" t="e">
        <v>#N/A</v>
      </c>
      <c r="X75" s="4" t="str">
        <f>IFERROR(_xll.qlRateHelperQuoteName(W75,Trigger),"")</f>
        <v/>
      </c>
      <c r="Y75" s="75" t="str">
        <f>IFERROR(_xll.qlRateHelperRate(W75,Trigger),"")</f>
        <v/>
      </c>
      <c r="Z75" s="11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3" t="e">
        <v>#N/A</v>
      </c>
    </row>
    <row r="76" spans="1:29" ht="11.25" customHeight="1" x14ac:dyDescent="0.2">
      <c r="A76" s="63" t="s">
        <v>160</v>
      </c>
      <c r="B76" s="64" t="s">
        <v>95</v>
      </c>
      <c r="C76" s="65" t="s">
        <v>6</v>
      </c>
      <c r="D76" s="65" t="s">
        <v>8</v>
      </c>
      <c r="E76" s="65" t="s">
        <v>7</v>
      </c>
      <c r="F76" s="65" t="s">
        <v>28</v>
      </c>
      <c r="G76" s="65" t="str">
        <f t="shared" si="13"/>
        <v>UsdLibor1Y</v>
      </c>
      <c r="H76" s="63" t="str">
        <f t="shared" si="14"/>
        <v>USDAM3L30Y_S12L3L_Quote</v>
      </c>
      <c r="I76" s="140">
        <v>0</v>
      </c>
      <c r="J76" s="69" t="str">
        <f>_xll.qlSwapRateHelper2(,H76,,B76,JoinCalendar,USD1Y!D76,USD1Y!E76,USD1Y!F76,USD1Y!G76,USD1Y!I76,USD1Y!C76,Discounting,PillarDate,,Permanent,Trigger,ObjectOverwrite)</f>
        <v>obj_00295#0006</v>
      </c>
      <c r="L76" s="11" t="str">
        <f>A80</f>
        <v>BasSw</v>
      </c>
      <c r="M76" s="105" t="str">
        <f t="shared" si="12"/>
        <v>obj_002ae#0006</v>
      </c>
      <c r="N76" s="159" t="str">
        <f>IFERROR(_xll.qlRateHelperQuoteName(M76,Trigger),"--")</f>
        <v>USDAM3L50Y_S12L3L_Quote</v>
      </c>
      <c r="O76" s="109">
        <f>IFERROR(_xll.qlRateHelperQuoteValue($M76,Trigger),"--")</f>
        <v>2.4619523959414875E-2</v>
      </c>
      <c r="P76" s="108" t="b">
        <v>1</v>
      </c>
      <c r="Q76" s="105">
        <v>40</v>
      </c>
      <c r="R76" s="105">
        <v>1</v>
      </c>
      <c r="S76" s="110">
        <f>IFERROR(_xll.qlRateHelperEarliestDate(M76,Trigger),"--")</f>
        <v>42482</v>
      </c>
      <c r="T76" s="110">
        <f>IFERROR(_xll.qlRateHelperPillarDate(M76,Trigger),"--")</f>
        <v>60744</v>
      </c>
      <c r="V76" s="4" t="str">
        <f t="shared" si="15"/>
        <v/>
      </c>
      <c r="W76" s="4" t="e">
        <v>#N/A</v>
      </c>
      <c r="X76" s="4" t="str">
        <f>IFERROR(_xll.qlRateHelperQuoteName(W76,Trigger),"")</f>
        <v/>
      </c>
      <c r="Y76" s="75" t="str">
        <f>IFERROR(_xll.qlRateHelperRate(W76,Trigger),"")</f>
        <v/>
      </c>
      <c r="Z76" s="11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3" t="e">
        <v>#N/A</v>
      </c>
    </row>
    <row r="77" spans="1:29" ht="11.25" customHeight="1" x14ac:dyDescent="0.2">
      <c r="A77" s="63" t="s">
        <v>160</v>
      </c>
      <c r="B77" s="64" t="s">
        <v>96</v>
      </c>
      <c r="C77" s="65" t="s">
        <v>6</v>
      </c>
      <c r="D77" s="65" t="s">
        <v>8</v>
      </c>
      <c r="E77" s="65" t="s">
        <v>7</v>
      </c>
      <c r="F77" s="65" t="s">
        <v>28</v>
      </c>
      <c r="G77" s="65" t="str">
        <f t="shared" si="13"/>
        <v>UsdLibor1Y</v>
      </c>
      <c r="H77" s="63" t="str">
        <f t="shared" si="14"/>
        <v>USDAM3L35Y_S12L3L_Quote</v>
      </c>
      <c r="I77" s="140">
        <v>0</v>
      </c>
      <c r="J77" s="69" t="str">
        <f>_xll.qlSwapRateHelper2(,H77,,B77,JoinCalendar,USD1Y!D77,USD1Y!E77,USD1Y!F77,USD1Y!G77,USD1Y!I77,USD1Y!C77,Discounting,PillarDate,,Permanent,Trigger,ObjectOverwrite)</f>
        <v>obj_002c4#0006</v>
      </c>
      <c r="L77" s="11" t="str">
        <f t="shared" si="11"/>
        <v>BasSw</v>
      </c>
      <c r="M77" s="105" t="str">
        <f t="shared" si="12"/>
        <v>--</v>
      </c>
      <c r="N77" s="159" t="str">
        <f>IFERROR(_xll.qlRateHelperQuoteName(M77,Trigger),"--")</f>
        <v>--</v>
      </c>
      <c r="O77" s="109" t="str">
        <f>IFERROR(_xll.qlRateHelperQuoteValue($M77,Trigger),"--")</f>
        <v>--</v>
      </c>
      <c r="P77" s="108" t="b">
        <v>0</v>
      </c>
      <c r="Q77" s="105">
        <v>40</v>
      </c>
      <c r="R77" s="105">
        <v>1</v>
      </c>
      <c r="S77" s="110" t="str">
        <f>IFERROR(_xll.qlRateHelperEarliestDate(M77,Trigger),"--")</f>
        <v>--</v>
      </c>
      <c r="T77" s="110" t="str">
        <f>IFERROR(_xll.qlRateHelperPillarDate(M77,Trigger),"--")</f>
        <v>--</v>
      </c>
      <c r="V77" s="4" t="str">
        <f t="shared" si="15"/>
        <v/>
      </c>
      <c r="W77" s="4" t="e">
        <v>#N/A</v>
      </c>
      <c r="X77" s="4" t="str">
        <f>IFERROR(_xll.qlRateHelperQuoteName(W77,Trigger),"")</f>
        <v/>
      </c>
      <c r="Y77" s="75" t="str">
        <f>IFERROR(_xll.qlRateHelperRate(W77,Trigger),"")</f>
        <v/>
      </c>
      <c r="Z77" s="11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3" t="e">
        <v>#N/A</v>
      </c>
    </row>
    <row r="78" spans="1:29" ht="11.25" customHeight="1" x14ac:dyDescent="0.2">
      <c r="A78" s="63" t="s">
        <v>160</v>
      </c>
      <c r="B78" s="64" t="s">
        <v>97</v>
      </c>
      <c r="C78" s="65" t="s">
        <v>6</v>
      </c>
      <c r="D78" s="65" t="s">
        <v>8</v>
      </c>
      <c r="E78" s="65" t="s">
        <v>7</v>
      </c>
      <c r="F78" s="65" t="s">
        <v>28</v>
      </c>
      <c r="G78" s="65" t="str">
        <f t="shared" si="13"/>
        <v>UsdLibor1Y</v>
      </c>
      <c r="H78" s="63" t="str">
        <f t="shared" si="14"/>
        <v>USDAM3L40Y_S12L3L_Quote</v>
      </c>
      <c r="I78" s="140">
        <v>0</v>
      </c>
      <c r="J78" s="69" t="str">
        <f>_xll.qlSwapRateHelper2(,H78,,B78,JoinCalendar,USD1Y!D78,USD1Y!E78,USD1Y!F78,USD1Y!G78,USD1Y!I78,USD1Y!C78,Discounting,PillarDate,,Permanent,Trigger,ObjectOverwrite)</f>
        <v>obj_002a7#0006</v>
      </c>
      <c r="L78" s="12" t="str">
        <f t="shared" si="11"/>
        <v>BasSw</v>
      </c>
      <c r="M78" s="106" t="str">
        <f t="shared" si="12"/>
        <v>obj_00316#0006</v>
      </c>
      <c r="N78" s="160" t="str">
        <f>IFERROR(_xll.qlRateHelperQuoteName(M78,Trigger),"--")</f>
        <v>USDAM3L60Y_S12L3L_Quote</v>
      </c>
      <c r="O78" s="112">
        <f>IFERROR(_xll.qlRateHelperQuoteValue($M78,Trigger),"--")</f>
        <v>2.4508459593707881E-2</v>
      </c>
      <c r="P78" s="111" t="b">
        <v>1</v>
      </c>
      <c r="Q78" s="106">
        <v>40</v>
      </c>
      <c r="R78" s="106">
        <v>1</v>
      </c>
      <c r="S78" s="113">
        <f>IFERROR(_xll.qlRateHelperEarliestDate(M78,Trigger),"--")</f>
        <v>42482</v>
      </c>
      <c r="T78" s="113">
        <f>IFERROR(_xll.qlRateHelperPillarDate(M78,Trigger),"--")</f>
        <v>64397</v>
      </c>
      <c r="V78" s="6" t="str">
        <f t="shared" si="15"/>
        <v/>
      </c>
      <c r="W78" s="6" t="e">
        <v>#N/A</v>
      </c>
      <c r="X78" s="6" t="str">
        <f>IFERROR(_xll.qlRateHelperQuoteName(W78,Trigger),"")</f>
        <v/>
      </c>
      <c r="Y78" s="85" t="str">
        <f>IFERROR(_xll.qlRateHelperRate(W78,Trigger),"")</f>
        <v/>
      </c>
      <c r="Z78" s="116" t="str">
        <f>IF(ISERROR(_xll.qlSwapRateHelperSpread($W78)),IF(ISERROR(_xll.qlFuturesRateHelperConvexityAdjustment($W78)),"",_xll.qlFuturesRateHelperConvexityAdjustment($W78)),_xll.qlSwapRateHelperSpread($W78))</f>
        <v/>
      </c>
      <c r="AA78" s="13" t="str">
        <f>IFERROR(_xll.qlRateHelperEarliestDate(W78,Trigger),"")</f>
        <v/>
      </c>
      <c r="AB78" s="13" t="str">
        <f>IFERROR(_xll.qlRateHelperPillarDate(W78,Trigger),"")</f>
        <v/>
      </c>
      <c r="AC78" s="84" t="e">
        <v>#N/A</v>
      </c>
    </row>
    <row r="79" spans="1:29" ht="11.25" customHeight="1" x14ac:dyDescent="0.2">
      <c r="A79" s="63" t="s">
        <v>160</v>
      </c>
      <c r="B79" s="64" t="s">
        <v>98</v>
      </c>
      <c r="C79" s="65" t="s">
        <v>6</v>
      </c>
      <c r="D79" s="65" t="s">
        <v>8</v>
      </c>
      <c r="E79" s="65" t="s">
        <v>7</v>
      </c>
      <c r="F79" s="65" t="s">
        <v>28</v>
      </c>
      <c r="G79" s="65" t="str">
        <f t="shared" si="13"/>
        <v>UsdLibor1Y</v>
      </c>
      <c r="H79" s="63" t="str">
        <f t="shared" si="14"/>
        <v>USDAM3L45Y_S12L3L_Quote</v>
      </c>
      <c r="I79" s="140">
        <v>0</v>
      </c>
      <c r="J79" s="69"/>
    </row>
    <row r="80" spans="1:29" ht="11.25" customHeight="1" x14ac:dyDescent="0.2">
      <c r="A80" s="63" t="s">
        <v>160</v>
      </c>
      <c r="B80" s="64" t="s">
        <v>99</v>
      </c>
      <c r="C80" s="65" t="s">
        <v>6</v>
      </c>
      <c r="D80" s="65" t="s">
        <v>8</v>
      </c>
      <c r="E80" s="65" t="s">
        <v>7</v>
      </c>
      <c r="F80" s="65" t="s">
        <v>28</v>
      </c>
      <c r="G80" s="65" t="str">
        <f t="shared" si="13"/>
        <v>UsdLibor1Y</v>
      </c>
      <c r="H80" s="63" t="str">
        <f t="shared" si="14"/>
        <v>USDAM3L50Y_S12L3L_Quote</v>
      </c>
      <c r="I80" s="140">
        <v>0</v>
      </c>
      <c r="J80" s="69" t="str">
        <f>_xll.qlSwapRateHelper2(,H80,,B80,JoinCalendar,USD1Y!D80,USD1Y!E80,USD1Y!F80,USD1Y!G80,USD1Y!I80,USD1Y!C80,Discounting,PillarDate,,Permanent,Trigger,ObjectOverwrite)</f>
        <v>obj_002ae#0006</v>
      </c>
    </row>
    <row r="81" spans="1:11" x14ac:dyDescent="0.2">
      <c r="A81" s="63" t="s">
        <v>160</v>
      </c>
      <c r="B81" s="64" t="s">
        <v>155</v>
      </c>
      <c r="C81" s="65" t="s">
        <v>6</v>
      </c>
      <c r="D81" s="65" t="s">
        <v>8</v>
      </c>
      <c r="E81" s="65" t="s">
        <v>7</v>
      </c>
      <c r="F81" s="65" t="s">
        <v>28</v>
      </c>
      <c r="G81" s="65" t="str">
        <f t="shared" si="13"/>
        <v>UsdLibor1Y</v>
      </c>
      <c r="H81" s="63" t="str">
        <f t="shared" si="14"/>
        <v>USDAM3L55Y_S12L3L_Quote</v>
      </c>
      <c r="I81" s="138">
        <v>0</v>
      </c>
      <c r="J81" s="69"/>
    </row>
    <row r="82" spans="1:11" x14ac:dyDescent="0.2">
      <c r="A82" s="1" t="s">
        <v>160</v>
      </c>
      <c r="B82" s="9" t="s">
        <v>147</v>
      </c>
      <c r="C82" s="7" t="s">
        <v>6</v>
      </c>
      <c r="D82" s="7" t="s">
        <v>8</v>
      </c>
      <c r="E82" s="7" t="s">
        <v>7</v>
      </c>
      <c r="F82" s="7" t="s">
        <v>28</v>
      </c>
      <c r="G82" s="7" t="str">
        <f t="shared" si="13"/>
        <v>UsdLibor1Y</v>
      </c>
      <c r="H82" s="1" t="str">
        <f t="shared" si="14"/>
        <v>USDAM3L60Y_S12L3L_Quote</v>
      </c>
      <c r="I82" s="141">
        <v>0</v>
      </c>
      <c r="J82" s="3" t="str">
        <f>_xll.qlSwapRateHelper2(,H82,,B82,JoinCalendar,USD1Y!D82,USD1Y!E82,USD1Y!F82,USD1Y!G82,USD1Y!I82,USD1Y!C82,Discounting,PillarDate,,Permanent,Trigger,ObjectOverwrite)</f>
        <v>obj_00316#0006</v>
      </c>
    </row>
    <row r="90" spans="1:11" x14ac:dyDescent="0.2">
      <c r="K90" s="50" t="s">
        <v>47</v>
      </c>
    </row>
  </sheetData>
  <mergeCells count="1">
    <mergeCell ref="AE2:AF2"/>
  </mergeCells>
  <dataValidations disablePrompts="1" count="4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50</vt:i4>
      </vt:variant>
    </vt:vector>
  </HeadingPairs>
  <TitlesOfParts>
    <vt:vector size="56" baseType="lpstr">
      <vt:lpstr>GeneralSettings</vt:lpstr>
      <vt:lpstr>USDON</vt:lpstr>
      <vt:lpstr>USD3M</vt:lpstr>
      <vt:lpstr>USD6M</vt:lpstr>
      <vt:lpstr>USD1M</vt:lpstr>
      <vt:lpstr>USD1Y</vt:lpstr>
      <vt:lpstr>ArithmeticFF</vt:lpstr>
      <vt:lpstr>Calendar</vt:lpstr>
      <vt:lpstr>Currency</vt:lpstr>
      <vt:lpstr>Discounting</vt:lpstr>
      <vt:lpstr>Evaluationdate</vt:lpstr>
      <vt:lpstr>ExactFormula</vt:lpstr>
      <vt:lpstr>FamilyName</vt:lpstr>
      <vt:lpstr>HolidayCheck</vt:lpstr>
      <vt:lpstr>USD1M!IncludeFlag</vt:lpstr>
      <vt:lpstr>USD1Y!IncludeFlag</vt:lpstr>
      <vt:lpstr>USD3M!IncludeFlag</vt:lpstr>
      <vt:lpstr>USD6M!IncludeFlag</vt:lpstr>
      <vt:lpstr>USDON!IncludeFlag</vt:lpstr>
      <vt:lpstr>JoinCalendar</vt:lpstr>
      <vt:lpstr>LiborCalendar</vt:lpstr>
      <vt:lpstr>LocalCalendar</vt:lpstr>
      <vt:lpstr>MeanReversion</vt:lpstr>
      <vt:lpstr>USD1M!MinDistance</vt:lpstr>
      <vt:lpstr>USD1Y!MinDistance</vt:lpstr>
      <vt:lpstr>USD3M!MinDistance</vt:lpstr>
      <vt:lpstr>USD6M!MinDistance</vt:lpstr>
      <vt:lpstr>USDON!MinDistance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QuoteSuffix</vt:lpstr>
      <vt:lpstr>USD1M!RateHelpers</vt:lpstr>
      <vt:lpstr>USD1Y!RateHelpers</vt:lpstr>
      <vt:lpstr>USD3M!RateHelpers</vt:lpstr>
      <vt:lpstr>USD6M!RateHelpers</vt:lpstr>
      <vt:lpstr>USDON!RateHelpers</vt:lpstr>
      <vt:lpstr>Settlementdate</vt:lpstr>
      <vt:lpstr>USD1M!Tenor</vt:lpstr>
      <vt:lpstr>USD1Y!Tenor</vt:lpstr>
      <vt:lpstr>USD3M!Tenor</vt:lpstr>
      <vt:lpstr>USD6M!Tenor</vt:lpstr>
      <vt:lpstr>USDON!Tenor</vt:lpstr>
      <vt:lpstr>Trigger</vt:lpstr>
      <vt:lpstr>Volatility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2016-04-20T17:13:56Z</dcterms:modified>
</cp:coreProperties>
</file>