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9120" yWindow="-15" windowWidth="9165" windowHeight="11640" tabRatio="879"/>
  </bookViews>
  <sheets>
    <sheet name="General Settings" sheetId="56" r:id="rId1"/>
    <sheet name="Libor" sheetId="6" r:id="rId2"/>
    <sheet name="Deposits" sheetId="15" r:id="rId3"/>
    <sheet name="FRA3M" sheetId="16" r:id="rId4"/>
    <sheet name="FRA6M" sheetId="64" r:id="rId5"/>
    <sheet name="FRA12M" sheetId="65" r:id="rId6"/>
    <sheet name="OIS" sheetId="22" r:id="rId7"/>
    <sheet name="Futures3M" sheetId="18" r:id="rId8"/>
    <sheet name="Swap1M" sheetId="23" r:id="rId9"/>
    <sheet name="Swap3M" sheetId="25" r:id="rId10"/>
    <sheet name="SwapIMM" sheetId="24" r:id="rId11"/>
    <sheet name="BasisSwapFF3M" sheetId="66" r:id="rId12"/>
    <sheet name="BasisSwap1M3M" sheetId="11" r:id="rId13"/>
    <sheet name="BasisSwap3M6M" sheetId="12" r:id="rId14"/>
    <sheet name="BasisSwap3M12M" sheetId="13" r:id="rId15"/>
    <sheet name="LiborSwapForBasisCalc" sheetId="63" r:id="rId16"/>
    <sheet name="FuturesHWConvAdj" sheetId="20" r:id="rId17"/>
  </sheets>
  <definedNames>
    <definedName name="Area">'General Settings'!$I$4</definedName>
    <definedName name="AreaIndex">'General Settings'!$I$5</definedName>
    <definedName name="AreaTable">'General Settings'!$L$3:$O$14</definedName>
    <definedName name="Calendar">'General Settings'!$D$23</definedName>
    <definedName name="Contributor" localSheetId="12">BasisSwap1M3M!$O$2</definedName>
    <definedName name="Contributor" localSheetId="14">BasisSwap3M12M!$O$2</definedName>
    <definedName name="Contributor" localSheetId="13">BasisSwap3M6M!$O$2</definedName>
    <definedName name="Contributor" localSheetId="11">BasisSwapFF3M!$O$2</definedName>
    <definedName name="Contributor" localSheetId="5">FRA12M!$O$2</definedName>
    <definedName name="Contributor" localSheetId="3">FRA3M!$O$2</definedName>
    <definedName name="Contributor" localSheetId="4">FRA6M!$O$2</definedName>
    <definedName name="Contributor" localSheetId="6">OIS!$O$2</definedName>
    <definedName name="Contributor" localSheetId="9">Swap3M!$O$2</definedName>
    <definedName name="Contributors">'General Settings'!$C$28:$C$46</definedName>
    <definedName name="ContributorTable">'General Settings'!$C$28:$D$46</definedName>
    <definedName name="Currency">'General Settings'!$D$13</definedName>
    <definedName name="Discounting">'General Settings'!$D$14</definedName>
    <definedName name="EvaluationDate">'General Settings'!$D$5</definedName>
    <definedName name="FamilyName" localSheetId="1">Libor!$E$3</definedName>
    <definedName name="FamilyName">'General Settings'!$D$15</definedName>
    <definedName name="FamilyName2" localSheetId="15">LiborSwapForBasisCalc!$E$2</definedName>
    <definedName name="FileName" localSheetId="15">LiborSwapForBasisCalc!$D$7</definedName>
    <definedName name="FileOverwrite">'General Settings'!$I$17</definedName>
    <definedName name="FixingType" localSheetId="15">LiborSwapForBasisCalc!$E$3</definedName>
    <definedName name="FixingType">'General Settings'!$D$17</definedName>
    <definedName name="FuturesCodes" localSheetId="7">Futures3M!$P$5:$P$46</definedName>
    <definedName name="FuturesDates" localSheetId="7">Futures3M!$Q$5:$Q$46</definedName>
    <definedName name="HolidayCheck">'General Settings'!$D$22</definedName>
    <definedName name="IborIndex" localSheetId="7">Futures3M!$I$3</definedName>
    <definedName name="Instrments" localSheetId="13">BasisSwap3M6M!$N$5:$N$42</definedName>
    <definedName name="Instruments" localSheetId="12">BasisSwap1M3M!$N$5:$N$42</definedName>
    <definedName name="Instruments" localSheetId="14">BasisSwap3M12M!$N$5:$N$42</definedName>
    <definedName name="Instruments" localSheetId="11">BasisSwapFF3M!$N$5:$N$42</definedName>
    <definedName name="Instruments" localSheetId="5">FRA12M!$N$5:$N$28</definedName>
    <definedName name="Instruments" localSheetId="3">FRA3M!$N$5:$N$16</definedName>
    <definedName name="Instruments" localSheetId="4">FRA6M!$N$5:$N$22</definedName>
    <definedName name="Instruments" localSheetId="6">OIS!$N$5:$N$58</definedName>
    <definedName name="Instruments" localSheetId="8">Swap1M!$N$5:$N$18</definedName>
    <definedName name="Instruments" localSheetId="9">Swap3M!$N$5:$N$42</definedName>
    <definedName name="Instruments" localSheetId="10">SwapIMM!$N$5:$N$11</definedName>
    <definedName name="InterpolationType">'General Settings'!$I$19</definedName>
    <definedName name="JoinCalendar">'General Settings'!$D$21</definedName>
    <definedName name="LastFixingsTrigger">'General Settings'!$D$8</definedName>
    <definedName name="LastUpdate">'General Settings'!$I$8</definedName>
    <definedName name="LiborCalendar">'General Settings'!$D$18</definedName>
    <definedName name="LiveDataFeed">'General Settings'!$I$7</definedName>
    <definedName name="MeanReversion" localSheetId="7">Futures3M!$I$2</definedName>
    <definedName name="MoneyMarketDayCounter">'General Settings'!$D$16</definedName>
    <definedName name="ObjectOverwrite">'General Settings'!$I$14</definedName>
    <definedName name="OverNightIndexCalendar">'General Settings'!$D$19</definedName>
    <definedName name="Permanent">'General Settings'!$I$13</definedName>
    <definedName name="PriceTickValue">'General Settings'!$I$21</definedName>
    <definedName name="Quote" localSheetId="12">BasisSwap1M3M!$Y$5:$Y$42</definedName>
    <definedName name="Quote" localSheetId="14">BasisSwap3M12M!$Y$5:$Y$42</definedName>
    <definedName name="Quote" localSheetId="13">BasisSwap3M6M!$Y$5:$Y$42</definedName>
    <definedName name="Quote" localSheetId="11">BasisSwapFF3M!$Y$5:$Y$42</definedName>
    <definedName name="Quote" localSheetId="2">Deposits!$Q$5:$Q$13</definedName>
    <definedName name="Quote" localSheetId="5">FRA12M!$W$5:$W$28</definedName>
    <definedName name="Quote" localSheetId="3">FRA3M!$W$5:$W$16</definedName>
    <definedName name="Quote" localSheetId="4">FRA6M!$W$5:$W$22</definedName>
    <definedName name="Quote" localSheetId="7">Futures3M!$AC$5:$AC$46</definedName>
    <definedName name="Quote" localSheetId="16">FuturesHWConvAdj!$T$5:$T$6</definedName>
    <definedName name="Quote" localSheetId="6">OIS!$W$5:$W$58</definedName>
    <definedName name="Quote" localSheetId="8">Swap1M!$W$5:$W$18</definedName>
    <definedName name="Quote" localSheetId="9">Swap3M!$Z$5:$Z$42</definedName>
    <definedName name="QuoteLive" localSheetId="12">BasisSwap1M3M!$U$5:$U$42</definedName>
    <definedName name="QuoteLive" localSheetId="14">BasisSwap3M12M!$U$5:$U$42</definedName>
    <definedName name="QuoteLive" localSheetId="13">BasisSwap3M6M!$U$5:$U$42</definedName>
    <definedName name="QuoteLive" localSheetId="11">BasisSwapFF3M!$U$5:$U$42</definedName>
    <definedName name="QuoteLive" localSheetId="2">Deposits!$M$5:$M$13</definedName>
    <definedName name="QuoteLive" localSheetId="5">FRA12M!$R$5:$R$28</definedName>
    <definedName name="QuoteLive" localSheetId="3">FRA3M!$R$5:$R$16</definedName>
    <definedName name="QuoteLive" localSheetId="4">FRA6M!$R$5:$R$22</definedName>
    <definedName name="QuoteLive" localSheetId="7">Futures3M!$X$5:$X$46</definedName>
    <definedName name="QuoteLive" localSheetId="16">FuturesHWConvAdj!$P$5:$P$6</definedName>
    <definedName name="QuoteLive" localSheetId="6">OIS!$R$5:$R$58</definedName>
    <definedName name="QuoteLive" localSheetId="8">Swap1M!$R$5:$R$18</definedName>
    <definedName name="QuoteLive" localSheetId="9">Swap3M!$U$5:$U$42</definedName>
    <definedName name="QuoteLive" localSheetId="10">SwapIMM!$R$5:$R$11</definedName>
    <definedName name="QuoteStatic" localSheetId="12">BasisSwap1M3M!$W$5:$W$42</definedName>
    <definedName name="QuoteStatic" localSheetId="14">BasisSwap3M12M!$W$5:$W$42</definedName>
    <definedName name="QuoteStatic" localSheetId="13">BasisSwap3M6M!$W$5:$W$42</definedName>
    <definedName name="QuoteStatic" localSheetId="11">BasisSwapFF3M!$W$5:$W$42</definedName>
    <definedName name="QuoteStatic" localSheetId="2">Deposits!$O$5:$O$13</definedName>
    <definedName name="QuoteStatic" localSheetId="5">FRA12M!$U$5:$U$28</definedName>
    <definedName name="QuoteStatic" localSheetId="3">FRA3M!$U$5:$U$16</definedName>
    <definedName name="QuoteStatic" localSheetId="4">FRA6M!$U$5:$U$22</definedName>
    <definedName name="QuoteStatic" localSheetId="7">Futures3M!$AA$5:$AA$46</definedName>
    <definedName name="QuoteStatic" localSheetId="16">FuturesHWConvAdj!$R$5:$R$6</definedName>
    <definedName name="QuoteStatic" localSheetId="6">OIS!$U$5:$U$58</definedName>
    <definedName name="QuoteStatic" localSheetId="8">Swap1M!$U$5:$U$18</definedName>
    <definedName name="QuoteStatic" localSheetId="9">Swap3M!$X$5:$X$42</definedName>
    <definedName name="QuoteStatic" localSheetId="10">SwapIMM!$U$5:$U$11</definedName>
    <definedName name="QuoteSuffix">'General Settings'!$I$18</definedName>
    <definedName name="RateTickValue">'General Settings'!$I$20</definedName>
    <definedName name="ReutersRtMode">'General Settings'!$I$22</definedName>
    <definedName name="SerializationPath">'General Settings'!$I$16</definedName>
    <definedName name="Serialize">'General Settings'!$I$15</definedName>
    <definedName name="Swap3M4Y">Swap3M!$Z$12</definedName>
    <definedName name="Trigger">'General Settings'!$D$4</definedName>
    <definedName name="TriggerCounter">'General Settings'!$D$7</definedName>
    <definedName name="Volatility" localSheetId="7">Futures3M!$I$1</definedName>
  </definedNames>
  <calcPr calcId="145621"/>
</workbook>
</file>

<file path=xl/calcChain.xml><?xml version="1.0" encoding="utf-8"?>
<calcChain xmlns="http://schemas.openxmlformats.org/spreadsheetml/2006/main">
  <c r="S3" i="25" l="1"/>
  <c r="U5" i="25"/>
  <c r="U37" i="25"/>
  <c r="U29" i="25"/>
  <c r="U21" i="25"/>
  <c r="U13" i="25"/>
  <c r="U36" i="25"/>
  <c r="U28" i="25"/>
  <c r="U20" i="25"/>
  <c r="U12" i="25"/>
  <c r="U35" i="25"/>
  <c r="U27" i="25"/>
  <c r="U19" i="25"/>
  <c r="U11" i="25"/>
  <c r="U42" i="25"/>
  <c r="U34" i="25"/>
  <c r="U26" i="25"/>
  <c r="U18" i="25"/>
  <c r="U10" i="25"/>
  <c r="U41" i="25"/>
  <c r="U33" i="25"/>
  <c r="U25" i="25"/>
  <c r="U17" i="25"/>
  <c r="U9" i="25"/>
  <c r="U40" i="25"/>
  <c r="U32" i="25"/>
  <c r="U24" i="25"/>
  <c r="U16" i="25"/>
  <c r="U8" i="25"/>
  <c r="U39" i="25"/>
  <c r="U31" i="25"/>
  <c r="U23" i="25"/>
  <c r="U15" i="25"/>
  <c r="U7" i="25"/>
  <c r="U38" i="25"/>
  <c r="U30" i="25"/>
  <c r="U22" i="25"/>
  <c r="U14" i="25"/>
  <c r="U6" i="25"/>
  <c r="T5" i="20" l="1" a="1"/>
  <c r="T5" i="20" s="1"/>
  <c r="Y5" i="13" a="1"/>
  <c r="Y9" i="13" s="1"/>
  <c r="Y5" i="12" a="1"/>
  <c r="Y10" i="12" s="1"/>
  <c r="Y5" i="12"/>
  <c r="Y6" i="12"/>
  <c r="Y7" i="12"/>
  <c r="Y8" i="12"/>
  <c r="Y12" i="12"/>
  <c r="Y13" i="12"/>
  <c r="Y14" i="12"/>
  <c r="Y15" i="12"/>
  <c r="Y16" i="12"/>
  <c r="Y20" i="12"/>
  <c r="Y21" i="12"/>
  <c r="Y22" i="12"/>
  <c r="Y23" i="12"/>
  <c r="Y24" i="12"/>
  <c r="Y28" i="12"/>
  <c r="Y29" i="12"/>
  <c r="Y30" i="12"/>
  <c r="Y31" i="12"/>
  <c r="Y32" i="12"/>
  <c r="Y36" i="12"/>
  <c r="Y37" i="12"/>
  <c r="Y38" i="12"/>
  <c r="Y39" i="12"/>
  <c r="Y40" i="12"/>
  <c r="Y5" i="11" a="1"/>
  <c r="Y11" i="11" s="1"/>
  <c r="Y5" i="11"/>
  <c r="Y6" i="11"/>
  <c r="Y7" i="11"/>
  <c r="Y8" i="11"/>
  <c r="Y9" i="11"/>
  <c r="Y10" i="11"/>
  <c r="Y12" i="11"/>
  <c r="Y13" i="11"/>
  <c r="Y14" i="11"/>
  <c r="Y15" i="11"/>
  <c r="Y16" i="11"/>
  <c r="Y17" i="11"/>
  <c r="Y18" i="11"/>
  <c r="Y20" i="11"/>
  <c r="Y21" i="11"/>
  <c r="Y22" i="11"/>
  <c r="Y23" i="11"/>
  <c r="Y24" i="11"/>
  <c r="Y25" i="11"/>
  <c r="Y26" i="11"/>
  <c r="Y28" i="11"/>
  <c r="Y29" i="11"/>
  <c r="Y30" i="11"/>
  <c r="Y31" i="11"/>
  <c r="Y32" i="11"/>
  <c r="Y33" i="11"/>
  <c r="Y36" i="11"/>
  <c r="Y37" i="11"/>
  <c r="Y38" i="11"/>
  <c r="Y39" i="11"/>
  <c r="Y40" i="11"/>
  <c r="Y41" i="11"/>
  <c r="Y5" i="66" a="1"/>
  <c r="Y35" i="66" s="1"/>
  <c r="Y5" i="66"/>
  <c r="Y6" i="66"/>
  <c r="Y7" i="66"/>
  <c r="Y8" i="66"/>
  <c r="Y9" i="66"/>
  <c r="Y10" i="66"/>
  <c r="Y11" i="66"/>
  <c r="Y12" i="66"/>
  <c r="Y13" i="66"/>
  <c r="Y14" i="66"/>
  <c r="Y15" i="66"/>
  <c r="Y16" i="66"/>
  <c r="Y17" i="66"/>
  <c r="Y18" i="66"/>
  <c r="Y19" i="66"/>
  <c r="Y20" i="66"/>
  <c r="Y21" i="66"/>
  <c r="Y22" i="66"/>
  <c r="Y23" i="66"/>
  <c r="Y24" i="66"/>
  <c r="Y25" i="66"/>
  <c r="Y26" i="66"/>
  <c r="Y27" i="66"/>
  <c r="Y28" i="66"/>
  <c r="Y29" i="66"/>
  <c r="Y30" i="66"/>
  <c r="Y31" i="66"/>
  <c r="Y32" i="66"/>
  <c r="Y33" i="66"/>
  <c r="Y34" i="66"/>
  <c r="Y36" i="66"/>
  <c r="Y37" i="66"/>
  <c r="Y38" i="66"/>
  <c r="Y39" i="66"/>
  <c r="Y40" i="66"/>
  <c r="Y41" i="66"/>
  <c r="Y42" i="66"/>
  <c r="Z5" i="25" a="1"/>
  <c r="Z5" i="25" s="1"/>
  <c r="W5" i="23" a="1"/>
  <c r="W6" i="23" s="1"/>
  <c r="AC5" i="18" a="1"/>
  <c r="AC7" i="18" s="1"/>
  <c r="W5" i="22" a="1"/>
  <c r="W5" i="22" s="1"/>
  <c r="W7" i="22"/>
  <c r="W8" i="22"/>
  <c r="W9" i="22"/>
  <c r="W10" i="22"/>
  <c r="W11" i="22"/>
  <c r="W12" i="22"/>
  <c r="W15" i="22"/>
  <c r="W16" i="22"/>
  <c r="W17" i="22"/>
  <c r="W18" i="22"/>
  <c r="W19" i="22"/>
  <c r="W20" i="22"/>
  <c r="W23" i="22"/>
  <c r="W24" i="22"/>
  <c r="W25" i="22"/>
  <c r="W26" i="22"/>
  <c r="W27" i="22"/>
  <c r="W28" i="22"/>
  <c r="W31" i="22"/>
  <c r="W32" i="22"/>
  <c r="W33" i="22"/>
  <c r="W34" i="22"/>
  <c r="W35" i="22"/>
  <c r="W36" i="22"/>
  <c r="W39" i="22"/>
  <c r="W40" i="22"/>
  <c r="W41" i="22"/>
  <c r="W42" i="22"/>
  <c r="W43" i="22"/>
  <c r="W44" i="22"/>
  <c r="W47" i="22"/>
  <c r="W48" i="22"/>
  <c r="W49" i="22"/>
  <c r="W50" i="22"/>
  <c r="W51" i="22"/>
  <c r="W52" i="22"/>
  <c r="W55" i="22"/>
  <c r="W56" i="22"/>
  <c r="W57" i="22"/>
  <c r="W58" i="22"/>
  <c r="W5" i="65" a="1"/>
  <c r="W5" i="65" s="1"/>
  <c r="W8" i="65"/>
  <c r="W9" i="65"/>
  <c r="W10" i="65"/>
  <c r="W11" i="65"/>
  <c r="W12" i="65"/>
  <c r="W16" i="65"/>
  <c r="W17" i="65"/>
  <c r="W18" i="65"/>
  <c r="W19" i="65"/>
  <c r="W20" i="65"/>
  <c r="W24" i="65"/>
  <c r="W25" i="65"/>
  <c r="W26" i="65"/>
  <c r="W27" i="65"/>
  <c r="W28" i="65"/>
  <c r="W5" i="64" a="1"/>
  <c r="W5" i="64" s="1"/>
  <c r="W7" i="64"/>
  <c r="W8" i="64"/>
  <c r="W9" i="64"/>
  <c r="W10" i="64"/>
  <c r="W11" i="64"/>
  <c r="W12" i="64"/>
  <c r="W15" i="64"/>
  <c r="W16" i="64"/>
  <c r="W17" i="64"/>
  <c r="W18" i="64"/>
  <c r="W19" i="64"/>
  <c r="W20" i="64"/>
  <c r="W5" i="16" a="1"/>
  <c r="W9" i="16" s="1"/>
  <c r="W5" i="16"/>
  <c r="W6" i="16"/>
  <c r="W7" i="16"/>
  <c r="W12" i="16"/>
  <c r="W13" i="16"/>
  <c r="W14" i="16"/>
  <c r="W15" i="16"/>
  <c r="Q5" i="15" a="1"/>
  <c r="Q5" i="15" s="1"/>
  <c r="Q7" i="15"/>
  <c r="Q8" i="15"/>
  <c r="Q9" i="15"/>
  <c r="Q10" i="15"/>
  <c r="Z40" i="25" l="1"/>
  <c r="Z26" i="25"/>
  <c r="Z12" i="25"/>
  <c r="Z36" i="25"/>
  <c r="Z25" i="25"/>
  <c r="Z11" i="25"/>
  <c r="Z35" i="25"/>
  <c r="Z24" i="25"/>
  <c r="Z10" i="25"/>
  <c r="Z34" i="25"/>
  <c r="Z20" i="25"/>
  <c r="Z9" i="25"/>
  <c r="Z33" i="25"/>
  <c r="Z19" i="25"/>
  <c r="Z8" i="25"/>
  <c r="Z18" i="25"/>
  <c r="Z42" i="25"/>
  <c r="Z28" i="25"/>
  <c r="Z17" i="25"/>
  <c r="Z32" i="25"/>
  <c r="Z41" i="25"/>
  <c r="Z27" i="25"/>
  <c r="Z16" i="25"/>
  <c r="AC37" i="18"/>
  <c r="AC5" i="18"/>
  <c r="AC20" i="18"/>
  <c r="Q12" i="15"/>
  <c r="Q11" i="15"/>
  <c r="W16" i="16"/>
  <c r="W8" i="16"/>
  <c r="AC46" i="18"/>
  <c r="AC38" i="18"/>
  <c r="AC30" i="18"/>
  <c r="AC22" i="18"/>
  <c r="AC14" i="18"/>
  <c r="AC6" i="18"/>
  <c r="W13" i="23"/>
  <c r="W5" i="23"/>
  <c r="Y42" i="11"/>
  <c r="Y34" i="11"/>
  <c r="Y41" i="12"/>
  <c r="Y33" i="12"/>
  <c r="Y25" i="12"/>
  <c r="Y17" i="12"/>
  <c r="Y9" i="12"/>
  <c r="Y40" i="13"/>
  <c r="Y32" i="13"/>
  <c r="Y24" i="13"/>
  <c r="Y16" i="13"/>
  <c r="Y8" i="13"/>
  <c r="Y39" i="13"/>
  <c r="Y31" i="13"/>
  <c r="Y23" i="13"/>
  <c r="Y15" i="13"/>
  <c r="Y7" i="13"/>
  <c r="W11" i="23"/>
  <c r="Y38" i="13"/>
  <c r="Y30" i="13"/>
  <c r="Y22" i="13"/>
  <c r="Y14" i="13"/>
  <c r="Y6" i="13"/>
  <c r="AC43" i="18"/>
  <c r="AC35" i="18"/>
  <c r="AC27" i="18"/>
  <c r="AC19" i="18"/>
  <c r="AC11" i="18"/>
  <c r="W18" i="23"/>
  <c r="W10" i="23"/>
  <c r="Y37" i="13"/>
  <c r="Y29" i="13"/>
  <c r="Y21" i="13"/>
  <c r="Y13" i="13"/>
  <c r="Y5" i="13"/>
  <c r="AC45" i="18"/>
  <c r="AC29" i="18"/>
  <c r="AC21" i="18"/>
  <c r="W12" i="23"/>
  <c r="AC34" i="18"/>
  <c r="AC10" i="18"/>
  <c r="Y36" i="13"/>
  <c r="Y20" i="13"/>
  <c r="Q6" i="15"/>
  <c r="W22" i="64"/>
  <c r="W6" i="64"/>
  <c r="W23" i="65"/>
  <c r="W15" i="65"/>
  <c r="W7" i="65"/>
  <c r="W54" i="22"/>
  <c r="W46" i="22"/>
  <c r="W38" i="22"/>
  <c r="W30" i="22"/>
  <c r="W22" i="22"/>
  <c r="W14" i="22"/>
  <c r="W6" i="22"/>
  <c r="AC41" i="18"/>
  <c r="AC33" i="18"/>
  <c r="AC25" i="18"/>
  <c r="AC17" i="18"/>
  <c r="AC9" i="18"/>
  <c r="W16" i="23"/>
  <c r="W8" i="23"/>
  <c r="Z39" i="25"/>
  <c r="Z31" i="25"/>
  <c r="Z23" i="25"/>
  <c r="Z15" i="25"/>
  <c r="Z7" i="25"/>
  <c r="Y35" i="13"/>
  <c r="Y27" i="13"/>
  <c r="Y19" i="13"/>
  <c r="Y11" i="13"/>
  <c r="T6" i="20"/>
  <c r="AC44" i="18"/>
  <c r="AC36" i="18"/>
  <c r="AC12" i="18"/>
  <c r="AC42" i="18"/>
  <c r="AC26" i="18"/>
  <c r="AC18" i="18"/>
  <c r="W17" i="23"/>
  <c r="Y28" i="13"/>
  <c r="Y12" i="13"/>
  <c r="W11" i="16"/>
  <c r="W14" i="64"/>
  <c r="Q13" i="15"/>
  <c r="W10" i="16"/>
  <c r="W21" i="64"/>
  <c r="W13" i="64"/>
  <c r="W22" i="65"/>
  <c r="W14" i="65"/>
  <c r="W6" i="65"/>
  <c r="W53" i="22"/>
  <c r="W45" i="22"/>
  <c r="W37" i="22"/>
  <c r="W29" i="22"/>
  <c r="W21" i="22"/>
  <c r="W13" i="22"/>
  <c r="AC40" i="18"/>
  <c r="AC32" i="18"/>
  <c r="AC24" i="18"/>
  <c r="AC16" i="18"/>
  <c r="AC8" i="18"/>
  <c r="W15" i="23"/>
  <c r="W7" i="23"/>
  <c r="Z38" i="25"/>
  <c r="Z30" i="25"/>
  <c r="Z22" i="25"/>
  <c r="Z14" i="25"/>
  <c r="Z6" i="25"/>
  <c r="Y35" i="12"/>
  <c r="Y27" i="12"/>
  <c r="Y19" i="12"/>
  <c r="Y11" i="12"/>
  <c r="Y42" i="13"/>
  <c r="Y34" i="13"/>
  <c r="Y26" i="13"/>
  <c r="Y18" i="13"/>
  <c r="Y10" i="13"/>
  <c r="AC13" i="18"/>
  <c r="AC28" i="18"/>
  <c r="W9" i="23"/>
  <c r="W21" i="65"/>
  <c r="W13" i="65"/>
  <c r="AC39" i="18"/>
  <c r="AC31" i="18"/>
  <c r="AC23" i="18"/>
  <c r="AC15" i="18"/>
  <c r="W14" i="23"/>
  <c r="Z37" i="25"/>
  <c r="Z29" i="25"/>
  <c r="Z21" i="25"/>
  <c r="Z13" i="25"/>
  <c r="Y35" i="11"/>
  <c r="Y27" i="11"/>
  <c r="Y19" i="11"/>
  <c r="Y42" i="12"/>
  <c r="Y34" i="12"/>
  <c r="Y26" i="12"/>
  <c r="Y18" i="12"/>
  <c r="Y41" i="13"/>
  <c r="Y33" i="13"/>
  <c r="Y25" i="13"/>
  <c r="Y17" i="13"/>
  <c r="C42" i="66"/>
  <c r="E42" i="66" s="1"/>
  <c r="B42" i="66"/>
  <c r="C41" i="66"/>
  <c r="E41" i="66" s="1"/>
  <c r="B41" i="66"/>
  <c r="C40" i="66"/>
  <c r="E40" i="66" s="1"/>
  <c r="B40" i="66"/>
  <c r="C39" i="66"/>
  <c r="E39" i="66" s="1"/>
  <c r="B39" i="66"/>
  <c r="C38" i="66"/>
  <c r="E38" i="66" s="1"/>
  <c r="B38" i="66"/>
  <c r="C37" i="66"/>
  <c r="B37" i="66"/>
  <c r="E36" i="66"/>
  <c r="C36" i="66"/>
  <c r="B36" i="66"/>
  <c r="C35" i="66"/>
  <c r="B35" i="66"/>
  <c r="E35" i="66" s="1"/>
  <c r="C34" i="66"/>
  <c r="E34" i="66" s="1"/>
  <c r="B34" i="66"/>
  <c r="C33" i="66"/>
  <c r="E33" i="66" s="1"/>
  <c r="B33" i="66"/>
  <c r="E32" i="66"/>
  <c r="C32" i="66"/>
  <c r="B32" i="66"/>
  <c r="C31" i="66"/>
  <c r="E31" i="66" s="1"/>
  <c r="B31" i="66"/>
  <c r="C30" i="66"/>
  <c r="E30" i="66" s="1"/>
  <c r="B30" i="66"/>
  <c r="C29" i="66"/>
  <c r="B29" i="66"/>
  <c r="E28" i="66"/>
  <c r="C28" i="66"/>
  <c r="B28" i="66"/>
  <c r="C27" i="66"/>
  <c r="B27" i="66"/>
  <c r="E27" i="66" s="1"/>
  <c r="C26" i="66"/>
  <c r="B26" i="66"/>
  <c r="C25" i="66"/>
  <c r="E25" i="66" s="1"/>
  <c r="B25" i="66"/>
  <c r="E24" i="66"/>
  <c r="C24" i="66"/>
  <c r="B24" i="66"/>
  <c r="C23" i="66"/>
  <c r="E23" i="66" s="1"/>
  <c r="B23" i="66"/>
  <c r="C22" i="66"/>
  <c r="E22" i="66" s="1"/>
  <c r="B22" i="66"/>
  <c r="C21" i="66"/>
  <c r="B21" i="66"/>
  <c r="E20" i="66"/>
  <c r="C20" i="66"/>
  <c r="B20" i="66"/>
  <c r="C19" i="66"/>
  <c r="B19" i="66"/>
  <c r="E19" i="66" s="1"/>
  <c r="C18" i="66"/>
  <c r="B18" i="66"/>
  <c r="C17" i="66"/>
  <c r="E17" i="66" s="1"/>
  <c r="B17" i="66"/>
  <c r="E16" i="66"/>
  <c r="C16" i="66"/>
  <c r="B16" i="66"/>
  <c r="C15" i="66"/>
  <c r="E15" i="66" s="1"/>
  <c r="B15" i="66"/>
  <c r="C14" i="66"/>
  <c r="E14" i="66" s="1"/>
  <c r="B14" i="66"/>
  <c r="C13" i="66"/>
  <c r="B13" i="66"/>
  <c r="E12" i="66"/>
  <c r="C12" i="66"/>
  <c r="B12" i="66"/>
  <c r="C11" i="66"/>
  <c r="B11" i="66"/>
  <c r="E11" i="66" s="1"/>
  <c r="C10" i="66"/>
  <c r="B10" i="66"/>
  <c r="C9" i="66"/>
  <c r="E9" i="66" s="1"/>
  <c r="B9" i="66"/>
  <c r="E8" i="66"/>
  <c r="C8" i="66"/>
  <c r="B8" i="66"/>
  <c r="C7" i="66"/>
  <c r="E7" i="66" s="1"/>
  <c r="B7" i="66"/>
  <c r="C6" i="66"/>
  <c r="E6" i="66" s="1"/>
  <c r="B6" i="66"/>
  <c r="C5" i="66"/>
  <c r="E5" i="66" s="1"/>
  <c r="B5" i="66"/>
  <c r="R33" i="66"/>
  <c r="R25" i="66"/>
  <c r="R17" i="66"/>
  <c r="R9" i="66"/>
  <c r="R39" i="66"/>
  <c r="R23" i="66"/>
  <c r="R15" i="66"/>
  <c r="R10" i="66"/>
  <c r="R24" i="66"/>
  <c r="R16" i="66"/>
  <c r="R8" i="66"/>
  <c r="R31" i="66"/>
  <c r="R26" i="66"/>
  <c r="R18" i="66"/>
  <c r="R19" i="66"/>
  <c r="R36" i="66"/>
  <c r="R28" i="66"/>
  <c r="R20" i="66"/>
  <c r="R12" i="66"/>
  <c r="R5" i="66"/>
  <c r="R42" i="66"/>
  <c r="R7" i="66"/>
  <c r="R11" i="66"/>
  <c r="R35" i="66"/>
  <c r="R34" i="66"/>
  <c r="R27" i="66"/>
  <c r="R37" i="66"/>
  <c r="R29" i="66"/>
  <c r="R21" i="66"/>
  <c r="R13" i="66"/>
  <c r="R40" i="66"/>
  <c r="R32" i="66"/>
  <c r="R41" i="66"/>
  <c r="R30" i="66"/>
  <c r="R22" i="66"/>
  <c r="R14" i="66"/>
  <c r="R6" i="66"/>
  <c r="R38" i="66"/>
  <c r="F38" i="66"/>
  <c r="F40" i="66"/>
  <c r="F31" i="66"/>
  <c r="F11" i="66"/>
  <c r="F16" i="66"/>
  <c r="F20" i="66"/>
  <c r="F28" i="66"/>
  <c r="F19" i="66"/>
  <c r="F30" i="66"/>
  <c r="F33" i="66"/>
  <c r="F23" i="66"/>
  <c r="F34" i="66"/>
  <c r="F8" i="66"/>
  <c r="F9" i="66"/>
  <c r="F39" i="66"/>
  <c r="F22" i="66"/>
  <c r="F25" i="66"/>
  <c r="F36" i="66"/>
  <c r="F15" i="66"/>
  <c r="F27" i="66"/>
  <c r="G27" i="66" s="1"/>
  <c r="F42" i="66"/>
  <c r="F5" i="66"/>
  <c r="G5" i="66" s="1"/>
  <c r="F24" i="66"/>
  <c r="F41" i="66"/>
  <c r="F14" i="66"/>
  <c r="F17" i="66"/>
  <c r="F7" i="66"/>
  <c r="G9" i="66"/>
  <c r="F6" i="66"/>
  <c r="F32" i="66"/>
  <c r="F12" i="66"/>
  <c r="F35" i="66"/>
  <c r="T38" i="66" l="1"/>
  <c r="T6" i="66"/>
  <c r="T14" i="66"/>
  <c r="T22" i="66"/>
  <c r="T30" i="66"/>
  <c r="T41" i="66"/>
  <c r="T32" i="66"/>
  <c r="T40" i="66"/>
  <c r="T13" i="66"/>
  <c r="T21" i="66"/>
  <c r="T29" i="66"/>
  <c r="T37" i="66"/>
  <c r="T27" i="66"/>
  <c r="T34" i="66"/>
  <c r="T35" i="66"/>
  <c r="T11" i="66"/>
  <c r="T7" i="66"/>
  <c r="T42" i="66"/>
  <c r="T5" i="66"/>
  <c r="T12" i="66"/>
  <c r="T20" i="66"/>
  <c r="T28" i="66"/>
  <c r="T36" i="66"/>
  <c r="T19" i="66"/>
  <c r="T18" i="66"/>
  <c r="T26" i="66"/>
  <c r="T31" i="66"/>
  <c r="T8" i="66"/>
  <c r="T16" i="66"/>
  <c r="T24" i="66"/>
  <c r="T10" i="66"/>
  <c r="T15" i="66"/>
  <c r="T23" i="66"/>
  <c r="T39" i="66"/>
  <c r="T9" i="66"/>
  <c r="T17" i="66"/>
  <c r="T25" i="66"/>
  <c r="T33" i="66"/>
  <c r="E13" i="66"/>
  <c r="E10" i="66"/>
  <c r="E21" i="66"/>
  <c r="E18" i="66"/>
  <c r="E29" i="66"/>
  <c r="E26" i="66"/>
  <c r="E37" i="66"/>
  <c r="G35" i="66"/>
  <c r="G24" i="66"/>
  <c r="G34" i="66"/>
  <c r="G11" i="66"/>
  <c r="G32" i="66"/>
  <c r="G15" i="66"/>
  <c r="G33" i="66"/>
  <c r="G40" i="66"/>
  <c r="F21" i="66"/>
  <c r="G38" i="66"/>
  <c r="G7" i="66"/>
  <c r="G25" i="66"/>
  <c r="F29" i="66"/>
  <c r="G28" i="66"/>
  <c r="G14" i="66"/>
  <c r="G39" i="66"/>
  <c r="F37" i="66"/>
  <c r="F13" i="66"/>
  <c r="G12" i="66"/>
  <c r="G42" i="66"/>
  <c r="G23" i="66"/>
  <c r="G31" i="66"/>
  <c r="F10" i="66"/>
  <c r="G6" i="66"/>
  <c r="G36" i="66"/>
  <c r="G30" i="66"/>
  <c r="F18" i="66"/>
  <c r="G19" i="66"/>
  <c r="G17" i="66"/>
  <c r="G22" i="66"/>
  <c r="F26" i="66"/>
  <c r="G20" i="66"/>
  <c r="G41" i="66"/>
  <c r="G8" i="66"/>
  <c r="G16" i="66"/>
  <c r="D28" i="65" l="1"/>
  <c r="C28" i="65"/>
  <c r="D27" i="65"/>
  <c r="C27" i="65"/>
  <c r="D26" i="65"/>
  <c r="C26" i="65"/>
  <c r="D25" i="65"/>
  <c r="C25" i="65"/>
  <c r="D24" i="65"/>
  <c r="C24" i="65"/>
  <c r="D23" i="65"/>
  <c r="C23" i="65"/>
  <c r="D22" i="65"/>
  <c r="C22" i="65"/>
  <c r="D21" i="65"/>
  <c r="C21" i="65"/>
  <c r="D20" i="65"/>
  <c r="C20" i="65"/>
  <c r="D19" i="65"/>
  <c r="C19" i="65"/>
  <c r="D18" i="65"/>
  <c r="C18" i="65"/>
  <c r="D17" i="65"/>
  <c r="C17" i="65"/>
  <c r="D16" i="65"/>
  <c r="C16" i="65"/>
  <c r="D15" i="65"/>
  <c r="C15" i="65"/>
  <c r="D14" i="65"/>
  <c r="C14" i="65"/>
  <c r="D13" i="65"/>
  <c r="C13" i="65"/>
  <c r="D12" i="65"/>
  <c r="C12" i="65"/>
  <c r="D11" i="65"/>
  <c r="C11" i="65"/>
  <c r="D10" i="65"/>
  <c r="C10" i="65"/>
  <c r="D9" i="65"/>
  <c r="C9" i="65"/>
  <c r="D8" i="65"/>
  <c r="C8" i="65"/>
  <c r="D7" i="65"/>
  <c r="C7" i="65"/>
  <c r="D6" i="65"/>
  <c r="C6" i="65"/>
  <c r="D5" i="65"/>
  <c r="C5" i="65"/>
  <c r="K28" i="65"/>
  <c r="K27" i="65"/>
  <c r="K26" i="65"/>
  <c r="K25" i="65"/>
  <c r="K24" i="65"/>
  <c r="K23" i="65"/>
  <c r="K22" i="65"/>
  <c r="K21" i="65"/>
  <c r="K20" i="65"/>
  <c r="K19" i="65"/>
  <c r="K18" i="65"/>
  <c r="K17" i="65"/>
  <c r="K16" i="65"/>
  <c r="K15" i="65"/>
  <c r="K14" i="65"/>
  <c r="K13" i="65"/>
  <c r="K12" i="65"/>
  <c r="K11" i="65"/>
  <c r="K10" i="65"/>
  <c r="K9" i="65"/>
  <c r="K8" i="65"/>
  <c r="K7" i="65"/>
  <c r="K6" i="65"/>
  <c r="K5" i="65"/>
  <c r="D22" i="64"/>
  <c r="C22" i="64"/>
  <c r="D21" i="64"/>
  <c r="C21" i="64"/>
  <c r="D20" i="64"/>
  <c r="C20" i="64"/>
  <c r="D19" i="64"/>
  <c r="C19" i="64"/>
  <c r="D18" i="64"/>
  <c r="C18" i="64"/>
  <c r="D17" i="64"/>
  <c r="C17" i="64"/>
  <c r="D16" i="64"/>
  <c r="C16" i="64"/>
  <c r="D15" i="64"/>
  <c r="C15" i="64"/>
  <c r="D14" i="64"/>
  <c r="C14" i="64"/>
  <c r="D13" i="64"/>
  <c r="C13" i="64"/>
  <c r="D12" i="64"/>
  <c r="C12" i="64"/>
  <c r="D11" i="64"/>
  <c r="C11" i="64"/>
  <c r="D10" i="64"/>
  <c r="C10" i="64"/>
  <c r="D9" i="64"/>
  <c r="C9" i="64"/>
  <c r="D8" i="64"/>
  <c r="C8" i="64"/>
  <c r="D7" i="64"/>
  <c r="C7" i="64"/>
  <c r="D6" i="64"/>
  <c r="C6" i="64"/>
  <c r="K22" i="64"/>
  <c r="K21" i="64"/>
  <c r="K20" i="64"/>
  <c r="K19" i="64"/>
  <c r="K18" i="64"/>
  <c r="K17" i="64"/>
  <c r="K16" i="64"/>
  <c r="K15" i="64"/>
  <c r="K14" i="64"/>
  <c r="K13" i="64"/>
  <c r="K12" i="64"/>
  <c r="K11" i="64"/>
  <c r="K10" i="64"/>
  <c r="K9" i="64"/>
  <c r="K8" i="64"/>
  <c r="K7" i="64"/>
  <c r="K6" i="64"/>
  <c r="K5" i="64"/>
  <c r="D5" i="64"/>
  <c r="C5" i="64"/>
  <c r="D16" i="16"/>
  <c r="D15" i="16"/>
  <c r="D14" i="16"/>
  <c r="D13" i="16"/>
  <c r="D12" i="16"/>
  <c r="D11" i="16"/>
  <c r="D10" i="16"/>
  <c r="D9" i="16"/>
  <c r="D8" i="16"/>
  <c r="D7" i="16"/>
  <c r="D6" i="16"/>
  <c r="D5" i="16"/>
  <c r="K16" i="16"/>
  <c r="K15" i="16"/>
  <c r="K14" i="16"/>
  <c r="K13" i="16"/>
  <c r="K12" i="16"/>
  <c r="K11" i="16"/>
  <c r="K10" i="16"/>
  <c r="K9" i="16"/>
  <c r="K8" i="16"/>
  <c r="K7" i="16"/>
  <c r="K6" i="16"/>
  <c r="K5" i="16"/>
  <c r="C16" i="16"/>
  <c r="C15" i="16"/>
  <c r="C14" i="16"/>
  <c r="C13" i="16"/>
  <c r="C12" i="16"/>
  <c r="C11" i="16"/>
  <c r="C10" i="16"/>
  <c r="C9" i="16"/>
  <c r="C8" i="16"/>
  <c r="C7" i="16"/>
  <c r="C6" i="16"/>
  <c r="C5" i="16"/>
  <c r="D13" i="15"/>
  <c r="D12" i="15"/>
  <c r="D11" i="15"/>
  <c r="D10" i="15"/>
  <c r="D9" i="15"/>
  <c r="D8" i="15"/>
  <c r="D7" i="15"/>
  <c r="D6" i="15"/>
  <c r="D5" i="15"/>
  <c r="G26" i="66"/>
  <c r="G18" i="66"/>
  <c r="G10" i="66"/>
  <c r="G21" i="66"/>
  <c r="G13" i="66"/>
  <c r="G37" i="66"/>
  <c r="G29" i="66"/>
  <c r="I26" i="6" l="1"/>
  <c r="I23" i="6"/>
  <c r="I20" i="6"/>
  <c r="I17" i="6"/>
  <c r="S28" i="65" l="1"/>
  <c r="R28" i="65"/>
  <c r="E28" i="65"/>
  <c r="S27" i="65"/>
  <c r="R27" i="65"/>
  <c r="E27" i="65"/>
  <c r="S26" i="65"/>
  <c r="R26" i="65"/>
  <c r="E26" i="65"/>
  <c r="S25" i="65"/>
  <c r="R25" i="65"/>
  <c r="E25" i="65"/>
  <c r="S24" i="65"/>
  <c r="R24" i="65"/>
  <c r="E24" i="65"/>
  <c r="S23" i="65"/>
  <c r="R23" i="65"/>
  <c r="E23" i="65"/>
  <c r="S22" i="65"/>
  <c r="R22" i="65"/>
  <c r="E22" i="65"/>
  <c r="S21" i="65"/>
  <c r="R21" i="65"/>
  <c r="E21" i="65"/>
  <c r="S20" i="65"/>
  <c r="R20" i="65"/>
  <c r="E20" i="65"/>
  <c r="S19" i="65"/>
  <c r="R19" i="65"/>
  <c r="E19" i="65"/>
  <c r="S18" i="65"/>
  <c r="R18" i="65"/>
  <c r="E18" i="65"/>
  <c r="S17" i="65"/>
  <c r="R17" i="65"/>
  <c r="E17" i="65"/>
  <c r="S16" i="65"/>
  <c r="R16" i="65"/>
  <c r="E16" i="65"/>
  <c r="S15" i="65"/>
  <c r="R15" i="65"/>
  <c r="E15" i="65"/>
  <c r="S14" i="65"/>
  <c r="R14" i="65"/>
  <c r="E14" i="65"/>
  <c r="S13" i="65"/>
  <c r="R13" i="65"/>
  <c r="E13" i="65"/>
  <c r="S12" i="65"/>
  <c r="R12" i="65"/>
  <c r="E12" i="65"/>
  <c r="S11" i="65"/>
  <c r="R11" i="65"/>
  <c r="E11" i="65"/>
  <c r="S10" i="65"/>
  <c r="R10" i="65"/>
  <c r="E10" i="65"/>
  <c r="S9" i="65"/>
  <c r="R9" i="65"/>
  <c r="E9" i="65"/>
  <c r="S8" i="65"/>
  <c r="R8" i="65"/>
  <c r="E8" i="65"/>
  <c r="S7" i="65"/>
  <c r="R7" i="65"/>
  <c r="E7" i="65"/>
  <c r="S6" i="65"/>
  <c r="R6" i="65"/>
  <c r="E6" i="65"/>
  <c r="S5" i="65"/>
  <c r="R5" i="65"/>
  <c r="E5" i="65"/>
  <c r="S22" i="64"/>
  <c r="R22" i="64"/>
  <c r="N22" i="64"/>
  <c r="E22" i="64"/>
  <c r="S21" i="64"/>
  <c r="R21" i="64"/>
  <c r="N21" i="64"/>
  <c r="E21" i="64"/>
  <c r="S20" i="64"/>
  <c r="R20" i="64"/>
  <c r="E20" i="64"/>
  <c r="S19" i="64"/>
  <c r="R19" i="64"/>
  <c r="E19" i="64"/>
  <c r="S18" i="64"/>
  <c r="R18" i="64"/>
  <c r="E18" i="64"/>
  <c r="S17" i="64"/>
  <c r="R17" i="64"/>
  <c r="N17" i="64"/>
  <c r="E17" i="64"/>
  <c r="S16" i="64"/>
  <c r="R16" i="64"/>
  <c r="E16" i="64"/>
  <c r="S15" i="64"/>
  <c r="R15" i="64"/>
  <c r="E15" i="64"/>
  <c r="S14" i="64"/>
  <c r="R14" i="64"/>
  <c r="E14" i="64"/>
  <c r="S13" i="64"/>
  <c r="R13" i="64"/>
  <c r="N13" i="64"/>
  <c r="E13" i="64"/>
  <c r="S12" i="64"/>
  <c r="R12" i="64"/>
  <c r="E12" i="64"/>
  <c r="S11" i="64"/>
  <c r="R11" i="64"/>
  <c r="E11" i="64"/>
  <c r="S10" i="64"/>
  <c r="R10" i="64"/>
  <c r="E10" i="64"/>
  <c r="S9" i="64"/>
  <c r="R9" i="64"/>
  <c r="N9" i="64"/>
  <c r="E9" i="64"/>
  <c r="S8" i="64"/>
  <c r="R8" i="64"/>
  <c r="E8" i="64"/>
  <c r="S7" i="64"/>
  <c r="R7" i="64"/>
  <c r="E7" i="64"/>
  <c r="S6" i="64"/>
  <c r="R6" i="64"/>
  <c r="E6" i="64"/>
  <c r="S5" i="64"/>
  <c r="R5" i="64"/>
  <c r="E5" i="64"/>
  <c r="F12" i="64"/>
  <c r="F15" i="64"/>
  <c r="F20" i="65"/>
  <c r="F9" i="64"/>
  <c r="F26" i="65"/>
  <c r="F8" i="65"/>
  <c r="F13" i="64"/>
  <c r="F18" i="64"/>
  <c r="F22" i="65"/>
  <c r="F11" i="65"/>
  <c r="F6" i="65"/>
  <c r="F10" i="64"/>
  <c r="F16" i="65"/>
  <c r="F7" i="65"/>
  <c r="F17" i="65"/>
  <c r="F24" i="65"/>
  <c r="F27" i="65"/>
  <c r="F28" i="65"/>
  <c r="F5" i="65"/>
  <c r="F12" i="65"/>
  <c r="F18" i="65"/>
  <c r="F22" i="64"/>
  <c r="F21" i="65"/>
  <c r="F16" i="64"/>
  <c r="F21" i="64"/>
  <c r="F8" i="64"/>
  <c r="F25" i="65"/>
  <c r="F13" i="65"/>
  <c r="F7" i="64"/>
  <c r="F9" i="65"/>
  <c r="F20" i="64"/>
  <c r="G20" i="64" s="1"/>
  <c r="F19" i="65"/>
  <c r="F6" i="64"/>
  <c r="F14" i="65"/>
  <c r="F23" i="65"/>
  <c r="F14" i="64"/>
  <c r="F10" i="65"/>
  <c r="F11" i="64"/>
  <c r="F15" i="65"/>
  <c r="F17" i="64"/>
  <c r="F19" i="64"/>
  <c r="F5" i="64"/>
  <c r="N18" i="65" l="1"/>
  <c r="N26" i="65"/>
  <c r="N19" i="65"/>
  <c r="N6" i="65"/>
  <c r="N14" i="65"/>
  <c r="N22" i="65"/>
  <c r="N10" i="65"/>
  <c r="N9" i="65"/>
  <c r="N15" i="65"/>
  <c r="N7" i="65"/>
  <c r="N25" i="65"/>
  <c r="N21" i="65"/>
  <c r="N27" i="65"/>
  <c r="N5" i="65"/>
  <c r="N11" i="65"/>
  <c r="N17" i="65"/>
  <c r="N13" i="65"/>
  <c r="N23" i="65"/>
  <c r="N8" i="64"/>
  <c r="N16" i="64"/>
  <c r="N15" i="64"/>
  <c r="N20" i="64"/>
  <c r="N7" i="64"/>
  <c r="N6" i="64"/>
  <c r="N12" i="64"/>
  <c r="N5" i="64"/>
  <c r="N11" i="64"/>
  <c r="N19" i="64"/>
  <c r="N12" i="65"/>
  <c r="N24" i="65"/>
  <c r="N16" i="65"/>
  <c r="N28" i="65"/>
  <c r="N8" i="65"/>
  <c r="N20" i="65"/>
  <c r="N10" i="64"/>
  <c r="N18" i="64"/>
  <c r="N14" i="64"/>
  <c r="G5" i="64"/>
  <c r="G19" i="65"/>
  <c r="G16" i="65"/>
  <c r="G9" i="65"/>
  <c r="G6" i="65"/>
  <c r="G20" i="65"/>
  <c r="G10" i="65"/>
  <c r="G6" i="64"/>
  <c r="G25" i="65"/>
  <c r="G15" i="64"/>
  <c r="G14" i="65"/>
  <c r="G16" i="64"/>
  <c r="G11" i="64"/>
  <c r="G8" i="64"/>
  <c r="G21" i="64"/>
  <c r="G12" i="64"/>
  <c r="G14" i="64"/>
  <c r="G18" i="65"/>
  <c r="G28" i="65"/>
  <c r="G13" i="65"/>
  <c r="G27" i="65"/>
  <c r="G10" i="64"/>
  <c r="G23" i="65"/>
  <c r="G13" i="64"/>
  <c r="G8" i="65"/>
  <c r="G24" i="65"/>
  <c r="G11" i="65"/>
  <c r="G5" i="65"/>
  <c r="G17" i="65"/>
  <c r="G7" i="65"/>
  <c r="G22" i="65"/>
  <c r="G19" i="64"/>
  <c r="G17" i="64"/>
  <c r="G22" i="64"/>
  <c r="G26" i="65"/>
  <c r="G15" i="65"/>
  <c r="G12" i="65"/>
  <c r="G21" i="65"/>
  <c r="G7" i="64"/>
  <c r="G9" i="64"/>
  <c r="G18" i="64"/>
  <c r="X10" i="64"/>
  <c r="X26" i="65"/>
  <c r="X16" i="65"/>
  <c r="X10" i="65"/>
  <c r="X23" i="65"/>
  <c r="X9" i="65"/>
  <c r="X8" i="65"/>
  <c r="X24" i="65"/>
  <c r="X19" i="65"/>
  <c r="X17" i="65"/>
  <c r="X14" i="65"/>
  <c r="X11" i="65"/>
  <c r="R7" i="16" l="1"/>
  <c r="S7" i="16"/>
  <c r="R8" i="16"/>
  <c r="S8" i="16"/>
  <c r="R9" i="16"/>
  <c r="S9" i="16"/>
  <c r="R10" i="16"/>
  <c r="S10" i="16"/>
  <c r="R11" i="16"/>
  <c r="S11" i="16"/>
  <c r="R12" i="16"/>
  <c r="S12" i="16"/>
  <c r="R13" i="16"/>
  <c r="S13" i="16"/>
  <c r="R14" i="16"/>
  <c r="S14" i="16"/>
  <c r="R15" i="16"/>
  <c r="S15" i="16"/>
  <c r="N10" i="16"/>
  <c r="N11" i="16"/>
  <c r="N13" i="16"/>
  <c r="N14" i="16"/>
  <c r="N15" i="16"/>
  <c r="N16" i="16"/>
  <c r="E10" i="16"/>
  <c r="E11" i="16"/>
  <c r="E12" i="16"/>
  <c r="E13" i="16"/>
  <c r="E14" i="16"/>
  <c r="E15" i="16"/>
  <c r="E16" i="16"/>
  <c r="F13" i="16"/>
  <c r="F15" i="16"/>
  <c r="F12" i="16"/>
  <c r="F10" i="16"/>
  <c r="F11" i="16"/>
  <c r="F16" i="16"/>
  <c r="F14" i="16"/>
  <c r="X5" i="64"/>
  <c r="X7" i="64"/>
  <c r="X27" i="65"/>
  <c r="X21" i="65"/>
  <c r="X17" i="64"/>
  <c r="X28" i="65"/>
  <c r="X25" i="65"/>
  <c r="X6" i="64"/>
  <c r="X15" i="65"/>
  <c r="X20" i="64"/>
  <c r="X5" i="65"/>
  <c r="X13" i="65"/>
  <c r="X18" i="64"/>
  <c r="X7" i="65"/>
  <c r="X13" i="64"/>
  <c r="X8" i="64"/>
  <c r="X16" i="64"/>
  <c r="X18" i="65"/>
  <c r="X11" i="64"/>
  <c r="X12" i="65"/>
  <c r="X22" i="64"/>
  <c r="X6" i="65"/>
  <c r="X20" i="65"/>
  <c r="X15" i="64"/>
  <c r="X21" i="64"/>
  <c r="X19" i="64"/>
  <c r="X12" i="64"/>
  <c r="X22" i="65"/>
  <c r="X14" i="64"/>
  <c r="X9" i="64"/>
  <c r="N12" i="16" l="1"/>
  <c r="G13" i="16"/>
  <c r="G10" i="16"/>
  <c r="G11" i="16"/>
  <c r="G14" i="16"/>
  <c r="G16" i="16"/>
  <c r="G12" i="16"/>
  <c r="G15" i="16"/>
  <c r="R16" i="16" l="1"/>
  <c r="R6" i="16"/>
  <c r="S16" i="16"/>
  <c r="S6" i="16"/>
  <c r="D21" i="56" l="1"/>
  <c r="R5" i="16"/>
  <c r="R6" i="24"/>
  <c r="R7" i="24"/>
  <c r="R8" i="24"/>
  <c r="R9" i="24"/>
  <c r="R10" i="24"/>
  <c r="R11" i="24"/>
  <c r="R5" i="24"/>
  <c r="R6" i="25"/>
  <c r="R7" i="25"/>
  <c r="R8" i="25"/>
  <c r="R9" i="25"/>
  <c r="R10" i="25"/>
  <c r="R11" i="25"/>
  <c r="R12" i="25"/>
  <c r="R13" i="25"/>
  <c r="R14" i="25"/>
  <c r="R15" i="25"/>
  <c r="R16" i="25"/>
  <c r="R17" i="25"/>
  <c r="R18" i="25"/>
  <c r="R19" i="25"/>
  <c r="R20" i="25"/>
  <c r="R21" i="25"/>
  <c r="R22" i="25"/>
  <c r="R23" i="25"/>
  <c r="R24" i="25"/>
  <c r="R25" i="25"/>
  <c r="R26" i="25"/>
  <c r="R27" i="25"/>
  <c r="R28" i="25"/>
  <c r="R29" i="25"/>
  <c r="R30" i="25"/>
  <c r="R31" i="25"/>
  <c r="R32" i="25"/>
  <c r="R33" i="25"/>
  <c r="R34" i="25"/>
  <c r="R35" i="25"/>
  <c r="R36" i="25"/>
  <c r="R37" i="25"/>
  <c r="R38" i="25"/>
  <c r="R39" i="25"/>
  <c r="R40" i="25"/>
  <c r="R41" i="25"/>
  <c r="R42" i="25"/>
  <c r="R5" i="25"/>
  <c r="R6" i="23"/>
  <c r="R7" i="23"/>
  <c r="R8" i="23"/>
  <c r="R9" i="23"/>
  <c r="R10" i="23"/>
  <c r="R11" i="23"/>
  <c r="R12" i="23"/>
  <c r="R13" i="23"/>
  <c r="R14" i="23"/>
  <c r="R15" i="23"/>
  <c r="R16" i="23"/>
  <c r="R17" i="23"/>
  <c r="R18" i="23"/>
  <c r="R5" i="23"/>
  <c r="R6" i="22"/>
  <c r="R7" i="22"/>
  <c r="R8" i="22"/>
  <c r="R9" i="22"/>
  <c r="R10" i="22"/>
  <c r="R11" i="22"/>
  <c r="R12" i="22"/>
  <c r="R13" i="22"/>
  <c r="R14" i="22"/>
  <c r="R15" i="22"/>
  <c r="R16" i="22"/>
  <c r="R17" i="22"/>
  <c r="R18" i="22"/>
  <c r="R19" i="22"/>
  <c r="R20" i="22"/>
  <c r="R21" i="22"/>
  <c r="R22" i="22"/>
  <c r="R23" i="22"/>
  <c r="R24" i="22"/>
  <c r="R25" i="22"/>
  <c r="R26" i="22"/>
  <c r="R27" i="22"/>
  <c r="R28" i="22"/>
  <c r="R29" i="22"/>
  <c r="R30" i="22"/>
  <c r="R31" i="22"/>
  <c r="R32" i="22"/>
  <c r="R33" i="22"/>
  <c r="R34" i="22"/>
  <c r="R35" i="22"/>
  <c r="R36" i="22"/>
  <c r="R37" i="22"/>
  <c r="R38" i="22"/>
  <c r="R39" i="22"/>
  <c r="R40" i="22"/>
  <c r="R41" i="22"/>
  <c r="R42" i="22"/>
  <c r="R43" i="22"/>
  <c r="R44" i="22"/>
  <c r="R45" i="22"/>
  <c r="R46" i="22"/>
  <c r="R47" i="22"/>
  <c r="R48" i="22"/>
  <c r="R49" i="22"/>
  <c r="R50" i="22"/>
  <c r="R51" i="22"/>
  <c r="R52" i="22"/>
  <c r="R53" i="22"/>
  <c r="R54" i="22"/>
  <c r="R55" i="22"/>
  <c r="R56" i="22"/>
  <c r="R57" i="22"/>
  <c r="R58" i="22"/>
  <c r="R5" i="22"/>
  <c r="L5" i="20"/>
  <c r="K5" i="20"/>
  <c r="Y6" i="18"/>
  <c r="Y7" i="18"/>
  <c r="Y8" i="18"/>
  <c r="Y9" i="18"/>
  <c r="Y10" i="18"/>
  <c r="Y11" i="18"/>
  <c r="Y12" i="18"/>
  <c r="Y13" i="18"/>
  <c r="Y14" i="18"/>
  <c r="Y15" i="18"/>
  <c r="Y16" i="18"/>
  <c r="Y17" i="18"/>
  <c r="Y18" i="18"/>
  <c r="Y19" i="18"/>
  <c r="Y20" i="18"/>
  <c r="Y21" i="18"/>
  <c r="Y22" i="18"/>
  <c r="Y23" i="18"/>
  <c r="Y24" i="18"/>
  <c r="Y25" i="18"/>
  <c r="Y26" i="18"/>
  <c r="Y27" i="18"/>
  <c r="Y28" i="18"/>
  <c r="Y29" i="18"/>
  <c r="Y30" i="18"/>
  <c r="Y31" i="18"/>
  <c r="Y32" i="18"/>
  <c r="Y33" i="18"/>
  <c r="Y34" i="18"/>
  <c r="Y35" i="18"/>
  <c r="Y36" i="18"/>
  <c r="Y37" i="18"/>
  <c r="Y38" i="18"/>
  <c r="Y39" i="18"/>
  <c r="Y40" i="18"/>
  <c r="Y41" i="18"/>
  <c r="Y42" i="18"/>
  <c r="Y43" i="18"/>
  <c r="Y44" i="18"/>
  <c r="Y45" i="18"/>
  <c r="Y46" i="18"/>
  <c r="Y5" i="18"/>
  <c r="D22" i="56"/>
  <c r="E5" i="63" l="1"/>
  <c r="D23" i="56"/>
  <c r="C6" i="13"/>
  <c r="D6" i="13"/>
  <c r="C7" i="13"/>
  <c r="D7" i="13"/>
  <c r="C8" i="13"/>
  <c r="D8" i="13"/>
  <c r="C9" i="13"/>
  <c r="D9" i="13"/>
  <c r="C10" i="13"/>
  <c r="D10" i="13"/>
  <c r="C11" i="13"/>
  <c r="D11" i="13"/>
  <c r="C12" i="13"/>
  <c r="D12" i="13"/>
  <c r="C13" i="13"/>
  <c r="D13" i="13"/>
  <c r="C14" i="13"/>
  <c r="D14" i="13"/>
  <c r="C15" i="13"/>
  <c r="D15" i="13"/>
  <c r="C16" i="13"/>
  <c r="D16" i="13"/>
  <c r="C17" i="13"/>
  <c r="D17" i="13"/>
  <c r="C18" i="13"/>
  <c r="D18" i="13"/>
  <c r="C19" i="13"/>
  <c r="D19" i="13"/>
  <c r="C20" i="13"/>
  <c r="D20" i="13"/>
  <c r="C21" i="13"/>
  <c r="D21" i="13"/>
  <c r="C22" i="13"/>
  <c r="D22" i="13"/>
  <c r="C23" i="13"/>
  <c r="D23" i="13"/>
  <c r="C24" i="13"/>
  <c r="D24" i="13"/>
  <c r="C25" i="13"/>
  <c r="D25" i="13"/>
  <c r="C26" i="13"/>
  <c r="D26" i="13"/>
  <c r="C27" i="13"/>
  <c r="D27" i="13"/>
  <c r="C28" i="13"/>
  <c r="D28" i="13"/>
  <c r="C29" i="13"/>
  <c r="D29" i="13"/>
  <c r="C30" i="13"/>
  <c r="D30" i="13"/>
  <c r="C31" i="13"/>
  <c r="D31" i="13"/>
  <c r="C32" i="13"/>
  <c r="D32" i="13"/>
  <c r="C33" i="13"/>
  <c r="D33" i="13"/>
  <c r="C34" i="13"/>
  <c r="D34" i="13"/>
  <c r="C35" i="13"/>
  <c r="D35" i="13"/>
  <c r="C36" i="13"/>
  <c r="D36" i="13"/>
  <c r="C37" i="13"/>
  <c r="D37" i="13"/>
  <c r="C38" i="13"/>
  <c r="D38" i="13"/>
  <c r="C39" i="13"/>
  <c r="D39" i="13"/>
  <c r="C40" i="13"/>
  <c r="D40" i="13"/>
  <c r="C41" i="13"/>
  <c r="D41" i="13"/>
  <c r="C42" i="13"/>
  <c r="D42" i="13"/>
  <c r="D5" i="13"/>
  <c r="C5" i="13"/>
  <c r="B6" i="13"/>
  <c r="B7" i="13"/>
  <c r="B8" i="13"/>
  <c r="B9" i="13"/>
  <c r="B10" i="13"/>
  <c r="B11" i="13"/>
  <c r="B12" i="13"/>
  <c r="B13" i="13"/>
  <c r="B14" i="13"/>
  <c r="B15" i="13"/>
  <c r="B16" i="13"/>
  <c r="B17" i="13"/>
  <c r="B18" i="13"/>
  <c r="B19" i="13"/>
  <c r="B20" i="13"/>
  <c r="B21" i="13"/>
  <c r="B22" i="13"/>
  <c r="B23" i="13"/>
  <c r="B24" i="13"/>
  <c r="B25" i="13"/>
  <c r="B26" i="13"/>
  <c r="B27" i="13"/>
  <c r="B28" i="13"/>
  <c r="B29" i="13"/>
  <c r="B30" i="13"/>
  <c r="B31" i="13"/>
  <c r="B32" i="13"/>
  <c r="B33" i="13"/>
  <c r="B34" i="13"/>
  <c r="B35" i="13"/>
  <c r="B36" i="13"/>
  <c r="B37" i="13"/>
  <c r="B38" i="13"/>
  <c r="B39" i="13"/>
  <c r="B40" i="13"/>
  <c r="B41" i="13"/>
  <c r="B42" i="13"/>
  <c r="B5" i="13"/>
  <c r="B6" i="12"/>
  <c r="B7" i="12"/>
  <c r="B8" i="12"/>
  <c r="B9" i="12"/>
  <c r="B10" i="12"/>
  <c r="B11" i="12"/>
  <c r="B12" i="12"/>
  <c r="B13" i="12"/>
  <c r="B14" i="12"/>
  <c r="B15" i="12"/>
  <c r="B16" i="12"/>
  <c r="B17" i="12"/>
  <c r="B18" i="12"/>
  <c r="B19" i="12"/>
  <c r="B20" i="12"/>
  <c r="B21" i="12"/>
  <c r="B22" i="12"/>
  <c r="B23" i="12"/>
  <c r="B24" i="12"/>
  <c r="B25" i="12"/>
  <c r="B26" i="12"/>
  <c r="B27" i="12"/>
  <c r="B28" i="12"/>
  <c r="B29" i="12"/>
  <c r="B30" i="12"/>
  <c r="B31" i="12"/>
  <c r="B32" i="12"/>
  <c r="B33" i="12"/>
  <c r="B34" i="12"/>
  <c r="B35" i="12"/>
  <c r="B36" i="12"/>
  <c r="B37" i="12"/>
  <c r="B38" i="12"/>
  <c r="B39" i="12"/>
  <c r="B40" i="12"/>
  <c r="B41" i="12"/>
  <c r="B42" i="12"/>
  <c r="B5" i="12"/>
  <c r="C6" i="12"/>
  <c r="D6" i="12"/>
  <c r="C7" i="12"/>
  <c r="D7" i="12"/>
  <c r="C8" i="12"/>
  <c r="D8" i="12"/>
  <c r="C9" i="12"/>
  <c r="D9" i="12"/>
  <c r="C10" i="12"/>
  <c r="D10" i="12"/>
  <c r="C11" i="12"/>
  <c r="D11" i="12"/>
  <c r="C12" i="12"/>
  <c r="D12" i="12"/>
  <c r="C13" i="12"/>
  <c r="D13" i="12"/>
  <c r="C14" i="12"/>
  <c r="D14" i="12"/>
  <c r="C15" i="12"/>
  <c r="D15" i="12"/>
  <c r="C16" i="12"/>
  <c r="D16" i="12"/>
  <c r="C17" i="12"/>
  <c r="D17" i="12"/>
  <c r="C18" i="12"/>
  <c r="D18" i="12"/>
  <c r="C19" i="12"/>
  <c r="D19" i="12"/>
  <c r="C20" i="12"/>
  <c r="D20" i="12"/>
  <c r="C21" i="12"/>
  <c r="D21" i="12"/>
  <c r="C22" i="12"/>
  <c r="D22" i="12"/>
  <c r="C23" i="12"/>
  <c r="D23" i="12"/>
  <c r="C24" i="12"/>
  <c r="D24" i="12"/>
  <c r="C25" i="12"/>
  <c r="D25" i="12"/>
  <c r="C26" i="12"/>
  <c r="D26" i="12"/>
  <c r="C27" i="12"/>
  <c r="D27" i="12"/>
  <c r="C28" i="12"/>
  <c r="D28" i="12"/>
  <c r="C29" i="12"/>
  <c r="D29" i="12"/>
  <c r="C30" i="12"/>
  <c r="D30" i="12"/>
  <c r="C31" i="12"/>
  <c r="D31" i="12"/>
  <c r="C32" i="12"/>
  <c r="D32" i="12"/>
  <c r="C33" i="12"/>
  <c r="D33" i="12"/>
  <c r="C34" i="12"/>
  <c r="D34" i="12"/>
  <c r="C35" i="12"/>
  <c r="D35" i="12"/>
  <c r="C36" i="12"/>
  <c r="D36" i="12"/>
  <c r="C37" i="12"/>
  <c r="D37" i="12"/>
  <c r="C38" i="12"/>
  <c r="D38" i="12"/>
  <c r="C39" i="12"/>
  <c r="D39" i="12"/>
  <c r="C40" i="12"/>
  <c r="D40" i="12"/>
  <c r="C41" i="12"/>
  <c r="D41" i="12"/>
  <c r="C42" i="12"/>
  <c r="D42" i="12"/>
  <c r="D5" i="12"/>
  <c r="C5" i="12"/>
  <c r="C6" i="11"/>
  <c r="D6" i="11"/>
  <c r="C7" i="11"/>
  <c r="D7" i="11"/>
  <c r="C8" i="11"/>
  <c r="D8" i="11"/>
  <c r="C9" i="11"/>
  <c r="D9" i="11"/>
  <c r="C10" i="11"/>
  <c r="D10" i="11"/>
  <c r="C11" i="11"/>
  <c r="D11" i="11"/>
  <c r="C12" i="11"/>
  <c r="D12" i="11"/>
  <c r="C13" i="11"/>
  <c r="D13" i="11"/>
  <c r="C14" i="11"/>
  <c r="D14" i="11"/>
  <c r="C15" i="11"/>
  <c r="D15" i="11"/>
  <c r="C16" i="11"/>
  <c r="D16" i="11"/>
  <c r="C17" i="11"/>
  <c r="D17" i="11"/>
  <c r="C18" i="11"/>
  <c r="D18" i="11"/>
  <c r="C19" i="11"/>
  <c r="D19" i="11"/>
  <c r="C20" i="11"/>
  <c r="D20" i="11"/>
  <c r="C21" i="11"/>
  <c r="D21" i="11"/>
  <c r="C22" i="11"/>
  <c r="D22" i="11"/>
  <c r="C23" i="11"/>
  <c r="D23" i="11"/>
  <c r="C24" i="11"/>
  <c r="D24" i="11"/>
  <c r="C25" i="11"/>
  <c r="D25" i="11"/>
  <c r="C26" i="11"/>
  <c r="D26" i="11"/>
  <c r="C27" i="11"/>
  <c r="D27" i="11"/>
  <c r="C28" i="11"/>
  <c r="D28" i="11"/>
  <c r="C29" i="11"/>
  <c r="D29" i="11"/>
  <c r="C30" i="11"/>
  <c r="D30" i="11"/>
  <c r="C31" i="11"/>
  <c r="D31" i="11"/>
  <c r="C32" i="11"/>
  <c r="D32" i="11"/>
  <c r="C33" i="11"/>
  <c r="D33" i="11"/>
  <c r="C34" i="11"/>
  <c r="D34" i="11"/>
  <c r="C35" i="11"/>
  <c r="D35" i="11"/>
  <c r="C36" i="11"/>
  <c r="D36" i="11"/>
  <c r="C37" i="11"/>
  <c r="D37" i="11"/>
  <c r="C38" i="11"/>
  <c r="D38" i="11"/>
  <c r="C39" i="11"/>
  <c r="D39" i="11"/>
  <c r="C40" i="11"/>
  <c r="D40" i="11"/>
  <c r="C41" i="11"/>
  <c r="D41" i="11"/>
  <c r="C42" i="11"/>
  <c r="D42" i="11"/>
  <c r="C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2" i="11"/>
  <c r="B23" i="11"/>
  <c r="B24" i="11"/>
  <c r="B25" i="11"/>
  <c r="B26" i="11"/>
  <c r="B27" i="11"/>
  <c r="B28" i="11"/>
  <c r="B29" i="11"/>
  <c r="B30" i="11"/>
  <c r="B31" i="11"/>
  <c r="B32" i="11"/>
  <c r="B33" i="11"/>
  <c r="B34" i="11"/>
  <c r="B35" i="11"/>
  <c r="B36" i="11"/>
  <c r="B37" i="11"/>
  <c r="B38" i="11"/>
  <c r="B39" i="11"/>
  <c r="B40" i="11"/>
  <c r="B41" i="11"/>
  <c r="B42" i="11"/>
  <c r="B5" i="11"/>
  <c r="D5" i="11"/>
  <c r="C6" i="24"/>
  <c r="D6" i="24"/>
  <c r="C7" i="24"/>
  <c r="D7" i="24"/>
  <c r="C8" i="24"/>
  <c r="D8" i="24"/>
  <c r="C9" i="24"/>
  <c r="D9" i="24"/>
  <c r="C10" i="24"/>
  <c r="D10" i="24"/>
  <c r="C11" i="24"/>
  <c r="D11" i="24"/>
  <c r="D5" i="24"/>
  <c r="C5" i="24"/>
  <c r="B6" i="25"/>
  <c r="B7" i="25"/>
  <c r="B8" i="25"/>
  <c r="B9" i="25"/>
  <c r="B10" i="25"/>
  <c r="B11" i="25"/>
  <c r="B12" i="25"/>
  <c r="B13" i="25"/>
  <c r="B14" i="25"/>
  <c r="B15" i="25"/>
  <c r="B16" i="25"/>
  <c r="B17" i="25"/>
  <c r="B18" i="25"/>
  <c r="B19" i="25"/>
  <c r="B20" i="25"/>
  <c r="B21" i="25"/>
  <c r="B22" i="25"/>
  <c r="B23" i="25"/>
  <c r="B24" i="25"/>
  <c r="B25" i="25"/>
  <c r="B26" i="25"/>
  <c r="B27" i="25"/>
  <c r="B28" i="25"/>
  <c r="B29" i="25"/>
  <c r="B30" i="25"/>
  <c r="B31" i="25"/>
  <c r="B32" i="25"/>
  <c r="B33" i="25"/>
  <c r="B34" i="25"/>
  <c r="B35" i="25"/>
  <c r="B36" i="25"/>
  <c r="B37" i="25"/>
  <c r="B38" i="25"/>
  <c r="B39" i="25"/>
  <c r="B40" i="25"/>
  <c r="B41" i="25"/>
  <c r="B42" i="25"/>
  <c r="B5" i="25"/>
  <c r="D6" i="22"/>
  <c r="D7" i="22"/>
  <c r="D8" i="22"/>
  <c r="D9" i="22"/>
  <c r="D10" i="22"/>
  <c r="D11" i="22"/>
  <c r="D12" i="22"/>
  <c r="D13" i="22"/>
  <c r="D14" i="22"/>
  <c r="D15" i="22"/>
  <c r="D16" i="22"/>
  <c r="D17" i="22"/>
  <c r="D18" i="22"/>
  <c r="D19" i="22"/>
  <c r="D20" i="22"/>
  <c r="D21" i="22"/>
  <c r="D22" i="22"/>
  <c r="D23" i="22"/>
  <c r="D24" i="22"/>
  <c r="D25" i="22"/>
  <c r="D26" i="22"/>
  <c r="D27" i="22"/>
  <c r="D28" i="22"/>
  <c r="D29" i="22"/>
  <c r="D30" i="22"/>
  <c r="D31" i="22"/>
  <c r="D32" i="22"/>
  <c r="D33" i="22"/>
  <c r="D34" i="22"/>
  <c r="D35" i="22"/>
  <c r="D36" i="22"/>
  <c r="D37" i="22"/>
  <c r="D38" i="22"/>
  <c r="D39" i="22"/>
  <c r="D40" i="22"/>
  <c r="D41" i="22"/>
  <c r="D42" i="22"/>
  <c r="D43" i="22"/>
  <c r="D44" i="22"/>
  <c r="D45" i="22"/>
  <c r="D46" i="22"/>
  <c r="D47" i="22"/>
  <c r="D48" i="22"/>
  <c r="D49" i="22"/>
  <c r="D50" i="22"/>
  <c r="D51" i="22"/>
  <c r="D52" i="22"/>
  <c r="D53" i="22"/>
  <c r="D54" i="22"/>
  <c r="D55" i="22"/>
  <c r="D56" i="22"/>
  <c r="D57" i="22"/>
  <c r="D58" i="22"/>
  <c r="D5" i="22"/>
  <c r="C6" i="25"/>
  <c r="D6" i="25"/>
  <c r="C7" i="25"/>
  <c r="D7" i="25"/>
  <c r="C8" i="25"/>
  <c r="D8" i="25"/>
  <c r="C9" i="25"/>
  <c r="D9" i="25"/>
  <c r="C10" i="25"/>
  <c r="D10" i="25"/>
  <c r="C11" i="25"/>
  <c r="D11" i="25"/>
  <c r="C12" i="25"/>
  <c r="D12" i="25"/>
  <c r="C13" i="25"/>
  <c r="D13" i="25"/>
  <c r="C14" i="25"/>
  <c r="D14" i="25"/>
  <c r="C15" i="25"/>
  <c r="D15" i="25"/>
  <c r="C16" i="25"/>
  <c r="D16" i="25"/>
  <c r="C17" i="25"/>
  <c r="D17" i="25"/>
  <c r="C18" i="25"/>
  <c r="D18" i="25"/>
  <c r="C19" i="25"/>
  <c r="D19" i="25"/>
  <c r="C20" i="25"/>
  <c r="D20" i="25"/>
  <c r="C21" i="25"/>
  <c r="D21" i="25"/>
  <c r="C22" i="25"/>
  <c r="D22" i="25"/>
  <c r="C23" i="25"/>
  <c r="D23" i="25"/>
  <c r="C24" i="25"/>
  <c r="D24" i="25"/>
  <c r="C25" i="25"/>
  <c r="D25" i="25"/>
  <c r="C26" i="25"/>
  <c r="D26" i="25"/>
  <c r="C27" i="25"/>
  <c r="D27" i="25"/>
  <c r="C28" i="25"/>
  <c r="D28" i="25"/>
  <c r="C29" i="25"/>
  <c r="D29" i="25"/>
  <c r="C30" i="25"/>
  <c r="D30" i="25"/>
  <c r="C31" i="25"/>
  <c r="D31" i="25"/>
  <c r="C32" i="25"/>
  <c r="D32" i="25"/>
  <c r="C33" i="25"/>
  <c r="D33" i="25"/>
  <c r="C34" i="25"/>
  <c r="D34" i="25"/>
  <c r="C35" i="25"/>
  <c r="D35" i="25"/>
  <c r="C36" i="25"/>
  <c r="D36" i="25"/>
  <c r="C37" i="25"/>
  <c r="D37" i="25"/>
  <c r="C38" i="25"/>
  <c r="D38" i="25"/>
  <c r="C39" i="25"/>
  <c r="D39" i="25"/>
  <c r="C40" i="25"/>
  <c r="D40" i="25"/>
  <c r="C41" i="25"/>
  <c r="D41" i="25"/>
  <c r="C42" i="25"/>
  <c r="D42" i="25"/>
  <c r="D5" i="25"/>
  <c r="C5" i="25"/>
  <c r="S6" i="24"/>
  <c r="S7" i="24"/>
  <c r="S8" i="24"/>
  <c r="S9" i="24"/>
  <c r="S10" i="24"/>
  <c r="S11" i="24"/>
  <c r="S5" i="24"/>
  <c r="V6" i="25"/>
  <c r="V7" i="25"/>
  <c r="V8" i="25"/>
  <c r="V9" i="25"/>
  <c r="V10" i="25"/>
  <c r="V11" i="25"/>
  <c r="V12" i="25"/>
  <c r="V13" i="25"/>
  <c r="V14" i="25"/>
  <c r="V15" i="25"/>
  <c r="V16" i="25"/>
  <c r="V17" i="25"/>
  <c r="V18" i="25"/>
  <c r="V19" i="25"/>
  <c r="V20" i="25"/>
  <c r="V21" i="25"/>
  <c r="V22" i="25"/>
  <c r="V23" i="25"/>
  <c r="V24" i="25"/>
  <c r="V25" i="25"/>
  <c r="V26" i="25"/>
  <c r="V27" i="25"/>
  <c r="V28" i="25"/>
  <c r="V29" i="25"/>
  <c r="V30" i="25"/>
  <c r="V31" i="25"/>
  <c r="V32" i="25"/>
  <c r="V33" i="25"/>
  <c r="V34" i="25"/>
  <c r="V35" i="25"/>
  <c r="V36" i="25"/>
  <c r="V37" i="25"/>
  <c r="V38" i="25"/>
  <c r="V39" i="25"/>
  <c r="V40" i="25"/>
  <c r="V41" i="25"/>
  <c r="V42" i="25"/>
  <c r="V5" i="25"/>
  <c r="S6" i="22"/>
  <c r="S7" i="22"/>
  <c r="S8" i="22"/>
  <c r="S9" i="22"/>
  <c r="S10" i="22"/>
  <c r="S11" i="22"/>
  <c r="S12" i="22"/>
  <c r="S13" i="22"/>
  <c r="S14" i="22"/>
  <c r="S15" i="22"/>
  <c r="S16" i="22"/>
  <c r="S17" i="22"/>
  <c r="S18" i="22"/>
  <c r="S19" i="22"/>
  <c r="S20" i="22"/>
  <c r="S21" i="22"/>
  <c r="S22" i="22"/>
  <c r="S23" i="22"/>
  <c r="S24" i="22"/>
  <c r="S25" i="22"/>
  <c r="S26" i="22"/>
  <c r="S27" i="22"/>
  <c r="S28" i="22"/>
  <c r="S29" i="22"/>
  <c r="S30" i="22"/>
  <c r="S31" i="22"/>
  <c r="S32" i="22"/>
  <c r="S33" i="22"/>
  <c r="S34" i="22"/>
  <c r="S35" i="22"/>
  <c r="S36" i="22"/>
  <c r="S37" i="22"/>
  <c r="S38" i="22"/>
  <c r="S39" i="22"/>
  <c r="S40" i="22"/>
  <c r="S41" i="22"/>
  <c r="S42" i="22"/>
  <c r="S43" i="22"/>
  <c r="S44" i="22"/>
  <c r="S45" i="22"/>
  <c r="S46" i="22"/>
  <c r="S47" i="22"/>
  <c r="S48" i="22"/>
  <c r="S49" i="22"/>
  <c r="S50" i="22"/>
  <c r="S51" i="22"/>
  <c r="S52" i="22"/>
  <c r="S53" i="22"/>
  <c r="S54" i="22"/>
  <c r="S55" i="22"/>
  <c r="S56" i="22"/>
  <c r="S57" i="22"/>
  <c r="S58" i="22"/>
  <c r="S5" i="22"/>
  <c r="S6" i="23"/>
  <c r="S7" i="23"/>
  <c r="S8" i="23"/>
  <c r="S9" i="23"/>
  <c r="S10" i="23"/>
  <c r="S11" i="23"/>
  <c r="S12" i="23"/>
  <c r="S13" i="23"/>
  <c r="S14" i="23"/>
  <c r="S15" i="23"/>
  <c r="S16" i="23"/>
  <c r="S17" i="23"/>
  <c r="S18" i="23"/>
  <c r="S5" i="23"/>
  <c r="S5" i="16"/>
  <c r="F9" i="25"/>
  <c r="F18" i="25"/>
  <c r="F32" i="25"/>
  <c r="F10" i="25"/>
  <c r="F7" i="25"/>
  <c r="F35" i="25"/>
  <c r="F20" i="25"/>
  <c r="F28" i="25"/>
  <c r="F24" i="25"/>
  <c r="F38" i="25"/>
  <c r="F26" i="25"/>
  <c r="F14" i="25"/>
  <c r="F17" i="25"/>
  <c r="F25" i="25"/>
  <c r="F37" i="25"/>
  <c r="F5" i="25"/>
  <c r="F27" i="25"/>
  <c r="F30" i="25"/>
  <c r="F42" i="25"/>
  <c r="F11" i="25"/>
  <c r="F31" i="25"/>
  <c r="F41" i="25"/>
  <c r="F12" i="25"/>
  <c r="F22" i="25"/>
  <c r="F29" i="25"/>
  <c r="F15" i="25"/>
  <c r="F39" i="25"/>
  <c r="F34" i="25"/>
  <c r="F6" i="25"/>
  <c r="F19" i="25"/>
  <c r="F23" i="25"/>
  <c r="F13" i="25"/>
  <c r="F40" i="25"/>
  <c r="F33" i="25"/>
  <c r="F8" i="25"/>
  <c r="F21" i="25"/>
  <c r="F36" i="25"/>
  <c r="F16" i="25"/>
  <c r="E5" i="25" l="1"/>
  <c r="G5" i="25"/>
  <c r="X10" i="16"/>
  <c r="X14" i="16"/>
  <c r="X11" i="16"/>
  <c r="X13" i="16"/>
  <c r="X12" i="16"/>
  <c r="X15" i="16"/>
  <c r="N6" i="22" l="1"/>
  <c r="N7" i="22"/>
  <c r="N8" i="22"/>
  <c r="N9" i="22"/>
  <c r="N10" i="22"/>
  <c r="N11" i="22"/>
  <c r="N12" i="22"/>
  <c r="N13" i="22"/>
  <c r="N14" i="22"/>
  <c r="N15" i="22"/>
  <c r="N16" i="22"/>
  <c r="N17" i="22"/>
  <c r="N18" i="22"/>
  <c r="N19" i="22"/>
  <c r="N20" i="22"/>
  <c r="N21" i="22"/>
  <c r="N22" i="22"/>
  <c r="N23" i="22"/>
  <c r="N24" i="22"/>
  <c r="N25" i="22"/>
  <c r="N26" i="22"/>
  <c r="N27" i="22"/>
  <c r="N28" i="22"/>
  <c r="N29" i="22"/>
  <c r="N30" i="22"/>
  <c r="N31" i="22"/>
  <c r="N32" i="22"/>
  <c r="N33" i="22"/>
  <c r="N34" i="22"/>
  <c r="N35" i="22"/>
  <c r="N36" i="22"/>
  <c r="N37" i="22"/>
  <c r="N38" i="22"/>
  <c r="N39" i="22"/>
  <c r="N40" i="22"/>
  <c r="N41" i="22"/>
  <c r="N42" i="22"/>
  <c r="N43" i="22"/>
  <c r="N44" i="22"/>
  <c r="N45" i="22"/>
  <c r="N46" i="22"/>
  <c r="N47" i="22"/>
  <c r="N48" i="22"/>
  <c r="N49" i="22"/>
  <c r="N50" i="22"/>
  <c r="N51" i="22"/>
  <c r="N52" i="22"/>
  <c r="N53" i="22"/>
  <c r="N54" i="22"/>
  <c r="N55" i="22"/>
  <c r="N56" i="22"/>
  <c r="N57" i="22"/>
  <c r="N58" i="22"/>
  <c r="N5" i="22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" i="22"/>
  <c r="F11" i="22"/>
  <c r="F50" i="22"/>
  <c r="F8" i="22"/>
  <c r="F9" i="22"/>
  <c r="F55" i="22"/>
  <c r="F53" i="22"/>
  <c r="F6" i="22"/>
  <c r="F43" i="22"/>
  <c r="F31" i="22"/>
  <c r="F37" i="22"/>
  <c r="F40" i="22"/>
  <c r="F22" i="22"/>
  <c r="F33" i="22"/>
  <c r="F16" i="22"/>
  <c r="F58" i="22"/>
  <c r="F20" i="22"/>
  <c r="F35" i="22"/>
  <c r="F52" i="22"/>
  <c r="F36" i="22"/>
  <c r="F32" i="22"/>
  <c r="F47" i="22"/>
  <c r="F57" i="22"/>
  <c r="F46" i="22"/>
  <c r="F39" i="22"/>
  <c r="F17" i="22"/>
  <c r="F51" i="22"/>
  <c r="F30" i="22"/>
  <c r="F14" i="22"/>
  <c r="F25" i="22"/>
  <c r="F48" i="22"/>
  <c r="F44" i="22"/>
  <c r="F29" i="22"/>
  <c r="F34" i="22"/>
  <c r="F10" i="22"/>
  <c r="F42" i="22"/>
  <c r="F5" i="22"/>
  <c r="F19" i="22"/>
  <c r="F13" i="22"/>
  <c r="F38" i="22"/>
  <c r="F49" i="22"/>
  <c r="F24" i="22"/>
  <c r="F7" i="22"/>
  <c r="F12" i="22"/>
  <c r="F45" i="22"/>
  <c r="F15" i="22"/>
  <c r="F54" i="22"/>
  <c r="F56" i="22"/>
  <c r="F41" i="22"/>
  <c r="F26" i="22"/>
  <c r="F23" i="22"/>
  <c r="F18" i="22"/>
  <c r="F28" i="22"/>
  <c r="F27" i="22"/>
  <c r="F21" i="22"/>
  <c r="N6" i="13" l="1"/>
  <c r="N7" i="13"/>
  <c r="N8" i="13"/>
  <c r="N9" i="13"/>
  <c r="N10" i="13"/>
  <c r="N11" i="13"/>
  <c r="N12" i="13"/>
  <c r="N13" i="13"/>
  <c r="N14" i="13"/>
  <c r="N15" i="13"/>
  <c r="N16" i="13"/>
  <c r="N17" i="13"/>
  <c r="N18" i="13"/>
  <c r="N19" i="13"/>
  <c r="N20" i="13"/>
  <c r="N21" i="13"/>
  <c r="N22" i="13"/>
  <c r="N23" i="13"/>
  <c r="N24" i="13"/>
  <c r="N25" i="13"/>
  <c r="N26" i="13"/>
  <c r="N27" i="13"/>
  <c r="N28" i="13"/>
  <c r="N29" i="13"/>
  <c r="N30" i="13"/>
  <c r="N31" i="13"/>
  <c r="N32" i="13"/>
  <c r="N33" i="13"/>
  <c r="N34" i="13"/>
  <c r="N35" i="13"/>
  <c r="N36" i="13"/>
  <c r="N37" i="13"/>
  <c r="N38" i="13"/>
  <c r="N39" i="13"/>
  <c r="N40" i="13"/>
  <c r="N41" i="13"/>
  <c r="N42" i="13"/>
  <c r="N5" i="13"/>
  <c r="I5" i="56"/>
  <c r="O2" i="65" l="1"/>
  <c r="O5" i="65" s="1" a="1"/>
  <c r="O11" i="65" s="1"/>
  <c r="O2" i="66"/>
  <c r="L2" i="15"/>
  <c r="O2" i="64"/>
  <c r="O5" i="64" s="1" a="1"/>
  <c r="O2" i="23"/>
  <c r="O2" i="25"/>
  <c r="O2" i="11"/>
  <c r="O2" i="12"/>
  <c r="O2" i="22"/>
  <c r="O2" i="16"/>
  <c r="O2" i="13"/>
  <c r="O2" i="24"/>
  <c r="M9" i="15"/>
  <c r="M10" i="15"/>
  <c r="M11" i="15"/>
  <c r="M12" i="15"/>
  <c r="M13" i="15"/>
  <c r="M8" i="15"/>
  <c r="D28" i="56"/>
  <c r="O23" i="65" l="1"/>
  <c r="O15" i="65"/>
  <c r="O7" i="65"/>
  <c r="O5" i="65"/>
  <c r="O10" i="65"/>
  <c r="O28" i="65"/>
  <c r="O22" i="65"/>
  <c r="O14" i="65"/>
  <c r="O8" i="65"/>
  <c r="O6" i="65"/>
  <c r="O21" i="65"/>
  <c r="O26" i="65"/>
  <c r="O13" i="65"/>
  <c r="O18" i="65"/>
  <c r="O25" i="65"/>
  <c r="O20" i="65"/>
  <c r="O17" i="65"/>
  <c r="O12" i="65"/>
  <c r="O9" i="65"/>
  <c r="O27" i="65"/>
  <c r="O24" i="65"/>
  <c r="O19" i="65"/>
  <c r="O16" i="65"/>
  <c r="N20" i="66"/>
  <c r="N12" i="66"/>
  <c r="N8" i="66"/>
  <c r="N33" i="66"/>
  <c r="N25" i="66"/>
  <c r="N17" i="66"/>
  <c r="N9" i="66"/>
  <c r="N36" i="66"/>
  <c r="N31" i="66"/>
  <c r="N15" i="66"/>
  <c r="N7" i="66"/>
  <c r="N28" i="66"/>
  <c r="N39" i="66"/>
  <c r="N23" i="66"/>
  <c r="N32" i="66"/>
  <c r="N24" i="66"/>
  <c r="N42" i="66"/>
  <c r="N16" i="66"/>
  <c r="N34" i="66"/>
  <c r="N26" i="66"/>
  <c r="N18" i="66"/>
  <c r="N10" i="66"/>
  <c r="N37" i="66"/>
  <c r="N29" i="66"/>
  <c r="N21" i="66"/>
  <c r="N13" i="66"/>
  <c r="N40" i="66"/>
  <c r="N5" i="66"/>
  <c r="N19" i="66"/>
  <c r="N41" i="66"/>
  <c r="N38" i="66"/>
  <c r="N30" i="66"/>
  <c r="N11" i="66"/>
  <c r="N22" i="66"/>
  <c r="N14" i="66"/>
  <c r="N35" i="66"/>
  <c r="N6" i="66"/>
  <c r="N27" i="66"/>
  <c r="O10" i="64"/>
  <c r="O18" i="64"/>
  <c r="O11" i="64"/>
  <c r="O19" i="64"/>
  <c r="O12" i="64"/>
  <c r="O20" i="64"/>
  <c r="O5" i="64"/>
  <c r="O13" i="64"/>
  <c r="O21" i="64"/>
  <c r="O6" i="64"/>
  <c r="O14" i="64"/>
  <c r="O22" i="64"/>
  <c r="O7" i="64"/>
  <c r="O15" i="64"/>
  <c r="O8" i="64"/>
  <c r="O16" i="64"/>
  <c r="O9" i="64"/>
  <c r="O17" i="64"/>
  <c r="N6" i="11"/>
  <c r="N14" i="11"/>
  <c r="N22" i="11"/>
  <c r="N30" i="11"/>
  <c r="N38" i="11"/>
  <c r="N7" i="11"/>
  <c r="N15" i="11"/>
  <c r="N23" i="11"/>
  <c r="N31" i="11"/>
  <c r="N39" i="11"/>
  <c r="N8" i="11"/>
  <c r="N16" i="11"/>
  <c r="N24" i="11"/>
  <c r="N32" i="11"/>
  <c r="N40" i="11"/>
  <c r="N9" i="11"/>
  <c r="N17" i="11"/>
  <c r="N25" i="11"/>
  <c r="N33" i="11"/>
  <c r="N41" i="11"/>
  <c r="N10" i="11"/>
  <c r="N18" i="11"/>
  <c r="N26" i="11"/>
  <c r="N34" i="11"/>
  <c r="N42" i="11"/>
  <c r="N11" i="11"/>
  <c r="N19" i="11"/>
  <c r="N27" i="11"/>
  <c r="N35" i="11"/>
  <c r="N5" i="11"/>
  <c r="N12" i="11"/>
  <c r="N20" i="11"/>
  <c r="N28" i="11"/>
  <c r="N36" i="11"/>
  <c r="N13" i="11"/>
  <c r="N21" i="11"/>
  <c r="N29" i="11"/>
  <c r="N37" i="11"/>
  <c r="K14" i="23"/>
  <c r="K6" i="23"/>
  <c r="L12" i="23"/>
  <c r="M7" i="23"/>
  <c r="M15" i="23"/>
  <c r="K11" i="23"/>
  <c r="L17" i="23"/>
  <c r="M18" i="23"/>
  <c r="M11" i="23"/>
  <c r="K17" i="23"/>
  <c r="L7" i="23"/>
  <c r="L5" i="23"/>
  <c r="K8" i="23"/>
  <c r="M13" i="23"/>
  <c r="L13" i="23"/>
  <c r="K13" i="23"/>
  <c r="K5" i="23"/>
  <c r="L11" i="23"/>
  <c r="M8" i="23"/>
  <c r="M16" i="23"/>
  <c r="L9" i="23"/>
  <c r="K18" i="23"/>
  <c r="L8" i="23"/>
  <c r="K9" i="23"/>
  <c r="L15" i="23"/>
  <c r="K16" i="23"/>
  <c r="L14" i="23"/>
  <c r="K15" i="23"/>
  <c r="M6" i="23"/>
  <c r="K12" i="23"/>
  <c r="L18" i="23"/>
  <c r="L10" i="23"/>
  <c r="M9" i="23"/>
  <c r="M17" i="23"/>
  <c r="M10" i="23"/>
  <c r="K10" i="23"/>
  <c r="L16" i="23"/>
  <c r="M5" i="23"/>
  <c r="M12" i="23"/>
  <c r="L6" i="23"/>
  <c r="K7" i="23"/>
  <c r="M14" i="23"/>
  <c r="N13" i="12"/>
  <c r="N21" i="12"/>
  <c r="N29" i="12"/>
  <c r="N37" i="12"/>
  <c r="N6" i="12"/>
  <c r="N14" i="12"/>
  <c r="N22" i="12"/>
  <c r="N30" i="12"/>
  <c r="N38" i="12"/>
  <c r="N7" i="12"/>
  <c r="N15" i="12"/>
  <c r="N23" i="12"/>
  <c r="N31" i="12"/>
  <c r="N39" i="12"/>
  <c r="N8" i="12"/>
  <c r="N16" i="12"/>
  <c r="N32" i="12"/>
  <c r="N9" i="12"/>
  <c r="N17" i="12"/>
  <c r="N25" i="12"/>
  <c r="N33" i="12"/>
  <c r="N41" i="12"/>
  <c r="N10" i="12"/>
  <c r="N18" i="12"/>
  <c r="N26" i="12"/>
  <c r="N34" i="12"/>
  <c r="N42" i="12"/>
  <c r="N11" i="12"/>
  <c r="N19" i="12"/>
  <c r="N27" i="12"/>
  <c r="N35" i="12"/>
  <c r="N5" i="12"/>
  <c r="N12" i="12"/>
  <c r="N20" i="12"/>
  <c r="N28" i="12"/>
  <c r="N36" i="12"/>
  <c r="N24" i="12"/>
  <c r="N40" i="12"/>
  <c r="E6" i="24"/>
  <c r="E7" i="24"/>
  <c r="E8" i="24"/>
  <c r="E9" i="24"/>
  <c r="E10" i="24"/>
  <c r="E11" i="24"/>
  <c r="E5" i="24"/>
  <c r="N6" i="24"/>
  <c r="N7" i="24"/>
  <c r="N8" i="24"/>
  <c r="N9" i="24"/>
  <c r="N10" i="24"/>
  <c r="N11" i="24"/>
  <c r="N5" i="24"/>
  <c r="F9" i="24"/>
  <c r="F7" i="24"/>
  <c r="F10" i="24"/>
  <c r="F16" i="6"/>
  <c r="F5" i="24"/>
  <c r="F8" i="24"/>
  <c r="F6" i="24"/>
  <c r="F11" i="24"/>
  <c r="H25" i="6"/>
  <c r="H16" i="6"/>
  <c r="H19" i="6"/>
  <c r="H22" i="6"/>
  <c r="O5" i="66" l="1" a="1"/>
  <c r="N6" i="23"/>
  <c r="N10" i="23"/>
  <c r="N18" i="23"/>
  <c r="N8" i="23"/>
  <c r="N13" i="23"/>
  <c r="N17" i="23"/>
  <c r="N16" i="23"/>
  <c r="N9" i="23"/>
  <c r="N5" i="23"/>
  <c r="N14" i="23"/>
  <c r="N7" i="23"/>
  <c r="N12" i="23"/>
  <c r="N11" i="23"/>
  <c r="N15" i="23"/>
  <c r="O5" i="12" a="1"/>
  <c r="F17" i="23"/>
  <c r="F16" i="23"/>
  <c r="F18" i="23"/>
  <c r="O29" i="66" l="1"/>
  <c r="O13" i="66"/>
  <c r="O10" i="66"/>
  <c r="O40" i="66"/>
  <c r="O24" i="66"/>
  <c r="O8" i="66"/>
  <c r="O39" i="66"/>
  <c r="O7" i="66"/>
  <c r="O17" i="66"/>
  <c r="O28" i="66"/>
  <c r="O12" i="66"/>
  <c r="O25" i="66"/>
  <c r="O19" i="66"/>
  <c r="O34" i="66"/>
  <c r="O27" i="66"/>
  <c r="O11" i="66"/>
  <c r="O42" i="66"/>
  <c r="O26" i="66"/>
  <c r="O41" i="66"/>
  <c r="O9" i="66"/>
  <c r="O23" i="66"/>
  <c r="O18" i="66"/>
  <c r="O38" i="66"/>
  <c r="O22" i="66"/>
  <c r="O6" i="66"/>
  <c r="O37" i="66"/>
  <c r="O21" i="66"/>
  <c r="O5" i="66"/>
  <c r="O36" i="66"/>
  <c r="O20" i="66"/>
  <c r="O35" i="66"/>
  <c r="O33" i="66"/>
  <c r="O30" i="66"/>
  <c r="O16" i="66"/>
  <c r="O14" i="66"/>
  <c r="O15" i="66"/>
  <c r="O32" i="66"/>
  <c r="O31" i="66"/>
  <c r="E16" i="23"/>
  <c r="E18" i="23"/>
  <c r="E17" i="23"/>
  <c r="O5" i="12"/>
  <c r="O28" i="12"/>
  <c r="O25" i="12"/>
  <c r="O27" i="12"/>
  <c r="O39" i="12"/>
  <c r="O6" i="12"/>
  <c r="O20" i="12"/>
  <c r="O32" i="12"/>
  <c r="O19" i="12"/>
  <c r="O31" i="12"/>
  <c r="O37" i="12"/>
  <c r="O35" i="12"/>
  <c r="O24" i="12"/>
  <c r="O34" i="12"/>
  <c r="O23" i="12"/>
  <c r="O29" i="12"/>
  <c r="O11" i="12"/>
  <c r="O16" i="12"/>
  <c r="O10" i="12"/>
  <c r="O15" i="12"/>
  <c r="O21" i="12"/>
  <c r="O42" i="12"/>
  <c r="O8" i="12"/>
  <c r="O33" i="12"/>
  <c r="O38" i="12"/>
  <c r="O13" i="12"/>
  <c r="O26" i="12"/>
  <c r="O7" i="12"/>
  <c r="O17" i="12"/>
  <c r="O30" i="12"/>
  <c r="O18" i="12"/>
  <c r="O36" i="12"/>
  <c r="O9" i="12"/>
  <c r="O22" i="12"/>
  <c r="O41" i="12"/>
  <c r="O12" i="12"/>
  <c r="O40" i="12"/>
  <c r="O14" i="12"/>
  <c r="X5" i="18"/>
  <c r="X34" i="18"/>
  <c r="X28" i="18"/>
  <c r="X22" i="18"/>
  <c r="X6" i="18"/>
  <c r="X44" i="18"/>
  <c r="X43" i="18"/>
  <c r="X7" i="18"/>
  <c r="G16" i="23"/>
  <c r="X35" i="18"/>
  <c r="X10" i="18"/>
  <c r="X31" i="18"/>
  <c r="X37" i="18"/>
  <c r="X36" i="18"/>
  <c r="X38" i="18"/>
  <c r="X46" i="18"/>
  <c r="X15" i="18"/>
  <c r="X16" i="18"/>
  <c r="X8" i="18"/>
  <c r="X13" i="18"/>
  <c r="X32" i="18"/>
  <c r="G18" i="23"/>
  <c r="X20" i="18"/>
  <c r="X26" i="18"/>
  <c r="X21" i="18"/>
  <c r="X24" i="18"/>
  <c r="X39" i="18"/>
  <c r="X27" i="18"/>
  <c r="X18" i="18"/>
  <c r="X33" i="18"/>
  <c r="X17" i="18"/>
  <c r="X45" i="18"/>
  <c r="X19" i="18"/>
  <c r="X12" i="18"/>
  <c r="X11" i="18"/>
  <c r="X29" i="18"/>
  <c r="X30" i="18"/>
  <c r="X14" i="18"/>
  <c r="X23" i="18"/>
  <c r="X9" i="18"/>
  <c r="G17" i="23"/>
  <c r="X41" i="18"/>
  <c r="X42" i="18"/>
  <c r="X25" i="18"/>
  <c r="X40" i="18"/>
  <c r="E4" i="63" l="1"/>
  <c r="D67" i="63" l="1"/>
  <c r="D66" i="63"/>
  <c r="D65" i="63"/>
  <c r="D64" i="63"/>
  <c r="D63" i="63"/>
  <c r="D62" i="63"/>
  <c r="D61" i="63"/>
  <c r="D60" i="63"/>
  <c r="D59" i="63"/>
  <c r="D58" i="63"/>
  <c r="D57" i="63"/>
  <c r="D56" i="63"/>
  <c r="D55" i="63"/>
  <c r="D54" i="63"/>
  <c r="D53" i="63"/>
  <c r="D52" i="63"/>
  <c r="D51" i="63"/>
  <c r="D50" i="63"/>
  <c r="D49" i="63"/>
  <c r="D48" i="63"/>
  <c r="D47" i="63"/>
  <c r="D46" i="63"/>
  <c r="D45" i="63"/>
  <c r="D44" i="63"/>
  <c r="D43" i="63"/>
  <c r="D42" i="63"/>
  <c r="D41" i="63"/>
  <c r="D40" i="63"/>
  <c r="D39" i="63"/>
  <c r="D38" i="63"/>
  <c r="D37" i="63"/>
  <c r="D36" i="63"/>
  <c r="D35" i="63"/>
  <c r="D34" i="63"/>
  <c r="D33" i="63"/>
  <c r="D32" i="63"/>
  <c r="D31" i="63"/>
  <c r="D30" i="63"/>
  <c r="D29" i="63"/>
  <c r="D28" i="63"/>
  <c r="D27" i="63"/>
  <c r="D26" i="63"/>
  <c r="D25" i="63"/>
  <c r="D24" i="63"/>
  <c r="D23" i="63"/>
  <c r="D22" i="63"/>
  <c r="D21" i="63"/>
  <c r="D20" i="63"/>
  <c r="D19" i="63"/>
  <c r="D18" i="63"/>
  <c r="D17" i="63"/>
  <c r="D16" i="63"/>
  <c r="D15" i="63"/>
  <c r="D14" i="63"/>
  <c r="D13" i="63"/>
  <c r="D12" i="63"/>
  <c r="D11" i="63"/>
  <c r="D10" i="63"/>
  <c r="D9" i="63"/>
  <c r="D8" i="63"/>
  <c r="H7" i="6" l="1"/>
  <c r="L8" i="15" s="1"/>
  <c r="H8" i="6"/>
  <c r="L9" i="15" s="1"/>
  <c r="H9" i="6"/>
  <c r="L10" i="15" s="1"/>
  <c r="H10" i="6"/>
  <c r="L11" i="15" s="1"/>
  <c r="H11" i="6"/>
  <c r="L12" i="15" s="1"/>
  <c r="H12" i="6"/>
  <c r="L13" i="15" s="1"/>
  <c r="H6" i="6"/>
  <c r="D11" i="6"/>
  <c r="D8" i="6"/>
  <c r="D12" i="6"/>
  <c r="E7" i="6"/>
  <c r="D6" i="6"/>
  <c r="D13" i="6"/>
  <c r="E9" i="6"/>
  <c r="D10" i="6"/>
  <c r="D14" i="56" l="1"/>
  <c r="D5" i="18" a="1"/>
  <c r="E8" i="6"/>
  <c r="F9" i="6"/>
  <c r="E10" i="6"/>
  <c r="E56" i="63"/>
  <c r="E55" i="63"/>
  <c r="E28" i="63"/>
  <c r="E18" i="63"/>
  <c r="E49" i="63"/>
  <c r="E13" i="63"/>
  <c r="E63" i="63"/>
  <c r="E26" i="63"/>
  <c r="E17" i="63"/>
  <c r="E64" i="63"/>
  <c r="E53" i="63"/>
  <c r="E15" i="63"/>
  <c r="E21" i="63"/>
  <c r="E54" i="63"/>
  <c r="E33" i="63"/>
  <c r="E38" i="63"/>
  <c r="E32" i="63"/>
  <c r="E39" i="63"/>
  <c r="E37" i="63"/>
  <c r="E59" i="63"/>
  <c r="E34" i="63"/>
  <c r="E16" i="63"/>
  <c r="E11" i="6"/>
  <c r="E41" i="63"/>
  <c r="E10" i="63"/>
  <c r="E45" i="63"/>
  <c r="E42" i="63"/>
  <c r="E35" i="63"/>
  <c r="E40" i="63"/>
  <c r="E27" i="63"/>
  <c r="E31" i="63"/>
  <c r="E8" i="63"/>
  <c r="E6" i="6"/>
  <c r="E58" i="63"/>
  <c r="E43" i="63"/>
  <c r="E36" i="63"/>
  <c r="E11" i="63"/>
  <c r="F8" i="6"/>
  <c r="E52" i="63"/>
  <c r="E66" i="63"/>
  <c r="E47" i="63"/>
  <c r="E29" i="63"/>
  <c r="E19" i="63"/>
  <c r="E30" i="63"/>
  <c r="E24" i="63"/>
  <c r="E62" i="63"/>
  <c r="E12" i="6"/>
  <c r="F7" i="6"/>
  <c r="E23" i="63"/>
  <c r="E44" i="63"/>
  <c r="E65" i="63"/>
  <c r="E25" i="63"/>
  <c r="E51" i="63"/>
  <c r="E46" i="63"/>
  <c r="E48" i="63"/>
  <c r="E67" i="63"/>
  <c r="E12" i="63"/>
  <c r="E50" i="63"/>
  <c r="E14" i="63"/>
  <c r="E60" i="63"/>
  <c r="E9" i="63"/>
  <c r="E20" i="63"/>
  <c r="E61" i="63"/>
  <c r="E22" i="63"/>
  <c r="E57" i="63"/>
  <c r="D5" i="18" l="1"/>
  <c r="H5" i="18" s="1"/>
  <c r="D22" i="18"/>
  <c r="H22" i="18" s="1"/>
  <c r="D39" i="18"/>
  <c r="H39" i="18" s="1"/>
  <c r="D33" i="18"/>
  <c r="H33" i="18" s="1"/>
  <c r="D19" i="18"/>
  <c r="H19" i="18" s="1"/>
  <c r="D44" i="18"/>
  <c r="H44" i="18" s="1"/>
  <c r="D30" i="18"/>
  <c r="H30" i="18" s="1"/>
  <c r="D8" i="18"/>
  <c r="H8" i="18" s="1"/>
  <c r="D27" i="18"/>
  <c r="H27" i="18" s="1"/>
  <c r="D17" i="18"/>
  <c r="H17" i="18" s="1"/>
  <c r="D21" i="18"/>
  <c r="H21" i="18" s="1"/>
  <c r="D38" i="18"/>
  <c r="H38" i="18" s="1"/>
  <c r="D16" i="18"/>
  <c r="H16" i="18" s="1"/>
  <c r="D35" i="18"/>
  <c r="H35" i="18" s="1"/>
  <c r="D46" i="18"/>
  <c r="H46" i="18" s="1"/>
  <c r="D18" i="18"/>
  <c r="H18" i="18" s="1"/>
  <c r="D37" i="18"/>
  <c r="H37" i="18" s="1"/>
  <c r="D32" i="18"/>
  <c r="H32" i="18" s="1"/>
  <c r="D12" i="18"/>
  <c r="H12" i="18" s="1"/>
  <c r="D15" i="18"/>
  <c r="H15" i="18" s="1"/>
  <c r="D40" i="18"/>
  <c r="H40" i="18" s="1"/>
  <c r="D20" i="18"/>
  <c r="H20" i="18" s="1"/>
  <c r="D23" i="18"/>
  <c r="H23" i="18" s="1"/>
  <c r="D42" i="18"/>
  <c r="H42" i="18" s="1"/>
  <c r="D14" i="18"/>
  <c r="H14" i="18" s="1"/>
  <c r="D25" i="18"/>
  <c r="H25" i="18" s="1"/>
  <c r="D36" i="18"/>
  <c r="H36" i="18" s="1"/>
  <c r="D13" i="18"/>
  <c r="H13" i="18" s="1"/>
  <c r="D41" i="18"/>
  <c r="H41" i="18" s="1"/>
  <c r="D10" i="18"/>
  <c r="H10" i="18" s="1"/>
  <c r="D29" i="18"/>
  <c r="H29" i="18" s="1"/>
  <c r="D24" i="18"/>
  <c r="H24" i="18" s="1"/>
  <c r="D43" i="18"/>
  <c r="H43" i="18" s="1"/>
  <c r="D7" i="18"/>
  <c r="H7" i="18" s="1"/>
  <c r="D26" i="18"/>
  <c r="H26" i="18" s="1"/>
  <c r="D45" i="18"/>
  <c r="H45" i="18" s="1"/>
  <c r="D34" i="18"/>
  <c r="H34" i="18" s="1"/>
  <c r="D6" i="18"/>
  <c r="H6" i="18" s="1"/>
  <c r="D9" i="18"/>
  <c r="H9" i="18" s="1"/>
  <c r="D28" i="18"/>
  <c r="H28" i="18" s="1"/>
  <c r="D31" i="18"/>
  <c r="H31" i="18" s="1"/>
  <c r="D11" i="18"/>
  <c r="H11" i="18" s="1"/>
  <c r="F65" i="63"/>
  <c r="F12" i="6"/>
  <c r="F35" i="63"/>
  <c r="F16" i="63"/>
  <c r="F27" i="63"/>
  <c r="F12" i="63"/>
  <c r="F11" i="6"/>
  <c r="F50" i="63"/>
  <c r="F19" i="63"/>
  <c r="F59" i="63"/>
  <c r="F44" i="63"/>
  <c r="F45" i="63"/>
  <c r="F24" i="63"/>
  <c r="F41" i="63"/>
  <c r="F30" i="63"/>
  <c r="F57" i="63"/>
  <c r="F29" i="63"/>
  <c r="F42" i="63"/>
  <c r="F47" i="63"/>
  <c r="F67" i="63"/>
  <c r="F61" i="63"/>
  <c r="F63" i="63"/>
  <c r="F62" i="63"/>
  <c r="F31" i="63"/>
  <c r="F39" i="63"/>
  <c r="F53" i="63"/>
  <c r="F46" i="63"/>
  <c r="F23" i="63"/>
  <c r="F15" i="63"/>
  <c r="F25" i="63"/>
  <c r="F43" i="63"/>
  <c r="F66" i="63"/>
  <c r="F64" i="63"/>
  <c r="F26" i="63"/>
  <c r="F20" i="63"/>
  <c r="F28" i="63"/>
  <c r="F48" i="63"/>
  <c r="F14" i="63"/>
  <c r="F34" i="63"/>
  <c r="F10" i="63"/>
  <c r="F37" i="63"/>
  <c r="F40" i="63"/>
  <c r="F17" i="63"/>
  <c r="F51" i="63"/>
  <c r="F8" i="63"/>
  <c r="F55" i="63"/>
  <c r="F58" i="63"/>
  <c r="F54" i="63"/>
  <c r="F60" i="63"/>
  <c r="F38" i="63"/>
  <c r="F13" i="63"/>
  <c r="F49" i="63"/>
  <c r="F36" i="63"/>
  <c r="F6" i="6"/>
  <c r="F33" i="63"/>
  <c r="F22" i="63"/>
  <c r="F11" i="63"/>
  <c r="F21" i="63"/>
  <c r="F52" i="63"/>
  <c r="F56" i="63"/>
  <c r="F18" i="63"/>
  <c r="F32" i="63"/>
  <c r="F9" i="63"/>
  <c r="N5" i="25" l="1"/>
  <c r="N6" i="25" l="1"/>
  <c r="N7" i="25" l="1"/>
  <c r="N8" i="25" l="1"/>
  <c r="N9" i="25" l="1"/>
  <c r="N10" i="25" l="1"/>
  <c r="N11" i="25" l="1"/>
  <c r="N12" i="25" l="1"/>
  <c r="N13" i="25" l="1"/>
  <c r="N14" i="25" l="1"/>
  <c r="N15" i="25" l="1"/>
  <c r="N16" i="25" l="1"/>
  <c r="N17" i="25" l="1"/>
  <c r="N18" i="25" l="1"/>
  <c r="N19" i="25" l="1"/>
  <c r="N20" i="25" l="1"/>
  <c r="N21" i="25" l="1"/>
  <c r="N22" i="25" l="1"/>
  <c r="N23" i="25" l="1"/>
  <c r="N24" i="25" l="1"/>
  <c r="N25" i="25" l="1"/>
  <c r="N26" i="25" l="1"/>
  <c r="N27" i="25" l="1"/>
  <c r="N28" i="25" l="1"/>
  <c r="N29" i="25"/>
  <c r="N30" i="25" l="1"/>
  <c r="N31" i="25" l="1"/>
  <c r="N32" i="25" l="1"/>
  <c r="N33" i="25" l="1"/>
  <c r="N34" i="25" l="1"/>
  <c r="N35" i="25"/>
  <c r="N36" i="25" l="1"/>
  <c r="N37" i="25" l="1"/>
  <c r="N38" i="25" l="1"/>
  <c r="N39" i="25"/>
  <c r="N40" i="25" l="1"/>
  <c r="N41" i="25" l="1"/>
  <c r="N42" i="25" l="1"/>
  <c r="O5" i="25" s="1" a="1"/>
  <c r="O42" i="25" s="1"/>
  <c r="P5" i="20" l="1"/>
  <c r="O28" i="25"/>
  <c r="O12" i="25"/>
  <c r="O36" i="25"/>
  <c r="O20" i="25"/>
  <c r="O35" i="25"/>
  <c r="O27" i="25"/>
  <c r="O19" i="25"/>
  <c r="O11" i="25"/>
  <c r="O34" i="25"/>
  <c r="O26" i="25"/>
  <c r="O18" i="25"/>
  <c r="O10" i="25"/>
  <c r="O41" i="25"/>
  <c r="O33" i="25"/>
  <c r="O25" i="25"/>
  <c r="O17" i="25"/>
  <c r="O9" i="25"/>
  <c r="O40" i="25"/>
  <c r="O32" i="25"/>
  <c r="O24" i="25"/>
  <c r="O16" i="25"/>
  <c r="O8" i="25"/>
  <c r="O39" i="25"/>
  <c r="O31" i="25"/>
  <c r="O23" i="25"/>
  <c r="O15" i="25"/>
  <c r="O7" i="25"/>
  <c r="O38" i="25"/>
  <c r="O30" i="25"/>
  <c r="O22" i="25"/>
  <c r="O14" i="25"/>
  <c r="O6" i="25"/>
  <c r="O37" i="25"/>
  <c r="O29" i="25"/>
  <c r="O21" i="25"/>
  <c r="O13" i="25"/>
  <c r="O5" i="25"/>
  <c r="Q5" i="18" a="1"/>
  <c r="AA5" i="25"/>
  <c r="L4" i="20"/>
  <c r="Q12" i="18" l="1"/>
  <c r="Q20" i="18"/>
  <c r="Q28" i="18"/>
  <c r="Q36" i="18"/>
  <c r="Q44" i="18"/>
  <c r="Q7" i="18"/>
  <c r="Q15" i="18"/>
  <c r="Q23" i="18"/>
  <c r="Q31" i="18"/>
  <c r="Q39" i="18"/>
  <c r="Q26" i="18"/>
  <c r="Q42" i="18"/>
  <c r="Q6" i="18"/>
  <c r="Q14" i="18"/>
  <c r="Q10" i="18"/>
  <c r="Q18" i="18"/>
  <c r="Q34" i="18"/>
  <c r="Q8" i="18"/>
  <c r="Q16" i="18"/>
  <c r="Q24" i="18"/>
  <c r="Q40" i="18"/>
  <c r="Q30" i="18"/>
  <c r="Q46" i="18"/>
  <c r="Q25" i="18"/>
  <c r="Q33" i="18"/>
  <c r="Q5" i="18"/>
  <c r="Q13" i="18"/>
  <c r="Q21" i="18"/>
  <c r="Q29" i="18"/>
  <c r="Q37" i="18"/>
  <c r="Q45" i="18"/>
  <c r="Q32" i="18"/>
  <c r="Q38" i="18"/>
  <c r="Q9" i="18"/>
  <c r="Q41" i="18"/>
  <c r="Q11" i="18"/>
  <c r="Q19" i="18"/>
  <c r="Q27" i="18"/>
  <c r="Q35" i="18"/>
  <c r="Q43" i="18"/>
  <c r="Q22" i="18"/>
  <c r="Q17" i="18"/>
  <c r="N6" i="16" l="1"/>
  <c r="N7" i="16" l="1"/>
  <c r="N8" i="16" l="1"/>
  <c r="N9" i="16" l="1"/>
  <c r="O5" i="23" l="1" a="1"/>
  <c r="O12" i="23" l="1"/>
  <c r="O5" i="23"/>
  <c r="O13" i="23"/>
  <c r="O10" i="23"/>
  <c r="O6" i="23"/>
  <c r="O14" i="23"/>
  <c r="O18" i="23"/>
  <c r="O7" i="23"/>
  <c r="O15" i="23"/>
  <c r="O8" i="23"/>
  <c r="O16" i="23"/>
  <c r="O9" i="23"/>
  <c r="O17" i="23"/>
  <c r="O11" i="23"/>
  <c r="O5" i="24" a="1"/>
  <c r="X18" i="23"/>
  <c r="O11" i="24" l="1"/>
  <c r="O9" i="24"/>
  <c r="O5" i="24"/>
  <c r="O10" i="24"/>
  <c r="O6" i="24"/>
  <c r="O7" i="24"/>
  <c r="O8" i="24"/>
  <c r="W5" i="24" a="1"/>
  <c r="W11" i="24" s="1"/>
  <c r="X16" i="23"/>
  <c r="X17" i="23"/>
  <c r="W5" i="24" l="1"/>
  <c r="W6" i="24"/>
  <c r="W7" i="24"/>
  <c r="W8" i="24"/>
  <c r="W9" i="24"/>
  <c r="W10" i="24"/>
  <c r="R5" i="11"/>
  <c r="T5" i="11" l="1"/>
  <c r="R6" i="11"/>
  <c r="T6" i="11" l="1"/>
  <c r="R7" i="11"/>
  <c r="T7" i="11" l="1"/>
  <c r="R8" i="11"/>
  <c r="T8" i="11" l="1"/>
  <c r="R9" i="11"/>
  <c r="T9" i="11" l="1"/>
  <c r="R10" i="11"/>
  <c r="T10" i="11" l="1"/>
  <c r="R11" i="11"/>
  <c r="T11" i="11" l="1"/>
  <c r="R12" i="11"/>
  <c r="T12" i="11" l="1"/>
  <c r="R13" i="11"/>
  <c r="T13" i="11" l="1"/>
  <c r="R14" i="11"/>
  <c r="T14" i="11" l="1"/>
  <c r="R15" i="11"/>
  <c r="T15" i="11" l="1"/>
  <c r="R16" i="11"/>
  <c r="T16" i="11" l="1"/>
  <c r="R17" i="11"/>
  <c r="T17" i="11" l="1"/>
  <c r="R18" i="11"/>
  <c r="T18" i="11" l="1"/>
  <c r="R19" i="11"/>
  <c r="T19" i="11" l="1"/>
  <c r="R20" i="11"/>
  <c r="T20" i="11" l="1"/>
  <c r="R21" i="11"/>
  <c r="T21" i="11" l="1"/>
  <c r="R22" i="11"/>
  <c r="T22" i="11" l="1"/>
  <c r="R23" i="11"/>
  <c r="T23" i="11" l="1"/>
  <c r="R24" i="11"/>
  <c r="T24" i="11" l="1"/>
  <c r="R25" i="11"/>
  <c r="T25" i="11" l="1"/>
  <c r="R26" i="11"/>
  <c r="T26" i="11" l="1"/>
  <c r="R27" i="11"/>
  <c r="T27" i="11" l="1"/>
  <c r="R28" i="11"/>
  <c r="T28" i="11" l="1"/>
  <c r="R29" i="11"/>
  <c r="T29" i="11" l="1"/>
  <c r="R30" i="11"/>
  <c r="T30" i="11" l="1"/>
  <c r="R31" i="11"/>
  <c r="T31" i="11" l="1"/>
  <c r="R32" i="11"/>
  <c r="T32" i="11" l="1"/>
  <c r="R33" i="11"/>
  <c r="T33" i="11" l="1"/>
  <c r="R34" i="11"/>
  <c r="T34" i="11" l="1"/>
  <c r="R35" i="11"/>
  <c r="T35" i="11" l="1"/>
  <c r="R36" i="11"/>
  <c r="T36" i="11" l="1"/>
  <c r="R37" i="11"/>
  <c r="T37" i="11" l="1"/>
  <c r="R38" i="11"/>
  <c r="T38" i="11" l="1"/>
  <c r="R39" i="11"/>
  <c r="T39" i="11" l="1"/>
  <c r="R40" i="11"/>
  <c r="T40" i="11" l="1"/>
  <c r="R41" i="11"/>
  <c r="T41" i="11" l="1"/>
  <c r="R42" i="11"/>
  <c r="O5" i="11" l="1" a="1"/>
  <c r="T42" i="11"/>
  <c r="R5" i="12"/>
  <c r="O6" i="11" l="1"/>
  <c r="O33" i="11"/>
  <c r="O22" i="11"/>
  <c r="O38" i="11"/>
  <c r="O14" i="11"/>
  <c r="O5" i="11"/>
  <c r="O32" i="11"/>
  <c r="O39" i="11"/>
  <c r="O30" i="11"/>
  <c r="O37" i="11"/>
  <c r="O20" i="11"/>
  <c r="O10" i="11"/>
  <c r="O34" i="11"/>
  <c r="O16" i="11"/>
  <c r="O40" i="11"/>
  <c r="O17" i="11"/>
  <c r="O31" i="11"/>
  <c r="O42" i="11"/>
  <c r="O28" i="11"/>
  <c r="O41" i="11"/>
  <c r="O19" i="11"/>
  <c r="O25" i="11"/>
  <c r="O8" i="11"/>
  <c r="O18" i="11"/>
  <c r="O27" i="11"/>
  <c r="O24" i="11"/>
  <c r="O35" i="11"/>
  <c r="O29" i="11"/>
  <c r="O9" i="11"/>
  <c r="O26" i="11"/>
  <c r="O7" i="11"/>
  <c r="O13" i="11"/>
  <c r="O12" i="11"/>
  <c r="O36" i="11"/>
  <c r="O23" i="11"/>
  <c r="O21" i="11"/>
  <c r="O15" i="11"/>
  <c r="O11" i="11"/>
  <c r="T5" i="12"/>
  <c r="R6" i="12"/>
  <c r="T6" i="12" l="1"/>
  <c r="R7" i="12"/>
  <c r="T7" i="12" l="1"/>
  <c r="R8" i="12"/>
  <c r="T8" i="12" l="1"/>
  <c r="R9" i="12"/>
  <c r="T9" i="12" l="1"/>
  <c r="R10" i="12"/>
  <c r="T10" i="12" l="1"/>
  <c r="R11" i="12"/>
  <c r="T11" i="12" l="1"/>
  <c r="R12" i="12"/>
  <c r="T12" i="12" l="1"/>
  <c r="R13" i="12"/>
  <c r="T13" i="12" l="1"/>
  <c r="R14" i="12"/>
  <c r="T14" i="12" l="1"/>
  <c r="R15" i="12"/>
  <c r="T15" i="12" l="1"/>
  <c r="R16" i="12"/>
  <c r="T16" i="12" l="1"/>
  <c r="R17" i="12"/>
  <c r="T17" i="12" l="1"/>
  <c r="R18" i="12"/>
  <c r="T18" i="12" l="1"/>
  <c r="R19" i="12"/>
  <c r="T19" i="12" l="1"/>
  <c r="R20" i="12"/>
  <c r="T20" i="12" l="1"/>
  <c r="R21" i="12"/>
  <c r="T21" i="12" l="1"/>
  <c r="R22" i="12"/>
  <c r="T22" i="12" l="1"/>
  <c r="R23" i="12"/>
  <c r="T23" i="12" l="1"/>
  <c r="R24" i="12"/>
  <c r="T24" i="12" l="1"/>
  <c r="R25" i="12"/>
  <c r="T25" i="12" l="1"/>
  <c r="R26" i="12"/>
  <c r="T26" i="12" l="1"/>
  <c r="R27" i="12"/>
  <c r="T27" i="12" l="1"/>
  <c r="R28" i="12"/>
  <c r="T28" i="12" l="1"/>
  <c r="R29" i="12"/>
  <c r="T29" i="12" l="1"/>
  <c r="R30" i="12"/>
  <c r="T30" i="12" l="1"/>
  <c r="R31" i="12"/>
  <c r="T31" i="12" l="1"/>
  <c r="R32" i="12"/>
  <c r="T32" i="12" l="1"/>
  <c r="R33" i="12"/>
  <c r="T33" i="12" l="1"/>
  <c r="R34" i="12"/>
  <c r="T34" i="12" l="1"/>
  <c r="R35" i="12"/>
  <c r="T35" i="12" l="1"/>
  <c r="R36" i="12"/>
  <c r="T36" i="12" l="1"/>
  <c r="R37" i="12"/>
  <c r="T37" i="12" l="1"/>
  <c r="R38" i="12"/>
  <c r="T38" i="12" l="1"/>
  <c r="R39" i="12"/>
  <c r="T39" i="12" l="1"/>
  <c r="R40" i="12"/>
  <c r="T40" i="12" l="1"/>
  <c r="R41" i="12"/>
  <c r="T41" i="12" l="1"/>
  <c r="R42" i="12"/>
  <c r="T42" i="12" l="1"/>
  <c r="R5" i="13"/>
  <c r="T5" i="13" l="1"/>
  <c r="R6" i="13"/>
  <c r="T6" i="13" l="1"/>
  <c r="R7" i="13"/>
  <c r="T7" i="13" l="1"/>
  <c r="R8" i="13"/>
  <c r="T8" i="13" l="1"/>
  <c r="R9" i="13"/>
  <c r="T9" i="13" l="1"/>
  <c r="R10" i="13"/>
  <c r="T10" i="13" l="1"/>
  <c r="R11" i="13"/>
  <c r="T11" i="13" l="1"/>
  <c r="R12" i="13"/>
  <c r="T12" i="13" l="1"/>
  <c r="R13" i="13"/>
  <c r="T13" i="13" l="1"/>
  <c r="R14" i="13"/>
  <c r="T14" i="13" l="1"/>
  <c r="R15" i="13"/>
  <c r="T15" i="13" l="1"/>
  <c r="R16" i="13"/>
  <c r="T16" i="13" l="1"/>
  <c r="R17" i="13"/>
  <c r="T17" i="13" l="1"/>
  <c r="R18" i="13"/>
  <c r="T18" i="13" l="1"/>
  <c r="R19" i="13"/>
  <c r="T19" i="13" l="1"/>
  <c r="R20" i="13"/>
  <c r="T20" i="13" l="1"/>
  <c r="R21" i="13"/>
  <c r="T21" i="13" l="1"/>
  <c r="R22" i="13"/>
  <c r="T22" i="13" l="1"/>
  <c r="R23" i="13"/>
  <c r="T23" i="13" l="1"/>
  <c r="R24" i="13"/>
  <c r="T24" i="13" l="1"/>
  <c r="R25" i="13"/>
  <c r="T25" i="13" l="1"/>
  <c r="R26" i="13"/>
  <c r="T26" i="13" l="1"/>
  <c r="R27" i="13"/>
  <c r="T27" i="13" l="1"/>
  <c r="R28" i="13"/>
  <c r="T28" i="13" l="1"/>
  <c r="R29" i="13"/>
  <c r="T29" i="13" l="1"/>
  <c r="R30" i="13"/>
  <c r="T30" i="13" l="1"/>
  <c r="R31" i="13"/>
  <c r="T31" i="13" l="1"/>
  <c r="R32" i="13"/>
  <c r="T32" i="13" l="1"/>
  <c r="R33" i="13"/>
  <c r="T33" i="13" l="1"/>
  <c r="R34" i="13"/>
  <c r="T34" i="13" l="1"/>
  <c r="R35" i="13"/>
  <c r="T35" i="13" l="1"/>
  <c r="R36" i="13"/>
  <c r="T36" i="13" l="1"/>
  <c r="R37" i="13"/>
  <c r="T37" i="13" l="1"/>
  <c r="R38" i="13"/>
  <c r="T38" i="13" l="1"/>
  <c r="R39" i="13"/>
  <c r="T39" i="13" l="1"/>
  <c r="R40" i="13"/>
  <c r="T40" i="13" l="1"/>
  <c r="R41" i="13"/>
  <c r="T41" i="13" l="1"/>
  <c r="R42" i="13"/>
  <c r="O5" i="13" l="1" a="1"/>
  <c r="O5" i="13" s="1"/>
  <c r="T42" i="13"/>
  <c r="O6" i="13" l="1"/>
  <c r="O29" i="13"/>
  <c r="O18" i="13"/>
  <c r="O16" i="13"/>
  <c r="O21" i="13"/>
  <c r="O24" i="13"/>
  <c r="O32" i="13"/>
  <c r="O40" i="13"/>
  <c r="O28" i="13"/>
  <c r="O39" i="13"/>
  <c r="O20" i="13"/>
  <c r="O8" i="13"/>
  <c r="O31" i="13"/>
  <c r="O12" i="13"/>
  <c r="O23" i="13"/>
  <c r="O41" i="13"/>
  <c r="O36" i="13"/>
  <c r="O15" i="13"/>
  <c r="O27" i="13"/>
  <c r="O37" i="13"/>
  <c r="O33" i="13"/>
  <c r="O7" i="13"/>
  <c r="O38" i="13"/>
  <c r="O11" i="13"/>
  <c r="O25" i="13"/>
  <c r="O35" i="13"/>
  <c r="O30" i="13"/>
  <c r="O42" i="13"/>
  <c r="O17" i="13"/>
  <c r="O19" i="13"/>
  <c r="O22" i="13"/>
  <c r="O26" i="13"/>
  <c r="O13" i="13"/>
  <c r="O9" i="13"/>
  <c r="O34" i="13"/>
  <c r="O14" i="13"/>
  <c r="O10" i="13"/>
  <c r="O5" i="22" l="1" a="1"/>
  <c r="O58" i="22" s="1"/>
  <c r="O5" i="22" l="1"/>
  <c r="O6" i="22"/>
  <c r="O7" i="22"/>
  <c r="O8" i="22"/>
  <c r="O9" i="22"/>
  <c r="O10" i="22"/>
  <c r="O11" i="22"/>
  <c r="O12" i="22"/>
  <c r="O13" i="22"/>
  <c r="O14" i="22"/>
  <c r="O15" i="22"/>
  <c r="O16" i="22"/>
  <c r="O17" i="22"/>
  <c r="O18" i="22"/>
  <c r="O19" i="22"/>
  <c r="O20" i="22"/>
  <c r="O21" i="22"/>
  <c r="O22" i="22"/>
  <c r="O23" i="22"/>
  <c r="O24" i="22"/>
  <c r="O25" i="22"/>
  <c r="O26" i="22"/>
  <c r="O27" i="22"/>
  <c r="O28" i="22"/>
  <c r="O29" i="22"/>
  <c r="O30" i="22"/>
  <c r="O31" i="22"/>
  <c r="O32" i="22"/>
  <c r="O33" i="22"/>
  <c r="O34" i="22"/>
  <c r="O35" i="22"/>
  <c r="O36" i="22"/>
  <c r="O37" i="22"/>
  <c r="O38" i="22"/>
  <c r="O39" i="22"/>
  <c r="O40" i="22"/>
  <c r="O41" i="22"/>
  <c r="O42" i="22"/>
  <c r="O43" i="22"/>
  <c r="O44" i="22"/>
  <c r="O45" i="22"/>
  <c r="O46" i="22"/>
  <c r="O47" i="22"/>
  <c r="O48" i="22"/>
  <c r="O49" i="22"/>
  <c r="O50" i="22"/>
  <c r="O51" i="22"/>
  <c r="O52" i="22"/>
  <c r="O53" i="22"/>
  <c r="O54" i="22"/>
  <c r="O55" i="22"/>
  <c r="O56" i="22"/>
  <c r="O57" i="22"/>
  <c r="K6" i="6" l="1"/>
  <c r="M6" i="6"/>
  <c r="K7" i="6" l="1"/>
  <c r="L6" i="6"/>
  <c r="M7" i="6"/>
  <c r="K8" i="6" l="1"/>
  <c r="K9" i="6"/>
  <c r="K10" i="6"/>
  <c r="K11" i="6"/>
  <c r="K12" i="6"/>
  <c r="B1" i="56"/>
  <c r="M12" i="6"/>
  <c r="M11" i="6"/>
  <c r="D5" i="56"/>
  <c r="M8" i="6"/>
  <c r="M9" i="6"/>
  <c r="L7" i="6"/>
  <c r="H5" i="6"/>
  <c r="E5" i="23" l="1"/>
  <c r="E6" i="23"/>
  <c r="E7" i="23"/>
  <c r="E8" i="23"/>
  <c r="E9" i="23"/>
  <c r="E10" i="23"/>
  <c r="E11" i="23"/>
  <c r="E12" i="23"/>
  <c r="E13" i="23"/>
  <c r="E14" i="23"/>
  <c r="E15" i="23"/>
  <c r="F7" i="23"/>
  <c r="L12" i="6"/>
  <c r="F11" i="23"/>
  <c r="L8" i="6"/>
  <c r="F8" i="23"/>
  <c r="F5" i="23"/>
  <c r="F13" i="23"/>
  <c r="L11" i="6"/>
  <c r="F10" i="23"/>
  <c r="L9" i="6"/>
  <c r="F12" i="23"/>
  <c r="F15" i="23"/>
  <c r="F9" i="23"/>
  <c r="F14" i="23"/>
  <c r="F6" i="23"/>
  <c r="X6" i="22"/>
  <c r="X7" i="22"/>
  <c r="X8" i="22"/>
  <c r="X5" i="22"/>
  <c r="E12" i="25" l="1"/>
  <c r="G6" i="23"/>
  <c r="G11" i="24"/>
  <c r="G18" i="22"/>
  <c r="G9" i="24"/>
  <c r="G13" i="23"/>
  <c r="G39" i="22"/>
  <c r="G7" i="22"/>
  <c r="G5" i="24"/>
  <c r="G55" i="22"/>
  <c r="G12" i="22"/>
  <c r="G32" i="22"/>
  <c r="G17" i="22"/>
  <c r="X9" i="24"/>
  <c r="G15" i="22"/>
  <c r="G52" i="22"/>
  <c r="G21" i="22"/>
  <c r="G58" i="22"/>
  <c r="G47" i="22"/>
  <c r="G28" i="22"/>
  <c r="G6" i="24"/>
  <c r="G5" i="22"/>
  <c r="X11" i="24"/>
  <c r="G30" i="22"/>
  <c r="G10" i="22"/>
  <c r="G6" i="22"/>
  <c r="G38" i="22"/>
  <c r="G7" i="23"/>
  <c r="G27" i="22"/>
  <c r="G25" i="22"/>
  <c r="G31" i="22"/>
  <c r="G22" i="22"/>
  <c r="G36" i="22"/>
  <c r="G10" i="23"/>
  <c r="G14" i="23"/>
  <c r="G9" i="22"/>
  <c r="X7" i="24"/>
  <c r="G44" i="22"/>
  <c r="X6" i="24"/>
  <c r="G54" i="22"/>
  <c r="G26" i="22"/>
  <c r="G53" i="22"/>
  <c r="G51" i="22"/>
  <c r="G34" i="22"/>
  <c r="X5" i="24"/>
  <c r="G14" i="22"/>
  <c r="G56" i="22"/>
  <c r="G49" i="22"/>
  <c r="G46" i="22"/>
  <c r="G29" i="22"/>
  <c r="G40" i="22"/>
  <c r="G37" i="22"/>
  <c r="G8" i="22"/>
  <c r="G33" i="22"/>
  <c r="G19" i="22"/>
  <c r="X10" i="24"/>
  <c r="G57" i="22"/>
  <c r="G24" i="22"/>
  <c r="G15" i="23"/>
  <c r="X8" i="24"/>
  <c r="G23" i="22"/>
  <c r="G48" i="22"/>
  <c r="G13" i="22"/>
  <c r="G35" i="22"/>
  <c r="G43" i="22"/>
  <c r="G45" i="22"/>
  <c r="G7" i="24"/>
  <c r="G5" i="23"/>
  <c r="G8" i="24"/>
  <c r="G20" i="22"/>
  <c r="G42" i="22"/>
  <c r="G16" i="22"/>
  <c r="G9" i="23"/>
  <c r="G12" i="23"/>
  <c r="G41" i="22"/>
  <c r="G11" i="22"/>
  <c r="G8" i="23"/>
  <c r="G11" i="23"/>
  <c r="G10" i="24"/>
  <c r="G50" i="22"/>
  <c r="X40" i="22"/>
  <c r="X56" i="22"/>
  <c r="X51" i="22"/>
  <c r="X35" i="22"/>
  <c r="X12" i="22"/>
  <c r="X13" i="23"/>
  <c r="X49" i="22"/>
  <c r="X16" i="22"/>
  <c r="X52" i="22"/>
  <c r="X14" i="22"/>
  <c r="X19" i="22"/>
  <c r="X17" i="22"/>
  <c r="X13" i="22"/>
  <c r="X44" i="22"/>
  <c r="X8" i="23"/>
  <c r="X38" i="22"/>
  <c r="X36" i="22"/>
  <c r="X58" i="22"/>
  <c r="X39" i="22"/>
  <c r="X9" i="23"/>
  <c r="X34" i="22"/>
  <c r="X42" i="22"/>
  <c r="X53" i="22"/>
  <c r="X54" i="22"/>
  <c r="X10" i="23"/>
  <c r="X15" i="23"/>
  <c r="X12" i="23"/>
  <c r="X20" i="22"/>
  <c r="X33" i="22"/>
  <c r="X43" i="22"/>
  <c r="X5" i="23"/>
  <c r="X26" i="22"/>
  <c r="X22" i="22"/>
  <c r="X48" i="22"/>
  <c r="X47" i="22"/>
  <c r="X55" i="22"/>
  <c r="X25" i="22"/>
  <c r="X32" i="22"/>
  <c r="X29" i="22"/>
  <c r="X27" i="22"/>
  <c r="X57" i="22"/>
  <c r="X30" i="22"/>
  <c r="X11" i="23"/>
  <c r="X14" i="23"/>
  <c r="X21" i="22"/>
  <c r="X46" i="22"/>
  <c r="X15" i="22"/>
  <c r="X41" i="22"/>
  <c r="X28" i="22"/>
  <c r="X9" i="22"/>
  <c r="X23" i="22"/>
  <c r="X45" i="22"/>
  <c r="X11" i="22"/>
  <c r="X10" i="22"/>
  <c r="X37" i="22"/>
  <c r="X24" i="22"/>
  <c r="X50" i="22"/>
  <c r="X6" i="23"/>
  <c r="X7" i="23"/>
  <c r="X18" i="22"/>
  <c r="X31" i="22"/>
  <c r="E29" i="25" l="1"/>
  <c r="E13" i="25"/>
  <c r="E24" i="25"/>
  <c r="E16" i="25"/>
  <c r="E8" i="25"/>
  <c r="E11" i="25"/>
  <c r="E21" i="25"/>
  <c r="E19" i="25"/>
  <c r="E27" i="25"/>
  <c r="E18" i="25"/>
  <c r="E33" i="25"/>
  <c r="E35" i="25"/>
  <c r="E26" i="25"/>
  <c r="E20" i="25"/>
  <c r="E30" i="25"/>
  <c r="E6" i="25"/>
  <c r="E15" i="25"/>
  <c r="E31" i="25"/>
  <c r="E9" i="25"/>
  <c r="E41" i="25"/>
  <c r="E32" i="25"/>
  <c r="E34" i="25"/>
  <c r="E28" i="25"/>
  <c r="E38" i="25"/>
  <c r="E14" i="25"/>
  <c r="E40" i="25"/>
  <c r="E37" i="25"/>
  <c r="E17" i="25"/>
  <c r="E10" i="25"/>
  <c r="E42" i="25"/>
  <c r="E39" i="25"/>
  <c r="E36" i="25"/>
  <c r="E22" i="25"/>
  <c r="E7" i="25"/>
  <c r="E23" i="25"/>
  <c r="E25" i="25"/>
  <c r="G12" i="25"/>
  <c r="G8" i="25"/>
  <c r="G19" i="25"/>
  <c r="G21" i="25"/>
  <c r="G37" i="25"/>
  <c r="G29" i="25"/>
  <c r="G24" i="25"/>
  <c r="G13" i="25"/>
  <c r="G16" i="25"/>
  <c r="G11" i="25"/>
  <c r="AA7" i="25"/>
  <c r="AA14" i="25"/>
  <c r="AA32" i="25"/>
  <c r="AA21" i="25"/>
  <c r="AA11" i="25"/>
  <c r="AA33" i="25"/>
  <c r="AA23" i="25"/>
  <c r="AA10" i="25"/>
  <c r="AA18" i="25"/>
  <c r="AA31" i="25"/>
  <c r="AA13" i="25"/>
  <c r="AA38" i="25"/>
  <c r="AA8" i="25"/>
  <c r="AA15" i="25"/>
  <c r="AA30" i="25"/>
  <c r="AA24" i="25"/>
  <c r="AA36" i="25"/>
  <c r="AA28" i="25"/>
  <c r="AA34" i="25"/>
  <c r="AA26" i="25"/>
  <c r="AA12" i="25"/>
  <c r="AA41" i="25"/>
  <c r="AA16" i="25"/>
  <c r="AA17" i="25"/>
  <c r="AA42" i="25"/>
  <c r="AA40" i="25"/>
  <c r="AA37" i="25"/>
  <c r="AA19" i="25"/>
  <c r="AA9" i="25"/>
  <c r="AA35" i="25"/>
  <c r="AA39" i="25"/>
  <c r="AA22" i="25"/>
  <c r="AA29" i="25"/>
  <c r="AA27" i="25"/>
  <c r="AA20" i="25"/>
  <c r="AA6" i="25"/>
  <c r="AA25" i="25"/>
  <c r="B5" i="20" l="1"/>
  <c r="B6" i="20"/>
  <c r="E6" i="16"/>
  <c r="E7" i="16"/>
  <c r="E8" i="16"/>
  <c r="E9" i="16"/>
  <c r="E5" i="15"/>
  <c r="E6" i="15"/>
  <c r="E7" i="15"/>
  <c r="E8" i="15"/>
  <c r="E9" i="15"/>
  <c r="E10" i="15"/>
  <c r="E11" i="15"/>
  <c r="E12" i="15"/>
  <c r="E13" i="15"/>
  <c r="F7" i="15"/>
  <c r="C5" i="20"/>
  <c r="G26" i="25"/>
  <c r="C6" i="20"/>
  <c r="G31" i="25"/>
  <c r="G18" i="25"/>
  <c r="F10" i="15"/>
  <c r="F5" i="15"/>
  <c r="F8" i="16"/>
  <c r="G33" i="25"/>
  <c r="G9" i="25"/>
  <c r="G6" i="25"/>
  <c r="G22" i="25"/>
  <c r="G15" i="25"/>
  <c r="G23" i="25"/>
  <c r="F12" i="15"/>
  <c r="G41" i="25"/>
  <c r="G20" i="25"/>
  <c r="G27" i="25"/>
  <c r="G34" i="25"/>
  <c r="G38" i="25"/>
  <c r="G17" i="25"/>
  <c r="F7" i="16"/>
  <c r="G42" i="25"/>
  <c r="G7" i="25"/>
  <c r="G39" i="25"/>
  <c r="F9" i="16"/>
  <c r="G14" i="25"/>
  <c r="G28" i="25"/>
  <c r="F11" i="15"/>
  <c r="G35" i="25"/>
  <c r="F9" i="15"/>
  <c r="G32" i="25"/>
  <c r="F6" i="15"/>
  <c r="F13" i="15"/>
  <c r="G10" i="25"/>
  <c r="F6" i="16"/>
  <c r="G40" i="25"/>
  <c r="G25" i="25"/>
  <c r="G30" i="25"/>
  <c r="G36" i="25"/>
  <c r="F8" i="15"/>
  <c r="I1" i="18" l="1"/>
  <c r="I2" i="18"/>
  <c r="E5" i="18"/>
  <c r="E7" i="18"/>
  <c r="E9" i="18"/>
  <c r="E11" i="18"/>
  <c r="E13" i="18"/>
  <c r="E15" i="18"/>
  <c r="E17" i="18"/>
  <c r="E19" i="18"/>
  <c r="E21" i="18"/>
  <c r="E23" i="18"/>
  <c r="E25" i="18"/>
  <c r="E27" i="18"/>
  <c r="E29" i="18"/>
  <c r="E31" i="18"/>
  <c r="E33" i="18"/>
  <c r="E35" i="18"/>
  <c r="E37" i="18"/>
  <c r="E39" i="18"/>
  <c r="E41" i="18"/>
  <c r="E43" i="18"/>
  <c r="E45" i="18"/>
  <c r="E16" i="18"/>
  <c r="E6" i="18"/>
  <c r="E14" i="18"/>
  <c r="E22" i="18"/>
  <c r="E30" i="18"/>
  <c r="E38" i="18"/>
  <c r="E46" i="18"/>
  <c r="E8" i="18"/>
  <c r="E32" i="18"/>
  <c r="E40" i="18"/>
  <c r="E24" i="18"/>
  <c r="E10" i="18"/>
  <c r="E18" i="18"/>
  <c r="E26" i="18"/>
  <c r="E34" i="18"/>
  <c r="E42" i="18"/>
  <c r="E12" i="18"/>
  <c r="E20" i="18"/>
  <c r="E28" i="18"/>
  <c r="E36" i="18"/>
  <c r="E44" i="18"/>
  <c r="F19" i="18"/>
  <c r="F33" i="18"/>
  <c r="G9" i="15"/>
  <c r="F37" i="18"/>
  <c r="G7" i="15"/>
  <c r="G9" i="16"/>
  <c r="G7" i="16"/>
  <c r="F45" i="18"/>
  <c r="G5" i="15"/>
  <c r="F40" i="18"/>
  <c r="F21" i="18"/>
  <c r="F10" i="18"/>
  <c r="F13" i="18"/>
  <c r="G10" i="15"/>
  <c r="F12" i="18"/>
  <c r="F28" i="18"/>
  <c r="F14" i="18"/>
  <c r="F23" i="18"/>
  <c r="F15" i="18"/>
  <c r="F26" i="18"/>
  <c r="G12" i="15"/>
  <c r="F39" i="18"/>
  <c r="F24" i="18"/>
  <c r="F44" i="18"/>
  <c r="G6" i="16"/>
  <c r="F43" i="18"/>
  <c r="F42" i="18"/>
  <c r="F20" i="18"/>
  <c r="F34" i="18"/>
  <c r="F8" i="18"/>
  <c r="D5" i="20"/>
  <c r="G13" i="15"/>
  <c r="F41" i="18"/>
  <c r="F18" i="18"/>
  <c r="F17" i="18"/>
  <c r="F7" i="18"/>
  <c r="F9" i="18"/>
  <c r="G6" i="15"/>
  <c r="F27" i="18"/>
  <c r="G8" i="16"/>
  <c r="F22" i="18"/>
  <c r="F11" i="18"/>
  <c r="F16" i="18"/>
  <c r="F35" i="18"/>
  <c r="F46" i="18"/>
  <c r="F25" i="18"/>
  <c r="F5" i="18"/>
  <c r="F38" i="18"/>
  <c r="F29" i="18"/>
  <c r="F36" i="18"/>
  <c r="F6" i="18"/>
  <c r="F31" i="18"/>
  <c r="G11" i="15"/>
  <c r="F30" i="18"/>
  <c r="D6" i="20"/>
  <c r="F32" i="18"/>
  <c r="G8" i="15"/>
  <c r="AD23" i="18"/>
  <c r="AD26" i="18"/>
  <c r="AD16" i="18"/>
  <c r="AD19" i="18"/>
  <c r="AD24" i="18"/>
  <c r="AD32" i="18"/>
  <c r="AD36" i="18"/>
  <c r="AD20" i="18"/>
  <c r="X6" i="16"/>
  <c r="X7" i="16"/>
  <c r="AD12" i="18"/>
  <c r="AD27" i="18"/>
  <c r="AD41" i="18"/>
  <c r="AD5" i="18"/>
  <c r="AD25" i="18"/>
  <c r="AD40" i="18"/>
  <c r="AD42" i="18"/>
  <c r="AD29" i="18"/>
  <c r="AD31" i="18"/>
  <c r="AD8" i="18"/>
  <c r="U6" i="20"/>
  <c r="AD45" i="18"/>
  <c r="R11" i="15"/>
  <c r="R6" i="15"/>
  <c r="R8" i="15"/>
  <c r="AD44" i="18"/>
  <c r="AD11" i="18"/>
  <c r="AD39" i="18"/>
  <c r="AD37" i="18"/>
  <c r="AD34" i="18"/>
  <c r="AD35" i="18"/>
  <c r="R7" i="15"/>
  <c r="AD17" i="18"/>
  <c r="R12" i="15"/>
  <c r="AD21" i="18"/>
  <c r="R5" i="15"/>
  <c r="AD15" i="18"/>
  <c r="AD7" i="18"/>
  <c r="AD14" i="18"/>
  <c r="R9" i="15"/>
  <c r="R10" i="15"/>
  <c r="AD18" i="18"/>
  <c r="R13" i="15"/>
  <c r="X16" i="16"/>
  <c r="X9" i="16"/>
  <c r="AD13" i="18"/>
  <c r="AD28" i="18"/>
  <c r="AD43" i="18"/>
  <c r="AD38" i="18"/>
  <c r="AD6" i="18"/>
  <c r="X8" i="16"/>
  <c r="AD33" i="18"/>
  <c r="AD46" i="18"/>
  <c r="AD22" i="18"/>
  <c r="AD30" i="18"/>
  <c r="AD10" i="18"/>
  <c r="U5" i="20"/>
  <c r="AD9" i="18"/>
  <c r="E5" i="13" l="1"/>
  <c r="E5" i="11"/>
  <c r="E5" i="12"/>
  <c r="G6" i="18"/>
  <c r="G32" i="18"/>
  <c r="G12" i="18"/>
  <c r="G28" i="18"/>
  <c r="G17" i="18"/>
  <c r="G37" i="18"/>
  <c r="G15" i="18"/>
  <c r="G34" i="18"/>
  <c r="G22" i="18"/>
  <c r="G29" i="18"/>
  <c r="G33" i="18"/>
  <c r="G36" i="18"/>
  <c r="G16" i="18"/>
  <c r="G9" i="18"/>
  <c r="A4" i="18"/>
  <c r="G38" i="18"/>
  <c r="G30" i="18"/>
  <c r="F5" i="12"/>
  <c r="G8" i="18"/>
  <c r="F5" i="11"/>
  <c r="G44" i="18"/>
  <c r="G31" i="18"/>
  <c r="G35" i="18"/>
  <c r="G7" i="18"/>
  <c r="G43" i="18"/>
  <c r="G40" i="18"/>
  <c r="G13" i="18"/>
  <c r="F5" i="13"/>
  <c r="G42" i="18"/>
  <c r="G21" i="18"/>
  <c r="G10" i="18"/>
  <c r="G39" i="18"/>
  <c r="G14" i="18"/>
  <c r="G20" i="18"/>
  <c r="G23" i="18"/>
  <c r="G45" i="18"/>
  <c r="G11" i="18"/>
  <c r="G24" i="18"/>
  <c r="G19" i="18"/>
  <c r="G25" i="18"/>
  <c r="G18" i="18"/>
  <c r="G27" i="18"/>
  <c r="G41" i="18"/>
  <c r="G26" i="18"/>
  <c r="G46" i="18"/>
  <c r="U2" i="20"/>
  <c r="E6" i="13" l="1"/>
  <c r="E6" i="12"/>
  <c r="E6" i="11"/>
  <c r="F6" i="13"/>
  <c r="G5" i="13"/>
  <c r="G5" i="11"/>
  <c r="F6" i="11"/>
  <c r="F6" i="12"/>
  <c r="G5" i="12"/>
  <c r="E7" i="13" l="1"/>
  <c r="E7" i="12"/>
  <c r="E7" i="11"/>
  <c r="F7" i="13"/>
  <c r="F7" i="11"/>
  <c r="G6" i="12"/>
  <c r="F7" i="12"/>
  <c r="G6" i="13"/>
  <c r="G6" i="11"/>
  <c r="E8" i="13" l="1"/>
  <c r="E8" i="12"/>
  <c r="E8" i="11"/>
  <c r="F8" i="13"/>
  <c r="F8" i="12"/>
  <c r="G7" i="12"/>
  <c r="G7" i="13"/>
  <c r="G7" i="11"/>
  <c r="F8" i="11"/>
  <c r="E9" i="13" l="1"/>
  <c r="E9" i="12"/>
  <c r="E9" i="11"/>
  <c r="G8" i="11"/>
  <c r="G8" i="12"/>
  <c r="G8" i="13"/>
  <c r="F9" i="11"/>
  <c r="F9" i="13"/>
  <c r="F9" i="12"/>
  <c r="E10" i="13" l="1"/>
  <c r="E10" i="12"/>
  <c r="E10" i="11"/>
  <c r="F10" i="12"/>
  <c r="G9" i="13"/>
  <c r="F10" i="11"/>
  <c r="G9" i="12"/>
  <c r="F10" i="13"/>
  <c r="G9" i="11"/>
  <c r="E11" i="13" l="1"/>
  <c r="E11" i="12"/>
  <c r="E11" i="11"/>
  <c r="G10" i="11"/>
  <c r="F11" i="12"/>
  <c r="F11" i="13"/>
  <c r="G10" i="13"/>
  <c r="F11" i="11"/>
  <c r="G10" i="12"/>
  <c r="E12" i="13" l="1"/>
  <c r="E12" i="12"/>
  <c r="E12" i="11"/>
  <c r="F12" i="13"/>
  <c r="G11" i="11"/>
  <c r="G11" i="12"/>
  <c r="F12" i="12"/>
  <c r="G11" i="13"/>
  <c r="F12" i="11"/>
  <c r="E13" i="13" l="1"/>
  <c r="E13" i="12"/>
  <c r="E13" i="11"/>
  <c r="F13" i="12"/>
  <c r="G12" i="11"/>
  <c r="G12" i="13"/>
  <c r="F13" i="11"/>
  <c r="G12" i="12"/>
  <c r="F13" i="13"/>
  <c r="E14" i="13" l="1"/>
  <c r="E14" i="12"/>
  <c r="E14" i="11"/>
  <c r="F14" i="12"/>
  <c r="G13" i="13"/>
  <c r="F14" i="11"/>
  <c r="G13" i="11"/>
  <c r="G13" i="12"/>
  <c r="F14" i="13"/>
  <c r="E15" i="13" l="1"/>
  <c r="E15" i="12"/>
  <c r="E15" i="11"/>
  <c r="F15" i="11"/>
  <c r="G14" i="13"/>
  <c r="F15" i="12"/>
  <c r="G14" i="11"/>
  <c r="F15" i="13"/>
  <c r="G14" i="12"/>
  <c r="E16" i="13" l="1"/>
  <c r="E16" i="12"/>
  <c r="E16" i="11"/>
  <c r="F16" i="12"/>
  <c r="F16" i="11"/>
  <c r="G15" i="11"/>
  <c r="G15" i="13"/>
  <c r="F16" i="13"/>
  <c r="G15" i="12"/>
  <c r="E17" i="13" l="1"/>
  <c r="E17" i="12"/>
  <c r="E17" i="11"/>
  <c r="F17" i="12"/>
  <c r="F17" i="13"/>
  <c r="G16" i="12"/>
  <c r="F17" i="11"/>
  <c r="G16" i="13"/>
  <c r="G16" i="11"/>
  <c r="E18" i="13" l="1"/>
  <c r="E18" i="12"/>
  <c r="E18" i="11"/>
  <c r="F18" i="13"/>
  <c r="G17" i="13"/>
  <c r="G17" i="11"/>
  <c r="G17" i="12"/>
  <c r="F18" i="12"/>
  <c r="F18" i="11"/>
  <c r="E19" i="13" l="1"/>
  <c r="E19" i="12"/>
  <c r="E19" i="11"/>
  <c r="F19" i="12"/>
  <c r="F19" i="13"/>
  <c r="G18" i="12"/>
  <c r="G18" i="11"/>
  <c r="F19" i="11"/>
  <c r="G18" i="13"/>
  <c r="E20" i="13" l="1"/>
  <c r="E20" i="12"/>
  <c r="E20" i="11"/>
  <c r="F20" i="13"/>
  <c r="F20" i="11"/>
  <c r="G19" i="13"/>
  <c r="F20" i="12"/>
  <c r="G19" i="12"/>
  <c r="G19" i="11"/>
  <c r="E21" i="13" l="1"/>
  <c r="E21" i="12"/>
  <c r="E21" i="11"/>
  <c r="F21" i="13"/>
  <c r="F21" i="12"/>
  <c r="G20" i="13"/>
  <c r="G20" i="12"/>
  <c r="G20" i="11"/>
  <c r="F21" i="11"/>
  <c r="E22" i="13" l="1"/>
  <c r="E22" i="12"/>
  <c r="E22" i="11"/>
  <c r="F22" i="12"/>
  <c r="G21" i="11"/>
  <c r="G21" i="13"/>
  <c r="F22" i="13"/>
  <c r="F22" i="11"/>
  <c r="G21" i="12"/>
  <c r="E23" i="13" l="1"/>
  <c r="E23" i="12"/>
  <c r="E23" i="11"/>
  <c r="F23" i="13"/>
  <c r="F23" i="12"/>
  <c r="F23" i="11"/>
  <c r="G22" i="13"/>
  <c r="G22" i="12"/>
  <c r="G22" i="11"/>
  <c r="E24" i="13" l="1"/>
  <c r="E24" i="12"/>
  <c r="E24" i="11"/>
  <c r="G23" i="11"/>
  <c r="F24" i="13"/>
  <c r="G23" i="12"/>
  <c r="G23" i="13"/>
  <c r="F24" i="11"/>
  <c r="F24" i="12"/>
  <c r="E25" i="13" l="1"/>
  <c r="E25" i="12"/>
  <c r="E25" i="11"/>
  <c r="F25" i="11"/>
  <c r="F25" i="12"/>
  <c r="G24" i="11"/>
  <c r="G24" i="13"/>
  <c r="F25" i="13"/>
  <c r="G24" i="12"/>
  <c r="E26" i="13" l="1"/>
  <c r="E26" i="12"/>
  <c r="E26" i="11"/>
  <c r="G25" i="11"/>
  <c r="F26" i="11"/>
  <c r="F26" i="12"/>
  <c r="G25" i="12"/>
  <c r="F26" i="13"/>
  <c r="G25" i="13"/>
  <c r="E27" i="13" l="1"/>
  <c r="E27" i="12"/>
  <c r="E27" i="11"/>
  <c r="G26" i="13"/>
  <c r="G26" i="12"/>
  <c r="G26" i="11"/>
  <c r="F27" i="13"/>
  <c r="F27" i="12"/>
  <c r="F27" i="11"/>
  <c r="E28" i="13" l="1"/>
  <c r="E28" i="12"/>
  <c r="E28" i="11"/>
  <c r="G27" i="11"/>
  <c r="G27" i="12"/>
  <c r="F28" i="13"/>
  <c r="G27" i="13"/>
  <c r="F28" i="11"/>
  <c r="F28" i="12"/>
  <c r="E29" i="13" l="1"/>
  <c r="E29" i="12"/>
  <c r="E29" i="11"/>
  <c r="F29" i="13"/>
  <c r="G28" i="13"/>
  <c r="F29" i="11"/>
  <c r="G28" i="11"/>
  <c r="G28" i="12"/>
  <c r="F29" i="12"/>
  <c r="E30" i="13" l="1"/>
  <c r="E30" i="12"/>
  <c r="E30" i="11"/>
  <c r="F30" i="13"/>
  <c r="G29" i="13"/>
  <c r="G29" i="12"/>
  <c r="F30" i="12"/>
  <c r="F30" i="11"/>
  <c r="G29" i="11"/>
  <c r="E31" i="13" l="1"/>
  <c r="E31" i="12"/>
  <c r="E31" i="11"/>
  <c r="F31" i="11"/>
  <c r="F31" i="13"/>
  <c r="F31" i="12"/>
  <c r="G30" i="13"/>
  <c r="G30" i="12"/>
  <c r="G30" i="11"/>
  <c r="E32" i="13" l="1"/>
  <c r="E32" i="12"/>
  <c r="E32" i="11"/>
  <c r="F32" i="13"/>
  <c r="G31" i="11"/>
  <c r="G31" i="12"/>
  <c r="F32" i="12"/>
  <c r="F32" i="11"/>
  <c r="G31" i="13"/>
  <c r="E33" i="13" l="1"/>
  <c r="E33" i="12"/>
  <c r="E33" i="11"/>
  <c r="F33" i="13"/>
  <c r="G32" i="13"/>
  <c r="F33" i="12"/>
  <c r="F33" i="11"/>
  <c r="G32" i="11"/>
  <c r="G32" i="12"/>
  <c r="E34" i="13" l="1"/>
  <c r="E34" i="12"/>
  <c r="E34" i="11"/>
  <c r="F34" i="13"/>
  <c r="F34" i="12"/>
  <c r="G33" i="12"/>
  <c r="G33" i="13"/>
  <c r="G33" i="11"/>
  <c r="F34" i="11"/>
  <c r="E35" i="13" l="1"/>
  <c r="E35" i="12"/>
  <c r="E35" i="11"/>
  <c r="F35" i="11"/>
  <c r="G34" i="13"/>
  <c r="G34" i="11"/>
  <c r="G34" i="12"/>
  <c r="F35" i="13"/>
  <c r="F35" i="12"/>
  <c r="E36" i="13" l="1"/>
  <c r="E36" i="12"/>
  <c r="E36" i="11"/>
  <c r="F36" i="13"/>
  <c r="G35" i="12"/>
  <c r="G35" i="13"/>
  <c r="F36" i="12"/>
  <c r="G35" i="11"/>
  <c r="F36" i="11"/>
  <c r="E37" i="13" l="1"/>
  <c r="E37" i="12"/>
  <c r="E37" i="11"/>
  <c r="G36" i="13"/>
  <c r="F37" i="11"/>
  <c r="G36" i="12"/>
  <c r="F37" i="13"/>
  <c r="G36" i="11"/>
  <c r="F37" i="12"/>
  <c r="E38" i="13" l="1"/>
  <c r="E38" i="12"/>
  <c r="E38" i="11"/>
  <c r="G37" i="12"/>
  <c r="G37" i="13"/>
  <c r="G37" i="11"/>
  <c r="F38" i="13"/>
  <c r="F38" i="12"/>
  <c r="F38" i="11"/>
  <c r="E39" i="13" l="1"/>
  <c r="E39" i="12"/>
  <c r="E39" i="11"/>
  <c r="F39" i="11"/>
  <c r="F39" i="12"/>
  <c r="G38" i="11"/>
  <c r="F39" i="13"/>
  <c r="G38" i="12"/>
  <c r="G38" i="13"/>
  <c r="E40" i="13" l="1"/>
  <c r="E40" i="12"/>
  <c r="E40" i="11"/>
  <c r="G39" i="11"/>
  <c r="F40" i="11"/>
  <c r="G39" i="12"/>
  <c r="F40" i="13"/>
  <c r="G39" i="13"/>
  <c r="F40" i="12"/>
  <c r="E41" i="13" l="1"/>
  <c r="E42" i="13"/>
  <c r="E42" i="12"/>
  <c r="E41" i="12"/>
  <c r="E42" i="11"/>
  <c r="E41" i="11"/>
  <c r="S3" i="12"/>
  <c r="S3" i="13"/>
  <c r="U5" i="13" a="1"/>
  <c r="U5" i="12" a="1"/>
  <c r="F41" i="11"/>
  <c r="F42" i="12"/>
  <c r="F42" i="13"/>
  <c r="F41" i="12"/>
  <c r="F41" i="13"/>
  <c r="G41" i="13"/>
  <c r="F42" i="11"/>
  <c r="G41" i="11"/>
  <c r="G40" i="12"/>
  <c r="G40" i="13"/>
  <c r="G40" i="11"/>
  <c r="U26" i="12" l="1"/>
  <c r="U34" i="12"/>
  <c r="U11" i="12"/>
  <c r="U5" i="12"/>
  <c r="U20" i="12"/>
  <c r="U27" i="12"/>
  <c r="U19" i="12"/>
  <c r="U36" i="12"/>
  <c r="U28" i="12"/>
  <c r="U35" i="12"/>
  <c r="U21" i="12"/>
  <c r="U13" i="12"/>
  <c r="U37" i="12"/>
  <c r="U29" i="12"/>
  <c r="U38" i="12"/>
  <c r="U14" i="12"/>
  <c r="U25" i="12"/>
  <c r="U12" i="12"/>
  <c r="U9" i="12"/>
  <c r="U15" i="12"/>
  <c r="U31" i="12"/>
  <c r="U16" i="12"/>
  <c r="U6" i="12"/>
  <c r="U8" i="12"/>
  <c r="U32" i="12"/>
  <c r="U22" i="12"/>
  <c r="U7" i="12"/>
  <c r="U23" i="12"/>
  <c r="U17" i="12"/>
  <c r="U10" i="12"/>
  <c r="U18" i="12"/>
  <c r="U30" i="12"/>
  <c r="U24" i="12"/>
  <c r="U33" i="12"/>
  <c r="U31" i="13"/>
  <c r="U5" i="13"/>
  <c r="U13" i="13"/>
  <c r="U22" i="13"/>
  <c r="U21" i="13"/>
  <c r="U29" i="13"/>
  <c r="U38" i="13"/>
  <c r="U39" i="13" s="1"/>
  <c r="U25" i="13"/>
  <c r="U15" i="13"/>
  <c r="U14" i="13"/>
  <c r="U12" i="13"/>
  <c r="U30" i="13"/>
  <c r="U33" i="13"/>
  <c r="U7" i="13"/>
  <c r="U16" i="13"/>
  <c r="U27" i="13"/>
  <c r="U32" i="13"/>
  <c r="U8" i="13"/>
  <c r="U17" i="13"/>
  <c r="U24" i="13"/>
  <c r="U37" i="13"/>
  <c r="U9" i="13"/>
  <c r="U35" i="13"/>
  <c r="U20" i="13"/>
  <c r="U18" i="13"/>
  <c r="U10" i="13"/>
  <c r="U34" i="13"/>
  <c r="U26" i="13"/>
  <c r="U19" i="13"/>
  <c r="U11" i="13"/>
  <c r="U28" i="13"/>
  <c r="U36" i="13"/>
  <c r="U23" i="13"/>
  <c r="U6" i="13"/>
  <c r="S3" i="11"/>
  <c r="G42" i="11"/>
  <c r="G41" i="12"/>
  <c r="G42" i="13"/>
  <c r="G42" i="12"/>
  <c r="U39" i="12" l="1"/>
  <c r="U40" i="12" s="1"/>
  <c r="U40" i="13"/>
  <c r="U5" i="11" a="1"/>
  <c r="U41" i="13" l="1"/>
  <c r="U41" i="12"/>
  <c r="U6" i="11"/>
  <c r="U5" i="11"/>
  <c r="U7" i="11"/>
  <c r="U8" i="11"/>
  <c r="U9" i="11"/>
  <c r="U10" i="11"/>
  <c r="U42" i="13" l="1"/>
  <c r="U42" i="12"/>
  <c r="U11" i="11"/>
  <c r="U12" i="11"/>
  <c r="U13" i="11"/>
  <c r="U14" i="11"/>
  <c r="U15" i="11"/>
  <c r="U16" i="11"/>
  <c r="U17" i="11"/>
  <c r="U18" i="11"/>
  <c r="U19" i="11"/>
  <c r="U20" i="11"/>
  <c r="U21" i="11"/>
  <c r="U22" i="11"/>
  <c r="U23" i="11"/>
  <c r="U24" i="11"/>
  <c r="U25" i="11"/>
  <c r="U26" i="11"/>
  <c r="U27" i="11"/>
  <c r="U28" i="11"/>
  <c r="U29" i="11"/>
  <c r="U30" i="11"/>
  <c r="U31" i="11"/>
  <c r="U32" i="11"/>
  <c r="U33" i="11"/>
  <c r="U34" i="11"/>
  <c r="U35" i="11"/>
  <c r="U36" i="11"/>
  <c r="U37" i="11"/>
  <c r="U38" i="11"/>
  <c r="X2" i="24"/>
  <c r="U39" i="11" l="1"/>
  <c r="U40" i="11" l="1"/>
  <c r="Z8" i="12"/>
  <c r="Z23" i="12"/>
  <c r="Z26" i="12"/>
  <c r="Z34" i="12"/>
  <c r="Z5" i="13"/>
  <c r="Z29" i="13"/>
  <c r="Z18" i="12"/>
  <c r="Z27" i="12"/>
  <c r="Z32" i="12"/>
  <c r="Z35" i="13"/>
  <c r="Z16" i="13"/>
  <c r="Z31" i="13"/>
  <c r="Z17" i="13"/>
  <c r="Z6" i="12"/>
  <c r="Z24" i="13"/>
  <c r="Z12" i="13"/>
  <c r="Z33" i="13"/>
  <c r="Z40" i="13"/>
  <c r="Z21" i="13"/>
  <c r="Z31" i="12"/>
  <c r="Z37" i="12"/>
  <c r="Z29" i="12"/>
  <c r="Z38" i="13"/>
  <c r="Z20" i="12"/>
  <c r="Z14" i="13"/>
  <c r="Z13" i="12"/>
  <c r="Z19" i="12"/>
  <c r="Z14" i="12"/>
  <c r="Z35" i="12"/>
  <c r="Z30" i="12"/>
  <c r="Z28" i="13"/>
  <c r="Z11" i="12"/>
  <c r="Z24" i="12"/>
  <c r="Z27" i="13"/>
  <c r="Z42" i="13"/>
  <c r="Z17" i="12"/>
  <c r="Z38" i="12"/>
  <c r="Z22" i="13"/>
  <c r="Z28" i="12"/>
  <c r="Z12" i="12"/>
  <c r="Z8" i="13"/>
  <c r="Z36" i="12"/>
  <c r="Z36" i="13"/>
  <c r="Z22" i="12"/>
  <c r="Z40" i="12"/>
  <c r="Z37" i="13"/>
  <c r="Z20" i="13"/>
  <c r="Z41" i="12"/>
  <c r="Z33" i="12"/>
  <c r="Z15" i="12"/>
  <c r="Z26" i="13"/>
  <c r="Z23" i="13"/>
  <c r="Z30" i="13"/>
  <c r="Z41" i="13"/>
  <c r="Z6" i="13"/>
  <c r="Z9" i="12"/>
  <c r="Z25" i="12"/>
  <c r="Z13" i="13"/>
  <c r="Z39" i="13"/>
  <c r="Z5" i="12"/>
  <c r="Z32" i="13"/>
  <c r="Z11" i="13"/>
  <c r="Z34" i="13"/>
  <c r="Z39" i="12"/>
  <c r="Z7" i="12"/>
  <c r="Z21" i="12"/>
  <c r="Z16" i="12"/>
  <c r="Z7" i="13"/>
  <c r="Z15" i="13"/>
  <c r="Z18" i="13"/>
  <c r="Z9" i="13"/>
  <c r="Z42" i="12"/>
  <c r="Z10" i="13"/>
  <c r="Z25" i="13"/>
  <c r="Z19" i="13"/>
  <c r="Z10" i="12"/>
  <c r="U41" i="11" l="1"/>
  <c r="U42" i="11" l="1"/>
  <c r="P5" i="18" a="1"/>
  <c r="P6" i="18" l="1"/>
  <c r="P5" i="18"/>
  <c r="P7" i="18"/>
  <c r="P8" i="18"/>
  <c r="P9" i="18" l="1"/>
  <c r="P10" i="18"/>
  <c r="Z24" i="11"/>
  <c r="Z29" i="11"/>
  <c r="Z30" i="11"/>
  <c r="Z17" i="11"/>
  <c r="Z35" i="11"/>
  <c r="Z7" i="11"/>
  <c r="Z13" i="11"/>
  <c r="Z15" i="11"/>
  <c r="Z11" i="11"/>
  <c r="Z42" i="11"/>
  <c r="Z25" i="11"/>
  <c r="Z5" i="11"/>
  <c r="Z37" i="11"/>
  <c r="Z40" i="11"/>
  <c r="Z26" i="11"/>
  <c r="Z33" i="11"/>
  <c r="Z9" i="11"/>
  <c r="Z41" i="11"/>
  <c r="Z28" i="11"/>
  <c r="Z31" i="11"/>
  <c r="Z34" i="11"/>
  <c r="Z38" i="11"/>
  <c r="Z27" i="11"/>
  <c r="Z20" i="11"/>
  <c r="Z21" i="11"/>
  <c r="Z16" i="11"/>
  <c r="Z18" i="11"/>
  <c r="Z19" i="11"/>
  <c r="Z12" i="11"/>
  <c r="Z36" i="11"/>
  <c r="Z10" i="11"/>
  <c r="Z6" i="11"/>
  <c r="Z14" i="11"/>
  <c r="Z8" i="11"/>
  <c r="Z32" i="11"/>
  <c r="Z39" i="11"/>
  <c r="Z22" i="11"/>
  <c r="Z23" i="11"/>
  <c r="P11" i="18" l="1"/>
  <c r="P12" i="18"/>
  <c r="P13" i="18" l="1"/>
  <c r="P14" i="18"/>
  <c r="P15" i="18" l="1"/>
  <c r="P16" i="18"/>
  <c r="P17" i="18"/>
  <c r="P18" i="18"/>
  <c r="P19" i="18"/>
  <c r="P20" i="18"/>
  <c r="P21" i="18"/>
  <c r="P22" i="18"/>
  <c r="P23" i="18"/>
  <c r="P24" i="18"/>
  <c r="P25" i="18"/>
  <c r="P26" i="18"/>
  <c r="P27" i="18"/>
  <c r="P28" i="18"/>
  <c r="P29" i="18"/>
  <c r="P30" i="18"/>
  <c r="P31" i="18"/>
  <c r="P32" i="18"/>
  <c r="P33" i="18"/>
  <c r="P34" i="18"/>
  <c r="P35" i="18"/>
  <c r="P36" i="18"/>
  <c r="P37" i="18"/>
  <c r="P38" i="18"/>
  <c r="P39" i="18"/>
  <c r="P40" i="18"/>
  <c r="P41" i="18"/>
  <c r="P42" i="18"/>
  <c r="P43" i="18"/>
  <c r="P44" i="18"/>
  <c r="P45" i="18"/>
  <c r="P46" i="18"/>
  <c r="R5" i="18" l="1" a="1"/>
  <c r="Z2" i="12"/>
  <c r="AD2" i="18"/>
  <c r="Z2" i="13"/>
  <c r="AA2" i="25"/>
  <c r="R12" i="18" l="1"/>
  <c r="R20" i="18"/>
  <c r="R28" i="18"/>
  <c r="R36" i="18"/>
  <c r="R44" i="18"/>
  <c r="R5" i="18"/>
  <c r="R13" i="18"/>
  <c r="R21" i="18"/>
  <c r="R29" i="18"/>
  <c r="R37" i="18"/>
  <c r="R45" i="18"/>
  <c r="R6" i="18"/>
  <c r="R14" i="18"/>
  <c r="R22" i="18"/>
  <c r="R30" i="18"/>
  <c r="R38" i="18"/>
  <c r="R46" i="18"/>
  <c r="R7" i="18"/>
  <c r="R15" i="18"/>
  <c r="R23" i="18"/>
  <c r="R31" i="18"/>
  <c r="R39" i="18"/>
  <c r="R8" i="18"/>
  <c r="R16" i="18"/>
  <c r="R24" i="18"/>
  <c r="R32" i="18"/>
  <c r="R40" i="18"/>
  <c r="R9" i="18"/>
  <c r="R17" i="18"/>
  <c r="R25" i="18"/>
  <c r="R33" i="18"/>
  <c r="R41" i="18"/>
  <c r="R10" i="18"/>
  <c r="R18" i="18"/>
  <c r="R26" i="18"/>
  <c r="R34" i="18"/>
  <c r="R42" i="18"/>
  <c r="R11" i="18"/>
  <c r="R19" i="18"/>
  <c r="R27" i="18"/>
  <c r="R35" i="18"/>
  <c r="R43" i="18"/>
  <c r="I3" i="18"/>
  <c r="M10" i="6"/>
  <c r="F10" i="6"/>
  <c r="I39" i="18"/>
  <c r="I11" i="18"/>
  <c r="I20" i="18"/>
  <c r="I8" i="18"/>
  <c r="I34" i="18"/>
  <c r="I14" i="18"/>
  <c r="I12" i="18"/>
  <c r="I43" i="18"/>
  <c r="I31" i="18"/>
  <c r="I33" i="18"/>
  <c r="I30" i="18"/>
  <c r="I7" i="18"/>
  <c r="I10" i="18"/>
  <c r="I21" i="18"/>
  <c r="I5" i="18"/>
  <c r="I28" i="18"/>
  <c r="I27" i="18"/>
  <c r="I22" i="18"/>
  <c r="I25" i="18"/>
  <c r="I9" i="18"/>
  <c r="I23" i="18"/>
  <c r="I15" i="18"/>
  <c r="I42" i="18"/>
  <c r="I6" i="18"/>
  <c r="I16" i="18"/>
  <c r="I37" i="18"/>
  <c r="I29" i="18"/>
  <c r="I32" i="18"/>
  <c r="I17" i="18"/>
  <c r="I26" i="18"/>
  <c r="I18" i="18"/>
  <c r="I19" i="18"/>
  <c r="I35" i="18"/>
  <c r="I38" i="18"/>
  <c r="R2" i="15"/>
  <c r="I40" i="18"/>
  <c r="I41" i="18"/>
  <c r="I36" i="18"/>
  <c r="I45" i="18"/>
  <c r="I44" i="18"/>
  <c r="I46" i="18"/>
  <c r="I24" i="18"/>
  <c r="I13" i="18"/>
  <c r="L6" i="15" l="1"/>
  <c r="L7" i="15"/>
  <c r="L5" i="15"/>
  <c r="L10" i="6"/>
  <c r="D8" i="56"/>
  <c r="J15" i="18"/>
  <c r="J32" i="18"/>
  <c r="J12" i="18"/>
  <c r="J42" i="18"/>
  <c r="J31" i="18"/>
  <c r="X2" i="23"/>
  <c r="X2" i="22"/>
  <c r="J44" i="18"/>
  <c r="J11" i="18"/>
  <c r="J27" i="18"/>
  <c r="J41" i="18"/>
  <c r="J29" i="18"/>
  <c r="J20" i="18"/>
  <c r="J23" i="18"/>
  <c r="J39" i="18"/>
  <c r="J40" i="18"/>
  <c r="J38" i="18"/>
  <c r="J9" i="18"/>
  <c r="J28" i="18"/>
  <c r="J30" i="18"/>
  <c r="J5" i="18"/>
  <c r="J35" i="18"/>
  <c r="X2" i="64"/>
  <c r="J24" i="18"/>
  <c r="J22" i="18"/>
  <c r="J10" i="18"/>
  <c r="J21" i="18"/>
  <c r="J8" i="18"/>
  <c r="J19" i="18"/>
  <c r="J33" i="18"/>
  <c r="J34" i="18"/>
  <c r="Z2" i="11"/>
  <c r="J26" i="18"/>
  <c r="J45" i="18"/>
  <c r="J43" i="18"/>
  <c r="J6" i="18"/>
  <c r="J16" i="18"/>
  <c r="J7" i="18"/>
  <c r="J37" i="18"/>
  <c r="X2" i="65"/>
  <c r="J46" i="18"/>
  <c r="J17" i="18"/>
  <c r="J13" i="18"/>
  <c r="J36" i="18"/>
  <c r="J25" i="18"/>
  <c r="J14" i="18"/>
  <c r="J18" i="18"/>
  <c r="L4" i="15"/>
  <c r="R4" i="18"/>
  <c r="E5" i="16" l="1"/>
  <c r="L26" i="6"/>
  <c r="L23" i="6"/>
  <c r="L20" i="6"/>
  <c r="L17" i="6"/>
  <c r="F5" i="16"/>
  <c r="X5" i="16"/>
  <c r="O4" i="64"/>
  <c r="N5" i="16" l="1"/>
  <c r="G5" i="16"/>
  <c r="X2" i="16"/>
  <c r="O5" i="16" l="1" a="1"/>
  <c r="D7" i="56"/>
  <c r="O13" i="16" l="1"/>
  <c r="O6" i="16"/>
  <c r="O16" i="16"/>
  <c r="O7" i="16"/>
  <c r="O14" i="16"/>
  <c r="O15" i="16"/>
  <c r="O12" i="16"/>
  <c r="O9" i="16"/>
  <c r="O8" i="16"/>
  <c r="O11" i="16"/>
  <c r="O10" i="16"/>
  <c r="O5" i="16"/>
  <c r="O4" i="24"/>
  <c r="O4" i="65"/>
  <c r="O4" i="11"/>
  <c r="O4" i="16"/>
  <c r="O4" i="22"/>
  <c r="O4" i="25"/>
  <c r="O4" i="23"/>
  <c r="O4" i="12"/>
  <c r="O4" i="13"/>
  <c r="S3" i="66" l="1"/>
  <c r="U5" i="66" a="1"/>
  <c r="U5" i="66"/>
  <c r="U36" i="66"/>
  <c r="U20" i="66"/>
  <c r="U18" i="66"/>
  <c r="U19" i="66"/>
  <c r="U34" i="66"/>
  <c r="U35" i="66"/>
  <c r="U7" i="66"/>
  <c r="U38" i="66"/>
  <c r="U8" i="66"/>
  <c r="U24" i="66"/>
  <c r="U9" i="66"/>
  <c r="U25" i="66"/>
  <c r="U10" i="66"/>
  <c r="U26" i="66"/>
  <c r="U37" i="66"/>
  <c r="U21" i="66"/>
  <c r="U22" i="66"/>
  <c r="U6" i="66"/>
  <c r="U23" i="66"/>
  <c r="U11" i="66"/>
  <c r="U12" i="66"/>
  <c r="U13" i="66"/>
  <c r="U14" i="66"/>
  <c r="U30" i="66"/>
  <c r="U15" i="66"/>
  <c r="U31" i="66"/>
  <c r="U29" i="66"/>
  <c r="U16" i="66"/>
  <c r="U32" i="66"/>
  <c r="U27" i="66"/>
  <c r="U28" i="66"/>
  <c r="U17" i="66"/>
  <c r="U33" i="66"/>
  <c r="Z31" i="66"/>
  <c r="Z26" i="66"/>
  <c r="Z27" i="66"/>
  <c r="Z9" i="66"/>
  <c r="Z38" i="66"/>
  <c r="Z23" i="66"/>
  <c r="Z14" i="66"/>
  <c r="Z29" i="66"/>
  <c r="Z30" i="66"/>
  <c r="Z36" i="66"/>
  <c r="Z11" i="66"/>
  <c r="Z35" i="66"/>
  <c r="Z6" i="66"/>
  <c r="Z18" i="66"/>
  <c r="Z34" i="66"/>
  <c r="Z25" i="66"/>
  <c r="Z8" i="66"/>
  <c r="Z5" i="66"/>
  <c r="Z21" i="66"/>
  <c r="Z10" i="66"/>
  <c r="Z20" i="66"/>
  <c r="Z32" i="66"/>
  <c r="Z16" i="66"/>
  <c r="Z12" i="66"/>
  <c r="Z13" i="66"/>
  <c r="Z7" i="66"/>
  <c r="Z15" i="66"/>
  <c r="Z24" i="66"/>
  <c r="Z17" i="66"/>
  <c r="Z19" i="66"/>
  <c r="Z28" i="66"/>
  <c r="Z22" i="66"/>
  <c r="Z33" i="66"/>
  <c r="Z37" i="66"/>
  <c r="O4" i="66"/>
  <c r="U39" i="66" l="1"/>
  <c r="U40" i="66" s="1"/>
  <c r="U41" i="66" s="1"/>
  <c r="U42" i="66" l="1"/>
  <c r="Z40" i="66"/>
  <c r="Z41" i="66"/>
  <c r="Z39" i="66"/>
  <c r="Z42" i="66"/>
  <c r="Z2" i="66"/>
</calcChain>
</file>

<file path=xl/sharedStrings.xml><?xml version="1.0" encoding="utf-8"?>
<sst xmlns="http://schemas.openxmlformats.org/spreadsheetml/2006/main" count="1671" uniqueCount="271">
  <si>
    <t>Currency</t>
  </si>
  <si>
    <t>FileOverwrite</t>
  </si>
  <si>
    <t>SerializationPath</t>
  </si>
  <si>
    <t>Serialize</t>
  </si>
  <si>
    <t>ObjectOverwrite</t>
  </si>
  <si>
    <t>Permanent</t>
  </si>
  <si>
    <t>Trigger</t>
  </si>
  <si>
    <t>General Settings</t>
  </si>
  <si>
    <t>1Y</t>
  </si>
  <si>
    <t>11M</t>
  </si>
  <si>
    <t>10M</t>
  </si>
  <si>
    <t>9M</t>
  </si>
  <si>
    <t>8M</t>
  </si>
  <si>
    <t>7M</t>
  </si>
  <si>
    <t>6M</t>
  </si>
  <si>
    <t>5M</t>
  </si>
  <si>
    <t>4M</t>
  </si>
  <si>
    <t>3M</t>
  </si>
  <si>
    <t>2M</t>
  </si>
  <si>
    <t>1M</t>
  </si>
  <si>
    <t>3W</t>
  </si>
  <si>
    <t>2W</t>
  </si>
  <si>
    <t>SW</t>
  </si>
  <si>
    <t>Tenor</t>
  </si>
  <si>
    <t>Libor</t>
  </si>
  <si>
    <t>FamilyName</t>
  </si>
  <si>
    <t>60Y</t>
  </si>
  <si>
    <t>59Y</t>
  </si>
  <si>
    <t>58Y</t>
  </si>
  <si>
    <t>57Y</t>
  </si>
  <si>
    <t>56Y</t>
  </si>
  <si>
    <t>55Y</t>
  </si>
  <si>
    <t>54Y</t>
  </si>
  <si>
    <t>53Y</t>
  </si>
  <si>
    <t>52Y</t>
  </si>
  <si>
    <t>51Y</t>
  </si>
  <si>
    <t>50Y</t>
  </si>
  <si>
    <t>49Y</t>
  </si>
  <si>
    <t>48Y</t>
  </si>
  <si>
    <t>47Y</t>
  </si>
  <si>
    <t>46Y</t>
  </si>
  <si>
    <t>45Y</t>
  </si>
  <si>
    <t>44Y</t>
  </si>
  <si>
    <t>43Y</t>
  </si>
  <si>
    <t>42Y</t>
  </si>
  <si>
    <t>41Y</t>
  </si>
  <si>
    <t>40Y</t>
  </si>
  <si>
    <t>39Y</t>
  </si>
  <si>
    <t>38Y</t>
  </si>
  <si>
    <t>37Y</t>
  </si>
  <si>
    <t>36Y</t>
  </si>
  <si>
    <t>35Y</t>
  </si>
  <si>
    <t>34Y</t>
  </si>
  <si>
    <t>33Y</t>
  </si>
  <si>
    <t>32Y</t>
  </si>
  <si>
    <t>31Y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</si>
  <si>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</si>
  <si>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</si>
  <si>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</si>
  <si>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</si>
  <si>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</si>
  <si>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</si>
  <si>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</si>
  <si>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</si>
  <si>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</si>
  <si>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</si>
  <si>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</si>
  <si>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</si>
  <si>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</si>
  <si>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</si>
  <si>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</si>
  <si>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</si>
  <si>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</si>
  <si>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</si>
  <si>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</si>
  <si>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</si>
  <si>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</si>
  <si>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</si>
  <si>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</si>
  <si>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</si>
  <si>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</si>
  <si>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</si>
  <si>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</si>
  <si>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</si>
  <si>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</si>
  <si>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Fwd Curve</t>
  </si>
  <si>
    <t>FixingType</t>
  </si>
  <si>
    <t>LiborSwap</t>
  </si>
  <si>
    <t>IborIndex</t>
  </si>
  <si>
    <t>ForBasisCalc</t>
  </si>
  <si>
    <t>Discounting</t>
  </si>
  <si>
    <t>USD</t>
  </si>
  <si>
    <t>1L</t>
  </si>
  <si>
    <t>3L</t>
  </si>
  <si>
    <t>6L</t>
  </si>
  <si>
    <t>21M</t>
  </si>
  <si>
    <t>18M</t>
  </si>
  <si>
    <t>15M</t>
  </si>
  <si>
    <t>12L</t>
  </si>
  <si>
    <t>PriceTickValue</t>
  </si>
  <si>
    <t>RateTickValue</t>
  </si>
  <si>
    <t>_Quote</t>
  </si>
  <si>
    <t>QuoteSuffix</t>
  </si>
  <si>
    <t>Future Code</t>
  </si>
  <si>
    <t>Main Cycle</t>
  </si>
  <si>
    <t>#</t>
  </si>
  <si>
    <t>FUT</t>
  </si>
  <si>
    <t>OIS</t>
  </si>
  <si>
    <t>57M</t>
  </si>
  <si>
    <t>54M</t>
  </si>
  <si>
    <t>51M</t>
  </si>
  <si>
    <t>45M</t>
  </si>
  <si>
    <t>42M</t>
  </si>
  <si>
    <t>39M</t>
  </si>
  <si>
    <t>33M</t>
  </si>
  <si>
    <t>30M</t>
  </si>
  <si>
    <t>27M</t>
  </si>
  <si>
    <t>23M</t>
  </si>
  <si>
    <t>22M</t>
  </si>
  <si>
    <t>20M</t>
  </si>
  <si>
    <t>19M</t>
  </si>
  <si>
    <t>17M</t>
  </si>
  <si>
    <t>16M</t>
  </si>
  <si>
    <t>14M</t>
  </si>
  <si>
    <t>13M</t>
  </si>
  <si>
    <t>1S</t>
  </si>
  <si>
    <t>2S</t>
  </si>
  <si>
    <t>4S</t>
  </si>
  <si>
    <t>3S</t>
  </si>
  <si>
    <t>AM</t>
  </si>
  <si>
    <t>ON</t>
  </si>
  <si>
    <t>Meanreversion</t>
  </si>
  <si>
    <t>Volatility</t>
  </si>
  <si>
    <t>ASK</t>
  </si>
  <si>
    <t>BID</t>
  </si>
  <si>
    <t>KLIEM</t>
  </si>
  <si>
    <t>TRIT</t>
  </si>
  <si>
    <t>Tradition</t>
  </si>
  <si>
    <t>TTKL</t>
  </si>
  <si>
    <t>ICAP</t>
  </si>
  <si>
    <t>CKCC</t>
  </si>
  <si>
    <t>Reuters</t>
  </si>
  <si>
    <t>SN</t>
  </si>
  <si>
    <t>LAST</t>
  </si>
  <si>
    <t>FSR</t>
  </si>
  <si>
    <t>TN</t>
  </si>
  <si>
    <t>Change</t>
  </si>
  <si>
    <t>Effective</t>
  </si>
  <si>
    <t>Static</t>
  </si>
  <si>
    <t>X</t>
  </si>
  <si>
    <t>Mid Safe</t>
  </si>
  <si>
    <t>HST_CLOSE</t>
  </si>
  <si>
    <t>EXPIRE DATE</t>
  </si>
  <si>
    <t>Effective Date</t>
  </si>
  <si>
    <t>US</t>
  </si>
  <si>
    <t>mean reversion</t>
  </si>
  <si>
    <t>sigma</t>
  </si>
  <si>
    <t>HW parameters</t>
  </si>
  <si>
    <t>Mid</t>
  </si>
  <si>
    <t>6S</t>
  </si>
  <si>
    <t>5S</t>
  </si>
  <si>
    <t>Live Data Feed</t>
  </si>
  <si>
    <t>Last update</t>
  </si>
  <si>
    <t>GCMN</t>
  </si>
  <si>
    <t>ICAP NY</t>
  </si>
  <si>
    <t>SMKR</t>
  </si>
  <si>
    <t>MonotonicCubicNaturalSpline</t>
  </si>
  <si>
    <t>InterpolationType</t>
  </si>
  <si>
    <t>TriggerCounter</t>
  </si>
  <si>
    <t>FRQ:1S</t>
  </si>
  <si>
    <t>ReutersRtMode</t>
  </si>
  <si>
    <t>Forecasted Before Fixing</t>
  </si>
  <si>
    <t>Add Fixing</t>
  </si>
  <si>
    <t>Fixing Check</t>
  </si>
  <si>
    <t>VALUE_DT1</t>
  </si>
  <si>
    <t>EvaluationDate</t>
  </si>
  <si>
    <t>STD</t>
  </si>
  <si>
    <t>LastFixingsTrigger</t>
  </si>
  <si>
    <t>JoinHolidays</t>
  </si>
  <si>
    <t>UnitedStates::Settlement</t>
  </si>
  <si>
    <t>Join Calendar Rule</t>
  </si>
  <si>
    <t>Index</t>
  </si>
  <si>
    <t>Relinkable Handle</t>
  </si>
  <si>
    <t>LastFixing_Quote</t>
  </si>
  <si>
    <t>MoneyMarketDayCounter</t>
  </si>
  <si>
    <t>Actual/360</t>
  </si>
  <si>
    <t>PYNY</t>
  </si>
  <si>
    <t>HolidayCheck</t>
  </si>
  <si>
    <t>Calendar</t>
  </si>
  <si>
    <t>UnitedKingdom::Exchange</t>
  </si>
  <si>
    <t>ICAP Japan</t>
  </si>
  <si>
    <t>TKFX</t>
  </si>
  <si>
    <t>Condition</t>
  </si>
  <si>
    <t>Order by:</t>
  </si>
  <si>
    <t>DESC</t>
  </si>
  <si>
    <t>Fields:</t>
  </si>
  <si>
    <t xml:space="preserve"> </t>
  </si>
  <si>
    <t>ICAP Singapore</t>
  </si>
  <si>
    <t>ICSG</t>
  </si>
  <si>
    <t>Tullet</t>
  </si>
  <si>
    <t>Tradition HK</t>
  </si>
  <si>
    <t>TRHK</t>
  </si>
  <si>
    <t>Broker Composite</t>
  </si>
  <si>
    <t>BRKR</t>
  </si>
  <si>
    <t>ICAP HK</t>
  </si>
  <si>
    <t>ICHK</t>
  </si>
  <si>
    <t>ICAA</t>
  </si>
  <si>
    <t>CFETSICAP SHA</t>
  </si>
  <si>
    <t>CFIC</t>
  </si>
  <si>
    <t>PREA</t>
  </si>
  <si>
    <t>TPSC</t>
  </si>
  <si>
    <t>Pingan Tradition</t>
  </si>
  <si>
    <t>PTCN</t>
  </si>
  <si>
    <t>ICAP Australia</t>
  </si>
  <si>
    <t>Tullet Prebon Asia</t>
  </si>
  <si>
    <t>Meitan Tradition</t>
  </si>
  <si>
    <t>TRDT</t>
  </si>
  <si>
    <t>Tullet Prebon Sitico</t>
  </si>
  <si>
    <t>ICAP LN</t>
  </si>
  <si>
    <t>Tullet Prebon LN</t>
  </si>
  <si>
    <t>Tullet Prebon NY</t>
  </si>
  <si>
    <t>Triggers</t>
  </si>
  <si>
    <t>Join Calendar</t>
  </si>
  <si>
    <t>Currency Settings</t>
  </si>
  <si>
    <t>Quote Object ID</t>
  </si>
  <si>
    <t>Quote Object</t>
  </si>
  <si>
    <t>Area</t>
  </si>
  <si>
    <t>EUROPE</t>
  </si>
  <si>
    <t>ASIA</t>
  </si>
  <si>
    <t>Europe</t>
  </si>
  <si>
    <t>U.S.</t>
  </si>
  <si>
    <t>Deposits</t>
  </si>
  <si>
    <t>Swap1M</t>
  </si>
  <si>
    <t>Swap3M</t>
  </si>
  <si>
    <t>SwapIMM</t>
  </si>
  <si>
    <t>BasisSwap3M6M</t>
  </si>
  <si>
    <t>INSTRUMENT</t>
  </si>
  <si>
    <t>AreaIndex</t>
  </si>
  <si>
    <t>Live Feed</t>
  </si>
  <si>
    <t>Errors</t>
  </si>
  <si>
    <t>Bid/Ask Spread</t>
  </si>
  <si>
    <t>Instruments</t>
  </si>
  <si>
    <t>Mid Interp</t>
  </si>
  <si>
    <t>Interp Selection</t>
  </si>
  <si>
    <t>Interp      x-values</t>
  </si>
  <si>
    <t>Futures</t>
  </si>
  <si>
    <t>Convexity Object ID</t>
  </si>
  <si>
    <t>Convexity Object</t>
  </si>
  <si>
    <t>Convexity Adjustment</t>
  </si>
  <si>
    <t>Instrument</t>
  </si>
  <si>
    <t>Libor Calendar</t>
  </si>
  <si>
    <t>Local Calendar</t>
  </si>
  <si>
    <t>Contributor</t>
  </si>
  <si>
    <t>The record could not be found</t>
  </si>
  <si>
    <t>FRA3M</t>
  </si>
  <si>
    <t>FRA6M</t>
  </si>
  <si>
    <t>FRA12M</t>
  </si>
  <si>
    <t>PRIMACT_1</t>
  </si>
  <si>
    <t>SEC_ACT_1</t>
  </si>
  <si>
    <t>X1S</t>
  </si>
  <si>
    <t>NDA_RAW.Nda_date</t>
  </si>
  <si>
    <t>NDA_RAW.Nda_last</t>
  </si>
  <si>
    <t>Quote ID</t>
  </si>
  <si>
    <t>NDA_RAW</t>
  </si>
  <si>
    <t>BasisSwapFF3M</t>
  </si>
  <si>
    <t>BasisSwap1M3M</t>
  </si>
  <si>
    <t>BasisSwap3M12M</t>
  </si>
  <si>
    <t>FF</t>
  </si>
  <si>
    <t>t values</t>
  </si>
  <si>
    <t>filter</t>
  </si>
  <si>
    <t>Interp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</si>
</sst>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">
    <numFmt numFmtId="164" formatCode="&quot;£&quot;#,##0;[Red]\-&quot;£&quot;#,##0"/>
    <numFmt numFmtId="165" formatCode="[$-409]d\-mmm\-yy;@"/>
    <numFmt numFmtId="166" formatCode="#,##0.0;#,##0.0"/>
    <numFmt numFmtId="167" formatCode="General_)"/>
    <numFmt numFmtId="168" formatCode="0.0000"/>
    <numFmt numFmtId="169" formatCode="0.0000%"/>
    <numFmt numFmtId="170" formatCode="mm/dd/yy;@"/>
    <numFmt numFmtId="171" formatCode="ddd\,\ dd\-mmm\-yyyy"/>
    <numFmt numFmtId="172" formatCode="0.000"/>
    <numFmt numFmtId="173" formatCode="0.000%"/>
    <numFmt numFmtId="174" formatCode="ddd\,\ dd\-mmm\-yyyy\,\ h:mm:ss"/>
    <numFmt numFmtId="175" formatCode="ddd\,\ dd\-mmm\-yyyy\,\ hh:mm:ss"/>
    <numFmt numFmtId="176" formatCode="ddd\,\ dd\-mmm\-yy"/>
    <numFmt numFmtId="177" formatCode="_([$€-2]* #,##0.00_);_([$€-2]* \(#,##0.00\);_([$€-2]* &quot;-&quot;??_)"/>
    <numFmt numFmtId="178" formatCode="dd\-mmm\-yy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12"/>
      <color indexed="16"/>
      <name val="MS Sans Serif"/>
      <family val="2"/>
    </font>
    <font>
      <sz val="10"/>
      <name val="Arial"/>
      <family val="2"/>
    </font>
    <font>
      <sz val="10"/>
      <name val="Helv"/>
    </font>
    <font>
      <sz val="12"/>
      <name val="Helv"/>
    </font>
    <font>
      <sz val="8"/>
      <name val="Arial"/>
      <family val="2"/>
    </font>
    <font>
      <sz val="8"/>
      <name val="Courier New"/>
      <family val="3"/>
    </font>
    <font>
      <i/>
      <sz val="8"/>
      <name val="Courier New"/>
      <family val="3"/>
    </font>
    <font>
      <b/>
      <sz val="8"/>
      <name val="Courier New"/>
      <family val="3"/>
    </font>
    <font>
      <b/>
      <sz val="8"/>
      <color theme="1"/>
      <name val="Courier New"/>
      <family val="3"/>
    </font>
    <font>
      <sz val="8"/>
      <color indexed="12"/>
      <name val="Courier New"/>
      <family val="3"/>
    </font>
    <font>
      <sz val="8"/>
      <color indexed="10"/>
      <name val="Courier New"/>
      <family val="3"/>
    </font>
    <font>
      <b/>
      <sz val="12"/>
      <name val="Courier New"/>
      <family val="3"/>
    </font>
    <font>
      <sz val="8"/>
      <color theme="1"/>
      <name val="Courier New"/>
      <family val="3"/>
    </font>
    <font>
      <sz val="10"/>
      <name val="Courier New"/>
      <family val="3"/>
    </font>
    <font>
      <sz val="8"/>
      <color indexed="9"/>
      <name val="Courier New"/>
      <family val="3"/>
    </font>
    <font>
      <b/>
      <u/>
      <sz val="8"/>
      <name val="Courier New"/>
      <family val="3"/>
    </font>
  </fonts>
  <fills count="1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 tint="0.79998168889431442"/>
        <bgColor indexed="22"/>
      </patternFill>
    </fill>
    <fill>
      <patternFill patternType="solid">
        <fgColor theme="0"/>
        <bgColor indexed="22"/>
      </patternFill>
    </fill>
    <fill>
      <patternFill patternType="solid">
        <fgColor theme="8" tint="0.59999389629810485"/>
        <bgColor indexed="22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9">
    <xf numFmtId="0" fontId="0" fillId="0" borderId="0"/>
    <xf numFmtId="0" fontId="1" fillId="0" borderId="0"/>
    <xf numFmtId="0" fontId="2" fillId="0" borderId="0"/>
    <xf numFmtId="166" fontId="3" fillId="4" borderId="0">
      <alignment horizontal="center" vertical="center"/>
    </xf>
    <xf numFmtId="9" fontId="4" fillId="0" borderId="0" applyFont="0" applyFill="0" applyBorder="0" applyAlignment="0" applyProtection="0"/>
    <xf numFmtId="38" fontId="5" fillId="0" borderId="0" applyFont="0" applyFill="0" applyBorder="0" applyAlignment="0" applyProtection="0"/>
    <xf numFmtId="40" fontId="5" fillId="0" borderId="0" applyFont="0" applyFill="0" applyBorder="0" applyAlignment="0" applyProtection="0"/>
    <xf numFmtId="167" fontId="6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177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7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177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08">
    <xf numFmtId="0" fontId="0" fillId="0" borderId="0" xfId="0"/>
    <xf numFmtId="0" fontId="8" fillId="2" borderId="0" xfId="2" applyFont="1" applyFill="1"/>
    <xf numFmtId="0" fontId="8" fillId="3" borderId="4" xfId="1" applyFont="1" applyFill="1" applyBorder="1"/>
    <xf numFmtId="0" fontId="8" fillId="3" borderId="0" xfId="1" applyFont="1" applyFill="1" applyBorder="1"/>
    <xf numFmtId="0" fontId="8" fillId="3" borderId="0" xfId="2" applyFont="1" applyFill="1" applyBorder="1"/>
    <xf numFmtId="0" fontId="8" fillId="2" borderId="0" xfId="1" applyFont="1" applyFill="1"/>
    <xf numFmtId="0" fontId="11" fillId="3" borderId="0" xfId="2" applyFont="1" applyFill="1" applyBorder="1" applyAlignment="1">
      <alignment horizontal="center"/>
    </xf>
    <xf numFmtId="0" fontId="8" fillId="3" borderId="14" xfId="2" applyFont="1" applyFill="1" applyBorder="1"/>
    <xf numFmtId="0" fontId="8" fillId="3" borderId="0" xfId="2" applyFont="1" applyFill="1" applyBorder="1" applyAlignment="1">
      <alignment horizontal="center" vertical="center" wrapText="1"/>
    </xf>
    <xf numFmtId="0" fontId="8" fillId="5" borderId="0" xfId="1" applyFont="1" applyFill="1"/>
    <xf numFmtId="0" fontId="8" fillId="3" borderId="16" xfId="1" applyFont="1" applyFill="1" applyBorder="1" applyAlignment="1">
      <alignment horizontal="center"/>
    </xf>
    <xf numFmtId="0" fontId="8" fillId="3" borderId="17" xfId="1" applyFont="1" applyFill="1" applyBorder="1" applyAlignment="1">
      <alignment horizontal="center"/>
    </xf>
    <xf numFmtId="0" fontId="8" fillId="3" borderId="5" xfId="1" applyFont="1" applyFill="1" applyBorder="1" applyAlignment="1">
      <alignment horizontal="center"/>
    </xf>
    <xf numFmtId="0" fontId="8" fillId="3" borderId="1" xfId="1" applyFont="1" applyFill="1" applyBorder="1" applyAlignment="1">
      <alignment horizontal="center"/>
    </xf>
    <xf numFmtId="0" fontId="8" fillId="3" borderId="0" xfId="1" applyFont="1" applyFill="1" applyBorder="1" applyAlignment="1">
      <alignment horizontal="center"/>
    </xf>
    <xf numFmtId="0" fontId="8" fillId="8" borderId="16" xfId="1" applyFont="1" applyFill="1" applyBorder="1" applyAlignment="1"/>
    <xf numFmtId="0" fontId="8" fillId="8" borderId="1" xfId="1" applyFont="1" applyFill="1" applyBorder="1" applyAlignment="1"/>
    <xf numFmtId="0" fontId="8" fillId="8" borderId="17" xfId="1" applyFont="1" applyFill="1" applyBorder="1" applyAlignment="1"/>
    <xf numFmtId="0" fontId="8" fillId="8" borderId="5" xfId="1" applyFont="1" applyFill="1" applyBorder="1" applyAlignment="1"/>
    <xf numFmtId="0" fontId="12" fillId="3" borderId="0" xfId="1" applyFont="1" applyFill="1" applyBorder="1" applyAlignment="1">
      <alignment horizontal="right"/>
    </xf>
    <xf numFmtId="0" fontId="13" fillId="3" borderId="0" xfId="1" quotePrefix="1" applyFont="1" applyFill="1" applyBorder="1" applyAlignment="1">
      <alignment horizontal="center"/>
    </xf>
    <xf numFmtId="175" fontId="8" fillId="3" borderId="16" xfId="1" applyNumberFormat="1" applyFont="1" applyFill="1" applyBorder="1" applyAlignment="1">
      <alignment horizontal="center"/>
    </xf>
    <xf numFmtId="171" fontId="8" fillId="3" borderId="5" xfId="1" applyNumberFormat="1" applyFont="1" applyFill="1" applyBorder="1" applyAlignment="1">
      <alignment horizontal="center"/>
    </xf>
    <xf numFmtId="0" fontId="8" fillId="8" borderId="12" xfId="1" applyFont="1" applyFill="1" applyBorder="1" applyAlignment="1"/>
    <xf numFmtId="0" fontId="8" fillId="8" borderId="10" xfId="1" applyFont="1" applyFill="1" applyBorder="1" applyAlignment="1"/>
    <xf numFmtId="0" fontId="8" fillId="0" borderId="0" xfId="1" applyFont="1"/>
    <xf numFmtId="0" fontId="8" fillId="3" borderId="14" xfId="1" applyFont="1" applyFill="1" applyBorder="1"/>
    <xf numFmtId="0" fontId="8" fillId="3" borderId="12" xfId="1" applyFont="1" applyFill="1" applyBorder="1" applyAlignment="1">
      <alignment horizontal="center"/>
    </xf>
    <xf numFmtId="0" fontId="8" fillId="3" borderId="11" xfId="1" applyFont="1" applyFill="1" applyBorder="1" applyAlignment="1">
      <alignment horizontal="center"/>
    </xf>
    <xf numFmtId="0" fontId="8" fillId="0" borderId="15" xfId="4" applyNumberFormat="1" applyFont="1" applyFill="1" applyBorder="1" applyAlignment="1">
      <alignment horizontal="center"/>
    </xf>
    <xf numFmtId="0" fontId="8" fillId="0" borderId="12" xfId="4" applyNumberFormat="1" applyFont="1" applyFill="1" applyBorder="1" applyAlignment="1">
      <alignment horizontal="center"/>
    </xf>
    <xf numFmtId="0" fontId="8" fillId="0" borderId="10" xfId="4" applyNumberFormat="1" applyFont="1" applyFill="1" applyBorder="1" applyAlignment="1">
      <alignment horizontal="center"/>
    </xf>
    <xf numFmtId="169" fontId="8" fillId="0" borderId="16" xfId="4" applyNumberFormat="1" applyFont="1" applyFill="1" applyBorder="1" applyAlignment="1"/>
    <xf numFmtId="169" fontId="8" fillId="0" borderId="17" xfId="4" applyNumberFormat="1" applyFont="1" applyFill="1" applyBorder="1" applyAlignment="1"/>
    <xf numFmtId="169" fontId="8" fillId="0" borderId="5" xfId="4" applyNumberFormat="1" applyFont="1" applyFill="1" applyBorder="1" applyAlignment="1"/>
    <xf numFmtId="168" fontId="8" fillId="0" borderId="16" xfId="4" applyNumberFormat="1" applyFont="1" applyFill="1" applyBorder="1" applyAlignment="1"/>
    <xf numFmtId="168" fontId="8" fillId="0" borderId="17" xfId="4" applyNumberFormat="1" applyFont="1" applyFill="1" applyBorder="1" applyAlignment="1"/>
    <xf numFmtId="168" fontId="8" fillId="0" borderId="5" xfId="4" applyNumberFormat="1" applyFont="1" applyFill="1" applyBorder="1" applyAlignment="1"/>
    <xf numFmtId="168" fontId="10" fillId="7" borderId="1" xfId="4" applyNumberFormat="1" applyFont="1" applyFill="1" applyBorder="1" applyAlignment="1">
      <alignment horizontal="center" vertical="center" wrapText="1"/>
    </xf>
    <xf numFmtId="169" fontId="10" fillId="7" borderId="1" xfId="4" applyNumberFormat="1" applyFont="1" applyFill="1" applyBorder="1" applyAlignment="1">
      <alignment horizontal="center" vertical="center" wrapText="1"/>
    </xf>
    <xf numFmtId="169" fontId="10" fillId="7" borderId="2" xfId="4" applyNumberFormat="1" applyFont="1" applyFill="1" applyBorder="1" applyAlignment="1">
      <alignment horizontal="center" vertical="center" wrapText="1"/>
    </xf>
    <xf numFmtId="0" fontId="8" fillId="9" borderId="16" xfId="1" applyNumberFormat="1" applyFont="1" applyFill="1" applyBorder="1" applyAlignment="1"/>
    <xf numFmtId="0" fontId="8" fillId="9" borderId="17" xfId="1" applyNumberFormat="1" applyFont="1" applyFill="1" applyBorder="1" applyAlignment="1"/>
    <xf numFmtId="0" fontId="8" fillId="9" borderId="5" xfId="1" applyNumberFormat="1" applyFont="1" applyFill="1" applyBorder="1" applyAlignment="1"/>
    <xf numFmtId="0" fontId="8" fillId="7" borderId="7" xfId="1" applyFont="1" applyFill="1" applyBorder="1" applyAlignment="1">
      <alignment vertical="center"/>
    </xf>
    <xf numFmtId="0" fontId="8" fillId="7" borderId="2" xfId="1" applyFont="1" applyFill="1" applyBorder="1" applyAlignment="1">
      <alignment vertical="center"/>
    </xf>
    <xf numFmtId="0" fontId="8" fillId="3" borderId="3" xfId="1" applyFont="1" applyFill="1" applyBorder="1"/>
    <xf numFmtId="0" fontId="8" fillId="7" borderId="1" xfId="1" applyFont="1" applyFill="1" applyBorder="1"/>
    <xf numFmtId="0" fontId="8" fillId="7" borderId="1" xfId="1" applyFont="1" applyFill="1" applyBorder="1" applyAlignment="1">
      <alignment vertical="center"/>
    </xf>
    <xf numFmtId="0" fontId="8" fillId="7" borderId="1" xfId="1" applyNumberFormat="1" applyFont="1" applyFill="1" applyBorder="1" applyAlignment="1" applyProtection="1">
      <alignment horizontal="center" vertical="center"/>
    </xf>
    <xf numFmtId="0" fontId="10" fillId="7" borderId="1" xfId="1" applyFont="1" applyFill="1" applyBorder="1" applyAlignment="1">
      <alignment horizontal="center" vertical="center" wrapText="1"/>
    </xf>
    <xf numFmtId="0" fontId="8" fillId="0" borderId="1" xfId="1" applyFont="1" applyFill="1" applyBorder="1" applyAlignment="1">
      <alignment horizontal="center"/>
    </xf>
    <xf numFmtId="0" fontId="10" fillId="6" borderId="1" xfId="1" applyFont="1" applyFill="1" applyBorder="1" applyAlignment="1">
      <alignment horizontal="center" vertical="center" wrapText="1"/>
    </xf>
    <xf numFmtId="0" fontId="10" fillId="7" borderId="2" xfId="1" applyFont="1" applyFill="1" applyBorder="1" applyAlignment="1">
      <alignment horizontal="center" vertical="center" wrapText="1"/>
    </xf>
    <xf numFmtId="0" fontId="8" fillId="0" borderId="0" xfId="1" applyFont="1" applyFill="1" applyBorder="1" applyAlignment="1">
      <alignment horizontal="center"/>
    </xf>
    <xf numFmtId="0" fontId="8" fillId="0" borderId="1" xfId="1" applyFont="1" applyFill="1" applyBorder="1"/>
    <xf numFmtId="0" fontId="8" fillId="9" borderId="15" xfId="1" applyNumberFormat="1" applyFont="1" applyFill="1" applyBorder="1" applyAlignment="1"/>
    <xf numFmtId="0" fontId="8" fillId="9" borderId="14" xfId="1" applyNumberFormat="1" applyFont="1" applyFill="1" applyBorder="1" applyAlignment="1"/>
    <xf numFmtId="0" fontId="8" fillId="9" borderId="12" xfId="1" applyNumberFormat="1" applyFont="1" applyFill="1" applyBorder="1" applyAlignment="1"/>
    <xf numFmtId="0" fontId="8" fillId="9" borderId="0" xfId="1" applyNumberFormat="1" applyFont="1" applyFill="1" applyBorder="1" applyAlignment="1"/>
    <xf numFmtId="0" fontId="8" fillId="9" borderId="10" xfId="1" applyNumberFormat="1" applyFont="1" applyFill="1" applyBorder="1" applyAlignment="1"/>
    <xf numFmtId="0" fontId="8" fillId="9" borderId="13" xfId="1" applyNumberFormat="1" applyFont="1" applyFill="1" applyBorder="1" applyAlignment="1"/>
    <xf numFmtId="0" fontId="8" fillId="9" borderId="11" xfId="1" applyNumberFormat="1" applyFont="1" applyFill="1" applyBorder="1" applyAlignment="1"/>
    <xf numFmtId="0" fontId="8" fillId="9" borderId="6" xfId="1" applyNumberFormat="1" applyFont="1" applyFill="1" applyBorder="1" applyAlignment="1"/>
    <xf numFmtId="0" fontId="8" fillId="5" borderId="17" xfId="4" applyNumberFormat="1" applyFont="1" applyFill="1" applyBorder="1" applyAlignment="1"/>
    <xf numFmtId="168" fontId="8" fillId="5" borderId="11" xfId="4" applyNumberFormat="1" applyFont="1" applyFill="1" applyBorder="1" applyAlignment="1"/>
    <xf numFmtId="169" fontId="8" fillId="5" borderId="13" xfId="4" applyNumberFormat="1" applyFont="1" applyFill="1" applyBorder="1" applyAlignment="1">
      <alignment horizontal="center"/>
    </xf>
    <xf numFmtId="169" fontId="8" fillId="5" borderId="11" xfId="4" applyNumberFormat="1" applyFont="1" applyFill="1" applyBorder="1" applyAlignment="1">
      <alignment horizontal="center"/>
    </xf>
    <xf numFmtId="0" fontId="8" fillId="5" borderId="5" xfId="4" applyNumberFormat="1" applyFont="1" applyFill="1" applyBorder="1" applyAlignment="1"/>
    <xf numFmtId="169" fontId="8" fillId="5" borderId="6" xfId="4" applyNumberFormat="1" applyFont="1" applyFill="1" applyBorder="1" applyAlignment="1">
      <alignment horizontal="center"/>
    </xf>
    <xf numFmtId="0" fontId="8" fillId="5" borderId="16" xfId="4" applyNumberFormat="1" applyFont="1" applyFill="1" applyBorder="1" applyAlignment="1"/>
    <xf numFmtId="168" fontId="8" fillId="5" borderId="13" xfId="4" applyNumberFormat="1" applyFont="1" applyFill="1" applyBorder="1" applyAlignment="1"/>
    <xf numFmtId="168" fontId="8" fillId="5" borderId="6" xfId="4" applyNumberFormat="1" applyFont="1" applyFill="1" applyBorder="1" applyAlignment="1"/>
    <xf numFmtId="0" fontId="8" fillId="6" borderId="1" xfId="1" applyFont="1" applyFill="1" applyBorder="1" applyAlignment="1">
      <alignment horizontal="center"/>
    </xf>
    <xf numFmtId="174" fontId="13" fillId="3" borderId="5" xfId="1" applyNumberFormat="1" applyFont="1" applyFill="1" applyBorder="1" applyAlignment="1">
      <alignment horizontal="center"/>
    </xf>
    <xf numFmtId="0" fontId="11" fillId="7" borderId="1" xfId="0" applyFont="1" applyFill="1" applyBorder="1" applyAlignment="1">
      <alignment horizontal="center" vertical="center"/>
    </xf>
    <xf numFmtId="0" fontId="11" fillId="7" borderId="8" xfId="0" applyFont="1" applyFill="1" applyBorder="1" applyAlignment="1">
      <alignment horizontal="center" vertical="center"/>
    </xf>
    <xf numFmtId="0" fontId="11" fillId="7" borderId="2" xfId="0" applyFont="1" applyFill="1" applyBorder="1" applyAlignment="1">
      <alignment horizontal="center" vertical="center"/>
    </xf>
    <xf numFmtId="0" fontId="8" fillId="0" borderId="15" xfId="1" applyFont="1" applyFill="1" applyBorder="1"/>
    <xf numFmtId="0" fontId="8" fillId="0" borderId="14" xfId="1" applyFont="1" applyBorder="1"/>
    <xf numFmtId="0" fontId="8" fillId="0" borderId="13" xfId="1" applyFont="1" applyBorder="1"/>
    <xf numFmtId="0" fontId="8" fillId="0" borderId="12" xfId="1" applyFont="1" applyBorder="1"/>
    <xf numFmtId="0" fontId="8" fillId="0" borderId="0" xfId="1" applyFont="1" applyBorder="1"/>
    <xf numFmtId="0" fontId="8" fillId="0" borderId="11" xfId="1" applyFont="1" applyBorder="1"/>
    <xf numFmtId="0" fontId="8" fillId="3" borderId="12" xfId="1" applyFont="1" applyFill="1" applyBorder="1" applyAlignment="1">
      <alignment horizontal="left"/>
    </xf>
    <xf numFmtId="0" fontId="8" fillId="0" borderId="10" xfId="1" applyFont="1" applyBorder="1"/>
    <xf numFmtId="0" fontId="8" fillId="0" borderId="9" xfId="1" applyFont="1" applyBorder="1"/>
    <xf numFmtId="0" fontId="8" fillId="0" borderId="6" xfId="1" applyFont="1" applyBorder="1"/>
    <xf numFmtId="0" fontId="8" fillId="0" borderId="15" xfId="1" applyFont="1" applyBorder="1"/>
    <xf numFmtId="0" fontId="8" fillId="0" borderId="14" xfId="1" applyFont="1" applyFill="1" applyBorder="1"/>
    <xf numFmtId="0" fontId="8" fillId="0" borderId="0" xfId="1" applyFont="1" applyFill="1" applyBorder="1"/>
    <xf numFmtId="0" fontId="8" fillId="0" borderId="9" xfId="1" applyFont="1" applyFill="1" applyBorder="1"/>
    <xf numFmtId="0" fontId="8" fillId="7" borderId="1" xfId="1" applyFont="1" applyFill="1" applyBorder="1" applyAlignment="1">
      <alignment horizontal="center" vertical="center"/>
    </xf>
    <xf numFmtId="0" fontId="8" fillId="0" borderId="14" xfId="1" applyFont="1" applyBorder="1" applyAlignment="1">
      <alignment horizontal="left"/>
    </xf>
    <xf numFmtId="0" fontId="8" fillId="0" borderId="13" xfId="1" applyFont="1" applyBorder="1" applyAlignment="1">
      <alignment horizontal="left"/>
    </xf>
    <xf numFmtId="0" fontId="8" fillId="0" borderId="0" xfId="1" applyFont="1" applyBorder="1" applyAlignment="1">
      <alignment horizontal="left"/>
    </xf>
    <xf numFmtId="0" fontId="8" fillId="0" borderId="11" xfId="1" applyFont="1" applyBorder="1" applyAlignment="1">
      <alignment horizontal="left"/>
    </xf>
    <xf numFmtId="0" fontId="13" fillId="9" borderId="11" xfId="1" applyNumberFormat="1" applyFont="1" applyFill="1" applyBorder="1" applyAlignment="1" applyProtection="1"/>
    <xf numFmtId="0" fontId="8" fillId="0" borderId="9" xfId="1" applyFont="1" applyBorder="1" applyAlignment="1">
      <alignment horizontal="left"/>
    </xf>
    <xf numFmtId="0" fontId="8" fillId="0" borderId="6" xfId="1" applyFont="1" applyBorder="1" applyAlignment="1">
      <alignment horizontal="left"/>
    </xf>
    <xf numFmtId="0" fontId="8" fillId="0" borderId="11" xfId="1" applyFont="1" applyBorder="1" applyAlignment="1">
      <alignment horizontal="center" vertical="center"/>
    </xf>
    <xf numFmtId="10" fontId="8" fillId="0" borderId="11" xfId="4" applyNumberFormat="1" applyFont="1" applyBorder="1"/>
    <xf numFmtId="10" fontId="8" fillId="5" borderId="11" xfId="4" applyNumberFormat="1" applyFont="1" applyFill="1" applyBorder="1"/>
    <xf numFmtId="0" fontId="8" fillId="5" borderId="11" xfId="1" applyFont="1" applyFill="1" applyBorder="1"/>
    <xf numFmtId="0" fontId="8" fillId="3" borderId="15" xfId="1" applyFont="1" applyFill="1" applyBorder="1" applyAlignment="1"/>
    <xf numFmtId="0" fontId="8" fillId="3" borderId="0" xfId="1" applyFont="1" applyFill="1" applyBorder="1" applyAlignment="1">
      <alignment horizontal="left"/>
    </xf>
    <xf numFmtId="0" fontId="8" fillId="9" borderId="15" xfId="1" applyFont="1" applyFill="1" applyBorder="1" applyAlignment="1"/>
    <xf numFmtId="0" fontId="8" fillId="9" borderId="13" xfId="1" applyFont="1" applyFill="1" applyBorder="1" applyAlignment="1"/>
    <xf numFmtId="0" fontId="8" fillId="9" borderId="12" xfId="1" applyFont="1" applyFill="1" applyBorder="1" applyAlignment="1"/>
    <xf numFmtId="0" fontId="8" fillId="9" borderId="11" xfId="1" applyFont="1" applyFill="1" applyBorder="1" applyAlignment="1"/>
    <xf numFmtId="0" fontId="8" fillId="9" borderId="10" xfId="1" applyFont="1" applyFill="1" applyBorder="1" applyAlignment="1"/>
    <xf numFmtId="0" fontId="8" fillId="9" borderId="6" xfId="1" applyFont="1" applyFill="1" applyBorder="1" applyAlignment="1"/>
    <xf numFmtId="0" fontId="8" fillId="7" borderId="2" xfId="1" applyFont="1" applyFill="1" applyBorder="1" applyAlignment="1">
      <alignment horizontal="center" vertical="center"/>
    </xf>
    <xf numFmtId="0" fontId="8" fillId="0" borderId="15" xfId="1" applyFont="1" applyBorder="1" applyAlignment="1"/>
    <xf numFmtId="0" fontId="8" fillId="3" borderId="13" xfId="1" applyFont="1" applyFill="1" applyBorder="1"/>
    <xf numFmtId="0" fontId="8" fillId="3" borderId="12" xfId="1" applyFont="1" applyFill="1" applyBorder="1"/>
    <xf numFmtId="0" fontId="8" fillId="3" borderId="11" xfId="1" applyFont="1" applyFill="1" applyBorder="1"/>
    <xf numFmtId="0" fontId="8" fillId="3" borderId="10" xfId="1" applyFont="1" applyFill="1" applyBorder="1"/>
    <xf numFmtId="0" fontId="8" fillId="3" borderId="9" xfId="1" applyFont="1" applyFill="1" applyBorder="1"/>
    <xf numFmtId="0" fontId="8" fillId="3" borderId="9" xfId="1" applyFont="1" applyFill="1" applyBorder="1" applyAlignment="1">
      <alignment horizontal="left"/>
    </xf>
    <xf numFmtId="0" fontId="8" fillId="3" borderId="6" xfId="1" applyFont="1" applyFill="1" applyBorder="1"/>
    <xf numFmtId="0" fontId="8" fillId="7" borderId="16" xfId="1" applyFont="1" applyFill="1" applyBorder="1" applyAlignment="1">
      <alignment horizontal="center"/>
    </xf>
    <xf numFmtId="0" fontId="10" fillId="7" borderId="16" xfId="1" applyFont="1" applyFill="1" applyBorder="1" applyAlignment="1">
      <alignment horizontal="center" vertical="center" wrapText="1"/>
    </xf>
    <xf numFmtId="0" fontId="10" fillId="6" borderId="16" xfId="1" applyFont="1" applyFill="1" applyBorder="1" applyAlignment="1">
      <alignment horizontal="center" vertical="center" wrapText="1"/>
    </xf>
    <xf numFmtId="168" fontId="10" fillId="7" borderId="16" xfId="4" applyNumberFormat="1" applyFont="1" applyFill="1" applyBorder="1" applyAlignment="1">
      <alignment horizontal="center" vertical="center" wrapText="1"/>
    </xf>
    <xf numFmtId="169" fontId="10" fillId="7" borderId="16" xfId="4" applyNumberFormat="1" applyFont="1" applyFill="1" applyBorder="1" applyAlignment="1">
      <alignment horizontal="center" vertical="center" wrapText="1"/>
    </xf>
    <xf numFmtId="0" fontId="8" fillId="0" borderId="16" xfId="4" applyNumberFormat="1" applyFont="1" applyFill="1" applyBorder="1" applyAlignment="1">
      <alignment horizontal="center"/>
    </xf>
    <xf numFmtId="0" fontId="8" fillId="0" borderId="16" xfId="4" applyNumberFormat="1" applyFont="1" applyFill="1" applyBorder="1" applyAlignment="1"/>
    <xf numFmtId="0" fontId="8" fillId="0" borderId="17" xfId="4" applyNumberFormat="1" applyFont="1" applyFill="1" applyBorder="1" applyAlignment="1">
      <alignment horizontal="center"/>
    </xf>
    <xf numFmtId="0" fontId="8" fillId="0" borderId="17" xfId="4" applyNumberFormat="1" applyFont="1" applyFill="1" applyBorder="1" applyAlignment="1"/>
    <xf numFmtId="0" fontId="8" fillId="0" borderId="5" xfId="4" applyNumberFormat="1" applyFont="1" applyFill="1" applyBorder="1" applyAlignment="1">
      <alignment horizontal="center"/>
    </xf>
    <xf numFmtId="0" fontId="8" fillId="0" borderId="5" xfId="4" applyNumberFormat="1" applyFont="1" applyFill="1" applyBorder="1" applyAlignment="1"/>
    <xf numFmtId="169" fontId="8" fillId="0" borderId="16" xfId="4" applyNumberFormat="1" applyFont="1" applyFill="1" applyBorder="1" applyAlignment="1">
      <alignment horizontal="center"/>
    </xf>
    <xf numFmtId="169" fontId="8" fillId="0" borderId="17" xfId="4" applyNumberFormat="1" applyFont="1" applyFill="1" applyBorder="1" applyAlignment="1">
      <alignment horizontal="center"/>
    </xf>
    <xf numFmtId="169" fontId="8" fillId="0" borderId="5" xfId="4" applyNumberFormat="1" applyFont="1" applyFill="1" applyBorder="1" applyAlignment="1">
      <alignment horizontal="center"/>
    </xf>
    <xf numFmtId="168" fontId="8" fillId="5" borderId="17" xfId="4" applyNumberFormat="1" applyFont="1" applyFill="1" applyBorder="1" applyAlignment="1"/>
    <xf numFmtId="168" fontId="8" fillId="5" borderId="16" xfId="4" applyNumberFormat="1" applyFont="1" applyFill="1" applyBorder="1" applyAlignment="1"/>
    <xf numFmtId="168" fontId="8" fillId="5" borderId="5" xfId="4" applyNumberFormat="1" applyFont="1" applyFill="1" applyBorder="1" applyAlignment="1"/>
    <xf numFmtId="0" fontId="8" fillId="5" borderId="0" xfId="1" applyFont="1" applyFill="1" applyBorder="1" applyAlignment="1"/>
    <xf numFmtId="0" fontId="8" fillId="0" borderId="9" xfId="1" applyFont="1" applyBorder="1" applyAlignment="1">
      <alignment horizontal="center"/>
    </xf>
    <xf numFmtId="0" fontId="8" fillId="3" borderId="0" xfId="1" applyFont="1" applyFill="1" applyBorder="1" applyAlignment="1"/>
    <xf numFmtId="168" fontId="8" fillId="0" borderId="16" xfId="4" applyNumberFormat="1" applyFont="1" applyBorder="1" applyAlignment="1"/>
    <xf numFmtId="168" fontId="8" fillId="0" borderId="17" xfId="4" applyNumberFormat="1" applyFont="1" applyBorder="1" applyAlignment="1"/>
    <xf numFmtId="0" fontId="8" fillId="0" borderId="0" xfId="1" applyFont="1" applyFill="1" applyBorder="1" applyAlignment="1"/>
    <xf numFmtId="0" fontId="8" fillId="8" borderId="0" xfId="1" applyFont="1" applyFill="1"/>
    <xf numFmtId="0" fontId="8" fillId="8" borderId="0" xfId="1" applyFont="1" applyFill="1" applyAlignment="1">
      <alignment horizontal="left"/>
    </xf>
    <xf numFmtId="168" fontId="8" fillId="0" borderId="5" xfId="4" applyNumberFormat="1" applyFont="1" applyBorder="1" applyAlignment="1"/>
    <xf numFmtId="0" fontId="13" fillId="8" borderId="0" xfId="1" applyNumberFormat="1" applyFont="1" applyFill="1" applyBorder="1" applyAlignment="1" applyProtection="1"/>
    <xf numFmtId="0" fontId="8" fillId="8" borderId="0" xfId="1" applyFont="1" applyFill="1" applyAlignment="1">
      <alignment horizontal="center" vertical="center"/>
    </xf>
    <xf numFmtId="169" fontId="8" fillId="0" borderId="13" xfId="4" applyNumberFormat="1" applyFont="1" applyFill="1" applyBorder="1" applyAlignment="1">
      <alignment horizontal="center"/>
    </xf>
    <xf numFmtId="169" fontId="8" fillId="0" borderId="11" xfId="4" applyNumberFormat="1" applyFont="1" applyFill="1" applyBorder="1" applyAlignment="1">
      <alignment horizontal="center"/>
    </xf>
    <xf numFmtId="169" fontId="8" fillId="0" borderId="6" xfId="4" applyNumberFormat="1" applyFont="1" applyFill="1" applyBorder="1" applyAlignment="1">
      <alignment horizontal="center"/>
    </xf>
    <xf numFmtId="0" fontId="8" fillId="9" borderId="16" xfId="1" applyFont="1" applyFill="1" applyBorder="1" applyAlignment="1"/>
    <xf numFmtId="0" fontId="8" fillId="9" borderId="17" xfId="1" applyFont="1" applyFill="1" applyBorder="1" applyAlignment="1"/>
    <xf numFmtId="0" fontId="8" fillId="9" borderId="5" xfId="1" applyFont="1" applyFill="1" applyBorder="1" applyAlignment="1"/>
    <xf numFmtId="165" fontId="13" fillId="10" borderId="16" xfId="1" applyNumberFormat="1" applyFont="1" applyFill="1" applyBorder="1" applyAlignment="1" applyProtection="1">
      <alignment horizontal="left"/>
    </xf>
    <xf numFmtId="165" fontId="13" fillId="10" borderId="17" xfId="1" applyNumberFormat="1" applyFont="1" applyFill="1" applyBorder="1" applyAlignment="1" applyProtection="1">
      <alignment horizontal="left"/>
    </xf>
    <xf numFmtId="165" fontId="13" fillId="10" borderId="5" xfId="1" applyNumberFormat="1" applyFont="1" applyFill="1" applyBorder="1" applyAlignment="1" applyProtection="1">
      <alignment horizontal="left"/>
    </xf>
    <xf numFmtId="0" fontId="13" fillId="10" borderId="16" xfId="1" applyNumberFormat="1" applyFont="1" applyFill="1" applyBorder="1" applyAlignment="1" applyProtection="1"/>
    <xf numFmtId="0" fontId="13" fillId="10" borderId="17" xfId="1" applyNumberFormat="1" applyFont="1" applyFill="1" applyBorder="1" applyAlignment="1" applyProtection="1"/>
    <xf numFmtId="0" fontId="13" fillId="10" borderId="5" xfId="1" applyNumberFormat="1" applyFont="1" applyFill="1" applyBorder="1" applyAlignment="1" applyProtection="1"/>
    <xf numFmtId="0" fontId="16" fillId="8" borderId="0" xfId="1" applyFont="1" applyFill="1"/>
    <xf numFmtId="0" fontId="8" fillId="3" borderId="18" xfId="1" applyFont="1" applyFill="1" applyBorder="1"/>
    <xf numFmtId="0" fontId="8" fillId="3" borderId="3" xfId="1" applyFont="1" applyFill="1" applyBorder="1" applyAlignment="1">
      <alignment horizontal="left"/>
    </xf>
    <xf numFmtId="0" fontId="8" fillId="3" borderId="3" xfId="1" applyFont="1" applyFill="1" applyBorder="1" applyAlignment="1">
      <alignment horizontal="center"/>
    </xf>
    <xf numFmtId="169" fontId="8" fillId="0" borderId="16" xfId="10" applyNumberFormat="1" applyFont="1" applyFill="1" applyBorder="1" applyAlignment="1">
      <alignment horizontal="center"/>
    </xf>
    <xf numFmtId="0" fontId="8" fillId="3" borderId="13" xfId="1" applyNumberFormat="1" applyFont="1" applyFill="1" applyBorder="1" applyAlignment="1">
      <alignment horizontal="center"/>
    </xf>
    <xf numFmtId="0" fontId="8" fillId="3" borderId="16" xfId="1" applyNumberFormat="1" applyFont="1" applyFill="1" applyBorder="1" applyAlignment="1">
      <alignment horizontal="center"/>
    </xf>
    <xf numFmtId="0" fontId="8" fillId="3" borderId="16" xfId="1" applyNumberFormat="1" applyFont="1" applyFill="1" applyBorder="1" applyAlignment="1">
      <alignment horizontal="left"/>
    </xf>
    <xf numFmtId="0" fontId="8" fillId="11" borderId="16" xfId="1" applyNumberFormat="1" applyFont="1" applyFill="1" applyBorder="1" applyAlignment="1" applyProtection="1"/>
    <xf numFmtId="168" fontId="8" fillId="0" borderId="17" xfId="4" applyNumberFormat="1" applyFont="1" applyBorder="1"/>
    <xf numFmtId="10" fontId="8" fillId="8" borderId="0" xfId="4" applyNumberFormat="1" applyFont="1" applyFill="1"/>
    <xf numFmtId="169" fontId="8" fillId="0" borderId="17" xfId="10" applyNumberFormat="1" applyFont="1" applyFill="1" applyBorder="1" applyAlignment="1">
      <alignment horizontal="center"/>
    </xf>
    <xf numFmtId="0" fontId="8" fillId="3" borderId="11" xfId="1" applyNumberFormat="1" applyFont="1" applyFill="1" applyBorder="1" applyAlignment="1">
      <alignment horizontal="center"/>
    </xf>
    <xf numFmtId="0" fontId="8" fillId="3" borderId="17" xfId="1" applyNumberFormat="1" applyFont="1" applyFill="1" applyBorder="1" applyAlignment="1">
      <alignment horizontal="center"/>
    </xf>
    <xf numFmtId="0" fontId="8" fillId="3" borderId="17" xfId="1" applyNumberFormat="1" applyFont="1" applyFill="1" applyBorder="1" applyAlignment="1">
      <alignment horizontal="left"/>
    </xf>
    <xf numFmtId="0" fontId="8" fillId="11" borderId="17" xfId="1" applyNumberFormat="1" applyFont="1" applyFill="1" applyBorder="1" applyAlignment="1" applyProtection="1"/>
    <xf numFmtId="169" fontId="8" fillId="0" borderId="5" xfId="10" applyNumberFormat="1" applyFont="1" applyFill="1" applyBorder="1" applyAlignment="1">
      <alignment horizontal="center"/>
    </xf>
    <xf numFmtId="0" fontId="8" fillId="3" borderId="6" xfId="1" applyNumberFormat="1" applyFont="1" applyFill="1" applyBorder="1" applyAlignment="1">
      <alignment horizontal="center"/>
    </xf>
    <xf numFmtId="0" fontId="8" fillId="3" borderId="5" xfId="1" applyNumberFormat="1" applyFont="1" applyFill="1" applyBorder="1" applyAlignment="1">
      <alignment horizontal="center"/>
    </xf>
    <xf numFmtId="0" fontId="8" fillId="3" borderId="5" xfId="1" applyNumberFormat="1" applyFont="1" applyFill="1" applyBorder="1" applyAlignment="1">
      <alignment horizontal="left"/>
    </xf>
    <xf numFmtId="0" fontId="8" fillId="11" borderId="5" xfId="1" applyNumberFormat="1" applyFont="1" applyFill="1" applyBorder="1" applyAlignment="1" applyProtection="1"/>
    <xf numFmtId="168" fontId="8" fillId="0" borderId="5" xfId="4" applyNumberFormat="1" applyFont="1" applyBorder="1"/>
    <xf numFmtId="0" fontId="8" fillId="3" borderId="8" xfId="1" applyFont="1" applyFill="1" applyBorder="1"/>
    <xf numFmtId="0" fontId="8" fillId="3" borderId="6" xfId="1" applyFont="1" applyFill="1" applyBorder="1" applyAlignment="1">
      <alignment horizontal="center"/>
    </xf>
    <xf numFmtId="0" fontId="15" fillId="8" borderId="0" xfId="0" applyFont="1" applyFill="1"/>
    <xf numFmtId="0" fontId="10" fillId="7" borderId="7" xfId="1" applyFont="1" applyFill="1" applyBorder="1" applyAlignment="1">
      <alignment horizontal="center" vertical="center" wrapText="1"/>
    </xf>
    <xf numFmtId="0" fontId="8" fillId="7" borderId="1" xfId="1" applyFont="1" applyFill="1" applyBorder="1" applyAlignment="1">
      <alignment horizontal="center"/>
    </xf>
    <xf numFmtId="168" fontId="8" fillId="0" borderId="17" xfId="4" applyNumberFormat="1" applyFont="1" applyFill="1" applyBorder="1" applyAlignment="1">
      <alignment horizontal="center"/>
    </xf>
    <xf numFmtId="168" fontId="8" fillId="0" borderId="5" xfId="4" applyNumberFormat="1" applyFont="1" applyFill="1" applyBorder="1" applyAlignment="1">
      <alignment horizontal="center"/>
    </xf>
    <xf numFmtId="0" fontId="8" fillId="0" borderId="0" xfId="1" applyFont="1" applyBorder="1" applyAlignment="1">
      <alignment horizontal="center"/>
    </xf>
    <xf numFmtId="0" fontId="8" fillId="0" borderId="14" xfId="1" applyFont="1" applyBorder="1" applyAlignment="1"/>
    <xf numFmtId="0" fontId="8" fillId="7" borderId="15" xfId="1" applyFont="1" applyFill="1" applyBorder="1" applyAlignment="1">
      <alignment horizontal="center"/>
    </xf>
    <xf numFmtId="0" fontId="8" fillId="7" borderId="13" xfId="1" applyFont="1" applyFill="1" applyBorder="1" applyAlignment="1">
      <alignment horizontal="center"/>
    </xf>
    <xf numFmtId="0" fontId="8" fillId="0" borderId="13" xfId="4" applyNumberFormat="1" applyFont="1" applyFill="1" applyBorder="1" applyAlignment="1">
      <alignment horizontal="center"/>
    </xf>
    <xf numFmtId="0" fontId="8" fillId="0" borderId="11" xfId="4" applyNumberFormat="1" applyFont="1" applyFill="1" applyBorder="1" applyAlignment="1">
      <alignment horizontal="center"/>
    </xf>
    <xf numFmtId="0" fontId="8" fillId="0" borderId="6" xfId="4" applyNumberFormat="1" applyFont="1" applyFill="1" applyBorder="1" applyAlignment="1">
      <alignment horizontal="center"/>
    </xf>
    <xf numFmtId="0" fontId="8" fillId="8" borderId="0" xfId="1" applyFont="1" applyFill="1" applyAlignment="1">
      <alignment horizontal="center"/>
    </xf>
    <xf numFmtId="0" fontId="8" fillId="3" borderId="14" xfId="1" applyFont="1" applyFill="1" applyBorder="1" applyAlignment="1">
      <alignment horizontal="center"/>
    </xf>
    <xf numFmtId="0" fontId="8" fillId="3" borderId="10" xfId="1" applyFont="1" applyFill="1" applyBorder="1" applyAlignment="1">
      <alignment horizontal="center"/>
    </xf>
    <xf numFmtId="0" fontId="8" fillId="3" borderId="9" xfId="1" applyFont="1" applyFill="1" applyBorder="1" applyAlignment="1">
      <alignment horizontal="center"/>
    </xf>
    <xf numFmtId="168" fontId="8" fillId="0" borderId="16" xfId="4" applyNumberFormat="1" applyFont="1" applyFill="1" applyBorder="1" applyAlignment="1">
      <alignment horizontal="center"/>
    </xf>
    <xf numFmtId="0" fontId="8" fillId="0" borderId="17" xfId="1" applyFont="1" applyBorder="1" applyAlignment="1">
      <alignment horizontal="center"/>
    </xf>
    <xf numFmtId="0" fontId="8" fillId="0" borderId="5" xfId="1" applyFont="1" applyBorder="1" applyAlignment="1">
      <alignment horizontal="center"/>
    </xf>
    <xf numFmtId="0" fontId="8" fillId="5" borderId="0" xfId="1" applyFont="1" applyFill="1" applyBorder="1" applyAlignment="1">
      <alignment horizontal="center"/>
    </xf>
    <xf numFmtId="0" fontId="8" fillId="3" borderId="15" xfId="1" applyFont="1" applyFill="1" applyBorder="1" applyAlignment="1">
      <alignment horizontal="center"/>
    </xf>
    <xf numFmtId="0" fontId="8" fillId="12" borderId="16" xfId="1" applyNumberFormat="1" applyFont="1" applyFill="1" applyBorder="1" applyAlignment="1" applyProtection="1"/>
    <xf numFmtId="0" fontId="8" fillId="5" borderId="17" xfId="4" applyNumberFormat="1" applyFont="1" applyFill="1" applyBorder="1" applyAlignment="1">
      <alignment horizontal="center"/>
    </xf>
    <xf numFmtId="169" fontId="8" fillId="5" borderId="17" xfId="4" applyNumberFormat="1" applyFont="1" applyFill="1" applyBorder="1" applyAlignment="1"/>
    <xf numFmtId="0" fontId="8" fillId="12" borderId="17" xfId="1" applyNumberFormat="1" applyFont="1" applyFill="1" applyBorder="1" applyAlignment="1" applyProtection="1"/>
    <xf numFmtId="0" fontId="8" fillId="12" borderId="5" xfId="1" applyNumberFormat="1" applyFont="1" applyFill="1" applyBorder="1" applyAlignment="1" applyProtection="1"/>
    <xf numFmtId="0" fontId="8" fillId="5" borderId="5" xfId="4" applyNumberFormat="1" applyFont="1" applyFill="1" applyBorder="1" applyAlignment="1">
      <alignment horizontal="center"/>
    </xf>
    <xf numFmtId="169" fontId="8" fillId="5" borderId="5" xfId="4" applyNumberFormat="1" applyFont="1" applyFill="1" applyBorder="1" applyAlignment="1"/>
    <xf numFmtId="169" fontId="8" fillId="5" borderId="17" xfId="4" applyNumberFormat="1" applyFont="1" applyFill="1" applyBorder="1" applyAlignment="1">
      <alignment horizontal="center"/>
    </xf>
    <xf numFmtId="169" fontId="8" fillId="5" borderId="5" xfId="4" applyNumberFormat="1" applyFont="1" applyFill="1" applyBorder="1" applyAlignment="1">
      <alignment horizontal="center"/>
    </xf>
    <xf numFmtId="0" fontId="8" fillId="5" borderId="17" xfId="1" applyFont="1" applyFill="1" applyBorder="1" applyAlignment="1">
      <alignment horizontal="center"/>
    </xf>
    <xf numFmtId="0" fontId="8" fillId="5" borderId="5" xfId="1" applyFont="1" applyFill="1" applyBorder="1" applyAlignment="1">
      <alignment horizontal="center"/>
    </xf>
    <xf numFmtId="0" fontId="8" fillId="5" borderId="16" xfId="4" applyNumberFormat="1" applyFont="1" applyFill="1" applyBorder="1" applyAlignment="1">
      <alignment horizontal="center"/>
    </xf>
    <xf numFmtId="0" fontId="8" fillId="12" borderId="16" xfId="1" applyNumberFormat="1" applyFont="1" applyFill="1" applyBorder="1" applyAlignment="1" applyProtection="1">
      <alignment vertical="center"/>
    </xf>
    <xf numFmtId="2" fontId="8" fillId="0" borderId="17" xfId="4" applyNumberFormat="1" applyFont="1" applyFill="1" applyBorder="1" applyAlignment="1"/>
    <xf numFmtId="49" fontId="8" fillId="0" borderId="17" xfId="4" applyNumberFormat="1" applyFont="1" applyFill="1" applyBorder="1" applyAlignment="1">
      <alignment horizontal="center"/>
    </xf>
    <xf numFmtId="0" fontId="8" fillId="12" borderId="17" xfId="1" applyNumberFormat="1" applyFont="1" applyFill="1" applyBorder="1" applyAlignment="1" applyProtection="1">
      <alignment vertical="center"/>
    </xf>
    <xf numFmtId="49" fontId="8" fillId="0" borderId="5" xfId="4" applyNumberFormat="1" applyFont="1" applyFill="1" applyBorder="1" applyAlignment="1">
      <alignment horizontal="center"/>
    </xf>
    <xf numFmtId="0" fontId="8" fillId="12" borderId="5" xfId="1" applyNumberFormat="1" applyFont="1" applyFill="1" applyBorder="1" applyAlignment="1" applyProtection="1">
      <alignment vertical="center"/>
    </xf>
    <xf numFmtId="2" fontId="8" fillId="0" borderId="5" xfId="4" applyNumberFormat="1" applyFont="1" applyFill="1" applyBorder="1" applyAlignment="1"/>
    <xf numFmtId="2" fontId="8" fillId="0" borderId="17" xfId="4" applyNumberFormat="1" applyFont="1" applyBorder="1" applyAlignment="1"/>
    <xf numFmtId="2" fontId="8" fillId="0" borderId="16" xfId="4" applyNumberFormat="1" applyFont="1" applyFill="1" applyBorder="1" applyAlignment="1"/>
    <xf numFmtId="0" fontId="16" fillId="5" borderId="17" xfId="1" applyFont="1" applyFill="1" applyBorder="1"/>
    <xf numFmtId="0" fontId="8" fillId="5" borderId="17" xfId="1" applyFont="1" applyFill="1" applyBorder="1"/>
    <xf numFmtId="2" fontId="8" fillId="3" borderId="12" xfId="1" applyNumberFormat="1" applyFont="1" applyFill="1" applyBorder="1" applyAlignment="1"/>
    <xf numFmtId="0" fontId="8" fillId="3" borderId="12" xfId="1" applyFont="1" applyFill="1" applyBorder="1" applyAlignment="1"/>
    <xf numFmtId="0" fontId="8" fillId="3" borderId="5" xfId="1" applyFont="1" applyFill="1" applyBorder="1" applyAlignment="1"/>
    <xf numFmtId="0" fontId="8" fillId="3" borderId="1" xfId="1" applyFont="1" applyFill="1" applyBorder="1" applyAlignment="1"/>
    <xf numFmtId="0" fontId="8" fillId="3" borderId="1" xfId="1" applyFont="1" applyFill="1" applyBorder="1"/>
    <xf numFmtId="2" fontId="8" fillId="6" borderId="17" xfId="4" applyNumberFormat="1" applyFont="1" applyFill="1" applyBorder="1" applyAlignment="1"/>
    <xf numFmtId="2" fontId="8" fillId="6" borderId="5" xfId="4" applyNumberFormat="1" applyFont="1" applyFill="1" applyBorder="1" applyAlignment="1"/>
    <xf numFmtId="0" fontId="8" fillId="8" borderId="0" xfId="2" applyFont="1" applyFill="1"/>
    <xf numFmtId="0" fontId="8" fillId="8" borderId="0" xfId="13" applyFont="1" applyFill="1"/>
    <xf numFmtId="0" fontId="8" fillId="7" borderId="1" xfId="13" applyNumberFormat="1" applyFont="1" applyFill="1" applyBorder="1"/>
    <xf numFmtId="0" fontId="8" fillId="7" borderId="16" xfId="13" applyFont="1" applyFill="1" applyBorder="1" applyAlignment="1">
      <alignment horizontal="center"/>
    </xf>
    <xf numFmtId="0" fontId="8" fillId="7" borderId="17" xfId="13" applyFont="1" applyFill="1" applyBorder="1" applyAlignment="1">
      <alignment horizontal="center"/>
    </xf>
    <xf numFmtId="0" fontId="8" fillId="7" borderId="5" xfId="13" applyFont="1" applyFill="1" applyBorder="1" applyAlignment="1">
      <alignment horizontal="center"/>
    </xf>
    <xf numFmtId="0" fontId="8" fillId="13" borderId="13" xfId="13" applyNumberFormat="1" applyFont="1" applyFill="1" applyBorder="1" applyAlignment="1" applyProtection="1"/>
    <xf numFmtId="0" fontId="8" fillId="13" borderId="11" xfId="13" applyNumberFormat="1" applyFont="1" applyFill="1" applyBorder="1" applyAlignment="1" applyProtection="1"/>
    <xf numFmtId="0" fontId="8" fillId="13" borderId="6" xfId="13" applyNumberFormat="1" applyFont="1" applyFill="1" applyBorder="1" applyAlignment="1" applyProtection="1"/>
    <xf numFmtId="0" fontId="8" fillId="12" borderId="16" xfId="13" applyNumberFormat="1" applyFont="1" applyFill="1" applyBorder="1" applyAlignment="1" applyProtection="1"/>
    <xf numFmtId="0" fontId="8" fillId="12" borderId="17" xfId="13" applyNumberFormat="1" applyFont="1" applyFill="1" applyBorder="1" applyAlignment="1" applyProtection="1"/>
    <xf numFmtId="0" fontId="8" fillId="12" borderId="5" xfId="13" applyNumberFormat="1" applyFont="1" applyFill="1" applyBorder="1" applyAlignment="1" applyProtection="1"/>
    <xf numFmtId="0" fontId="8" fillId="12" borderId="2" xfId="13" applyNumberFormat="1" applyFont="1" applyFill="1" applyBorder="1" applyAlignment="1" applyProtection="1">
      <alignment horizontal="center"/>
    </xf>
    <xf numFmtId="0" fontId="8" fillId="7" borderId="1" xfId="2" applyFont="1" applyFill="1" applyBorder="1"/>
    <xf numFmtId="0" fontId="8" fillId="14" borderId="2" xfId="13" applyNumberFormat="1" applyFont="1" applyFill="1" applyBorder="1" applyAlignment="1" applyProtection="1">
      <alignment horizontal="center"/>
    </xf>
    <xf numFmtId="0" fontId="8" fillId="14" borderId="1" xfId="13" applyNumberFormat="1" applyFont="1" applyFill="1" applyBorder="1" applyAlignment="1" applyProtection="1">
      <alignment horizontal="center" vertical="center"/>
    </xf>
    <xf numFmtId="0" fontId="8" fillId="5" borderId="16" xfId="13" applyFont="1" applyFill="1" applyBorder="1" applyAlignment="1">
      <alignment horizontal="center"/>
    </xf>
    <xf numFmtId="0" fontId="8" fillId="5" borderId="16" xfId="2" applyFont="1" applyFill="1" applyBorder="1"/>
    <xf numFmtId="0" fontId="8" fillId="5" borderId="17" xfId="13" applyFont="1" applyFill="1" applyBorder="1" applyAlignment="1">
      <alignment horizontal="center"/>
    </xf>
    <xf numFmtId="0" fontId="8" fillId="5" borderId="17" xfId="2" applyFont="1" applyFill="1" applyBorder="1"/>
    <xf numFmtId="0" fontId="8" fillId="5" borderId="5" xfId="13" applyFont="1" applyFill="1" applyBorder="1" applyAlignment="1">
      <alignment horizontal="center"/>
    </xf>
    <xf numFmtId="0" fontId="8" fillId="5" borderId="5" xfId="2" applyFont="1" applyFill="1" applyBorder="1"/>
    <xf numFmtId="0" fontId="8" fillId="12" borderId="1" xfId="13" applyNumberFormat="1" applyFont="1" applyFill="1" applyBorder="1" applyAlignment="1" applyProtection="1">
      <alignment horizontal="center"/>
    </xf>
    <xf numFmtId="0" fontId="8" fillId="7" borderId="1" xfId="1" applyFont="1" applyFill="1" applyBorder="1" applyAlignment="1">
      <alignment horizontal="center" vertical="center" wrapText="1"/>
    </xf>
    <xf numFmtId="0" fontId="17" fillId="3" borderId="12" xfId="1" applyFont="1" applyFill="1" applyBorder="1"/>
    <xf numFmtId="0" fontId="10" fillId="3" borderId="16" xfId="1" applyFont="1" applyFill="1" applyBorder="1" applyAlignment="1">
      <alignment horizontal="center"/>
    </xf>
    <xf numFmtId="0" fontId="8" fillId="3" borderId="15" xfId="1" applyFont="1" applyFill="1" applyBorder="1" applyAlignment="1">
      <alignment horizontal="left"/>
    </xf>
    <xf numFmtId="170" fontId="8" fillId="3" borderId="15" xfId="10" applyNumberFormat="1" applyFont="1" applyFill="1" applyBorder="1" applyAlignment="1">
      <alignment horizontal="center"/>
    </xf>
    <xf numFmtId="1" fontId="8" fillId="0" borderId="16" xfId="4" applyNumberFormat="1" applyFont="1" applyFill="1" applyBorder="1" applyAlignment="1">
      <alignment horizontal="center"/>
    </xf>
    <xf numFmtId="171" fontId="8" fillId="0" borderId="16" xfId="4" applyNumberFormat="1" applyFont="1" applyFill="1" applyBorder="1" applyAlignment="1">
      <alignment horizontal="center"/>
    </xf>
    <xf numFmtId="0" fontId="8" fillId="3" borderId="17" xfId="1" applyFont="1" applyFill="1" applyBorder="1" applyAlignment="1"/>
    <xf numFmtId="168" fontId="8" fillId="0" borderId="16" xfId="1" applyNumberFormat="1" applyFont="1" applyFill="1" applyBorder="1" applyAlignment="1"/>
    <xf numFmtId="170" fontId="8" fillId="3" borderId="16" xfId="10" applyNumberFormat="1" applyFont="1" applyFill="1" applyBorder="1" applyAlignment="1">
      <alignment horizontal="left"/>
    </xf>
    <xf numFmtId="170" fontId="8" fillId="3" borderId="16" xfId="10" applyNumberFormat="1" applyFont="1" applyFill="1" applyBorder="1" applyAlignment="1">
      <alignment horizontal="center"/>
    </xf>
    <xf numFmtId="0" fontId="10" fillId="3" borderId="17" xfId="1" applyFont="1" applyFill="1" applyBorder="1" applyAlignment="1">
      <alignment horizontal="center"/>
    </xf>
    <xf numFmtId="170" fontId="8" fillId="3" borderId="12" xfId="10" applyNumberFormat="1" applyFont="1" applyFill="1" applyBorder="1" applyAlignment="1">
      <alignment horizontal="center"/>
    </xf>
    <xf numFmtId="165" fontId="13" fillId="12" borderId="17" xfId="1" applyNumberFormat="1" applyFont="1" applyFill="1" applyBorder="1" applyAlignment="1" applyProtection="1">
      <alignment horizontal="left"/>
    </xf>
    <xf numFmtId="1" fontId="8" fillId="0" borderId="17" xfId="4" applyNumberFormat="1" applyFont="1" applyFill="1" applyBorder="1" applyAlignment="1">
      <alignment horizontal="center"/>
    </xf>
    <xf numFmtId="171" fontId="8" fillId="0" borderId="17" xfId="4" applyNumberFormat="1" applyFont="1" applyFill="1" applyBorder="1" applyAlignment="1">
      <alignment horizontal="center"/>
    </xf>
    <xf numFmtId="168" fontId="8" fillId="0" borderId="17" xfId="1" applyNumberFormat="1" applyFont="1" applyFill="1" applyBorder="1" applyAlignment="1"/>
    <xf numFmtId="170" fontId="8" fillId="3" borderId="17" xfId="10" applyNumberFormat="1" applyFont="1" applyFill="1" applyBorder="1" applyAlignment="1">
      <alignment horizontal="left"/>
    </xf>
    <xf numFmtId="170" fontId="8" fillId="3" borderId="17" xfId="10" applyNumberFormat="1" applyFont="1" applyFill="1" applyBorder="1" applyAlignment="1">
      <alignment horizontal="center"/>
    </xf>
    <xf numFmtId="0" fontId="8" fillId="8" borderId="0" xfId="1" quotePrefix="1" applyFont="1" applyFill="1"/>
    <xf numFmtId="168" fontId="8" fillId="0" borderId="17" xfId="1" applyNumberFormat="1" applyFont="1" applyBorder="1" applyAlignment="1"/>
    <xf numFmtId="0" fontId="10" fillId="3" borderId="5" xfId="1" applyFont="1" applyFill="1" applyBorder="1" applyAlignment="1">
      <alignment horizontal="center"/>
    </xf>
    <xf numFmtId="0" fontId="8" fillId="3" borderId="10" xfId="1" applyFont="1" applyFill="1" applyBorder="1" applyAlignment="1">
      <alignment horizontal="left"/>
    </xf>
    <xf numFmtId="170" fontId="8" fillId="3" borderId="10" xfId="10" applyNumberFormat="1" applyFont="1" applyFill="1" applyBorder="1" applyAlignment="1">
      <alignment horizontal="center"/>
    </xf>
    <xf numFmtId="165" fontId="13" fillId="12" borderId="5" xfId="1" applyNumberFormat="1" applyFont="1" applyFill="1" applyBorder="1" applyAlignment="1" applyProtection="1">
      <alignment horizontal="left"/>
    </xf>
    <xf numFmtId="1" fontId="8" fillId="0" borderId="5" xfId="4" applyNumberFormat="1" applyFont="1" applyFill="1" applyBorder="1" applyAlignment="1">
      <alignment horizontal="center"/>
    </xf>
    <xf numFmtId="171" fontId="8" fillId="0" borderId="5" xfId="4" applyNumberFormat="1" applyFont="1" applyFill="1" applyBorder="1" applyAlignment="1">
      <alignment horizontal="center"/>
    </xf>
    <xf numFmtId="168" fontId="8" fillId="0" borderId="5" xfId="1" applyNumberFormat="1" applyFont="1" applyBorder="1" applyAlignment="1"/>
    <xf numFmtId="170" fontId="8" fillId="3" borderId="5" xfId="10" applyNumberFormat="1" applyFont="1" applyFill="1" applyBorder="1" applyAlignment="1">
      <alignment horizontal="left"/>
    </xf>
    <xf numFmtId="170" fontId="8" fillId="3" borderId="5" xfId="10" applyNumberFormat="1" applyFont="1" applyFill="1" applyBorder="1" applyAlignment="1">
      <alignment horizontal="center"/>
    </xf>
    <xf numFmtId="0" fontId="17" fillId="3" borderId="10" xfId="1" applyFont="1" applyFill="1" applyBorder="1"/>
    <xf numFmtId="0" fontId="8" fillId="14" borderId="1" xfId="1" applyNumberFormat="1" applyFont="1" applyFill="1" applyBorder="1" applyAlignment="1" applyProtection="1">
      <alignment horizontal="center" vertical="center" wrapText="1"/>
    </xf>
    <xf numFmtId="168" fontId="10" fillId="6" borderId="1" xfId="4" applyNumberFormat="1" applyFont="1" applyFill="1" applyBorder="1" applyAlignment="1">
      <alignment horizontal="center" vertical="center" wrapText="1"/>
    </xf>
    <xf numFmtId="171" fontId="10" fillId="7" borderId="1" xfId="4" applyNumberFormat="1" applyFont="1" applyFill="1" applyBorder="1" applyAlignment="1">
      <alignment horizontal="center" vertical="center" wrapText="1"/>
    </xf>
    <xf numFmtId="165" fontId="8" fillId="3" borderId="0" xfId="4" applyNumberFormat="1" applyFont="1" applyFill="1" applyBorder="1" applyAlignment="1">
      <alignment horizontal="center"/>
    </xf>
    <xf numFmtId="168" fontId="8" fillId="3" borderId="0" xfId="4" applyNumberFormat="1" applyFont="1" applyFill="1" applyBorder="1" applyAlignment="1">
      <alignment horizontal="center"/>
    </xf>
    <xf numFmtId="165" fontId="13" fillId="12" borderId="1" xfId="1" applyNumberFormat="1" applyFont="1" applyFill="1" applyBorder="1" applyAlignment="1" applyProtection="1">
      <alignment horizontal="left"/>
    </xf>
    <xf numFmtId="173" fontId="8" fillId="0" borderId="16" xfId="4" applyNumberFormat="1" applyFont="1" applyFill="1" applyBorder="1" applyAlignment="1"/>
    <xf numFmtId="171" fontId="8" fillId="0" borderId="5" xfId="4" applyNumberFormat="1" applyFont="1" applyFill="1" applyBorder="1" applyAlignment="1"/>
    <xf numFmtId="172" fontId="8" fillId="0" borderId="5" xfId="4" applyNumberFormat="1" applyFont="1" applyFill="1" applyBorder="1" applyAlignment="1"/>
    <xf numFmtId="165" fontId="8" fillId="14" borderId="1" xfId="1" applyNumberFormat="1" applyFont="1" applyFill="1" applyBorder="1" applyAlignment="1" applyProtection="1">
      <alignment horizontal="center" vertical="center" wrapText="1"/>
    </xf>
    <xf numFmtId="0" fontId="8" fillId="3" borderId="15" xfId="1" applyFont="1" applyFill="1" applyBorder="1"/>
    <xf numFmtId="0" fontId="10" fillId="6" borderId="19" xfId="4" applyNumberFormat="1" applyFont="1" applyFill="1" applyBorder="1" applyAlignment="1">
      <alignment horizontal="center"/>
    </xf>
    <xf numFmtId="0" fontId="8" fillId="0" borderId="14" xfId="4" applyNumberFormat="1" applyFont="1" applyFill="1" applyBorder="1" applyAlignment="1">
      <alignment horizontal="center"/>
    </xf>
    <xf numFmtId="168" fontId="8" fillId="0" borderId="14" xfId="4" applyNumberFormat="1" applyFont="1" applyFill="1" applyBorder="1" applyAlignment="1"/>
    <xf numFmtId="171" fontId="8" fillId="0" borderId="14" xfId="4" applyNumberFormat="1" applyFont="1" applyFill="1" applyBorder="1" applyAlignment="1"/>
    <xf numFmtId="0" fontId="9" fillId="7" borderId="1" xfId="1" applyNumberFormat="1" applyFont="1" applyFill="1" applyBorder="1" applyAlignment="1">
      <alignment horizontal="center" vertical="center" wrapText="1"/>
    </xf>
    <xf numFmtId="0" fontId="8" fillId="7" borderId="1" xfId="1" applyNumberFormat="1" applyFont="1" applyFill="1" applyBorder="1" applyAlignment="1"/>
    <xf numFmtId="0" fontId="8" fillId="13" borderId="5" xfId="1" applyNumberFormat="1" applyFont="1" applyFill="1" applyBorder="1" applyAlignment="1" applyProtection="1"/>
    <xf numFmtId="0" fontId="8" fillId="13" borderId="1" xfId="1" applyNumberFormat="1" applyFont="1" applyFill="1" applyBorder="1" applyAlignment="1" applyProtection="1"/>
    <xf numFmtId="0" fontId="8" fillId="7" borderId="1" xfId="1" applyNumberFormat="1" applyFont="1" applyFill="1" applyBorder="1" applyAlignment="1">
      <alignment horizontal="center" vertical="center"/>
    </xf>
    <xf numFmtId="0" fontId="8" fillId="13" borderId="2" xfId="1" applyNumberFormat="1" applyFont="1" applyFill="1" applyBorder="1" applyAlignment="1" applyProtection="1">
      <alignment horizontal="center" vertical="center"/>
    </xf>
    <xf numFmtId="0" fontId="8" fillId="13" borderId="13" xfId="1" applyNumberFormat="1" applyFont="1" applyFill="1" applyBorder="1" applyAlignment="1" applyProtection="1"/>
    <xf numFmtId="0" fontId="8" fillId="13" borderId="16" xfId="1" applyNumberFormat="1" applyFont="1" applyFill="1" applyBorder="1" applyAlignment="1" applyProtection="1"/>
    <xf numFmtId="0" fontId="8" fillId="13" borderId="11" xfId="1" applyNumberFormat="1" applyFont="1" applyFill="1" applyBorder="1" applyAlignment="1" applyProtection="1"/>
    <xf numFmtId="0" fontId="8" fillId="13" borderId="17" xfId="1" applyNumberFormat="1" applyFont="1" applyFill="1" applyBorder="1" applyAlignment="1" applyProtection="1"/>
    <xf numFmtId="0" fontId="8" fillId="13" borderId="6" xfId="1" applyNumberFormat="1" applyFont="1" applyFill="1" applyBorder="1" applyAlignment="1" applyProtection="1"/>
    <xf numFmtId="165" fontId="8" fillId="13" borderId="5" xfId="1" applyNumberFormat="1" applyFont="1" applyFill="1" applyBorder="1" applyAlignment="1" applyProtection="1">
      <alignment horizontal="left"/>
    </xf>
    <xf numFmtId="169" fontId="10" fillId="6" borderId="1" xfId="12" applyNumberFormat="1" applyFont="1" applyFill="1" applyBorder="1" applyAlignment="1">
      <alignment horizontal="center" vertical="center" wrapText="1"/>
    </xf>
    <xf numFmtId="169" fontId="10" fillId="7" borderId="1" xfId="12" applyNumberFormat="1" applyFont="1" applyFill="1" applyBorder="1" applyAlignment="1">
      <alignment horizontal="center" vertical="center" wrapText="1"/>
    </xf>
    <xf numFmtId="169" fontId="8" fillId="0" borderId="17" xfId="12" applyNumberFormat="1" applyFont="1" applyFill="1" applyBorder="1" applyAlignment="1"/>
    <xf numFmtId="168" fontId="8" fillId="0" borderId="17" xfId="12" applyNumberFormat="1" applyFont="1" applyFill="1" applyBorder="1" applyAlignment="1"/>
    <xf numFmtId="0" fontId="8" fillId="0" borderId="17" xfId="11" applyFont="1" applyBorder="1" applyAlignment="1"/>
    <xf numFmtId="169" fontId="8" fillId="0" borderId="5" xfId="12" applyNumberFormat="1" applyFont="1" applyFill="1" applyBorder="1" applyAlignment="1"/>
    <xf numFmtId="168" fontId="8" fillId="0" borderId="5" xfId="12" applyNumberFormat="1" applyFont="1" applyFill="1" applyBorder="1" applyAlignment="1"/>
    <xf numFmtId="0" fontId="8" fillId="0" borderId="5" xfId="11" applyFont="1" applyBorder="1" applyAlignment="1"/>
    <xf numFmtId="0" fontId="8" fillId="5" borderId="16" xfId="1" applyNumberFormat="1" applyFont="1" applyFill="1" applyBorder="1" applyAlignment="1"/>
    <xf numFmtId="0" fontId="8" fillId="5" borderId="17" xfId="1" applyNumberFormat="1" applyFont="1" applyFill="1" applyBorder="1" applyAlignment="1"/>
    <xf numFmtId="0" fontId="8" fillId="5" borderId="5" xfId="1" applyNumberFormat="1" applyFont="1" applyFill="1" applyBorder="1" applyAlignment="1"/>
    <xf numFmtId="0" fontId="15" fillId="7" borderId="16" xfId="0" applyFont="1" applyFill="1" applyBorder="1"/>
    <xf numFmtId="0" fontId="15" fillId="7" borderId="17" xfId="0" applyFont="1" applyFill="1" applyBorder="1"/>
    <xf numFmtId="0" fontId="15" fillId="7" borderId="5" xfId="0" applyFont="1" applyFill="1" applyBorder="1"/>
    <xf numFmtId="0" fontId="8" fillId="5" borderId="16" xfId="1" applyFont="1" applyFill="1" applyBorder="1" applyAlignment="1">
      <alignment horizontal="center"/>
    </xf>
    <xf numFmtId="0" fontId="13" fillId="3" borderId="16" xfId="1" quotePrefix="1" applyFont="1" applyFill="1" applyBorder="1" applyAlignment="1">
      <alignment horizontal="center"/>
    </xf>
    <xf numFmtId="171" fontId="8" fillId="5" borderId="0" xfId="1" applyNumberFormat="1" applyFont="1" applyFill="1" applyBorder="1" applyAlignment="1">
      <alignment horizontal="center"/>
    </xf>
    <xf numFmtId="0" fontId="8" fillId="5" borderId="9" xfId="1" applyFont="1" applyFill="1" applyBorder="1"/>
    <xf numFmtId="0" fontId="8" fillId="5" borderId="9" xfId="1" applyFont="1" applyFill="1" applyBorder="1" applyAlignment="1">
      <alignment horizontal="center"/>
    </xf>
    <xf numFmtId="0" fontId="8" fillId="8" borderId="1" xfId="1" applyFont="1" applyFill="1" applyBorder="1"/>
    <xf numFmtId="0" fontId="8" fillId="9" borderId="9" xfId="1" applyNumberFormat="1" applyFont="1" applyFill="1" applyBorder="1" applyAlignment="1"/>
    <xf numFmtId="0" fontId="8" fillId="5" borderId="16" xfId="4" applyNumberFormat="1" applyFont="1" applyFill="1" applyBorder="1" applyAlignment="1">
      <alignment vertical="center"/>
    </xf>
    <xf numFmtId="15" fontId="8" fillId="3" borderId="11" xfId="1" applyNumberFormat="1" applyFont="1" applyFill="1" applyBorder="1"/>
    <xf numFmtId="0" fontId="8" fillId="3" borderId="12" xfId="11" applyFont="1" applyFill="1" applyBorder="1"/>
    <xf numFmtId="0" fontId="8" fillId="3" borderId="11" xfId="11" applyFont="1" applyFill="1" applyBorder="1"/>
    <xf numFmtId="0" fontId="8" fillId="5" borderId="12" xfId="11" applyFont="1" applyFill="1" applyBorder="1"/>
    <xf numFmtId="0" fontId="8" fillId="5" borderId="11" xfId="11" applyFont="1" applyFill="1" applyBorder="1"/>
    <xf numFmtId="0" fontId="14" fillId="7" borderId="7" xfId="1" applyFont="1" applyFill="1" applyBorder="1" applyAlignment="1">
      <alignment horizontal="centerContinuous" vertical="center"/>
    </xf>
    <xf numFmtId="0" fontId="10" fillId="7" borderId="8" xfId="1" applyFont="1" applyFill="1" applyBorder="1" applyAlignment="1">
      <alignment horizontal="centerContinuous" vertical="center"/>
    </xf>
    <xf numFmtId="0" fontId="10" fillId="7" borderId="2" xfId="1" applyFont="1" applyFill="1" applyBorder="1" applyAlignment="1">
      <alignment horizontal="centerContinuous" vertical="center"/>
    </xf>
    <xf numFmtId="0" fontId="8" fillId="5" borderId="12" xfId="1" applyFont="1" applyFill="1" applyBorder="1"/>
    <xf numFmtId="0" fontId="8" fillId="5" borderId="13" xfId="1" applyFont="1" applyFill="1" applyBorder="1"/>
    <xf numFmtId="0" fontId="8" fillId="5" borderId="6" xfId="1" applyFont="1" applyFill="1" applyBorder="1"/>
    <xf numFmtId="0" fontId="8" fillId="3" borderId="15" xfId="2" applyFont="1" applyFill="1" applyBorder="1"/>
    <xf numFmtId="0" fontId="8" fillId="6" borderId="1" xfId="1" applyFont="1" applyFill="1" applyBorder="1"/>
    <xf numFmtId="0" fontId="8" fillId="3" borderId="12" xfId="2" applyFont="1" applyFill="1" applyBorder="1"/>
    <xf numFmtId="0" fontId="10" fillId="3" borderId="14" xfId="2" applyFont="1" applyFill="1" applyBorder="1"/>
    <xf numFmtId="176" fontId="8" fillId="6" borderId="1" xfId="12" applyNumberFormat="1" applyFont="1" applyFill="1" applyBorder="1" applyAlignment="1"/>
    <xf numFmtId="178" fontId="8" fillId="5" borderId="1" xfId="1" applyNumberFormat="1" applyFont="1" applyFill="1" applyBorder="1"/>
    <xf numFmtId="0" fontId="8" fillId="3" borderId="0" xfId="1" applyFont="1" applyFill="1" applyBorder="1"/>
    <xf numFmtId="0" fontId="8" fillId="3" borderId="17" xfId="1" applyFont="1" applyFill="1" applyBorder="1" applyAlignment="1">
      <alignment horizontal="center"/>
    </xf>
    <xf numFmtId="0" fontId="8" fillId="3" borderId="0" xfId="1" applyFont="1" applyFill="1" applyBorder="1" applyAlignment="1">
      <alignment horizontal="center"/>
    </xf>
    <xf numFmtId="0" fontId="8" fillId="2" borderId="0" xfId="1" applyFont="1" applyFill="1"/>
    <xf numFmtId="0" fontId="8" fillId="3" borderId="0" xfId="2" applyFont="1" applyFill="1" applyBorder="1"/>
    <xf numFmtId="0" fontId="8" fillId="13" borderId="5" xfId="1" applyNumberFormat="1" applyFont="1" applyFill="1" applyBorder="1" applyAlignment="1" applyProtection="1"/>
    <xf numFmtId="0" fontId="8" fillId="7" borderId="1" xfId="1" applyFont="1" applyFill="1" applyBorder="1" applyAlignment="1">
      <alignment horizontal="center" vertical="center"/>
    </xf>
    <xf numFmtId="0" fontId="8" fillId="0" borderId="1" xfId="1" applyFont="1" applyFill="1" applyBorder="1"/>
    <xf numFmtId="0" fontId="8" fillId="3" borderId="12" xfId="1" applyFont="1" applyFill="1" applyBorder="1"/>
    <xf numFmtId="0" fontId="8" fillId="3" borderId="11" xfId="1" applyFont="1" applyFill="1" applyBorder="1"/>
    <xf numFmtId="0" fontId="8" fillId="3" borderId="9" xfId="1" applyFont="1" applyFill="1" applyBorder="1"/>
    <xf numFmtId="0" fontId="8" fillId="3" borderId="6" xfId="1" applyFont="1" applyFill="1" applyBorder="1"/>
    <xf numFmtId="0" fontId="8" fillId="3" borderId="14" xfId="1" applyFont="1" applyFill="1" applyBorder="1"/>
    <xf numFmtId="0" fontId="8" fillId="5" borderId="1" xfId="1" applyFont="1" applyFill="1" applyBorder="1"/>
    <xf numFmtId="0" fontId="10" fillId="6" borderId="16" xfId="1" applyFont="1" applyFill="1" applyBorder="1" applyAlignment="1">
      <alignment horizontal="center" vertical="center" wrapText="1"/>
    </xf>
    <xf numFmtId="0" fontId="8" fillId="3" borderId="14" xfId="1" applyFont="1" applyFill="1" applyBorder="1" applyAlignment="1">
      <alignment horizontal="center"/>
    </xf>
    <xf numFmtId="0" fontId="18" fillId="3" borderId="0" xfId="1" applyFont="1" applyFill="1" applyBorder="1"/>
    <xf numFmtId="0" fontId="17" fillId="3" borderId="12" xfId="1" applyFont="1" applyFill="1" applyBorder="1"/>
    <xf numFmtId="0" fontId="8" fillId="3" borderId="17" xfId="1" applyFont="1" applyFill="1" applyBorder="1" applyAlignment="1"/>
    <xf numFmtId="0" fontId="17" fillId="3" borderId="10" xfId="1" applyFont="1" applyFill="1" applyBorder="1"/>
    <xf numFmtId="0" fontId="8" fillId="3" borderId="15" xfId="1" applyFont="1" applyFill="1" applyBorder="1"/>
    <xf numFmtId="0" fontId="17" fillId="3" borderId="13" xfId="1" applyFont="1" applyFill="1" applyBorder="1"/>
    <xf numFmtId="0" fontId="17" fillId="3" borderId="11" xfId="1" applyFont="1" applyFill="1" applyBorder="1"/>
    <xf numFmtId="0" fontId="8" fillId="3" borderId="14" xfId="2" applyFont="1" applyFill="1" applyBorder="1"/>
    <xf numFmtId="0" fontId="8" fillId="3" borderId="13" xfId="2" applyFont="1" applyFill="1" applyBorder="1"/>
    <xf numFmtId="0" fontId="8" fillId="3" borderId="11" xfId="2" applyFont="1" applyFill="1" applyBorder="1"/>
    <xf numFmtId="0" fontId="8" fillId="3" borderId="11" xfId="13" applyFont="1" applyFill="1" applyBorder="1"/>
    <xf numFmtId="0" fontId="8" fillId="3" borderId="10" xfId="13" applyFont="1" applyFill="1" applyBorder="1"/>
    <xf numFmtId="0" fontId="8" fillId="3" borderId="9" xfId="13" applyFont="1" applyFill="1" applyBorder="1"/>
    <xf numFmtId="0" fontId="8" fillId="3" borderId="6" xfId="13" applyFont="1" applyFill="1" applyBorder="1"/>
    <xf numFmtId="0" fontId="8" fillId="7" borderId="1" xfId="13" applyFont="1" applyFill="1" applyBorder="1" applyAlignment="1">
      <alignment horizontal="center"/>
    </xf>
    <xf numFmtId="176" fontId="8" fillId="10" borderId="17" xfId="12" applyNumberFormat="1" applyFont="1" applyFill="1" applyBorder="1" applyAlignment="1"/>
    <xf numFmtId="168" fontId="8" fillId="10" borderId="17" xfId="12" applyNumberFormat="1" applyFont="1" applyFill="1" applyBorder="1" applyAlignment="1"/>
    <xf numFmtId="176" fontId="8" fillId="10" borderId="5" xfId="12" applyNumberFormat="1" applyFont="1" applyFill="1" applyBorder="1" applyAlignment="1"/>
    <xf numFmtId="168" fontId="8" fillId="10" borderId="5" xfId="12" applyNumberFormat="1" applyFont="1" applyFill="1" applyBorder="1" applyAlignment="1"/>
    <xf numFmtId="168" fontId="8" fillId="10" borderId="16" xfId="4" applyNumberFormat="1" applyFont="1" applyFill="1" applyBorder="1" applyAlignment="1"/>
    <xf numFmtId="168" fontId="8" fillId="10" borderId="17" xfId="4" applyNumberFormat="1" applyFont="1" applyFill="1" applyBorder="1" applyAlignment="1"/>
    <xf numFmtId="168" fontId="8" fillId="10" borderId="5" xfId="4" applyNumberFormat="1" applyFont="1" applyFill="1" applyBorder="1" applyAlignment="1"/>
    <xf numFmtId="165" fontId="8" fillId="10" borderId="16" xfId="4" applyNumberFormat="1" applyFont="1" applyFill="1" applyBorder="1" applyAlignment="1"/>
    <xf numFmtId="165" fontId="8" fillId="10" borderId="17" xfId="4" applyNumberFormat="1" applyFont="1" applyFill="1" applyBorder="1" applyAlignment="1"/>
    <xf numFmtId="165" fontId="8" fillId="10" borderId="5" xfId="4" applyNumberFormat="1" applyFont="1" applyFill="1" applyBorder="1" applyAlignment="1"/>
    <xf numFmtId="2" fontId="8" fillId="10" borderId="17" xfId="4" applyNumberFormat="1" applyFont="1" applyFill="1" applyBorder="1" applyAlignment="1"/>
    <xf numFmtId="2" fontId="8" fillId="10" borderId="5" xfId="4" applyNumberFormat="1" applyFont="1" applyFill="1" applyBorder="1" applyAlignment="1"/>
    <xf numFmtId="168" fontId="10" fillId="7" borderId="7" xfId="4" applyNumberFormat="1" applyFont="1" applyFill="1" applyBorder="1" applyAlignment="1">
      <alignment horizontal="center" vertical="center" wrapText="1"/>
    </xf>
    <xf numFmtId="0" fontId="16" fillId="7" borderId="2" xfId="1" applyFont="1" applyFill="1" applyBorder="1" applyAlignment="1">
      <alignment horizontal="center" vertical="center" wrapText="1"/>
    </xf>
    <xf numFmtId="178" fontId="8" fillId="0" borderId="17" xfId="4" applyNumberFormat="1" applyFont="1" applyFill="1" applyBorder="1" applyAlignment="1"/>
    <xf numFmtId="0" fontId="8" fillId="6" borderId="17" xfId="4" applyNumberFormat="1" applyFont="1" applyFill="1" applyBorder="1" applyAlignment="1"/>
    <xf numFmtId="178" fontId="8" fillId="6" borderId="17" xfId="4" applyNumberFormat="1" applyFont="1" applyFill="1" applyBorder="1" applyAlignment="1"/>
    <xf numFmtId="168" fontId="8" fillId="6" borderId="17" xfId="4" applyNumberFormat="1" applyFont="1" applyFill="1" applyBorder="1" applyAlignment="1"/>
    <xf numFmtId="0" fontId="8" fillId="6" borderId="5" xfId="4" applyNumberFormat="1" applyFont="1" applyFill="1" applyBorder="1" applyAlignment="1"/>
    <xf numFmtId="178" fontId="8" fillId="6" borderId="5" xfId="4" applyNumberFormat="1" applyFont="1" applyFill="1" applyBorder="1" applyAlignment="1"/>
    <xf numFmtId="168" fontId="8" fillId="6" borderId="5" xfId="4" applyNumberFormat="1" applyFont="1" applyFill="1" applyBorder="1" applyAlignment="1"/>
  </cellXfs>
  <cellStyles count="29">
    <cellStyle name="Euro" xfId="21"/>
    <cellStyle name="Euro 2" xfId="27"/>
    <cellStyle name="Euro 3" xfId="25"/>
    <cellStyle name="Migliaia (0)_AZIONI" xfId="5"/>
    <cellStyle name="Migliaia_AZIONI" xfId="6"/>
    <cellStyle name="Normal" xfId="0" builtinId="0"/>
    <cellStyle name="Normal 2" xfId="1"/>
    <cellStyle name="Normal 2 2" xfId="13"/>
    <cellStyle name="Normal 3" xfId="11"/>
    <cellStyle name="Normal 3 2" xfId="18"/>
    <cellStyle name="Normal 3 3" xfId="15"/>
    <cellStyle name="Normal 3 4" xfId="23"/>
    <cellStyle name="Normal_SwaptionATMVols" xfId="2"/>
    <cellStyle name="Normale_AZIONI" xfId="7"/>
    <cellStyle name="Percent 2" xfId="4"/>
    <cellStyle name="Percent 2 2" xfId="19"/>
    <cellStyle name="Percent 2 3" xfId="14"/>
    <cellStyle name="Percent 3" xfId="10"/>
    <cellStyle name="Percent 3 2" xfId="22"/>
    <cellStyle name="Percent 3 2 2" xfId="28"/>
    <cellStyle name="Percent 3 2 3" xfId="26"/>
    <cellStyle name="Percent 3 3" xfId="24"/>
    <cellStyle name="Percent 3 4" xfId="20"/>
    <cellStyle name="Percent 4" xfId="12"/>
    <cellStyle name="Percent 4 2" xfId="17"/>
    <cellStyle name="Percent 4 3" xfId="16"/>
    <cellStyle name="result" xfId="3"/>
    <cellStyle name="Valuta (0)_AZIONI" xfId="8"/>
    <cellStyle name="Valuta_AZIONI" xfId="9"/>
  </cellStyles>
  <dxfs count="28"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57"/>
      </font>
    </dxf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historyrtdserver">
      <tp t="s">
        <v>Not Signed In</v>
        <stp/>
        <stp>{273E47E2-C0FF-4A95-A0F8-B5351A8EDA9C}_x0000_</stp>
        <tr r="H16" s="6"/>
      </tp>
      <tp t="s">
        <v>Not Signed In</v>
        <stp/>
        <stp>{F9057341-9B8F-4299-9441-889BCE0C4719}_x0000_</stp>
        <tr r="H25" s="6"/>
      </tp>
    </main>
    <main first="pldatasource.rdatartdserver">
      <tp t="s">
        <v>Not Signed In</v>
        <stp/>
        <stp>{0E4E6111-4F22-4DCF-B47B-EBA41FB2BC62}</stp>
        <tr r="O4" s="64"/>
      </tp>
      <tp t="s">
        <v>Not Signed In</v>
        <stp/>
        <stp>{B509FEC8-A663-4F9A-BE31-29330CACEB21}</stp>
        <tr r="O4" s="65"/>
      </tp>
      <tp t="s">
        <v>Not Signed In</v>
        <stp/>
        <stp>{48FDCB49-13EA-4D34-A35F-EEB3C15CB7C8}</stp>
        <tr r="O4" s="22"/>
      </tp>
      <tp t="s">
        <v>Not Signed In</v>
        <stp/>
        <stp>{E235F6DD-C594-44C9-BE51-7D43878C4EAE}</stp>
        <tr r="L4" s="15"/>
      </tp>
      <tp t="s">
        <v>Not Signed In</v>
        <stp/>
        <stp>{1FBDF7C7-85A5-4A8C-9435-1788C87D8923}</stp>
        <tr r="H5" s="6"/>
      </tp>
      <tp t="s">
        <v>Not Signed In</v>
        <stp/>
        <stp>{9CFC9AEA-55B5-4804-84BD-D89A02CCB04B}</stp>
        <tr r="O4" s="11"/>
      </tp>
      <tp t="s">
        <v>Not Signed In</v>
        <stp/>
        <stp>{D4C93854-1064-4DB3-97C9-93CD4689EEC8}</stp>
        <tr r="O4" s="12"/>
      </tp>
      <tp t="s">
        <v>Not Signed In</v>
        <stp/>
        <stp>{D6D53732-2363-4B30-ADAD-77EAEF923A83}</stp>
        <tr r="O4" s="13"/>
      </tp>
      <tp t="s">
        <v>Not Signed In</v>
        <stp/>
        <stp>{1566426C-3393-4E8D-8D85-A3E0397ED76C}</stp>
        <tr r="O4" s="25"/>
      </tp>
      <tp t="s">
        <v>Not Signed In</v>
        <stp/>
        <stp>{B9446C75-0F12-4DD1-A2DF-CE3084346AC4}</stp>
        <tr r="O4" s="66"/>
      </tp>
      <tp t="s">
        <v>Not Signed In</v>
        <stp/>
        <stp>{F95445A2-22E8-43E8-9CCA-5B6B1A4D25E7}</stp>
        <tr r="O4" s="23"/>
      </tp>
      <tp t="s">
        <v>Not Signed In</v>
        <stp/>
        <stp>{4E71C5DC-6C58-4320-9D84-1C23543744E3}</stp>
        <tr r="L4" s="20"/>
      </tp>
      <tp t="s">
        <v>Not Signed In</v>
        <stp/>
        <stp>{B6BD623F-A22A-4341-B07C-9D226C43DFF1}</stp>
        <tr r="O4" s="16"/>
      </tp>
      <tp t="s">
        <v>Not Signed In</v>
        <stp/>
        <stp>{AFCB8EFE-E5D0-4721-BD41-7523CE1034CD}</stp>
        <tr r="R4" s="18"/>
      </tp>
      <tp t="s">
        <v>Not Signed In</v>
        <stp/>
        <stp>{73A2DE50-159E-4A71-AC39-D30DD35C0A21}</stp>
        <tr r="O4" s="24"/>
      </tp>
    </main>
    <main first="pldatasource.rhistoryrtdserver">
      <tp t="s">
        <v>Not Signed In</v>
        <stp/>
        <stp>{80A3E901-EEE0-499E-907B-2890652091E1}_x0000_</stp>
        <tr r="H19" s="6"/>
      </tp>
      <tp t="s">
        <v>Not Signed In</v>
        <stp/>
        <stp>{7CD39587-DAE3-4839-86F1-4AB504620F66}_x0000_</stp>
        <tr r="H22" s="6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volatileDependencies" Target="volatileDependenci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/>
  <dimension ref="B1:P47"/>
  <sheetViews>
    <sheetView showGridLines="0" tabSelected="1" workbookViewId="0">
      <selection activeCell="D4" sqref="D4"/>
    </sheetView>
  </sheetViews>
  <sheetFormatPr defaultRowHeight="11.25" outlineLevelCol="1" x14ac:dyDescent="0.2"/>
  <cols>
    <col min="1" max="2" width="2.7109375" style="144" customWidth="1"/>
    <col min="3" max="3" width="22.42578125" style="144" bestFit="1" customWidth="1"/>
    <col min="4" max="4" width="27.5703125" style="144" bestFit="1" customWidth="1"/>
    <col min="5" max="7" width="2.7109375" style="144" customWidth="1"/>
    <col min="8" max="8" width="23.42578125" style="144" bestFit="1" customWidth="1"/>
    <col min="9" max="9" width="28.5703125" style="144" bestFit="1" customWidth="1"/>
    <col min="10" max="11" width="2.7109375" style="144" customWidth="1"/>
    <col min="12" max="12" width="15.140625" style="144" hidden="1" customWidth="1" outlineLevel="1"/>
    <col min="13" max="15" width="20.7109375" style="144" hidden="1" customWidth="1" outlineLevel="1"/>
    <col min="16" max="16" width="9.140625" style="144" collapsed="1"/>
    <col min="17" max="16384" width="9.140625" style="144"/>
  </cols>
  <sheetData>
    <row r="1" spans="2:15" x14ac:dyDescent="0.2">
      <c r="B1" s="144" t="str">
        <f>_xll.qlxlVersion(TRUE,Trigger)</f>
        <v>QuantLibXL 1.7.0 - MS VC++ (version unknown) - Multithreaded Dynamic Runtime library - Release Configuration - Oct 30 2015 09:57:50</v>
      </c>
    </row>
    <row r="2" spans="2:15" ht="16.5" x14ac:dyDescent="0.2">
      <c r="B2" s="344" t="s">
        <v>221</v>
      </c>
      <c r="C2" s="345"/>
      <c r="D2" s="345"/>
      <c r="E2" s="346"/>
      <c r="G2" s="344" t="s">
        <v>238</v>
      </c>
      <c r="H2" s="345"/>
      <c r="I2" s="345"/>
      <c r="J2" s="346"/>
      <c r="L2" s="75" t="s">
        <v>236</v>
      </c>
      <c r="M2" s="76" t="s">
        <v>227</v>
      </c>
      <c r="N2" s="75" t="s">
        <v>228</v>
      </c>
      <c r="O2" s="77" t="s">
        <v>230</v>
      </c>
    </row>
    <row r="3" spans="2:15" x14ac:dyDescent="0.2">
      <c r="B3" s="115"/>
      <c r="C3" s="3"/>
      <c r="D3" s="3"/>
      <c r="E3" s="116"/>
      <c r="G3" s="115"/>
      <c r="H3" s="3"/>
      <c r="I3" s="3"/>
      <c r="J3" s="116"/>
      <c r="L3" s="328" t="s">
        <v>231</v>
      </c>
      <c r="M3" s="331" t="s">
        <v>135</v>
      </c>
      <c r="N3" s="331" t="s">
        <v>135</v>
      </c>
      <c r="O3" s="331" t="s">
        <v>135</v>
      </c>
    </row>
    <row r="4" spans="2:15" x14ac:dyDescent="0.2">
      <c r="B4" s="115"/>
      <c r="C4" s="15" t="s">
        <v>6</v>
      </c>
      <c r="D4" s="21">
        <v>42307.712060185186</v>
      </c>
      <c r="E4" s="339"/>
      <c r="G4" s="347"/>
      <c r="H4" s="16" t="s">
        <v>226</v>
      </c>
      <c r="I4" s="73" t="s">
        <v>229</v>
      </c>
      <c r="J4" s="103"/>
      <c r="L4" s="329" t="s">
        <v>254</v>
      </c>
      <c r="M4" s="215" t="s">
        <v>164</v>
      </c>
      <c r="N4" s="215" t="s">
        <v>190</v>
      </c>
      <c r="O4" s="215" t="s">
        <v>164</v>
      </c>
    </row>
    <row r="5" spans="2:15" x14ac:dyDescent="0.2">
      <c r="B5" s="340"/>
      <c r="C5" s="18" t="s">
        <v>175</v>
      </c>
      <c r="D5" s="22">
        <f>_xll.qlSettingsEvaluationDate(Trigger)</f>
        <v>42306</v>
      </c>
      <c r="E5" s="341"/>
      <c r="G5" s="347"/>
      <c r="H5" s="336" t="s">
        <v>237</v>
      </c>
      <c r="I5" s="51">
        <f>INDEX(MATCH(Area,L2:O2,0),0)</f>
        <v>2</v>
      </c>
      <c r="J5" s="103"/>
      <c r="L5" s="329" t="s">
        <v>255</v>
      </c>
      <c r="M5" s="215" t="s">
        <v>164</v>
      </c>
      <c r="N5" s="215" t="s">
        <v>190</v>
      </c>
      <c r="O5" s="215" t="s">
        <v>164</v>
      </c>
    </row>
    <row r="6" spans="2:15" x14ac:dyDescent="0.2">
      <c r="B6" s="342"/>
      <c r="C6" s="138"/>
      <c r="D6" s="333"/>
      <c r="E6" s="343"/>
      <c r="G6" s="347"/>
      <c r="H6" s="334"/>
      <c r="I6" s="335"/>
      <c r="J6" s="103"/>
      <c r="L6" s="329" t="s">
        <v>256</v>
      </c>
      <c r="M6" s="215" t="s">
        <v>164</v>
      </c>
      <c r="N6" s="215" t="s">
        <v>164</v>
      </c>
      <c r="O6" s="215" t="s">
        <v>164</v>
      </c>
    </row>
    <row r="7" spans="2:15" x14ac:dyDescent="0.2">
      <c r="B7" s="115"/>
      <c r="C7" s="15" t="s">
        <v>168</v>
      </c>
      <c r="D7" s="10">
        <f>_xll.ohTrigger(Deposits!R2,FRA3M!X2,Futures3M!AD2,FuturesHWConvAdj!U2,Swap1M!X2,Swap3M!AA2,SwapIMM!X2,BasisSwap1M3M!Z2,BasisSwap3M6M!Z2,BasisSwap3M12M!Z2,OIS!X2)</f>
        <v>15</v>
      </c>
      <c r="E7" s="116"/>
      <c r="G7" s="115"/>
      <c r="H7" s="15" t="s">
        <v>161</v>
      </c>
      <c r="I7" s="332" t="b">
        <v>0</v>
      </c>
      <c r="J7" s="339"/>
      <c r="L7" s="329" t="s">
        <v>107</v>
      </c>
      <c r="M7" s="215" t="s">
        <v>199</v>
      </c>
      <c r="N7" s="215" t="s">
        <v>199</v>
      </c>
      <c r="O7" s="215" t="s">
        <v>199</v>
      </c>
    </row>
    <row r="8" spans="2:15" x14ac:dyDescent="0.2">
      <c r="B8" s="115"/>
      <c r="C8" s="18" t="s">
        <v>177</v>
      </c>
      <c r="D8" s="12">
        <f>_xll.ohTrigger(Libor!L6:L12)</f>
        <v>0</v>
      </c>
      <c r="E8" s="116"/>
      <c r="G8" s="115"/>
      <c r="H8" s="18" t="s">
        <v>162</v>
      </c>
      <c r="I8" s="74">
        <v>42307.712060185186</v>
      </c>
      <c r="J8" s="339"/>
      <c r="L8" s="329" t="s">
        <v>232</v>
      </c>
      <c r="M8" s="215" t="s">
        <v>218</v>
      </c>
      <c r="N8" s="215" t="s">
        <v>197</v>
      </c>
      <c r="O8" s="215" t="s">
        <v>218</v>
      </c>
    </row>
    <row r="9" spans="2:15" x14ac:dyDescent="0.2">
      <c r="B9" s="117"/>
      <c r="C9" s="200"/>
      <c r="D9" s="200"/>
      <c r="E9" s="120"/>
      <c r="G9" s="117"/>
      <c r="H9" s="118"/>
      <c r="I9" s="118"/>
      <c r="J9" s="120"/>
      <c r="L9" s="329" t="s">
        <v>233</v>
      </c>
      <c r="M9" s="215" t="s">
        <v>218</v>
      </c>
      <c r="N9" s="215" t="s">
        <v>204</v>
      </c>
      <c r="O9" s="215" t="s">
        <v>164</v>
      </c>
    </row>
    <row r="10" spans="2:15" x14ac:dyDescent="0.2">
      <c r="L10" s="329" t="s">
        <v>234</v>
      </c>
      <c r="M10" s="215" t="s">
        <v>199</v>
      </c>
      <c r="N10" s="215" t="s">
        <v>218</v>
      </c>
      <c r="O10" s="215" t="s">
        <v>218</v>
      </c>
    </row>
    <row r="11" spans="2:15" ht="16.5" x14ac:dyDescent="0.2">
      <c r="B11" s="344" t="s">
        <v>223</v>
      </c>
      <c r="C11" s="345"/>
      <c r="D11" s="345"/>
      <c r="E11" s="346"/>
      <c r="G11" s="344" t="s">
        <v>7</v>
      </c>
      <c r="H11" s="345"/>
      <c r="I11" s="345"/>
      <c r="J11" s="346"/>
      <c r="L11" s="329" t="s">
        <v>264</v>
      </c>
      <c r="M11" s="215" t="s">
        <v>219</v>
      </c>
      <c r="N11" s="215" t="s">
        <v>199</v>
      </c>
      <c r="O11" s="215" t="s">
        <v>199</v>
      </c>
    </row>
    <row r="12" spans="2:15" x14ac:dyDescent="0.2">
      <c r="B12" s="115"/>
      <c r="C12" s="3"/>
      <c r="D12" s="3"/>
      <c r="E12" s="116"/>
      <c r="G12" s="115"/>
      <c r="H12" s="3"/>
      <c r="I12" s="3"/>
      <c r="J12" s="116"/>
      <c r="L12" s="329" t="s">
        <v>265</v>
      </c>
      <c r="M12" s="215" t="s">
        <v>218</v>
      </c>
      <c r="N12" s="215" t="s">
        <v>219</v>
      </c>
      <c r="O12" s="215" t="s">
        <v>218</v>
      </c>
    </row>
    <row r="13" spans="2:15" x14ac:dyDescent="0.2">
      <c r="B13" s="115"/>
      <c r="C13" s="15" t="s">
        <v>0</v>
      </c>
      <c r="D13" s="10" t="s">
        <v>91</v>
      </c>
      <c r="E13" s="339"/>
      <c r="G13" s="115"/>
      <c r="H13" s="15" t="s">
        <v>5</v>
      </c>
      <c r="I13" s="10" t="b">
        <v>1</v>
      </c>
      <c r="J13" s="339"/>
      <c r="L13" s="329" t="s">
        <v>235</v>
      </c>
      <c r="M13" s="215" t="s">
        <v>218</v>
      </c>
      <c r="N13" s="215" t="s">
        <v>219</v>
      </c>
      <c r="O13" s="215" t="s">
        <v>164</v>
      </c>
    </row>
    <row r="14" spans="2:15" x14ac:dyDescent="0.2">
      <c r="B14" s="115"/>
      <c r="C14" s="17" t="s">
        <v>90</v>
      </c>
      <c r="D14" s="11" t="str">
        <f>Currency&amp;"ON"</f>
        <v>USDON</v>
      </c>
      <c r="E14" s="339"/>
      <c r="G14" s="115"/>
      <c r="H14" s="17" t="s">
        <v>4</v>
      </c>
      <c r="I14" s="11" t="b">
        <v>1</v>
      </c>
      <c r="J14" s="339"/>
      <c r="L14" s="330" t="s">
        <v>266</v>
      </c>
      <c r="M14" s="216" t="s">
        <v>219</v>
      </c>
      <c r="N14" s="216" t="s">
        <v>219</v>
      </c>
      <c r="O14" s="216" t="s">
        <v>219</v>
      </c>
    </row>
    <row r="15" spans="2:15" x14ac:dyDescent="0.2">
      <c r="B15" s="115"/>
      <c r="C15" s="17" t="s">
        <v>25</v>
      </c>
      <c r="D15" s="11" t="s">
        <v>24</v>
      </c>
      <c r="E15" s="339"/>
      <c r="G15" s="115"/>
      <c r="H15" s="17" t="s">
        <v>3</v>
      </c>
      <c r="I15" s="11" t="b">
        <v>0</v>
      </c>
      <c r="J15" s="339"/>
    </row>
    <row r="16" spans="2:15" x14ac:dyDescent="0.2">
      <c r="B16" s="115"/>
      <c r="C16" s="17" t="s">
        <v>184</v>
      </c>
      <c r="D16" s="11" t="s">
        <v>185</v>
      </c>
      <c r="E16" s="339"/>
      <c r="G16" s="115"/>
      <c r="H16" s="17" t="s">
        <v>2</v>
      </c>
      <c r="I16" s="11"/>
      <c r="J16" s="339"/>
    </row>
    <row r="17" spans="2:10" x14ac:dyDescent="0.2">
      <c r="B17" s="115"/>
      <c r="C17" s="17" t="s">
        <v>86</v>
      </c>
      <c r="D17" s="11" t="s">
        <v>89</v>
      </c>
      <c r="E17" s="339"/>
      <c r="G17" s="115"/>
      <c r="H17" s="17" t="s">
        <v>1</v>
      </c>
      <c r="I17" s="11" t="b">
        <v>1</v>
      </c>
      <c r="J17" s="339"/>
    </row>
    <row r="18" spans="2:10" x14ac:dyDescent="0.2">
      <c r="B18" s="115"/>
      <c r="C18" s="17" t="s">
        <v>250</v>
      </c>
      <c r="D18" s="11" t="s">
        <v>189</v>
      </c>
      <c r="E18" s="339"/>
      <c r="G18" s="115"/>
      <c r="H18" s="17" t="s">
        <v>102</v>
      </c>
      <c r="I18" s="11" t="s">
        <v>101</v>
      </c>
      <c r="J18" s="339"/>
    </row>
    <row r="19" spans="2:10" x14ac:dyDescent="0.2">
      <c r="B19" s="115"/>
      <c r="C19" s="17" t="s">
        <v>251</v>
      </c>
      <c r="D19" s="11" t="s">
        <v>179</v>
      </c>
      <c r="E19" s="339"/>
      <c r="G19" s="115"/>
      <c r="H19" s="17" t="s">
        <v>167</v>
      </c>
      <c r="I19" s="11" t="s">
        <v>166</v>
      </c>
      <c r="J19" s="116"/>
    </row>
    <row r="20" spans="2:10" x14ac:dyDescent="0.2">
      <c r="B20" s="115"/>
      <c r="C20" s="17" t="s">
        <v>180</v>
      </c>
      <c r="D20" s="11" t="s">
        <v>178</v>
      </c>
      <c r="E20" s="339"/>
      <c r="G20" s="115"/>
      <c r="H20" s="23" t="s">
        <v>100</v>
      </c>
      <c r="I20" s="11">
        <v>1E-4</v>
      </c>
      <c r="J20" s="339"/>
    </row>
    <row r="21" spans="2:10" x14ac:dyDescent="0.2">
      <c r="B21" s="115"/>
      <c r="C21" s="17" t="s">
        <v>222</v>
      </c>
      <c r="D21" s="266" t="str">
        <f>D20&amp;"("&amp;OverNightIndexCalendar&amp;","&amp;LiborCalendar&amp;")"</f>
        <v>JoinHolidays(UnitedStates::Settlement,UnitedKingdom::Exchange)</v>
      </c>
      <c r="E21" s="339" t="s">
        <v>196</v>
      </c>
      <c r="G21" s="115"/>
      <c r="H21" s="24" t="s">
        <v>99</v>
      </c>
      <c r="I21" s="12">
        <v>-0.01</v>
      </c>
      <c r="J21" s="339"/>
    </row>
    <row r="22" spans="2:10" x14ac:dyDescent="0.2">
      <c r="B22" s="115"/>
      <c r="C22" s="17" t="s">
        <v>187</v>
      </c>
      <c r="D22" s="11" t="b">
        <f>_xll.qlCalendarIsHoliday(OverNightIndexCalendar,_xll.qlCalendarAdvance(LiborCalendar,_xll.qlSettingsEvaluationDate(Trigger),2&amp;"D","f",FALSE,Trigger))</f>
        <v>0</v>
      </c>
      <c r="E22" s="339"/>
      <c r="G22" s="115"/>
      <c r="H22" s="16" t="s">
        <v>170</v>
      </c>
      <c r="I22" s="13" t="s">
        <v>169</v>
      </c>
      <c r="J22" s="339"/>
    </row>
    <row r="23" spans="2:10" x14ac:dyDescent="0.2">
      <c r="B23" s="115"/>
      <c r="C23" s="18" t="s">
        <v>188</v>
      </c>
      <c r="D23" s="12" t="str">
        <f>IF(HolidayCheck,JoinCalendar,LiborCalendar)</f>
        <v>UnitedKingdom::Exchange</v>
      </c>
      <c r="E23" s="339"/>
      <c r="G23" s="115"/>
      <c r="H23" s="138"/>
      <c r="I23" s="14"/>
      <c r="J23" s="339"/>
    </row>
    <row r="24" spans="2:10" x14ac:dyDescent="0.2">
      <c r="B24" s="117"/>
      <c r="C24" s="118"/>
      <c r="D24" s="118"/>
      <c r="E24" s="120"/>
      <c r="G24" s="117"/>
      <c r="H24" s="118"/>
      <c r="I24" s="118"/>
      <c r="J24" s="120"/>
    </row>
    <row r="26" spans="2:10" ht="16.5" x14ac:dyDescent="0.2">
      <c r="B26" s="344" t="s">
        <v>252</v>
      </c>
      <c r="C26" s="345"/>
      <c r="D26" s="345"/>
      <c r="E26" s="346"/>
    </row>
    <row r="27" spans="2:10" x14ac:dyDescent="0.2">
      <c r="B27" s="115"/>
      <c r="C27" s="19"/>
      <c r="D27" s="20"/>
      <c r="E27" s="116"/>
    </row>
    <row r="28" spans="2:10" x14ac:dyDescent="0.2">
      <c r="B28" s="115"/>
      <c r="C28" s="15" t="s">
        <v>141</v>
      </c>
      <c r="D28" s="10" t="str">
        <f>""</f>
        <v/>
      </c>
      <c r="E28" s="116"/>
    </row>
    <row r="29" spans="2:10" x14ac:dyDescent="0.2">
      <c r="B29" s="115"/>
      <c r="C29" s="15" t="s">
        <v>202</v>
      </c>
      <c r="D29" s="10" t="s">
        <v>203</v>
      </c>
      <c r="E29" s="116"/>
    </row>
    <row r="30" spans="2:10" x14ac:dyDescent="0.2">
      <c r="B30" s="115"/>
      <c r="C30" s="16" t="s">
        <v>135</v>
      </c>
      <c r="D30" s="13" t="s">
        <v>140</v>
      </c>
      <c r="E30" s="116"/>
    </row>
    <row r="31" spans="2:10" x14ac:dyDescent="0.2">
      <c r="B31" s="115"/>
      <c r="C31" s="15" t="s">
        <v>218</v>
      </c>
      <c r="D31" s="10" t="s">
        <v>139</v>
      </c>
      <c r="E31" s="116"/>
    </row>
    <row r="32" spans="2:10" x14ac:dyDescent="0.2">
      <c r="B32" s="115"/>
      <c r="C32" s="17" t="s">
        <v>213</v>
      </c>
      <c r="D32" s="11" t="s">
        <v>206</v>
      </c>
      <c r="E32" s="116"/>
    </row>
    <row r="33" spans="2:5" x14ac:dyDescent="0.2">
      <c r="B33" s="115"/>
      <c r="C33" s="17" t="s">
        <v>204</v>
      </c>
      <c r="D33" s="11" t="s">
        <v>205</v>
      </c>
      <c r="E33" s="116"/>
    </row>
    <row r="34" spans="2:5" x14ac:dyDescent="0.2">
      <c r="B34" s="115"/>
      <c r="C34" s="17" t="s">
        <v>190</v>
      </c>
      <c r="D34" s="11" t="s">
        <v>191</v>
      </c>
      <c r="E34" s="116"/>
    </row>
    <row r="35" spans="2:5" x14ac:dyDescent="0.2">
      <c r="B35" s="115"/>
      <c r="C35" s="17" t="s">
        <v>164</v>
      </c>
      <c r="D35" s="11" t="s">
        <v>163</v>
      </c>
      <c r="E35" s="116"/>
    </row>
    <row r="36" spans="2:5" x14ac:dyDescent="0.2">
      <c r="B36" s="115"/>
      <c r="C36" s="17" t="s">
        <v>197</v>
      </c>
      <c r="D36" s="11" t="s">
        <v>198</v>
      </c>
      <c r="E36" s="116"/>
    </row>
    <row r="37" spans="2:5" x14ac:dyDescent="0.2">
      <c r="B37" s="115"/>
      <c r="C37" s="18" t="s">
        <v>207</v>
      </c>
      <c r="D37" s="12" t="s">
        <v>208</v>
      </c>
      <c r="E37" s="116"/>
    </row>
    <row r="38" spans="2:5" x14ac:dyDescent="0.2">
      <c r="B38" s="115"/>
      <c r="C38" s="15" t="s">
        <v>199</v>
      </c>
      <c r="D38" s="10" t="s">
        <v>138</v>
      </c>
      <c r="E38" s="116"/>
    </row>
    <row r="39" spans="2:5" x14ac:dyDescent="0.2">
      <c r="B39" s="115"/>
      <c r="C39" s="17" t="s">
        <v>220</v>
      </c>
      <c r="D39" s="11" t="s">
        <v>186</v>
      </c>
      <c r="E39" s="116"/>
    </row>
    <row r="40" spans="2:5" x14ac:dyDescent="0.2">
      <c r="B40" s="115"/>
      <c r="C40" s="17" t="s">
        <v>219</v>
      </c>
      <c r="D40" s="11" t="s">
        <v>165</v>
      </c>
      <c r="E40" s="116"/>
    </row>
    <row r="41" spans="2:5" x14ac:dyDescent="0.2">
      <c r="B41" s="115"/>
      <c r="C41" s="17" t="s">
        <v>214</v>
      </c>
      <c r="D41" s="11" t="s">
        <v>209</v>
      </c>
      <c r="E41" s="116"/>
    </row>
    <row r="42" spans="2:5" x14ac:dyDescent="0.2">
      <c r="B42" s="115"/>
      <c r="C42" s="18" t="s">
        <v>217</v>
      </c>
      <c r="D42" s="12" t="s">
        <v>210</v>
      </c>
      <c r="E42" s="116"/>
    </row>
    <row r="43" spans="2:5" x14ac:dyDescent="0.2">
      <c r="B43" s="115"/>
      <c r="C43" s="17" t="s">
        <v>137</v>
      </c>
      <c r="D43" s="11" t="s">
        <v>136</v>
      </c>
      <c r="E43" s="116"/>
    </row>
    <row r="44" spans="2:5" x14ac:dyDescent="0.2">
      <c r="B44" s="115"/>
      <c r="C44" s="17" t="s">
        <v>200</v>
      </c>
      <c r="D44" s="11" t="s">
        <v>201</v>
      </c>
      <c r="E44" s="116"/>
    </row>
    <row r="45" spans="2:5" x14ac:dyDescent="0.2">
      <c r="B45" s="115"/>
      <c r="C45" s="17" t="s">
        <v>215</v>
      </c>
      <c r="D45" s="11" t="s">
        <v>216</v>
      </c>
      <c r="E45" s="116"/>
    </row>
    <row r="46" spans="2:5" x14ac:dyDescent="0.2">
      <c r="B46" s="115"/>
      <c r="C46" s="18" t="s">
        <v>211</v>
      </c>
      <c r="D46" s="12" t="s">
        <v>212</v>
      </c>
      <c r="E46" s="116"/>
    </row>
    <row r="47" spans="2:5" x14ac:dyDescent="0.2">
      <c r="B47" s="117"/>
      <c r="C47" s="200"/>
      <c r="D47" s="200"/>
      <c r="E47" s="120"/>
    </row>
  </sheetData>
  <conditionalFormatting sqref="I7">
    <cfRule type="cellIs" dxfId="27" priority="3" stopIfTrue="1" operator="equal">
      <formula>TRUE</formula>
    </cfRule>
  </conditionalFormatting>
  <conditionalFormatting sqref="D27">
    <cfRule type="cellIs" dxfId="26" priority="1" stopIfTrue="1" operator="equal">
      <formula>TRUE</formula>
    </cfRule>
  </conditionalFormatting>
  <dataValidations count="8">
    <dataValidation type="list" allowBlank="1" showInputMessage="1" showErrorMessage="1" sqref="D13">
      <formula1>"EUR,USD,GBP,JPY,CHF"</formula1>
    </dataValidation>
    <dataValidation type="list" allowBlank="1" showInputMessage="1" showErrorMessage="1" sqref="D15">
      <formula1>"ibor,Libor"</formula1>
    </dataValidation>
    <dataValidation type="list" allowBlank="1" showInputMessage="1" showErrorMessage="1" sqref="D20">
      <formula1>"JoinBusinessDays,JoinHolidays"</formula1>
    </dataValidation>
    <dataValidation type="list" allowBlank="1" showInputMessage="1" showErrorMessage="1" sqref="D18:D19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D16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I19">
      <formula1>"BackwardFlat,ForwardFlat,Linear,LogLinear,CubicNaturalSpline,LogCubicNaturalSpline,MonotonicCubicNaturalSpline,MonotonicLogCubicNaturalSpline,FritschButlandCubic,FritschButlandLogCubic,KrugerCubic,KrugerLogCubic"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I4">
      <formula1>"Europe, Asia, U.S."</formula1>
    </dataValidation>
    <dataValidation type="list" showInputMessage="1" showErrorMessage="1" sqref="M3:O14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V42"/>
  <sheetViews>
    <sheetView showGridLines="0" workbookViewId="0">
      <selection activeCell="E3" sqref="E3"/>
    </sheetView>
  </sheetViews>
  <sheetFormatPr defaultRowHeight="11.25" x14ac:dyDescent="0.2"/>
  <cols>
    <col min="1" max="2" width="2.140625" style="5" customWidth="1"/>
    <col min="3" max="3" width="6.5703125" style="5" bestFit="1" customWidth="1"/>
    <col min="4" max="4" width="12" style="5" bestFit="1" customWidth="1"/>
    <col min="5" max="5" width="17.28515625" style="5" bestFit="1" customWidth="1"/>
    <col min="6" max="6" width="34.85546875" style="5" bestFit="1" customWidth="1"/>
    <col min="7" max="7" width="2.140625" style="5" customWidth="1"/>
    <col min="8" max="8" width="13.140625" style="5" customWidth="1"/>
    <col min="9" max="9" width="15.140625" style="5" bestFit="1" customWidth="1"/>
    <col min="10" max="10" width="10" style="5" bestFit="1" customWidth="1"/>
    <col min="11" max="11" width="13.140625" style="5" bestFit="1" customWidth="1"/>
    <col min="12" max="12" width="11" style="5" bestFit="1" customWidth="1"/>
    <col min="13" max="13" width="14.7109375" style="5" customWidth="1"/>
    <col min="14" max="14" width="2.7109375" style="5" customWidth="1"/>
    <col min="15" max="15" width="8" style="5" bestFit="1" customWidth="1"/>
    <col min="16" max="16" width="14.7109375" style="5" customWidth="1"/>
    <col min="17" max="17" width="8" style="5" bestFit="1" customWidth="1"/>
    <col min="18" max="18" width="2.140625" style="5" customWidth="1"/>
    <col min="19" max="20" width="10.28515625" style="5" bestFit="1" customWidth="1"/>
    <col min="21" max="22" width="2.7109375" style="5" customWidth="1"/>
    <col min="23" max="16384" width="9.140625" style="5"/>
  </cols>
  <sheetData>
    <row r="1" spans="2:22" s="1" customFormat="1" x14ac:dyDescent="0.2"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 spans="2:22" s="1" customFormat="1" x14ac:dyDescent="0.2">
      <c r="B2" s="300"/>
      <c r="C2" s="26"/>
      <c r="D2" s="26"/>
      <c r="E2" s="7"/>
      <c r="F2" s="7"/>
      <c r="G2" s="7"/>
      <c r="H2" s="7"/>
      <c r="I2" s="7"/>
      <c r="J2" s="7"/>
      <c r="K2" s="7"/>
      <c r="L2" s="7"/>
      <c r="M2" s="7"/>
      <c r="N2" s="348"/>
      <c r="O2" s="5"/>
      <c r="P2" s="5"/>
      <c r="Q2" s="5"/>
      <c r="R2" s="5"/>
      <c r="S2" s="5"/>
    </row>
    <row r="3" spans="2:22" s="1" customFormat="1" x14ac:dyDescent="0.2">
      <c r="B3" s="115"/>
      <c r="C3" s="3"/>
      <c r="D3" s="309" t="s">
        <v>25</v>
      </c>
      <c r="E3" s="310" t="s">
        <v>24</v>
      </c>
      <c r="F3" s="4"/>
      <c r="G3" s="4"/>
      <c r="H3" s="4"/>
      <c r="I3" s="4"/>
      <c r="J3" s="4"/>
      <c r="K3" s="4"/>
      <c r="L3" s="4"/>
      <c r="M3" s="4"/>
      <c r="N3" s="103"/>
      <c r="O3" s="5"/>
      <c r="P3" s="5"/>
      <c r="Q3" s="5"/>
      <c r="R3" s="5"/>
      <c r="S3" s="5"/>
    </row>
    <row r="4" spans="2:22" s="1" customFormat="1" x14ac:dyDescent="0.2">
      <c r="B4" s="115"/>
      <c r="C4" s="3"/>
      <c r="D4" s="3"/>
      <c r="E4" s="356"/>
      <c r="F4" s="4"/>
      <c r="G4" s="4"/>
      <c r="H4" s="6" t="s">
        <v>144</v>
      </c>
      <c r="I4" s="4"/>
      <c r="J4" s="4"/>
      <c r="K4" s="4"/>
      <c r="L4" s="4"/>
      <c r="M4" s="4"/>
      <c r="N4" s="103"/>
      <c r="O4" s="5"/>
      <c r="P4" s="5"/>
      <c r="Q4" s="5"/>
      <c r="R4" s="5"/>
      <c r="S4" s="5"/>
    </row>
    <row r="5" spans="2:22" s="1" customFormat="1" ht="22.5" customHeight="1" x14ac:dyDescent="0.2">
      <c r="B5" s="115"/>
      <c r="C5" s="305" t="s">
        <v>23</v>
      </c>
      <c r="D5" s="305" t="s">
        <v>182</v>
      </c>
      <c r="E5" s="305" t="s">
        <v>181</v>
      </c>
      <c r="F5" s="305" t="s">
        <v>183</v>
      </c>
      <c r="G5" s="8"/>
      <c r="H5" s="317" t="str">
        <f>_xll.RData(H6:H12,I5:J5,"RTFEED:IDN",,,I6)</f>
        <v>Not Signed In</v>
      </c>
      <c r="I5" s="318" t="s">
        <v>174</v>
      </c>
      <c r="J5" s="318" t="s">
        <v>143</v>
      </c>
      <c r="K5" s="318" t="s">
        <v>173</v>
      </c>
      <c r="L5" s="318" t="s">
        <v>172</v>
      </c>
      <c r="M5" s="318" t="s">
        <v>171</v>
      </c>
      <c r="N5" s="103"/>
      <c r="O5" s="5"/>
      <c r="P5" s="5"/>
      <c r="Q5" s="5"/>
      <c r="R5" s="5"/>
      <c r="S5" s="5"/>
    </row>
    <row r="6" spans="2:22" s="1" customFormat="1" x14ac:dyDescent="0.2">
      <c r="B6" s="115"/>
      <c r="C6" s="325" t="s">
        <v>130</v>
      </c>
      <c r="D6" s="311" t="str">
        <f>_xll.qlRelinkableHandleYieldTermStructure(UPPER(Currency)&amp;C6,,Permanent,Trigger,ObjectOverwrite)</f>
        <v>USDON#0000</v>
      </c>
      <c r="E6" s="312" t="str">
        <f>_xll.qlOvernightIndex(PROPER(Currency)&amp;"FedFunds","FedFunds",0,"USD",OverNightIndexCalendar,"act/360",D6,Permanent,Trigger,ObjectOverwrite)</f>
        <v>UsdFedFunds#0000</v>
      </c>
      <c r="F6" s="312" t="str">
        <f>_xll.qlLastFixingQuote(PROPER(Currency)&amp;"FedFunds"&amp;$F$5,E6,Permanent,Trigger,ObjectOverwrite)</f>
        <v>UsdFedFundsLastFixing_Quote#0000</v>
      </c>
      <c r="G6" s="4"/>
      <c r="H6" s="319" t="str">
        <f t="shared" ref="H6:H12" si="0">Currency&amp;C6&amp;$H$4&amp;"="</f>
        <v>USDONFSR=</v>
      </c>
      <c r="I6" s="387">
        <v>42307</v>
      </c>
      <c r="J6" s="388">
        <v>0.12479999999999999</v>
      </c>
      <c r="K6" s="320" t="b">
        <f t="shared" ref="K6:K12" si="1">IF(AND(ISNUMBER($J6),$J6&lt;&gt;0%),TRUE,FALSE)</f>
        <v>1</v>
      </c>
      <c r="L6" s="321" t="b">
        <f>IF($K6,_xll.qlIndexAddFixings($E6,$I6,$J6/100,TRUE,ISERROR($M6)),NA())</f>
        <v>1</v>
      </c>
      <c r="M6" s="319" t="e">
        <f>_xll.qlIndexFixing($E6,$I6,TRUE,$K6)</f>
        <v>#NUM!</v>
      </c>
      <c r="N6" s="103"/>
      <c r="O6" s="5"/>
      <c r="P6" s="5"/>
      <c r="Q6" s="5"/>
      <c r="R6" s="5"/>
      <c r="S6" s="5"/>
    </row>
    <row r="7" spans="2:22" s="1" customFormat="1" x14ac:dyDescent="0.2">
      <c r="B7" s="115"/>
      <c r="C7" s="326" t="s">
        <v>22</v>
      </c>
      <c r="D7" s="313"/>
      <c r="E7" s="314" t="str">
        <f>_xll.qlLibor(PROPER(Currency)&amp;FamilyName&amp;C7,Currency,C7,D7,Permanent,Trigger,ObjectOverwrite)</f>
        <v>UsdLiborSW#0000</v>
      </c>
      <c r="F7" s="314" t="str">
        <f>_xll.qlLastFixingQuote(PROPER(Currency)&amp;FamilyName&amp;C7&amp;$F$5,E7,Permanent,Trigger,ObjectOverwrite)</f>
        <v>UsdLiborSWLastFixing_Quote#0000</v>
      </c>
      <c r="G7" s="4"/>
      <c r="H7" s="319" t="str">
        <f t="shared" si="0"/>
        <v>USDSWFSR=</v>
      </c>
      <c r="I7" s="387">
        <v>42307</v>
      </c>
      <c r="J7" s="388">
        <v>0.15589999999999998</v>
      </c>
      <c r="K7" s="320" t="b">
        <f t="shared" si="1"/>
        <v>1</v>
      </c>
      <c r="L7" s="321" t="b">
        <f>IF($K7,_xll.qlIndexAddFixings($E7,$I7,$J7/100,TRUE,ISERROR($M7)),NA())</f>
        <v>1</v>
      </c>
      <c r="M7" s="319" t="e">
        <f>_xll.qlIndexFixing($E7,$I7,TRUE,$K7)</f>
        <v>#NUM!</v>
      </c>
      <c r="N7" s="103"/>
      <c r="O7" s="5"/>
      <c r="P7" s="5"/>
      <c r="Q7" s="5"/>
      <c r="R7" s="5"/>
      <c r="S7" s="5"/>
    </row>
    <row r="8" spans="2:22" s="1" customFormat="1" x14ac:dyDescent="0.2">
      <c r="B8" s="115"/>
      <c r="C8" s="326" t="s">
        <v>19</v>
      </c>
      <c r="D8" s="313" t="str">
        <f>_xll.qlRelinkableHandleYieldTermStructure(UPPER(Currency)&amp;C8,,Permanent,Trigger,ObjectOverwrite)</f>
        <v>USD1M#0000</v>
      </c>
      <c r="E8" s="314" t="str">
        <f>_xll.qlLibor(PROPER(Currency)&amp;FamilyName&amp;C8,Currency,C8,D8,Permanent,Trigger,ObjectOverwrite)</f>
        <v>UsdLibor1M#0000</v>
      </c>
      <c r="F8" s="314" t="str">
        <f>_xll.qlLastFixingQuote(PROPER(Currency)&amp;FamilyName&amp;C8&amp;$F$5,E8,Permanent,Trigger,ObjectOverwrite)</f>
        <v>UsdLibor1MLastFixing_Quote#0000</v>
      </c>
      <c r="G8" s="4"/>
      <c r="H8" s="319" t="str">
        <f t="shared" si="0"/>
        <v>USD1MFSR=</v>
      </c>
      <c r="I8" s="387">
        <v>42307</v>
      </c>
      <c r="J8" s="388">
        <v>0.192</v>
      </c>
      <c r="K8" s="320" t="b">
        <f t="shared" si="1"/>
        <v>1</v>
      </c>
      <c r="L8" s="321" t="b">
        <f>IF($K8,_xll.qlIndexAddFixings($E8,$I8,$J8/100,TRUE,ISERROR($M8)),NA())</f>
        <v>1</v>
      </c>
      <c r="M8" s="319" t="e">
        <f>_xll.qlIndexFixing($E8,$I8,TRUE,$K8)</f>
        <v>#NUM!</v>
      </c>
      <c r="N8" s="103"/>
      <c r="O8" s="5"/>
      <c r="P8" s="5"/>
      <c r="Q8" s="5"/>
      <c r="R8" s="5"/>
      <c r="S8" s="5"/>
    </row>
    <row r="9" spans="2:22" s="1" customFormat="1" x14ac:dyDescent="0.2">
      <c r="B9" s="115"/>
      <c r="C9" s="326" t="s">
        <v>18</v>
      </c>
      <c r="D9" s="313"/>
      <c r="E9" s="314" t="str">
        <f>_xll.qlLibor(PROPER(Currency)&amp;FamilyName&amp;C9,Currency,C9,D9,Permanent,Trigger,ObjectOverwrite)</f>
        <v>UsdLibor2M#0000</v>
      </c>
      <c r="F9" s="314" t="str">
        <f>_xll.qlLastFixingQuote(PROPER(Currency)&amp;FamilyName&amp;C9&amp;$F$5,E9,Permanent,Trigger,ObjectOverwrite)</f>
        <v>UsdLibor2MLastFixing_Quote#0000</v>
      </c>
      <c r="G9" s="4"/>
      <c r="H9" s="319" t="str">
        <f t="shared" si="0"/>
        <v>USD2MFSR=</v>
      </c>
      <c r="I9" s="387">
        <v>42307</v>
      </c>
      <c r="J9" s="388">
        <v>0.25305</v>
      </c>
      <c r="K9" s="320" t="b">
        <f t="shared" si="1"/>
        <v>1</v>
      </c>
      <c r="L9" s="321" t="b">
        <f>IF($K9,_xll.qlIndexAddFixings($E9,$I9,$J9/100,TRUE,ISERROR($M9)),NA())</f>
        <v>1</v>
      </c>
      <c r="M9" s="319" t="e">
        <f>_xll.qlIndexFixing($E9,$I9,TRUE,$K9)</f>
        <v>#NUM!</v>
      </c>
      <c r="N9" s="103"/>
      <c r="O9" s="5"/>
      <c r="P9" s="5"/>
      <c r="Q9" s="5"/>
      <c r="R9" s="5"/>
      <c r="S9" s="5"/>
    </row>
    <row r="10" spans="2:22" s="1" customFormat="1" x14ac:dyDescent="0.2">
      <c r="B10" s="115"/>
      <c r="C10" s="326" t="s">
        <v>17</v>
      </c>
      <c r="D10" s="313" t="str">
        <f>_xll.qlRelinkableHandleYieldTermStructure(UPPER(Currency)&amp;C10,,Permanent,Trigger,ObjectOverwrite)</f>
        <v>USD3M#0000</v>
      </c>
      <c r="E10" s="314" t="str">
        <f>_xll.qlLibor(PROPER(Currency)&amp;FamilyName&amp;C10,Currency,C10,D10,Permanent,Trigger,ObjectOverwrite)</f>
        <v>UsdLibor3M#0000</v>
      </c>
      <c r="F10" s="314" t="str">
        <f>_xll.qlLastFixingQuote(PROPER(Currency)&amp;FamilyName&amp;C10&amp;$F$5,E10,Permanent,Trigger,ObjectOverwrite)</f>
        <v>UsdLibor3MLastFixing_Quote#0000</v>
      </c>
      <c r="G10" s="4"/>
      <c r="H10" s="319" t="str">
        <f t="shared" si="0"/>
        <v>USD3MFSR=</v>
      </c>
      <c r="I10" s="387">
        <v>42307</v>
      </c>
      <c r="J10" s="388">
        <v>0.33410000000000001</v>
      </c>
      <c r="K10" s="320" t="b">
        <f t="shared" si="1"/>
        <v>1</v>
      </c>
      <c r="L10" s="321" t="b">
        <f>IF($K10,_xll.qlIndexAddFixings($E10,$I10,$J10/100,TRUE,ISERROR($M10)),NA())</f>
        <v>1</v>
      </c>
      <c r="M10" s="319" t="e">
        <f>_xll.qlIndexFixing($E10,$I10,TRUE,$K10)</f>
        <v>#NUM!</v>
      </c>
      <c r="N10" s="103"/>
      <c r="O10" s="5"/>
      <c r="P10" s="5"/>
      <c r="Q10" s="5"/>
      <c r="R10" s="5"/>
      <c r="S10" s="5"/>
    </row>
    <row r="11" spans="2:22" s="1" customFormat="1" x14ac:dyDescent="0.2">
      <c r="B11" s="115"/>
      <c r="C11" s="326" t="s">
        <v>14</v>
      </c>
      <c r="D11" s="313" t="str">
        <f>_xll.qlRelinkableHandleYieldTermStructure(UPPER(Currency)&amp;C11,,Permanent,Trigger,ObjectOverwrite)</f>
        <v>USD6M#0000</v>
      </c>
      <c r="E11" s="314" t="str">
        <f>_xll.qlLibor(PROPER(Currency)&amp;FamilyName&amp;C11,Currency,C11,D11,Permanent,Trigger,ObjectOverwrite)</f>
        <v>UsdLibor6M#0000</v>
      </c>
      <c r="F11" s="314" t="str">
        <f>_xll.qlLastFixingQuote(PROPER(Currency)&amp;FamilyName&amp;C11&amp;$F$5,E11,Permanent,Trigger,ObjectOverwrite)</f>
        <v>UsdLibor6MLastFixing_Quote#0000</v>
      </c>
      <c r="G11" s="4"/>
      <c r="H11" s="319" t="str">
        <f t="shared" si="0"/>
        <v>USD6MFSR=</v>
      </c>
      <c r="I11" s="387">
        <v>42307</v>
      </c>
      <c r="J11" s="388">
        <v>0.55164999999999997</v>
      </c>
      <c r="K11" s="320" t="b">
        <f t="shared" si="1"/>
        <v>1</v>
      </c>
      <c r="L11" s="321" t="b">
        <f>IF($K11,_xll.qlIndexAddFixings($E11,$I11,$J11/100,TRUE,ISERROR($M11)),NA())</f>
        <v>1</v>
      </c>
      <c r="M11" s="319" t="e">
        <f>_xll.qlIndexFixing($E11,$I11,TRUE,$K11)</f>
        <v>#NUM!</v>
      </c>
      <c r="N11" s="103"/>
      <c r="O11" s="5"/>
      <c r="P11" s="5"/>
      <c r="Q11" s="5"/>
      <c r="R11" s="5"/>
      <c r="S11" s="5"/>
    </row>
    <row r="12" spans="2:22" s="1" customFormat="1" x14ac:dyDescent="0.2">
      <c r="B12" s="115"/>
      <c r="C12" s="326" t="s">
        <v>8</v>
      </c>
      <c r="D12" s="313" t="str">
        <f>_xll.qlRelinkableHandleYieldTermStructure(UPPER(Currency)&amp;C12,,Permanent,Trigger,ObjectOverwrite)</f>
        <v>USD1Y#0000</v>
      </c>
      <c r="E12" s="314" t="str">
        <f>_xll.qlLibor(PROPER(Currency)&amp;FamilyName&amp;C12,Currency,C12,D12,Permanent,Trigger,ObjectOverwrite)</f>
        <v>UsdLibor1Y#0000</v>
      </c>
      <c r="F12" s="314" t="str">
        <f>_xll.qlLastFixingQuote(PROPER(Currency)&amp;FamilyName&amp;C12&amp;$F$5,E12,Permanent,Trigger,ObjectOverwrite)</f>
        <v>UsdLibor1YLastFixing_Quote#0000</v>
      </c>
      <c r="G12" s="4"/>
      <c r="H12" s="322" t="str">
        <f t="shared" si="0"/>
        <v>USD1YFSR=</v>
      </c>
      <c r="I12" s="389">
        <v>42307</v>
      </c>
      <c r="J12" s="390">
        <v>0.86839999999999995</v>
      </c>
      <c r="K12" s="323" t="b">
        <f t="shared" si="1"/>
        <v>1</v>
      </c>
      <c r="L12" s="324" t="b">
        <f>IF($K12,_xll.qlIndexAddFixings($E12,$I12,$J12/100,TRUE,ISERROR($M12)),NA())</f>
        <v>1</v>
      </c>
      <c r="M12" s="322" t="e">
        <f>_xll.qlIndexFixing($E12,$I12,TRUE,$K12)</f>
        <v>#NUM!</v>
      </c>
      <c r="N12" s="103"/>
      <c r="O12" s="5"/>
      <c r="P12" s="5"/>
      <c r="Q12" s="5"/>
      <c r="R12" s="5"/>
      <c r="S12" s="5"/>
    </row>
    <row r="13" spans="2:22" s="1" customFormat="1" x14ac:dyDescent="0.2">
      <c r="B13" s="115"/>
      <c r="C13" s="327" t="s">
        <v>176</v>
      </c>
      <c r="D13" s="315" t="str">
        <f>_xll.qlRelinkableHandleYieldTermStructure(UPPER(Currency)&amp;C13,,Permanent,Trigger,ObjectOverwrite)</f>
        <v>USDSTD#0000</v>
      </c>
      <c r="E13" s="307"/>
      <c r="F13" s="316"/>
      <c r="G13" s="4"/>
      <c r="H13" s="7"/>
      <c r="I13" s="7"/>
      <c r="J13" s="7"/>
      <c r="K13" s="7"/>
      <c r="L13" s="7"/>
      <c r="M13" s="7"/>
      <c r="N13" s="103"/>
      <c r="O13" s="5"/>
      <c r="P13" s="5"/>
      <c r="Q13" s="5"/>
      <c r="R13" s="5"/>
      <c r="S13" s="5"/>
    </row>
    <row r="14" spans="2:22" s="1" customFormat="1" x14ac:dyDescent="0.2">
      <c r="B14" s="117"/>
      <c r="C14" s="118"/>
      <c r="D14" s="118"/>
      <c r="E14" s="118"/>
      <c r="F14" s="118"/>
      <c r="G14" s="118"/>
      <c r="H14" s="118"/>
      <c r="I14" s="118"/>
      <c r="J14" s="118"/>
      <c r="K14" s="118"/>
      <c r="L14" s="118"/>
      <c r="M14" s="118"/>
      <c r="N14" s="349"/>
      <c r="O14" s="5"/>
      <c r="P14" s="5"/>
      <c r="Q14" s="5"/>
      <c r="R14" s="5"/>
      <c r="S14" s="5"/>
    </row>
    <row r="15" spans="2:22" s="1" customFormat="1" x14ac:dyDescent="0.2">
      <c r="E15" s="5"/>
      <c r="F15" s="5"/>
      <c r="G15" s="5"/>
      <c r="J15" s="5"/>
      <c r="N15" s="5"/>
      <c r="O15" s="5"/>
      <c r="P15" s="5"/>
      <c r="Q15" s="5"/>
      <c r="R15" s="5"/>
      <c r="S15" s="5"/>
    </row>
    <row r="16" spans="2:22" x14ac:dyDescent="0.2">
      <c r="E16" s="306" t="s">
        <v>192</v>
      </c>
      <c r="F16" s="308" t="str">
        <f>"START:"&amp;_xll.qlSettingsEvaluationDate(Trigger)&amp; " END:"&amp;_xll.qlSettingsEvaluationDate(Trigger)&amp;" INTERVAL:1D"</f>
        <v>START:42306 END:42306 INTERVAL:1D</v>
      </c>
      <c r="H16" s="354" t="str">
        <f>_xll.RHistory(I17,$F$18&amp;";"&amp;$F$19,$F$16,,"SORT:"&amp;$F$17&amp;" CH:Fd",J16)</f>
        <v>Not Signed In</v>
      </c>
      <c r="I16" s="351"/>
      <c r="J16" s="362" t="s">
        <v>263</v>
      </c>
      <c r="K16" s="362" t="s">
        <v>143</v>
      </c>
      <c r="L16" s="362" t="s">
        <v>172</v>
      </c>
    </row>
    <row r="17" spans="5:12" x14ac:dyDescent="0.2">
      <c r="E17" s="306" t="s">
        <v>193</v>
      </c>
      <c r="F17" s="307" t="s">
        <v>194</v>
      </c>
      <c r="H17" s="369" t="s">
        <v>19</v>
      </c>
      <c r="I17" s="369" t="str">
        <f>Currency&amp;H17&amp;$H$4&amp;"="</f>
        <v>USD1MFSR=</v>
      </c>
      <c r="J17" s="355" t="e">
        <v>#N/A</v>
      </c>
      <c r="K17" s="369">
        <v>0.19409999999999999</v>
      </c>
      <c r="L17" s="369" t="e">
        <f>_xll.qlIndexAddFixings(PROPER(Currency)&amp;FamilyName&amp;H17,J17,K17/100,TRUE,_xll.ohTrigger(Libor!$E$6:$E$12))</f>
        <v>#NUM!</v>
      </c>
    </row>
    <row r="18" spans="5:12" x14ac:dyDescent="0.2">
      <c r="E18" s="306" t="s">
        <v>195</v>
      </c>
      <c r="F18" s="361" t="s">
        <v>260</v>
      </c>
    </row>
    <row r="19" spans="5:12" x14ac:dyDescent="0.2">
      <c r="F19" s="361" t="s">
        <v>261</v>
      </c>
      <c r="H19" s="354" t="str">
        <f>_xll.RHistory(I20,$F$18&amp;";"&amp;$F$19,$F$16,,"SORT:"&amp;$F$17&amp;" CH:Fd",J19)</f>
        <v>Not Signed In</v>
      </c>
      <c r="I19" s="351"/>
      <c r="J19" s="362" t="s">
        <v>263</v>
      </c>
      <c r="K19" s="362" t="s">
        <v>143</v>
      </c>
      <c r="L19" s="362" t="s">
        <v>172</v>
      </c>
    </row>
    <row r="20" spans="5:12" x14ac:dyDescent="0.2">
      <c r="F20" s="359"/>
      <c r="G20" s="359"/>
      <c r="H20" s="369" t="s">
        <v>17</v>
      </c>
      <c r="I20" s="369" t="str">
        <f>Currency&amp;H20&amp;$H$4&amp;"="</f>
        <v>USD3MFSR=</v>
      </c>
      <c r="J20" s="355" t="e">
        <v>#N/A</v>
      </c>
      <c r="K20" s="369">
        <v>0.318</v>
      </c>
      <c r="L20" s="369" t="e">
        <f>_xll.qlIndexAddFixings(PROPER(Currency)&amp;FamilyName&amp;H20,J20,K20/100,TRUE,_xll.ohTrigger(Libor!$E$6:$E$12))</f>
        <v>#NUM!</v>
      </c>
    </row>
    <row r="21" spans="5:12" x14ac:dyDescent="0.2">
      <c r="F21" s="359"/>
      <c r="G21" s="359"/>
      <c r="H21" s="359"/>
      <c r="I21" s="359"/>
      <c r="J21" s="359"/>
      <c r="K21" s="359"/>
    </row>
    <row r="22" spans="5:12" x14ac:dyDescent="0.2">
      <c r="F22" s="359"/>
      <c r="G22" s="359"/>
      <c r="H22" s="354" t="str">
        <f>_xll.RHistory(I23,$F$18&amp;";"&amp;$F$19,$F$16,,"SORT:"&amp;$F$17&amp;" CH:Fd",J22)</f>
        <v>Not Signed In</v>
      </c>
      <c r="I22" s="351"/>
      <c r="J22" s="362" t="s">
        <v>263</v>
      </c>
      <c r="K22" s="362" t="s">
        <v>143</v>
      </c>
      <c r="L22" s="362" t="s">
        <v>172</v>
      </c>
    </row>
    <row r="23" spans="5:12" x14ac:dyDescent="0.2">
      <c r="F23" s="359"/>
      <c r="G23" s="359"/>
      <c r="H23" s="369" t="s">
        <v>14</v>
      </c>
      <c r="I23" s="369" t="str">
        <f>Currency&amp;H23&amp;$H$4&amp;"="</f>
        <v>USD6MFSR=</v>
      </c>
      <c r="J23" s="355" t="e">
        <v>#N/A</v>
      </c>
      <c r="K23" s="369">
        <v>0.52500000000000002</v>
      </c>
      <c r="L23" s="369" t="e">
        <f>_xll.qlIndexAddFixings(PROPER(Currency)&amp;FamilyName&amp;H23,J23,K23/100,TRUE,_xll.ohTrigger(Libor!$E$6:$E$12))</f>
        <v>#NUM!</v>
      </c>
    </row>
    <row r="24" spans="5:12" x14ac:dyDescent="0.2">
      <c r="F24" s="359"/>
      <c r="G24" s="359"/>
      <c r="H24" s="359"/>
      <c r="I24" s="359"/>
      <c r="J24" s="359"/>
      <c r="K24" s="359"/>
    </row>
    <row r="25" spans="5:12" x14ac:dyDescent="0.2">
      <c r="F25" s="359"/>
      <c r="G25" s="359"/>
      <c r="H25" s="354" t="str">
        <f>_xll.RHistory(I26,$F$18&amp;";"&amp;$F$19,$F$16,,"SORT:"&amp;$F$17&amp;" CH:Fd",J25)</f>
        <v>Not Signed In</v>
      </c>
      <c r="I25" s="351"/>
      <c r="J25" s="362" t="s">
        <v>263</v>
      </c>
      <c r="K25" s="362" t="s">
        <v>143</v>
      </c>
      <c r="L25" s="362" t="s">
        <v>172</v>
      </c>
    </row>
    <row r="26" spans="5:12" x14ac:dyDescent="0.2">
      <c r="F26" s="359"/>
      <c r="G26" s="359"/>
      <c r="H26" s="369" t="s">
        <v>8</v>
      </c>
      <c r="I26" s="369" t="str">
        <f>Currency&amp;H26&amp;$H$4&amp;"="</f>
        <v>USD1YFSR=</v>
      </c>
      <c r="J26" s="355" t="e">
        <v>#N/A</v>
      </c>
      <c r="K26" s="369">
        <v>0.83635000000000004</v>
      </c>
      <c r="L26" s="369" t="e">
        <f>_xll.qlIndexAddFixings(PROPER(Currency)&amp;FamilyName&amp;H26,J26,K26/100,TRUE,_xll.ohTrigger(Libor!$E$6:$E$12))</f>
        <v>#NUM!</v>
      </c>
    </row>
    <row r="27" spans="5:12" x14ac:dyDescent="0.2">
      <c r="F27" s="359"/>
      <c r="G27" s="359"/>
      <c r="H27" s="359"/>
      <c r="I27" s="359"/>
      <c r="J27" s="359"/>
      <c r="K27" s="359"/>
    </row>
    <row r="28" spans="5:12" x14ac:dyDescent="0.2">
      <c r="F28" s="359"/>
      <c r="G28" s="359"/>
      <c r="H28" s="359"/>
      <c r="I28" s="359"/>
      <c r="J28" s="359"/>
      <c r="K28" s="359"/>
    </row>
    <row r="29" spans="5:12" x14ac:dyDescent="0.2">
      <c r="F29" s="359"/>
      <c r="G29" s="359"/>
      <c r="H29" s="359"/>
      <c r="I29" s="359"/>
      <c r="J29" s="359"/>
      <c r="K29" s="359"/>
    </row>
    <row r="30" spans="5:12" x14ac:dyDescent="0.2">
      <c r="F30" s="359"/>
      <c r="G30" s="359"/>
      <c r="H30" s="359"/>
      <c r="I30" s="359"/>
      <c r="J30" s="359"/>
      <c r="K30" s="359"/>
    </row>
    <row r="31" spans="5:12" x14ac:dyDescent="0.2">
      <c r="F31" s="359"/>
      <c r="G31" s="359"/>
      <c r="H31" s="359"/>
      <c r="I31" s="359"/>
      <c r="J31" s="359"/>
      <c r="K31" s="359"/>
    </row>
    <row r="32" spans="5:12" x14ac:dyDescent="0.2">
      <c r="F32" s="359"/>
      <c r="G32" s="359"/>
      <c r="H32" s="359"/>
      <c r="I32" s="359"/>
      <c r="J32" s="359"/>
      <c r="K32" s="359"/>
    </row>
    <row r="33" spans="6:11" x14ac:dyDescent="0.2">
      <c r="F33" s="359"/>
      <c r="G33" s="359"/>
      <c r="H33" s="359"/>
      <c r="I33" s="359"/>
      <c r="J33" s="359"/>
      <c r="K33" s="359"/>
    </row>
    <row r="34" spans="6:11" x14ac:dyDescent="0.2">
      <c r="F34" s="359"/>
      <c r="G34" s="359"/>
      <c r="H34" s="359"/>
      <c r="I34" s="359"/>
      <c r="J34" s="359"/>
      <c r="K34" s="359"/>
    </row>
    <row r="35" spans="6:11" x14ac:dyDescent="0.2">
      <c r="F35" s="359"/>
      <c r="G35" s="359"/>
      <c r="H35" s="359"/>
      <c r="I35" s="359"/>
      <c r="J35" s="359"/>
      <c r="K35" s="359"/>
    </row>
    <row r="36" spans="6:11" x14ac:dyDescent="0.2">
      <c r="F36" s="359"/>
      <c r="G36" s="359"/>
      <c r="H36" s="359"/>
      <c r="I36" s="359"/>
      <c r="J36" s="359"/>
      <c r="K36" s="359"/>
    </row>
    <row r="37" spans="6:11" x14ac:dyDescent="0.2">
      <c r="F37" s="359"/>
      <c r="G37" s="359"/>
      <c r="H37" s="359"/>
      <c r="I37" s="359"/>
      <c r="J37" s="359"/>
      <c r="K37" s="359"/>
    </row>
    <row r="38" spans="6:11" x14ac:dyDescent="0.2">
      <c r="F38" s="359"/>
      <c r="G38" s="359"/>
      <c r="H38" s="359"/>
      <c r="I38" s="359"/>
      <c r="J38" s="359"/>
      <c r="K38" s="359"/>
    </row>
    <row r="39" spans="6:11" x14ac:dyDescent="0.2">
      <c r="F39" s="359"/>
      <c r="G39" s="359"/>
      <c r="H39" s="359"/>
      <c r="I39" s="359"/>
      <c r="J39" s="359"/>
      <c r="K39" s="359"/>
    </row>
    <row r="40" spans="6:11" x14ac:dyDescent="0.2">
      <c r="F40" s="359"/>
      <c r="G40" s="359"/>
      <c r="H40" s="359"/>
      <c r="I40" s="359"/>
      <c r="J40" s="359"/>
      <c r="K40" s="359"/>
    </row>
    <row r="41" spans="6:11" x14ac:dyDescent="0.2">
      <c r="F41" s="359"/>
      <c r="G41" s="359"/>
      <c r="H41" s="359"/>
      <c r="I41" s="359"/>
      <c r="J41" s="359"/>
      <c r="K41" s="359"/>
    </row>
    <row r="42" spans="6:11" x14ac:dyDescent="0.2">
      <c r="F42" s="359"/>
      <c r="G42" s="359"/>
      <c r="H42" s="359"/>
      <c r="I42" s="359"/>
      <c r="J42" s="359"/>
      <c r="K42" s="359"/>
    </row>
  </sheetData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S18"/>
  <sheetViews>
    <sheetView showGridLines="0" topLeftCell="I1" workbookViewId="0">
      <selection activeCell="R2" sqref="R2"/>
    </sheetView>
  </sheetViews>
  <sheetFormatPr defaultRowHeight="11.25" outlineLevelCol="1" x14ac:dyDescent="0.2"/>
  <cols>
    <col min="1" max="2" width="2.7109375" style="144" hidden="1" customWidth="1" outlineLevel="1"/>
    <col min="3" max="3" width="3" style="144" hidden="1" customWidth="1" outlineLevel="1"/>
    <col min="4" max="4" width="5" style="144" hidden="1" customWidth="1" outlineLevel="1"/>
    <col min="5" max="5" width="16.7109375" style="144" hidden="1" customWidth="1" outlineLevel="1"/>
    <col min="6" max="6" width="22.7109375" style="144" hidden="1" customWidth="1" outlineLevel="1"/>
    <col min="7" max="7" width="20.7109375" style="144" hidden="1" customWidth="1" outlineLevel="1"/>
    <col min="8" max="8" width="2.7109375" style="144" hidden="1" customWidth="1" outlineLevel="1"/>
    <col min="9" max="9" width="2.7109375" style="144" customWidth="1" collapsed="1"/>
    <col min="10" max="10" width="2.7109375" style="144" customWidth="1"/>
    <col min="11" max="11" width="9.140625" style="144"/>
    <col min="12" max="12" width="11.85546875" style="144" customWidth="1"/>
    <col min="13" max="13" width="10.7109375" style="144" customWidth="1"/>
    <col min="14" max="14" width="2.7109375" style="144" customWidth="1"/>
    <col min="15" max="15" width="10.7109375" style="144" customWidth="1"/>
    <col min="16" max="16" width="2.7109375" style="144" customWidth="1"/>
    <col min="17" max="18" width="10.7109375" style="144" customWidth="1"/>
    <col min="19" max="20" width="2.7109375" style="144" customWidth="1"/>
    <col min="21" max="22" width="9.140625" style="144"/>
    <col min="23" max="23" width="9.85546875" style="144" customWidth="1"/>
    <col min="24" max="24" width="8.85546875" style="144" customWidth="1"/>
    <col min="25" max="16384" width="9.140625" style="144"/>
  </cols>
  <sheetData>
    <row r="1" spans="1:19" x14ac:dyDescent="0.2">
      <c r="A1" s="25"/>
      <c r="B1" s="25"/>
      <c r="C1" s="25"/>
      <c r="D1" s="79"/>
      <c r="E1" s="79"/>
      <c r="F1" s="79"/>
      <c r="G1" s="79"/>
      <c r="H1" s="80"/>
      <c r="J1" s="78" t="s">
        <v>231</v>
      </c>
      <c r="K1" s="89"/>
      <c r="L1" s="89"/>
      <c r="M1" s="89"/>
      <c r="N1" s="89"/>
      <c r="O1" s="89"/>
      <c r="P1" s="79"/>
      <c r="Q1" s="79"/>
      <c r="R1" s="79"/>
      <c r="S1" s="80"/>
    </row>
    <row r="2" spans="1:19" x14ac:dyDescent="0.2">
      <c r="A2" s="81"/>
      <c r="B2" s="82"/>
      <c r="C2" s="82"/>
      <c r="D2" s="82"/>
      <c r="E2" s="82"/>
      <c r="F2" s="82"/>
      <c r="G2" s="82"/>
      <c r="H2" s="83"/>
      <c r="J2" s="81"/>
      <c r="K2" s="82"/>
      <c r="L2" s="187" t="str">
        <f>VLOOKUP($J$1,AreaTable,AreaIndex,0)</f>
        <v>KLIEM</v>
      </c>
      <c r="M2" s="90"/>
      <c r="N2" s="90"/>
      <c r="O2" s="90"/>
      <c r="P2" s="82"/>
      <c r="Q2" s="82"/>
      <c r="R2" s="55">
        <f>_xll.ohTrigger(R5:R13)</f>
        <v>2</v>
      </c>
      <c r="S2" s="83"/>
    </row>
    <row r="3" spans="1:19" x14ac:dyDescent="0.2">
      <c r="A3" s="84"/>
      <c r="B3" s="105"/>
      <c r="C3" s="105"/>
      <c r="D3" s="82"/>
      <c r="E3" s="82"/>
      <c r="F3" s="82"/>
      <c r="G3" s="82"/>
      <c r="H3" s="83"/>
      <c r="J3" s="81"/>
      <c r="K3" s="82"/>
      <c r="L3" s="26"/>
      <c r="M3" s="82"/>
      <c r="N3" s="14"/>
      <c r="O3" s="14"/>
      <c r="P3" s="14"/>
      <c r="Q3" s="3"/>
      <c r="R3" s="82"/>
      <c r="S3" s="83"/>
    </row>
    <row r="4" spans="1:19" ht="22.5" x14ac:dyDescent="0.2">
      <c r="A4" s="27"/>
      <c r="B4" s="44"/>
      <c r="C4" s="48"/>
      <c r="D4" s="45"/>
      <c r="E4" s="48" t="s">
        <v>224</v>
      </c>
      <c r="F4" s="49" t="s">
        <v>225</v>
      </c>
      <c r="G4" s="49" t="s">
        <v>239</v>
      </c>
      <c r="H4" s="83"/>
      <c r="J4" s="11"/>
      <c r="K4" s="47"/>
      <c r="L4" s="52" t="str">
        <f>_xll.RData(L5:L7,M4,"RTFEED:IDN",ReutersRtMode,,M5)</f>
        <v>Not Signed In</v>
      </c>
      <c r="M4" s="92" t="s">
        <v>133</v>
      </c>
      <c r="N4" s="14" t="s">
        <v>196</v>
      </c>
      <c r="O4" s="38" t="s">
        <v>148</v>
      </c>
      <c r="P4" s="14"/>
      <c r="Q4" s="39" t="s">
        <v>147</v>
      </c>
      <c r="R4" s="40" t="s">
        <v>146</v>
      </c>
      <c r="S4" s="83"/>
    </row>
    <row r="5" spans="1:19" x14ac:dyDescent="0.2">
      <c r="A5" s="27"/>
      <c r="B5" s="106"/>
      <c r="C5" s="152"/>
      <c r="D5" s="107" t="str">
        <f>K5&amp;"D"</f>
        <v>OND</v>
      </c>
      <c r="E5" s="41" t="str">
        <f t="shared" ref="E5:E13" si="0">Currency&amp;$D5&amp;QuoteSuffix</f>
        <v>USDOND_Quote</v>
      </c>
      <c r="F5" s="41" t="str">
        <f>_xll.qlSimpleQuote(E5,,RateTickValue,Permanent,Trigger,ObjectOverwrite)</f>
        <v>USDOND_Quote#0000</v>
      </c>
      <c r="G5" s="155" t="str">
        <f>_xll.ohRangeRetrieveError(F5)</f>
        <v/>
      </c>
      <c r="H5" s="83"/>
      <c r="J5" s="11"/>
      <c r="K5" s="29" t="s">
        <v>130</v>
      </c>
      <c r="L5" s="32" t="str">
        <f>Currency&amp;K5&amp;"D="&amp;VLOOKUP($L$2,[0]!ContributorTable,2,0)</f>
        <v>USDOND=CKCC</v>
      </c>
      <c r="M5" s="391">
        <v>0.27</v>
      </c>
      <c r="N5" s="54" t="s">
        <v>196</v>
      </c>
      <c r="O5" s="35">
        <v>0.27</v>
      </c>
      <c r="P5" s="143"/>
      <c r="Q5" s="35">
        <f t="array" ref="Q5:Q13">QuoteStatic</f>
        <v>0.27</v>
      </c>
      <c r="R5" s="149">
        <f>_xll.qlSimpleQuoteSetValue(F5,Q5/100,Trigger)</f>
        <v>-2.9999999999999992E-4</v>
      </c>
      <c r="S5" s="83"/>
    </row>
    <row r="6" spans="1:19" x14ac:dyDescent="0.2">
      <c r="A6" s="27"/>
      <c r="B6" s="108"/>
      <c r="C6" s="153"/>
      <c r="D6" s="109" t="str">
        <f t="shared" ref="D6:D13" si="1">K6&amp;"D"</f>
        <v>TND</v>
      </c>
      <c r="E6" s="42" t="str">
        <f t="shared" si="0"/>
        <v>USDTND_Quote</v>
      </c>
      <c r="F6" s="42" t="str">
        <f>_xll.qlSimpleQuote(E6,,RateTickValue,Permanent,Trigger,ObjectOverwrite)</f>
        <v>USDTND_Quote#0000</v>
      </c>
      <c r="G6" s="156" t="str">
        <f>_xll.ohRangeRetrieveError(F6)</f>
        <v/>
      </c>
      <c r="H6" s="83"/>
      <c r="J6" s="11"/>
      <c r="K6" s="30" t="s">
        <v>145</v>
      </c>
      <c r="L6" s="33" t="str">
        <f>Currency&amp;K6&amp;"D="&amp;VLOOKUP($L$2,[0]!ContributorTable,2,0)</f>
        <v>USDTND=CKCC</v>
      </c>
      <c r="M6" s="392">
        <v>0.27</v>
      </c>
      <c r="N6" s="54" t="s">
        <v>196</v>
      </c>
      <c r="O6" s="36">
        <v>0.27</v>
      </c>
      <c r="P6" s="143"/>
      <c r="Q6" s="36">
        <v>0.27</v>
      </c>
      <c r="R6" s="150">
        <f>_xll.qlSimpleQuoteSetValue(F6,Q6/100,Trigger)</f>
        <v>-2.9999999999999992E-4</v>
      </c>
      <c r="S6" s="83"/>
    </row>
    <row r="7" spans="1:19" x14ac:dyDescent="0.2">
      <c r="A7" s="27"/>
      <c r="B7" s="108"/>
      <c r="C7" s="153"/>
      <c r="D7" s="109" t="str">
        <f t="shared" si="1"/>
        <v>SND</v>
      </c>
      <c r="E7" s="42" t="str">
        <f t="shared" si="0"/>
        <v>USDSND_Quote</v>
      </c>
      <c r="F7" s="42" t="str">
        <f>_xll.qlSimpleQuote(E7,,RateTickValue,Permanent,Trigger,ObjectOverwrite)</f>
        <v>USDSND_Quote#0000</v>
      </c>
      <c r="G7" s="156" t="str">
        <f>_xll.ohRangeRetrieveError(F7)</f>
        <v/>
      </c>
      <c r="H7" s="83"/>
      <c r="J7" s="11"/>
      <c r="K7" s="31" t="s">
        <v>142</v>
      </c>
      <c r="L7" s="34" t="str">
        <f>Currency&amp;K7&amp;"D="&amp;VLOOKUP($L$2,[0]!ContributorTable,2,0)</f>
        <v>USDSND=CKCC</v>
      </c>
      <c r="M7" s="393">
        <v>0.27</v>
      </c>
      <c r="N7" s="54" t="s">
        <v>196</v>
      </c>
      <c r="O7" s="37">
        <v>0.27</v>
      </c>
      <c r="P7" s="143"/>
      <c r="Q7" s="37">
        <v>0.27</v>
      </c>
      <c r="R7" s="151">
        <f>_xll.qlSimpleQuoteSetValue(F7,Q7/100,Trigger)</f>
        <v>-2.9999999999999992E-4</v>
      </c>
      <c r="S7" s="83"/>
    </row>
    <row r="8" spans="1:19" x14ac:dyDescent="0.2">
      <c r="A8" s="27"/>
      <c r="B8" s="106"/>
      <c r="C8" s="152"/>
      <c r="D8" s="107" t="str">
        <f t="shared" si="1"/>
        <v>SWD</v>
      </c>
      <c r="E8" s="41" t="str">
        <f t="shared" si="0"/>
        <v>USDSWD_Quote</v>
      </c>
      <c r="F8" s="41" t="str">
        <f>_xll.qlSimpleQuote(E8,,RateTickValue,Permanent,Trigger,ObjectOverwrite)</f>
        <v>USDSWD_Quote#0000</v>
      </c>
      <c r="G8" s="155" t="str">
        <f>_xll.ohRangeRetrieveError(F8)</f>
        <v/>
      </c>
      <c r="H8" s="83"/>
      <c r="J8" s="11"/>
      <c r="K8" s="30" t="s">
        <v>22</v>
      </c>
      <c r="L8" s="32" t="str">
        <f>Libor!H7</f>
        <v>USDSWFSR=</v>
      </c>
      <c r="M8" s="391">
        <f>Libor!J7</f>
        <v>0.15589999999999998</v>
      </c>
      <c r="N8" s="54" t="s">
        <v>196</v>
      </c>
      <c r="O8" s="36">
        <v>0.15589999999999998</v>
      </c>
      <c r="P8" s="143"/>
      <c r="Q8" s="36">
        <v>0.15589999999999998</v>
      </c>
      <c r="R8" s="150">
        <f>_xll.qlSimpleQuoteSetValue(F8,Q8/100,Trigger)</f>
        <v>-5.5000000000002963E-6</v>
      </c>
      <c r="S8" s="83"/>
    </row>
    <row r="9" spans="1:19" x14ac:dyDescent="0.2">
      <c r="A9" s="27"/>
      <c r="B9" s="108"/>
      <c r="C9" s="153"/>
      <c r="D9" s="109" t="str">
        <f t="shared" si="1"/>
        <v>1MD</v>
      </c>
      <c r="E9" s="42" t="str">
        <f t="shared" si="0"/>
        <v>USD1MD_Quote</v>
      </c>
      <c r="F9" s="42" t="str">
        <f>_xll.qlSimpleQuote(E9,,RateTickValue,Permanent,Trigger,ObjectOverwrite)</f>
        <v>USD1MD_Quote#0000</v>
      </c>
      <c r="G9" s="156" t="str">
        <f>_xll.ohRangeRetrieveError(F9)</f>
        <v/>
      </c>
      <c r="H9" s="83"/>
      <c r="J9" s="11"/>
      <c r="K9" s="30" t="s">
        <v>19</v>
      </c>
      <c r="L9" s="33" t="str">
        <f>Libor!H8</f>
        <v>USD1MFSR=</v>
      </c>
      <c r="M9" s="392">
        <f>Libor!J8</f>
        <v>0.192</v>
      </c>
      <c r="N9" s="54" t="s">
        <v>196</v>
      </c>
      <c r="O9" s="36">
        <v>0.192</v>
      </c>
      <c r="P9" s="143"/>
      <c r="Q9" s="36">
        <v>0.192</v>
      </c>
      <c r="R9" s="150">
        <f>_xll.qlSimpleQuoteSetValue(F9,Q9/100,Trigger)</f>
        <v>-2.0999999999999968E-5</v>
      </c>
      <c r="S9" s="83"/>
    </row>
    <row r="10" spans="1:19" x14ac:dyDescent="0.2">
      <c r="A10" s="27"/>
      <c r="B10" s="108"/>
      <c r="C10" s="153"/>
      <c r="D10" s="109" t="str">
        <f t="shared" si="1"/>
        <v>2MD</v>
      </c>
      <c r="E10" s="42" t="str">
        <f t="shared" si="0"/>
        <v>USD2MD_Quote</v>
      </c>
      <c r="F10" s="42" t="str">
        <f>_xll.qlSimpleQuote(E10,,RateTickValue,Permanent,Trigger,ObjectOverwrite)</f>
        <v>USD2MD_Quote#0000</v>
      </c>
      <c r="G10" s="156" t="str">
        <f>_xll.ohRangeRetrieveError(F10)</f>
        <v/>
      </c>
      <c r="H10" s="83"/>
      <c r="J10" s="11"/>
      <c r="K10" s="30" t="s">
        <v>18</v>
      </c>
      <c r="L10" s="33" t="str">
        <f>Libor!H9</f>
        <v>USD2MFSR=</v>
      </c>
      <c r="M10" s="392">
        <f>Libor!J9</f>
        <v>0.25305</v>
      </c>
      <c r="N10" s="54" t="s">
        <v>196</v>
      </c>
      <c r="O10" s="36">
        <v>0.25305</v>
      </c>
      <c r="P10" s="143"/>
      <c r="Q10" s="36">
        <v>0.25305</v>
      </c>
      <c r="R10" s="150">
        <f>_xll.qlSimpleQuoteSetValue(F10,Q10/100,Trigger)</f>
        <v>3.2499999999999543E-5</v>
      </c>
      <c r="S10" s="83"/>
    </row>
    <row r="11" spans="1:19" x14ac:dyDescent="0.2">
      <c r="A11" s="27"/>
      <c r="B11" s="108"/>
      <c r="C11" s="153"/>
      <c r="D11" s="109" t="str">
        <f t="shared" si="1"/>
        <v>3MD</v>
      </c>
      <c r="E11" s="42" t="str">
        <f t="shared" si="0"/>
        <v>USD3MD_Quote</v>
      </c>
      <c r="F11" s="42" t="str">
        <f>_xll.qlSimpleQuote(E11,,RateTickValue,Permanent,Trigger,ObjectOverwrite)</f>
        <v>USD3MD_Quote#0000</v>
      </c>
      <c r="G11" s="156" t="str">
        <f>_xll.ohRangeRetrieveError(F11)</f>
        <v/>
      </c>
      <c r="H11" s="83"/>
      <c r="J11" s="11"/>
      <c r="K11" s="30" t="s">
        <v>17</v>
      </c>
      <c r="L11" s="33" t="str">
        <f>Libor!H10</f>
        <v>USD3MFSR=</v>
      </c>
      <c r="M11" s="392">
        <f>Libor!J10</f>
        <v>0.33410000000000001</v>
      </c>
      <c r="N11" s="54" t="s">
        <v>196</v>
      </c>
      <c r="O11" s="36">
        <v>0.33410000000000001</v>
      </c>
      <c r="P11" s="143"/>
      <c r="Q11" s="36">
        <v>0.33410000000000001</v>
      </c>
      <c r="R11" s="150">
        <f>_xll.qlSimpleQuoteSetValue(F11,Q11/100,Trigger)</f>
        <v>1.6100000000000012E-4</v>
      </c>
      <c r="S11" s="83"/>
    </row>
    <row r="12" spans="1:19" x14ac:dyDescent="0.2">
      <c r="A12" s="27"/>
      <c r="B12" s="108"/>
      <c r="C12" s="153"/>
      <c r="D12" s="109" t="str">
        <f t="shared" si="1"/>
        <v>6MD</v>
      </c>
      <c r="E12" s="42" t="str">
        <f t="shared" si="0"/>
        <v>USD6MD_Quote</v>
      </c>
      <c r="F12" s="42" t="str">
        <f>_xll.qlSimpleQuote(E12,,RateTickValue,Permanent,Trigger,ObjectOverwrite)</f>
        <v>USD6MD_Quote#0000</v>
      </c>
      <c r="G12" s="156" t="str">
        <f>_xll.ohRangeRetrieveError(F12)</f>
        <v/>
      </c>
      <c r="H12" s="83"/>
      <c r="J12" s="11"/>
      <c r="K12" s="30" t="s">
        <v>14</v>
      </c>
      <c r="L12" s="33" t="str">
        <f>Libor!H11</f>
        <v>USD6MFSR=</v>
      </c>
      <c r="M12" s="392">
        <f>Libor!J11</f>
        <v>0.55164999999999997</v>
      </c>
      <c r="N12" s="54" t="s">
        <v>196</v>
      </c>
      <c r="O12" s="36">
        <v>0.55164999999999997</v>
      </c>
      <c r="P12" s="143"/>
      <c r="Q12" s="36">
        <v>0.55164999999999997</v>
      </c>
      <c r="R12" s="150">
        <f>_xll.qlSimpleQuoteSetValue(F12,Q12/100,Trigger)</f>
        <v>2.6649999999999938E-4</v>
      </c>
      <c r="S12" s="83"/>
    </row>
    <row r="13" spans="1:19" x14ac:dyDescent="0.2">
      <c r="A13" s="27"/>
      <c r="B13" s="110"/>
      <c r="C13" s="154"/>
      <c r="D13" s="111" t="str">
        <f t="shared" si="1"/>
        <v>1YD</v>
      </c>
      <c r="E13" s="43" t="str">
        <f t="shared" si="0"/>
        <v>USD1YD_Quote</v>
      </c>
      <c r="F13" s="43" t="str">
        <f>_xll.qlSimpleQuote(E13,,RateTickValue,Permanent,Trigger,ObjectOverwrite)</f>
        <v>USD1YD_Quote#0000</v>
      </c>
      <c r="G13" s="157" t="str">
        <f>_xll.ohRangeRetrieveError(F13)</f>
        <v/>
      </c>
      <c r="H13" s="83"/>
      <c r="J13" s="11"/>
      <c r="K13" s="31" t="s">
        <v>8</v>
      </c>
      <c r="L13" s="34" t="str">
        <f>Libor!H12</f>
        <v>USD1YFSR=</v>
      </c>
      <c r="M13" s="393">
        <f>Libor!J12</f>
        <v>0.86839999999999995</v>
      </c>
      <c r="N13" s="54" t="s">
        <v>196</v>
      </c>
      <c r="O13" s="37">
        <v>0.86839999999999995</v>
      </c>
      <c r="P13" s="143"/>
      <c r="Q13" s="37">
        <v>0.86839999999999995</v>
      </c>
      <c r="R13" s="151">
        <f>_xll.qlSimpleQuoteSetValue(F13,Q13/100,Trigger)</f>
        <v>3.2049999999999787E-4</v>
      </c>
      <c r="S13" s="83"/>
    </row>
    <row r="14" spans="1:19" x14ac:dyDescent="0.2">
      <c r="A14" s="85"/>
      <c r="B14" s="86"/>
      <c r="C14" s="86"/>
      <c r="D14" s="86"/>
      <c r="E14" s="86"/>
      <c r="F14" s="86"/>
      <c r="G14" s="86"/>
      <c r="H14" s="87"/>
      <c r="J14" s="85"/>
      <c r="K14" s="91"/>
      <c r="L14" s="91"/>
      <c r="M14" s="91"/>
      <c r="N14" s="91"/>
      <c r="O14" s="91"/>
      <c r="P14" s="91"/>
      <c r="Q14" s="91"/>
      <c r="R14" s="91"/>
      <c r="S14" s="87"/>
    </row>
    <row r="18" ht="19.5" customHeight="1" x14ac:dyDescent="0.2"/>
  </sheetData>
  <conditionalFormatting sqref="R5:R13">
    <cfRule type="cellIs" dxfId="25" priority="1" stopIfTrue="1" operator="greaterThan">
      <formula>0</formula>
    </cfRule>
    <cfRule type="cellIs" dxfId="24" priority="2" stopIfTrue="1" operator="lessThan">
      <formula>0</formula>
    </cfRule>
  </conditionalFormatting>
  <dataValidations count="1">
    <dataValidation type="list" showInputMessage="1" showErrorMessage="1" sqref="L2">
      <formula1>Contributors</formula1>
    </dataValidation>
  </dataValidations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A17"/>
  <sheetViews>
    <sheetView showGridLines="0" topLeftCell="I1" workbookViewId="0">
      <selection activeCell="X2" sqref="X2"/>
    </sheetView>
  </sheetViews>
  <sheetFormatPr defaultRowHeight="11.25" outlineLevelCol="1" x14ac:dyDescent="0.2"/>
  <cols>
    <col min="1" max="2" width="2.7109375" style="144" hidden="1" customWidth="1" outlineLevel="1"/>
    <col min="3" max="3" width="3" style="144" hidden="1" customWidth="1" outlineLevel="1"/>
    <col min="4" max="4" width="5" style="144" hidden="1" customWidth="1" outlineLevel="1"/>
    <col min="5" max="5" width="16.7109375" style="144" hidden="1" customWidth="1" outlineLevel="1"/>
    <col min="6" max="6" width="22.7109375" style="144" hidden="1" customWidth="1" outlineLevel="1"/>
    <col min="7" max="7" width="20.7109375" style="145" hidden="1" customWidth="1" outlineLevel="1"/>
    <col min="8" max="8" width="2.7109375" style="145" hidden="1" customWidth="1" outlineLevel="1"/>
    <col min="9" max="9" width="2.7109375" style="145" customWidth="1" collapsed="1"/>
    <col min="10" max="11" width="2.7109375" style="144" customWidth="1"/>
    <col min="12" max="13" width="4" style="144" customWidth="1"/>
    <col min="14" max="14" width="11.7109375" style="144" customWidth="1"/>
    <col min="15" max="15" width="16.7109375" style="144" customWidth="1"/>
    <col min="16" max="19" width="10.7109375" style="144" customWidth="1"/>
    <col min="20" max="20" width="2.7109375" style="144" customWidth="1"/>
    <col min="21" max="21" width="10.7109375" style="144" customWidth="1"/>
    <col min="22" max="22" width="2.7109375" style="144" customWidth="1"/>
    <col min="23" max="24" width="10.7109375" style="144" customWidth="1"/>
    <col min="25" max="25" width="2.7109375" style="144" customWidth="1"/>
    <col min="26" max="26" width="14.140625" style="144" bestFit="1" customWidth="1"/>
    <col min="27" max="27" width="12" style="144" bestFit="1" customWidth="1"/>
    <col min="28" max="16384" width="9.140625" style="144"/>
  </cols>
  <sheetData>
    <row r="1" spans="1:27" x14ac:dyDescent="0.2">
      <c r="A1" s="25"/>
      <c r="B1" s="25"/>
      <c r="C1" s="79"/>
      <c r="D1" s="79"/>
      <c r="E1" s="79"/>
      <c r="F1" s="79"/>
      <c r="G1" s="93"/>
      <c r="H1" s="94"/>
      <c r="J1" s="104" t="s">
        <v>254</v>
      </c>
      <c r="K1" s="26"/>
      <c r="L1" s="26"/>
      <c r="M1" s="26"/>
      <c r="N1" s="26"/>
      <c r="O1" s="89"/>
      <c r="P1" s="26"/>
      <c r="Q1" s="26"/>
      <c r="R1" s="26"/>
      <c r="S1" s="26"/>
      <c r="T1" s="26"/>
      <c r="U1" s="26"/>
      <c r="V1" s="26"/>
      <c r="W1" s="26"/>
      <c r="X1" s="26"/>
      <c r="Y1" s="80"/>
    </row>
    <row r="2" spans="1:27" x14ac:dyDescent="0.2">
      <c r="A2" s="27"/>
      <c r="B2" s="14"/>
      <c r="C2" s="82"/>
      <c r="D2" s="82"/>
      <c r="E2" s="82"/>
      <c r="F2" s="82"/>
      <c r="G2" s="95"/>
      <c r="H2" s="96"/>
      <c r="J2" s="81"/>
      <c r="K2" s="82"/>
      <c r="L2" s="82"/>
      <c r="M2" s="3"/>
      <c r="N2" s="3"/>
      <c r="O2" s="187" t="str">
        <f>VLOOKUP($J$1,AreaTable,AreaIndex,0)</f>
        <v>ICAP NY</v>
      </c>
      <c r="P2" s="3"/>
      <c r="Q2" s="3"/>
      <c r="R2" s="14"/>
      <c r="S2" s="14"/>
      <c r="T2" s="14"/>
      <c r="U2" s="14"/>
      <c r="V2" s="14"/>
      <c r="W2" s="14"/>
      <c r="X2" s="55">
        <f>_xll.ohTrigger(X5:X16)</f>
        <v>2</v>
      </c>
      <c r="Y2" s="100"/>
      <c r="Z2" s="148"/>
      <c r="AA2" s="148"/>
    </row>
    <row r="3" spans="1:27" x14ac:dyDescent="0.2">
      <c r="A3" s="27"/>
      <c r="B3" s="14"/>
      <c r="C3" s="82"/>
      <c r="D3" s="82"/>
      <c r="E3" s="82"/>
      <c r="F3" s="82"/>
      <c r="G3" s="95"/>
      <c r="H3" s="96"/>
      <c r="J3" s="81"/>
      <c r="K3" s="14"/>
      <c r="L3" s="3"/>
      <c r="M3" s="3"/>
      <c r="N3" s="3"/>
      <c r="O3" s="3"/>
      <c r="P3" s="3"/>
      <c r="Q3" s="3"/>
      <c r="R3" s="3"/>
      <c r="S3" s="3"/>
      <c r="T3" s="14"/>
      <c r="U3" s="14"/>
      <c r="V3" s="14"/>
      <c r="W3" s="3"/>
      <c r="X3" s="82"/>
      <c r="Y3" s="101"/>
      <c r="Z3" s="148"/>
      <c r="AA3" s="148"/>
    </row>
    <row r="4" spans="1:27" ht="22.5" x14ac:dyDescent="0.2">
      <c r="A4" s="27"/>
      <c r="B4" s="44"/>
      <c r="C4" s="44"/>
      <c r="D4" s="45"/>
      <c r="E4" s="48" t="s">
        <v>224</v>
      </c>
      <c r="F4" s="49" t="s">
        <v>225</v>
      </c>
      <c r="G4" s="49" t="s">
        <v>239</v>
      </c>
      <c r="H4" s="96"/>
      <c r="J4" s="81"/>
      <c r="K4" s="187"/>
      <c r="L4" s="50"/>
      <c r="M4" s="50"/>
      <c r="N4" s="50" t="s">
        <v>241</v>
      </c>
      <c r="O4" s="52" t="str">
        <f>_xll.RData(O5:O16,P4:Q4,"RTFEED:IDN",ReutersRtMode,,P5)</f>
        <v>Not Signed In</v>
      </c>
      <c r="P4" s="38" t="s">
        <v>134</v>
      </c>
      <c r="Q4" s="38" t="s">
        <v>133</v>
      </c>
      <c r="R4" s="40" t="s">
        <v>158</v>
      </c>
      <c r="S4" s="39" t="s">
        <v>240</v>
      </c>
      <c r="T4" s="14"/>
      <c r="U4" s="38" t="s">
        <v>148</v>
      </c>
      <c r="V4" s="14"/>
      <c r="W4" s="50" t="s">
        <v>147</v>
      </c>
      <c r="X4" s="53" t="s">
        <v>146</v>
      </c>
      <c r="Y4" s="101"/>
      <c r="Z4" s="148"/>
      <c r="AA4" s="148"/>
    </row>
    <row r="5" spans="1:27" x14ac:dyDescent="0.2">
      <c r="A5" s="27"/>
      <c r="B5" s="56"/>
      <c r="C5" s="56">
        <f>L5</f>
        <v>1</v>
      </c>
      <c r="D5" s="57" t="str">
        <f>"x"&amp;K5&amp;"F"</f>
        <v>x4F</v>
      </c>
      <c r="E5" s="56" t="str">
        <f t="shared" ref="E5:E16" si="0">Currency&amp;$C5&amp;$D5&amp;QuoteSuffix</f>
        <v>USD1x4F_Quote</v>
      </c>
      <c r="F5" s="41" t="str">
        <f>_xll.qlSimpleQuote(E5,,RateTickValue,Permanent,Trigger,ObjectOverwrite)</f>
        <v>USD1x4F_Quote#0000</v>
      </c>
      <c r="G5" s="158" t="str">
        <f>_xll.ohRangeRetrieveError(F5)</f>
        <v/>
      </c>
      <c r="H5" s="96"/>
      <c r="J5" s="81"/>
      <c r="K5" s="217">
        <f>L5+3</f>
        <v>4</v>
      </c>
      <c r="L5" s="217">
        <v>1</v>
      </c>
      <c r="M5" s="217" t="s">
        <v>149</v>
      </c>
      <c r="N5" s="338" t="str">
        <f t="shared" ref="N5:N16" si="1">Currency&amp;$L5&amp;$M5&amp;$K5&amp;"F"</f>
        <v>USD1X4F</v>
      </c>
      <c r="O5" s="70" t="str">
        <f t="array" ref="O5:O16">Instruments&amp;"="&amp;VLOOKUP(Contributor,ContributorTable,2,FALSE)</f>
        <v>USD1X4F=GCMN</v>
      </c>
      <c r="P5" s="391">
        <v>0.35700000000000004</v>
      </c>
      <c r="Q5" s="391">
        <v>0.39699999999999996</v>
      </c>
      <c r="R5" s="71">
        <f>IF(ISERROR(AVERAGE(P5,Q5)),#NUM!,AVERAGE(P5,Q5))</f>
        <v>0.377</v>
      </c>
      <c r="S5" s="136">
        <f>Q5-P5</f>
        <v>3.9999999999999925E-2</v>
      </c>
      <c r="T5" s="138"/>
      <c r="U5" s="136">
        <v>0.377</v>
      </c>
      <c r="V5" s="138"/>
      <c r="W5" s="136">
        <f t="array" ref="W5:W16">QuoteStatic</f>
        <v>0.377</v>
      </c>
      <c r="X5" s="66">
        <f>_xll.qlSimpleQuoteSetValue(F5,W5/100,Trigger)</f>
        <v>3.9000000000000016E-4</v>
      </c>
      <c r="Y5" s="102"/>
      <c r="Z5" s="148"/>
      <c r="AA5" s="148"/>
    </row>
    <row r="6" spans="1:27" x14ac:dyDescent="0.2">
      <c r="A6" s="27"/>
      <c r="B6" s="58"/>
      <c r="C6" s="58">
        <f t="shared" ref="C6:C16" si="2">L6</f>
        <v>2</v>
      </c>
      <c r="D6" s="59" t="str">
        <f t="shared" ref="D6:D16" si="3">"x"&amp;K6&amp;"F"</f>
        <v>x5F</v>
      </c>
      <c r="E6" s="58" t="str">
        <f t="shared" si="0"/>
        <v>USD2x5F_Quote</v>
      </c>
      <c r="F6" s="42" t="str">
        <f>_xll.qlSimpleQuote(E6,,RateTickValue,Permanent,Trigger,ObjectOverwrite)</f>
        <v>USD2x5F_Quote#0000</v>
      </c>
      <c r="G6" s="159" t="str">
        <f>_xll.ohRangeRetrieveError(F6)</f>
        <v/>
      </c>
      <c r="H6" s="96"/>
      <c r="J6" s="81"/>
      <c r="K6" s="207">
        <f t="shared" ref="K6:K16" si="4">L6+3</f>
        <v>5</v>
      </c>
      <c r="L6" s="207">
        <v>2</v>
      </c>
      <c r="M6" s="207" t="s">
        <v>149</v>
      </c>
      <c r="N6" s="64" t="str">
        <f t="shared" si="1"/>
        <v>USD2X5F</v>
      </c>
      <c r="O6" s="64" t="str">
        <v>USD2X5F=GCMN</v>
      </c>
      <c r="P6" s="392">
        <v>0.41699999999999998</v>
      </c>
      <c r="Q6" s="392">
        <v>0.45700000000000002</v>
      </c>
      <c r="R6" s="65">
        <f t="shared" ref="R6:R16" si="5">IF(ISERROR(AVERAGE(P6,Q6)),#NUM!,AVERAGE(P6,Q6))</f>
        <v>0.437</v>
      </c>
      <c r="S6" s="135">
        <f t="shared" ref="S6:S16" si="6">Q6-P6</f>
        <v>4.0000000000000036E-2</v>
      </c>
      <c r="T6" s="138"/>
      <c r="U6" s="135">
        <v>0.437</v>
      </c>
      <c r="V6" s="138"/>
      <c r="W6" s="135">
        <v>0.437</v>
      </c>
      <c r="X6" s="67">
        <f>_xll.qlSimpleQuoteSetValue(F6,W6/100,Trigger)</f>
        <v>6.0999999999999987E-4</v>
      </c>
      <c r="Y6" s="102"/>
      <c r="Z6" s="148"/>
      <c r="AA6" s="148"/>
    </row>
    <row r="7" spans="1:27" x14ac:dyDescent="0.2">
      <c r="A7" s="27"/>
      <c r="B7" s="58"/>
      <c r="C7" s="58">
        <f t="shared" si="2"/>
        <v>3</v>
      </c>
      <c r="D7" s="59" t="str">
        <f t="shared" si="3"/>
        <v>x6F</v>
      </c>
      <c r="E7" s="58" t="str">
        <f t="shared" si="0"/>
        <v>USD3x6F_Quote</v>
      </c>
      <c r="F7" s="42" t="str">
        <f>_xll.qlSimpleQuote(E7,,RateTickValue,Permanent,Trigger,ObjectOverwrite)</f>
        <v>USD3x6F_Quote#0000</v>
      </c>
      <c r="G7" s="159" t="str">
        <f>_xll.ohRangeRetrieveError(F7)</f>
        <v/>
      </c>
      <c r="H7" s="96"/>
      <c r="J7" s="81"/>
      <c r="K7" s="207">
        <f t="shared" si="4"/>
        <v>6</v>
      </c>
      <c r="L7" s="207">
        <v>3</v>
      </c>
      <c r="M7" s="207" t="s">
        <v>149</v>
      </c>
      <c r="N7" s="64" t="str">
        <f t="shared" si="1"/>
        <v>USD3X6F</v>
      </c>
      <c r="O7" s="64" t="str">
        <v>USD3X6F=GCMN</v>
      </c>
      <c r="P7" s="392">
        <v>0.46399999999999997</v>
      </c>
      <c r="Q7" s="392">
        <v>0.504</v>
      </c>
      <c r="R7" s="65">
        <f t="shared" ref="R7:R15" si="7">IF(ISERROR(AVERAGE(P7,Q7)),#NUM!,AVERAGE(P7,Q7))</f>
        <v>0.48399999999999999</v>
      </c>
      <c r="S7" s="135">
        <f t="shared" ref="S7:S15" si="8">Q7-P7</f>
        <v>4.0000000000000036E-2</v>
      </c>
      <c r="T7" s="138"/>
      <c r="U7" s="135">
        <v>0.48399999999999999</v>
      </c>
      <c r="V7" s="138"/>
      <c r="W7" s="135">
        <v>0.48399999999999999</v>
      </c>
      <c r="X7" s="67">
        <f>_xll.qlSimpleQuoteSetValue(F7,W7/100,Trigger)</f>
        <v>6.9999999999999923E-4</v>
      </c>
      <c r="Y7" s="102"/>
      <c r="Z7" s="148"/>
      <c r="AA7" s="148"/>
    </row>
    <row r="8" spans="1:27" x14ac:dyDescent="0.2">
      <c r="A8" s="27"/>
      <c r="B8" s="58"/>
      <c r="C8" s="58">
        <f t="shared" si="2"/>
        <v>4</v>
      </c>
      <c r="D8" s="59" t="str">
        <f t="shared" si="3"/>
        <v>x7F</v>
      </c>
      <c r="E8" s="58" t="str">
        <f t="shared" si="0"/>
        <v>USD4x7F_Quote</v>
      </c>
      <c r="F8" s="42" t="str">
        <f>_xll.qlSimpleQuote(E8,,RateTickValue,Permanent,Trigger,ObjectOverwrite)</f>
        <v>USD4x7F_Quote#0000</v>
      </c>
      <c r="G8" s="159" t="str">
        <f>_xll.ohRangeRetrieveError(F8)</f>
        <v/>
      </c>
      <c r="H8" s="96"/>
      <c r="J8" s="81"/>
      <c r="K8" s="207">
        <f t="shared" si="4"/>
        <v>7</v>
      </c>
      <c r="L8" s="207">
        <v>4</v>
      </c>
      <c r="M8" s="207" t="s">
        <v>149</v>
      </c>
      <c r="N8" s="64" t="str">
        <f t="shared" si="1"/>
        <v>USD4X7F</v>
      </c>
      <c r="O8" s="64" t="str">
        <v>USD4X7F=GCMN</v>
      </c>
      <c r="P8" s="392">
        <v>0.503</v>
      </c>
      <c r="Q8" s="392">
        <v>0.54299999999999993</v>
      </c>
      <c r="R8" s="65">
        <f t="shared" si="7"/>
        <v>0.52299999999999991</v>
      </c>
      <c r="S8" s="135">
        <f t="shared" si="8"/>
        <v>3.9999999999999925E-2</v>
      </c>
      <c r="T8" s="138"/>
      <c r="U8" s="135">
        <v>0.52299999999999991</v>
      </c>
      <c r="V8" s="138"/>
      <c r="W8" s="135">
        <v>0.52299999999999991</v>
      </c>
      <c r="X8" s="67">
        <f>_xll.qlSimpleQuoteSetValue(F8,W8/100,Trigger)</f>
        <v>7.2999999999999888E-4</v>
      </c>
      <c r="Y8" s="102"/>
      <c r="Z8" s="148"/>
      <c r="AA8" s="148"/>
    </row>
    <row r="9" spans="1:27" x14ac:dyDescent="0.2">
      <c r="A9" s="27"/>
      <c r="B9" s="58"/>
      <c r="C9" s="58">
        <f t="shared" si="2"/>
        <v>5</v>
      </c>
      <c r="D9" s="59" t="str">
        <f t="shared" si="3"/>
        <v>x8F</v>
      </c>
      <c r="E9" s="58" t="str">
        <f t="shared" si="0"/>
        <v>USD5x8F_Quote</v>
      </c>
      <c r="F9" s="42" t="str">
        <f>_xll.qlSimpleQuote(E9,,RateTickValue,Permanent,Trigger,ObjectOverwrite)</f>
        <v>USD5x8F_Quote#0000</v>
      </c>
      <c r="G9" s="159" t="str">
        <f>_xll.ohRangeRetrieveError(F9)</f>
        <v/>
      </c>
      <c r="H9" s="96"/>
      <c r="J9" s="81"/>
      <c r="K9" s="207">
        <f t="shared" si="4"/>
        <v>8</v>
      </c>
      <c r="L9" s="207">
        <v>5</v>
      </c>
      <c r="M9" s="207" t="s">
        <v>149</v>
      </c>
      <c r="N9" s="64" t="str">
        <f t="shared" si="1"/>
        <v>USD5X8F</v>
      </c>
      <c r="O9" s="64" t="str">
        <v>USD5X8F=GCMN</v>
      </c>
      <c r="P9" s="392">
        <v>0.54800000000000004</v>
      </c>
      <c r="Q9" s="392">
        <v>0.58799999999999997</v>
      </c>
      <c r="R9" s="65">
        <f t="shared" si="7"/>
        <v>0.56800000000000006</v>
      </c>
      <c r="S9" s="135">
        <f t="shared" si="8"/>
        <v>3.9999999999999925E-2</v>
      </c>
      <c r="T9" s="138"/>
      <c r="U9" s="135">
        <v>0.56800000000000006</v>
      </c>
      <c r="V9" s="138"/>
      <c r="W9" s="135">
        <v>0.56800000000000006</v>
      </c>
      <c r="X9" s="67">
        <f>_xll.qlSimpleQuoteSetValue(F9,W9/100,Trigger)</f>
        <v>8.5000000000000093E-4</v>
      </c>
      <c r="Y9" s="102"/>
      <c r="Z9" s="148"/>
      <c r="AA9" s="148"/>
    </row>
    <row r="10" spans="1:27" x14ac:dyDescent="0.2">
      <c r="A10" s="27"/>
      <c r="B10" s="58"/>
      <c r="C10" s="58">
        <f t="shared" si="2"/>
        <v>6</v>
      </c>
      <c r="D10" s="59" t="str">
        <f t="shared" si="3"/>
        <v>x9F</v>
      </c>
      <c r="E10" s="58" t="str">
        <f t="shared" si="0"/>
        <v>USD6x9F_Quote</v>
      </c>
      <c r="F10" s="42" t="str">
        <f>_xll.qlSimpleQuote(E10,,RateTickValue,Permanent,Trigger,ObjectOverwrite)</f>
        <v>USD6x9F_Quote#0000</v>
      </c>
      <c r="G10" s="159" t="str">
        <f>_xll.ohRangeRetrieveError(F10)</f>
        <v/>
      </c>
      <c r="H10" s="96"/>
      <c r="J10" s="81"/>
      <c r="K10" s="207">
        <f t="shared" si="4"/>
        <v>9</v>
      </c>
      <c r="L10" s="207">
        <v>6</v>
      </c>
      <c r="M10" s="207" t="s">
        <v>149</v>
      </c>
      <c r="N10" s="64" t="str">
        <f t="shared" si="1"/>
        <v>USD6X9F</v>
      </c>
      <c r="O10" s="64" t="str">
        <v>USD6X9F=GCMN</v>
      </c>
      <c r="P10" s="392">
        <v>0.59199999999999997</v>
      </c>
      <c r="Q10" s="392">
        <v>0.63200000000000001</v>
      </c>
      <c r="R10" s="65">
        <f t="shared" si="7"/>
        <v>0.61199999999999999</v>
      </c>
      <c r="S10" s="135">
        <f t="shared" si="8"/>
        <v>4.0000000000000036E-2</v>
      </c>
      <c r="T10" s="138"/>
      <c r="U10" s="135">
        <v>0.61199999999999999</v>
      </c>
      <c r="V10" s="138"/>
      <c r="W10" s="135">
        <v>0.61199999999999999</v>
      </c>
      <c r="X10" s="67">
        <f>_xll.qlSimpleQuoteSetValue(F10,W10/100,Trigger)</f>
        <v>9.1999999999999981E-4</v>
      </c>
      <c r="Y10" s="102"/>
      <c r="Z10" s="148"/>
      <c r="AA10" s="148"/>
    </row>
    <row r="11" spans="1:27" x14ac:dyDescent="0.2">
      <c r="A11" s="27"/>
      <c r="B11" s="58"/>
      <c r="C11" s="58">
        <f t="shared" si="2"/>
        <v>7</v>
      </c>
      <c r="D11" s="59" t="str">
        <f t="shared" si="3"/>
        <v>x10F</v>
      </c>
      <c r="E11" s="58" t="str">
        <f t="shared" si="0"/>
        <v>USD7x10F_Quote</v>
      </c>
      <c r="F11" s="42" t="str">
        <f>_xll.qlSimpleQuote(E11,,RateTickValue,Permanent,Trigger,ObjectOverwrite)</f>
        <v>USD7x10F_Quote#0000</v>
      </c>
      <c r="G11" s="159" t="str">
        <f>_xll.ohRangeRetrieveError(F11)</f>
        <v/>
      </c>
      <c r="H11" s="96"/>
      <c r="J11" s="81"/>
      <c r="K11" s="207">
        <f t="shared" si="4"/>
        <v>10</v>
      </c>
      <c r="L11" s="207">
        <v>7</v>
      </c>
      <c r="M11" s="207" t="s">
        <v>149</v>
      </c>
      <c r="N11" s="64" t="str">
        <f t="shared" si="1"/>
        <v>USD7X10F</v>
      </c>
      <c r="O11" s="64" t="str">
        <v>USD7X10F=GCMN</v>
      </c>
      <c r="P11" s="392">
        <v>0.64</v>
      </c>
      <c r="Q11" s="392">
        <v>0.67999999999999994</v>
      </c>
      <c r="R11" s="65">
        <f t="shared" si="7"/>
        <v>0.65999999999999992</v>
      </c>
      <c r="S11" s="135">
        <f t="shared" si="8"/>
        <v>3.9999999999999925E-2</v>
      </c>
      <c r="T11" s="138"/>
      <c r="U11" s="135">
        <v>0.65999999999999992</v>
      </c>
      <c r="V11" s="138"/>
      <c r="W11" s="135">
        <v>0.65999999999999992</v>
      </c>
      <c r="X11" s="67">
        <f>_xll.qlSimpleQuoteSetValue(F11,W11/100,Trigger)</f>
        <v>1.0099999999999996E-3</v>
      </c>
      <c r="Y11" s="102"/>
      <c r="Z11" s="148"/>
      <c r="AA11" s="148"/>
    </row>
    <row r="12" spans="1:27" x14ac:dyDescent="0.2">
      <c r="A12" s="27"/>
      <c r="B12" s="58"/>
      <c r="C12" s="58">
        <f t="shared" si="2"/>
        <v>8</v>
      </c>
      <c r="D12" s="59" t="str">
        <f t="shared" si="3"/>
        <v>x11F</v>
      </c>
      <c r="E12" s="58" t="str">
        <f t="shared" si="0"/>
        <v>USD8x11F_Quote</v>
      </c>
      <c r="F12" s="42" t="str">
        <f>_xll.qlSimpleQuote(E12,,RateTickValue,Permanent,Trigger,ObjectOverwrite)</f>
        <v>USD8x11F_Quote#0000</v>
      </c>
      <c r="G12" s="159" t="str">
        <f>_xll.ohRangeRetrieveError(F12)</f>
        <v/>
      </c>
      <c r="H12" s="96"/>
      <c r="J12" s="81"/>
      <c r="K12" s="207">
        <f t="shared" si="4"/>
        <v>11</v>
      </c>
      <c r="L12" s="207">
        <v>8</v>
      </c>
      <c r="M12" s="207" t="s">
        <v>149</v>
      </c>
      <c r="N12" s="64" t="str">
        <f t="shared" si="1"/>
        <v>USD8X11F</v>
      </c>
      <c r="O12" s="64" t="str">
        <v>USD8X11F=GCMN</v>
      </c>
      <c r="P12" s="392">
        <v>0.68899999999999995</v>
      </c>
      <c r="Q12" s="392">
        <v>0.72899999999999998</v>
      </c>
      <c r="R12" s="65">
        <f t="shared" si="7"/>
        <v>0.70899999999999996</v>
      </c>
      <c r="S12" s="135">
        <f t="shared" si="8"/>
        <v>4.0000000000000036E-2</v>
      </c>
      <c r="T12" s="138"/>
      <c r="U12" s="135">
        <v>0.70899999999999996</v>
      </c>
      <c r="V12" s="138"/>
      <c r="W12" s="135">
        <v>0.70899999999999996</v>
      </c>
      <c r="X12" s="67">
        <f>_xll.qlSimpleQuoteSetValue(F12,W12/100,Trigger)</f>
        <v>1.109999999999999E-3</v>
      </c>
      <c r="Y12" s="102"/>
      <c r="Z12" s="148"/>
      <c r="AA12" s="148"/>
    </row>
    <row r="13" spans="1:27" x14ac:dyDescent="0.2">
      <c r="A13" s="27"/>
      <c r="B13" s="58"/>
      <c r="C13" s="58">
        <f t="shared" si="2"/>
        <v>9</v>
      </c>
      <c r="D13" s="59" t="str">
        <f t="shared" si="3"/>
        <v>x12F</v>
      </c>
      <c r="E13" s="58" t="str">
        <f t="shared" si="0"/>
        <v>USD9x12F_Quote</v>
      </c>
      <c r="F13" s="42" t="str">
        <f>_xll.qlSimpleQuote(E13,,RateTickValue,Permanent,Trigger,ObjectOverwrite)</f>
        <v>USD9x12F_Quote#0000</v>
      </c>
      <c r="G13" s="159" t="str">
        <f>_xll.ohRangeRetrieveError(F13)</f>
        <v/>
      </c>
      <c r="H13" s="96"/>
      <c r="J13" s="81"/>
      <c r="K13" s="207">
        <f t="shared" si="4"/>
        <v>12</v>
      </c>
      <c r="L13" s="207">
        <v>9</v>
      </c>
      <c r="M13" s="207" t="s">
        <v>149</v>
      </c>
      <c r="N13" s="64" t="str">
        <f t="shared" si="1"/>
        <v>USD9X12F</v>
      </c>
      <c r="O13" s="64" t="str">
        <v>USD9X12F=GCMN</v>
      </c>
      <c r="P13" s="392">
        <v>0.73399999999999999</v>
      </c>
      <c r="Q13" s="392">
        <v>0.77400000000000002</v>
      </c>
      <c r="R13" s="65">
        <f t="shared" si="7"/>
        <v>0.754</v>
      </c>
      <c r="S13" s="135">
        <f t="shared" si="8"/>
        <v>4.0000000000000036E-2</v>
      </c>
      <c r="T13" s="138"/>
      <c r="U13" s="135">
        <v>0.754</v>
      </c>
      <c r="V13" s="138"/>
      <c r="W13" s="135">
        <v>0.754</v>
      </c>
      <c r="X13" s="67">
        <f>_xll.qlSimpleQuoteSetValue(F13,W13/100,Trigger)</f>
        <v>1.15E-3</v>
      </c>
      <c r="Y13" s="102"/>
      <c r="Z13" s="148"/>
      <c r="AA13" s="148"/>
    </row>
    <row r="14" spans="1:27" x14ac:dyDescent="0.2">
      <c r="A14" s="27"/>
      <c r="B14" s="58"/>
      <c r="C14" s="58">
        <f t="shared" si="2"/>
        <v>10</v>
      </c>
      <c r="D14" s="59" t="str">
        <f t="shared" si="3"/>
        <v>x13F</v>
      </c>
      <c r="E14" s="58" t="str">
        <f t="shared" si="0"/>
        <v>USD10x13F_Quote</v>
      </c>
      <c r="F14" s="42" t="str">
        <f>_xll.qlSimpleQuote(E14,,RateTickValue,Permanent,Trigger,ObjectOverwrite)</f>
        <v>USD10x13F_Quote#0000</v>
      </c>
      <c r="G14" s="159" t="str">
        <f>_xll.ohRangeRetrieveError(F14)</f>
        <v/>
      </c>
      <c r="H14" s="96"/>
      <c r="J14" s="81"/>
      <c r="K14" s="207">
        <f t="shared" si="4"/>
        <v>13</v>
      </c>
      <c r="L14" s="207">
        <v>10</v>
      </c>
      <c r="M14" s="207" t="s">
        <v>149</v>
      </c>
      <c r="N14" s="64" t="str">
        <f t="shared" si="1"/>
        <v>USD10X13F</v>
      </c>
      <c r="O14" s="64" t="str">
        <v>USD10X13F=GCMN</v>
      </c>
      <c r="P14" s="392">
        <v>0.78700000000000003</v>
      </c>
      <c r="Q14" s="392">
        <v>0.82699999999999996</v>
      </c>
      <c r="R14" s="65">
        <f t="shared" si="7"/>
        <v>0.80699999999999994</v>
      </c>
      <c r="S14" s="135">
        <f t="shared" si="8"/>
        <v>3.9999999999999925E-2</v>
      </c>
      <c r="T14" s="138"/>
      <c r="U14" s="135">
        <v>0.80699999999999994</v>
      </c>
      <c r="V14" s="138"/>
      <c r="W14" s="135">
        <v>0.80699999999999994</v>
      </c>
      <c r="X14" s="67">
        <f>_xll.qlSimpleQuoteSetValue(F14,W14/100,Trigger)</f>
        <v>1.259999999999999E-3</v>
      </c>
      <c r="Y14" s="102"/>
      <c r="Z14" s="148"/>
      <c r="AA14" s="148"/>
    </row>
    <row r="15" spans="1:27" x14ac:dyDescent="0.2">
      <c r="A15" s="27"/>
      <c r="B15" s="58"/>
      <c r="C15" s="58">
        <f t="shared" si="2"/>
        <v>11</v>
      </c>
      <c r="D15" s="59" t="str">
        <f t="shared" si="3"/>
        <v>x14F</v>
      </c>
      <c r="E15" s="58" t="str">
        <f t="shared" si="0"/>
        <v>USD11x14F_Quote</v>
      </c>
      <c r="F15" s="42" t="str">
        <f>_xll.qlSimpleQuote(E15,,RateTickValue,Permanent,Trigger,ObjectOverwrite)</f>
        <v>USD11x14F_Quote#0000</v>
      </c>
      <c r="G15" s="159" t="str">
        <f>_xll.ohRangeRetrieveError(F15)</f>
        <v/>
      </c>
      <c r="H15" s="96"/>
      <c r="J15" s="81"/>
      <c r="K15" s="207">
        <f t="shared" si="4"/>
        <v>14</v>
      </c>
      <c r="L15" s="207">
        <v>11</v>
      </c>
      <c r="M15" s="207" t="s">
        <v>149</v>
      </c>
      <c r="N15" s="64" t="str">
        <f t="shared" si="1"/>
        <v>USD11X14F</v>
      </c>
      <c r="O15" s="64" t="str">
        <v>USD11X14F=GCMN</v>
      </c>
      <c r="P15" s="392">
        <v>0.83399999999999996</v>
      </c>
      <c r="Q15" s="392">
        <v>0.874</v>
      </c>
      <c r="R15" s="65">
        <f t="shared" si="7"/>
        <v>0.85399999999999998</v>
      </c>
      <c r="S15" s="135">
        <f t="shared" si="8"/>
        <v>4.0000000000000036E-2</v>
      </c>
      <c r="T15" s="138"/>
      <c r="U15" s="135">
        <v>0.85399999999999998</v>
      </c>
      <c r="V15" s="138"/>
      <c r="W15" s="135">
        <v>0.85399999999999998</v>
      </c>
      <c r="X15" s="67">
        <f>_xll.qlSimpleQuoteSetValue(F15,W15/100,Trigger)</f>
        <v>1.2899999999999995E-3</v>
      </c>
      <c r="Y15" s="102"/>
      <c r="Z15" s="148"/>
      <c r="AA15" s="148"/>
    </row>
    <row r="16" spans="1:27" x14ac:dyDescent="0.2">
      <c r="A16" s="27"/>
      <c r="B16" s="60"/>
      <c r="C16" s="60">
        <f t="shared" si="2"/>
        <v>12</v>
      </c>
      <c r="D16" s="337" t="str">
        <f t="shared" si="3"/>
        <v>x15F</v>
      </c>
      <c r="E16" s="60" t="str">
        <f t="shared" si="0"/>
        <v>USD12x15F_Quote</v>
      </c>
      <c r="F16" s="43" t="str">
        <f>_xll.qlSimpleQuote(E16,,RateTickValue,Permanent,Trigger,ObjectOverwrite)</f>
        <v>USD12x15F_Quote#0000</v>
      </c>
      <c r="G16" s="160" t="str">
        <f>_xll.ohRangeRetrieveError(F16)</f>
        <v/>
      </c>
      <c r="H16" s="96"/>
      <c r="J16" s="81"/>
      <c r="K16" s="211">
        <f t="shared" si="4"/>
        <v>15</v>
      </c>
      <c r="L16" s="211">
        <v>12</v>
      </c>
      <c r="M16" s="211" t="s">
        <v>149</v>
      </c>
      <c r="N16" s="68" t="str">
        <f t="shared" si="1"/>
        <v>USD12X15F</v>
      </c>
      <c r="O16" s="68" t="str">
        <v>USD12X15F=GCMN</v>
      </c>
      <c r="P16" s="393">
        <v>0.8869999999999999</v>
      </c>
      <c r="Q16" s="393">
        <v>0.92699999999999994</v>
      </c>
      <c r="R16" s="72">
        <f t="shared" si="5"/>
        <v>0.90699999999999992</v>
      </c>
      <c r="S16" s="137">
        <f t="shared" si="6"/>
        <v>4.0000000000000036E-2</v>
      </c>
      <c r="T16" s="138"/>
      <c r="U16" s="137">
        <v>0.90699999999999992</v>
      </c>
      <c r="V16" s="138"/>
      <c r="W16" s="137">
        <v>0.90699999999999992</v>
      </c>
      <c r="X16" s="69">
        <f>_xll.qlSimpleQuoteSetValue(F16,W16/100,Trigger)</f>
        <v>1.2899999999999995E-3</v>
      </c>
      <c r="Y16" s="102"/>
      <c r="Z16" s="148"/>
      <c r="AA16" s="148"/>
    </row>
    <row r="17" spans="1:25" x14ac:dyDescent="0.2">
      <c r="A17" s="85"/>
      <c r="B17" s="86"/>
      <c r="C17" s="86"/>
      <c r="D17" s="86"/>
      <c r="E17" s="86"/>
      <c r="F17" s="86"/>
      <c r="G17" s="98"/>
      <c r="H17" s="99"/>
      <c r="J17" s="85"/>
      <c r="K17" s="86"/>
      <c r="L17" s="86"/>
      <c r="M17" s="86"/>
      <c r="N17" s="86"/>
      <c r="O17" s="86"/>
      <c r="P17" s="86"/>
      <c r="Q17" s="86"/>
      <c r="R17" s="86"/>
      <c r="S17" s="86"/>
      <c r="T17" s="86"/>
      <c r="U17" s="86"/>
      <c r="V17" s="86"/>
      <c r="W17" s="86"/>
      <c r="X17" s="86"/>
      <c r="Y17" s="87"/>
    </row>
  </sheetData>
  <conditionalFormatting sqref="X5:X16">
    <cfRule type="cellIs" dxfId="23" priority="1" stopIfTrue="1" operator="greaterThan">
      <formula>0</formula>
    </cfRule>
    <cfRule type="cellIs" dxfId="22" priority="2" stopIfTrue="1" operator="lessThan">
      <formula>0</formula>
    </cfRule>
  </conditionalFormatting>
  <dataValidations disablePrompts="1"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3"/>
  <sheetViews>
    <sheetView showGridLines="0" topLeftCell="I1" workbookViewId="0">
      <selection activeCell="X2" sqref="X2"/>
    </sheetView>
  </sheetViews>
  <sheetFormatPr defaultRowHeight="11.25" outlineLevelCol="1" x14ac:dyDescent="0.2"/>
  <cols>
    <col min="1" max="2" width="2.7109375" style="144" hidden="1" customWidth="1" outlineLevel="1"/>
    <col min="3" max="3" width="3" style="144" hidden="1" customWidth="1" outlineLevel="1"/>
    <col min="4" max="4" width="5" style="144" hidden="1" customWidth="1" outlineLevel="1"/>
    <col min="5" max="5" width="16.7109375" style="144" hidden="1" customWidth="1" outlineLevel="1"/>
    <col min="6" max="6" width="22.7109375" style="144" hidden="1" customWidth="1" outlineLevel="1"/>
    <col min="7" max="7" width="20.7109375" style="145" hidden="1" customWidth="1" outlineLevel="1"/>
    <col min="8" max="8" width="2.7109375" style="145" hidden="1" customWidth="1" outlineLevel="1"/>
    <col min="9" max="9" width="2.7109375" style="145" customWidth="1" collapsed="1"/>
    <col min="10" max="11" width="2.7109375" style="144" customWidth="1"/>
    <col min="12" max="13" width="4" style="144" customWidth="1"/>
    <col min="14" max="14" width="11.7109375" style="144" customWidth="1"/>
    <col min="15" max="15" width="16.7109375" style="144" customWidth="1"/>
    <col min="16" max="19" width="10.7109375" style="144" customWidth="1"/>
    <col min="20" max="20" width="2.7109375" style="144" customWidth="1"/>
    <col min="21" max="21" width="10.7109375" style="144" customWidth="1"/>
    <col min="22" max="22" width="2.7109375" style="144" customWidth="1"/>
    <col min="23" max="24" width="10.7109375" style="144" customWidth="1"/>
    <col min="25" max="25" width="2.7109375" style="144" customWidth="1"/>
    <col min="26" max="26" width="14.140625" style="144" bestFit="1" customWidth="1"/>
    <col min="27" max="27" width="12" style="144" bestFit="1" customWidth="1"/>
    <col min="28" max="16384" width="9.140625" style="144"/>
  </cols>
  <sheetData>
    <row r="1" spans="1:27" x14ac:dyDescent="0.2">
      <c r="A1" s="25"/>
      <c r="B1" s="25"/>
      <c r="C1" s="79"/>
      <c r="D1" s="79"/>
      <c r="E1" s="79"/>
      <c r="F1" s="79"/>
      <c r="G1" s="93"/>
      <c r="H1" s="94"/>
      <c r="J1" s="104" t="s">
        <v>255</v>
      </c>
      <c r="K1" s="26"/>
      <c r="L1" s="26"/>
      <c r="M1" s="26"/>
      <c r="N1" s="26"/>
      <c r="O1" s="89"/>
      <c r="P1" s="26"/>
      <c r="Q1" s="26"/>
      <c r="R1" s="26"/>
      <c r="S1" s="26"/>
      <c r="T1" s="26"/>
      <c r="U1" s="26"/>
      <c r="V1" s="26"/>
      <c r="W1" s="26"/>
      <c r="X1" s="26"/>
      <c r="Y1" s="80"/>
    </row>
    <row r="2" spans="1:27" x14ac:dyDescent="0.2">
      <c r="A2" s="27"/>
      <c r="B2" s="14"/>
      <c r="C2" s="82"/>
      <c r="D2" s="82"/>
      <c r="E2" s="82"/>
      <c r="F2" s="82"/>
      <c r="G2" s="95"/>
      <c r="H2" s="96"/>
      <c r="J2" s="81"/>
      <c r="K2" s="82"/>
      <c r="L2" s="82"/>
      <c r="M2" s="3"/>
      <c r="N2" s="3"/>
      <c r="O2" s="187" t="str">
        <f>VLOOKUP($J$1,AreaTable,AreaIndex,0)</f>
        <v>ICAP NY</v>
      </c>
      <c r="P2" s="3"/>
      <c r="Q2" s="3"/>
      <c r="R2" s="14"/>
      <c r="S2" s="14"/>
      <c r="T2" s="14"/>
      <c r="U2" s="14"/>
      <c r="V2" s="14"/>
      <c r="W2" s="14"/>
      <c r="X2" s="55">
        <f>_xll.ohTrigger(X5:X22)</f>
        <v>2</v>
      </c>
      <c r="Y2" s="100"/>
      <c r="Z2" s="148"/>
      <c r="AA2" s="148"/>
    </row>
    <row r="3" spans="1:27" x14ac:dyDescent="0.2">
      <c r="A3" s="27"/>
      <c r="B3" s="14"/>
      <c r="C3" s="82"/>
      <c r="D3" s="82"/>
      <c r="E3" s="82"/>
      <c r="F3" s="82"/>
      <c r="G3" s="95"/>
      <c r="H3" s="96"/>
      <c r="J3" s="81"/>
      <c r="K3" s="14"/>
      <c r="L3" s="3"/>
      <c r="M3" s="3"/>
      <c r="N3" s="3"/>
      <c r="O3" s="3"/>
      <c r="P3" s="3"/>
      <c r="Q3" s="3"/>
      <c r="R3" s="3"/>
      <c r="S3" s="3"/>
      <c r="T3" s="14"/>
      <c r="U3" s="14"/>
      <c r="V3" s="14"/>
      <c r="W3" s="3"/>
      <c r="X3" s="82"/>
      <c r="Y3" s="101"/>
      <c r="Z3" s="148"/>
      <c r="AA3" s="148"/>
    </row>
    <row r="4" spans="1:27" ht="22.5" x14ac:dyDescent="0.2">
      <c r="A4" s="27"/>
      <c r="B4" s="44"/>
      <c r="C4" s="44"/>
      <c r="D4" s="45"/>
      <c r="E4" s="48" t="s">
        <v>224</v>
      </c>
      <c r="F4" s="49" t="s">
        <v>225</v>
      </c>
      <c r="G4" s="49" t="s">
        <v>239</v>
      </c>
      <c r="H4" s="96"/>
      <c r="J4" s="81"/>
      <c r="K4" s="187"/>
      <c r="L4" s="50"/>
      <c r="M4" s="50"/>
      <c r="N4" s="50" t="s">
        <v>241</v>
      </c>
      <c r="O4" s="52" t="str">
        <f>_xll.RData(O5:O22,P4:Q4,"RTFEED:IDN",ReutersRtMode,,P5)</f>
        <v>Not Signed In</v>
      </c>
      <c r="P4" s="38" t="s">
        <v>134</v>
      </c>
      <c r="Q4" s="38" t="s">
        <v>133</v>
      </c>
      <c r="R4" s="40" t="s">
        <v>158</v>
      </c>
      <c r="S4" s="39" t="s">
        <v>240</v>
      </c>
      <c r="T4" s="14"/>
      <c r="U4" s="38" t="s">
        <v>148</v>
      </c>
      <c r="V4" s="14"/>
      <c r="W4" s="50" t="s">
        <v>147</v>
      </c>
      <c r="X4" s="53" t="s">
        <v>146</v>
      </c>
      <c r="Y4" s="101"/>
      <c r="Z4" s="148"/>
      <c r="AA4" s="148"/>
    </row>
    <row r="5" spans="1:27" x14ac:dyDescent="0.2">
      <c r="A5" s="27"/>
      <c r="B5" s="56"/>
      <c r="C5" s="56">
        <f>L5</f>
        <v>1</v>
      </c>
      <c r="D5" s="57" t="str">
        <f>"x"&amp;K5&amp;"F"</f>
        <v>x7F</v>
      </c>
      <c r="E5" s="56" t="str">
        <f t="shared" ref="E5:E22" si="0">Currency&amp;$C5&amp;$D5&amp;QuoteSuffix</f>
        <v>USD1x7F_Quote</v>
      </c>
      <c r="F5" s="41" t="str">
        <f>_xll.qlSimpleQuote(E5,,RateTickValue,Permanent,Trigger,ObjectOverwrite)</f>
        <v>USD1x7F_Quote#0000</v>
      </c>
      <c r="G5" s="158" t="str">
        <f>_xll.ohRangeRetrieveError(F5)</f>
        <v/>
      </c>
      <c r="H5" s="96"/>
      <c r="J5" s="81"/>
      <c r="K5" s="217">
        <f>L5+6</f>
        <v>7</v>
      </c>
      <c r="L5" s="217">
        <v>1</v>
      </c>
      <c r="M5" s="217" t="s">
        <v>149</v>
      </c>
      <c r="N5" s="70" t="str">
        <f t="shared" ref="N5:N22" si="1">Currency&amp;$L5&amp;$M5&amp;$K5&amp;"F"</f>
        <v>USD1X7F</v>
      </c>
      <c r="O5" s="70" t="str">
        <f t="array" ref="O5:O22">Instruments&amp;"="&amp;VLOOKUP(Contributor,ContributorTable,2,FALSE)</f>
        <v>USD1X7F=GCMN</v>
      </c>
      <c r="P5" s="391">
        <v>0.57400000000000007</v>
      </c>
      <c r="Q5" s="391">
        <v>0.61399999999999999</v>
      </c>
      <c r="R5" s="71">
        <f t="shared" ref="R5:R22" si="2">IF(ISERROR(AVERAGE(P5,Q5)),#NUM!,AVERAGE(P5,Q5))</f>
        <v>0.59400000000000008</v>
      </c>
      <c r="S5" s="136">
        <f t="shared" ref="S5:S22" si="3">Q5-P5</f>
        <v>3.9999999999999925E-2</v>
      </c>
      <c r="T5" s="138"/>
      <c r="U5" s="136">
        <v>0.59400000000000008</v>
      </c>
      <c r="V5" s="138"/>
      <c r="W5" s="136">
        <f t="array" ref="W5:W22">QuoteStatic</f>
        <v>0.59400000000000008</v>
      </c>
      <c r="X5" s="66">
        <f>_xll.qlSimpleQuoteSetValue(F5,W5/100,Trigger)</f>
        <v>4.9000000000000085E-4</v>
      </c>
      <c r="Y5" s="102"/>
      <c r="Z5" s="148"/>
      <c r="AA5" s="148"/>
    </row>
    <row r="6" spans="1:27" x14ac:dyDescent="0.2">
      <c r="A6" s="27"/>
      <c r="B6" s="58"/>
      <c r="C6" s="58">
        <f t="shared" ref="C6:C22" si="4">L6</f>
        <v>2</v>
      </c>
      <c r="D6" s="59" t="str">
        <f t="shared" ref="D6:D22" si="5">"x"&amp;K6&amp;"F"</f>
        <v>x8F</v>
      </c>
      <c r="E6" s="58" t="str">
        <f t="shared" si="0"/>
        <v>USD2x8F_Quote</v>
      </c>
      <c r="F6" s="42" t="str">
        <f>_xll.qlSimpleQuote(E6,,RateTickValue,Permanent,Trigger,ObjectOverwrite)</f>
        <v>USD2x8F_Quote#0000</v>
      </c>
      <c r="G6" s="159" t="str">
        <f>_xll.ohRangeRetrieveError(F6)</f>
        <v/>
      </c>
      <c r="H6" s="96"/>
      <c r="J6" s="81"/>
      <c r="K6" s="207">
        <f t="shared" ref="K6:K22" si="6">L6+6</f>
        <v>8</v>
      </c>
      <c r="L6" s="207">
        <v>2</v>
      </c>
      <c r="M6" s="207" t="s">
        <v>149</v>
      </c>
      <c r="N6" s="64" t="str">
        <f t="shared" si="1"/>
        <v>USD2X8F</v>
      </c>
      <c r="O6" s="64" t="str">
        <v>USD2X8F=GCMN</v>
      </c>
      <c r="P6" s="392">
        <v>0.623</v>
      </c>
      <c r="Q6" s="392">
        <v>0.66300000000000003</v>
      </c>
      <c r="R6" s="65">
        <f t="shared" si="2"/>
        <v>0.64300000000000002</v>
      </c>
      <c r="S6" s="135">
        <f t="shared" si="3"/>
        <v>4.0000000000000036E-2</v>
      </c>
      <c r="T6" s="138"/>
      <c r="U6" s="135">
        <v>0.64300000000000002</v>
      </c>
      <c r="V6" s="138"/>
      <c r="W6" s="135">
        <v>0.64300000000000002</v>
      </c>
      <c r="X6" s="67">
        <f>_xll.qlSimpleQuoteSetValue(F6,W6/100,Trigger)</f>
        <v>6.8999999999999964E-4</v>
      </c>
      <c r="Y6" s="102"/>
      <c r="Z6" s="148"/>
      <c r="AA6" s="148"/>
    </row>
    <row r="7" spans="1:27" x14ac:dyDescent="0.2">
      <c r="A7" s="27"/>
      <c r="B7" s="58"/>
      <c r="C7" s="58">
        <f t="shared" si="4"/>
        <v>3</v>
      </c>
      <c r="D7" s="59" t="str">
        <f t="shared" si="5"/>
        <v>x9F</v>
      </c>
      <c r="E7" s="58" t="str">
        <f t="shared" si="0"/>
        <v>USD3x9F_Quote</v>
      </c>
      <c r="F7" s="42" t="str">
        <f>_xll.qlSimpleQuote(E7,,RateTickValue,Permanent,Trigger,ObjectOverwrite)</f>
        <v>USD3x9F_Quote#0000</v>
      </c>
      <c r="G7" s="159" t="str">
        <f>_xll.ohRangeRetrieveError(F7)</f>
        <v/>
      </c>
      <c r="H7" s="96"/>
      <c r="J7" s="81"/>
      <c r="K7" s="207">
        <f t="shared" si="6"/>
        <v>9</v>
      </c>
      <c r="L7" s="207">
        <v>3</v>
      </c>
      <c r="M7" s="207" t="s">
        <v>149</v>
      </c>
      <c r="N7" s="64" t="str">
        <f t="shared" si="1"/>
        <v>USD3X9F</v>
      </c>
      <c r="O7" s="64" t="str">
        <v>USD3X9F=GCMN</v>
      </c>
      <c r="P7" s="392">
        <v>0.66500000000000004</v>
      </c>
      <c r="Q7" s="392">
        <v>0.70499999999999996</v>
      </c>
      <c r="R7" s="65">
        <f t="shared" si="2"/>
        <v>0.68500000000000005</v>
      </c>
      <c r="S7" s="135">
        <f t="shared" si="3"/>
        <v>3.9999999999999925E-2</v>
      </c>
      <c r="T7" s="138"/>
      <c r="U7" s="135">
        <v>0.68500000000000005</v>
      </c>
      <c r="V7" s="138"/>
      <c r="W7" s="135">
        <v>0.68500000000000005</v>
      </c>
      <c r="X7" s="67">
        <f>_xll.qlSimpleQuoteSetValue(F7,W7/100,Trigger)</f>
        <v>8.0999999999999996E-4</v>
      </c>
      <c r="Y7" s="102"/>
      <c r="Z7" s="148"/>
      <c r="AA7" s="148"/>
    </row>
    <row r="8" spans="1:27" x14ac:dyDescent="0.2">
      <c r="A8" s="27"/>
      <c r="B8" s="58"/>
      <c r="C8" s="58">
        <f t="shared" si="4"/>
        <v>4</v>
      </c>
      <c r="D8" s="59" t="str">
        <f t="shared" si="5"/>
        <v>x10F</v>
      </c>
      <c r="E8" s="58" t="str">
        <f t="shared" si="0"/>
        <v>USD4x10F_Quote</v>
      </c>
      <c r="F8" s="42" t="str">
        <f>_xll.qlSimpleQuote(E8,,RateTickValue,Permanent,Trigger,ObjectOverwrite)</f>
        <v>USD4x10F_Quote#0000</v>
      </c>
      <c r="G8" s="159" t="str">
        <f>_xll.ohRangeRetrieveError(F8)</f>
        <v/>
      </c>
      <c r="H8" s="96"/>
      <c r="J8" s="81"/>
      <c r="K8" s="207">
        <f t="shared" si="6"/>
        <v>10</v>
      </c>
      <c r="L8" s="207">
        <v>4</v>
      </c>
      <c r="M8" s="207" t="s">
        <v>149</v>
      </c>
      <c r="N8" s="64" t="str">
        <f t="shared" si="1"/>
        <v>USD4X10F</v>
      </c>
      <c r="O8" s="64" t="str">
        <v>USD4X10F=GCMN</v>
      </c>
      <c r="P8" s="392">
        <v>0.70300000000000007</v>
      </c>
      <c r="Q8" s="392">
        <v>0.74299999999999999</v>
      </c>
      <c r="R8" s="65">
        <f t="shared" si="2"/>
        <v>0.72300000000000009</v>
      </c>
      <c r="S8" s="135">
        <f t="shared" si="3"/>
        <v>3.9999999999999925E-2</v>
      </c>
      <c r="T8" s="138"/>
      <c r="U8" s="135">
        <v>0.72300000000000009</v>
      </c>
      <c r="V8" s="138"/>
      <c r="W8" s="135">
        <v>0.72300000000000009</v>
      </c>
      <c r="X8" s="67">
        <f>_xll.qlSimpleQuoteSetValue(F8,W8/100,Trigger)</f>
        <v>8.9000000000000103E-4</v>
      </c>
      <c r="Y8" s="102"/>
      <c r="Z8" s="148"/>
      <c r="AA8" s="148"/>
    </row>
    <row r="9" spans="1:27" x14ac:dyDescent="0.2">
      <c r="A9" s="27"/>
      <c r="B9" s="58"/>
      <c r="C9" s="58">
        <f t="shared" si="4"/>
        <v>5</v>
      </c>
      <c r="D9" s="59" t="str">
        <f t="shared" si="5"/>
        <v>x11F</v>
      </c>
      <c r="E9" s="58" t="str">
        <f t="shared" si="0"/>
        <v>USD5x11F_Quote</v>
      </c>
      <c r="F9" s="42" t="str">
        <f>_xll.qlSimpleQuote(E9,,RateTickValue,Permanent,Trigger,ObjectOverwrite)</f>
        <v>USD5x11F_Quote#0000</v>
      </c>
      <c r="G9" s="159" t="str">
        <f>_xll.ohRangeRetrieveError(F9)</f>
        <v/>
      </c>
      <c r="H9" s="96"/>
      <c r="J9" s="81"/>
      <c r="K9" s="207">
        <f t="shared" si="6"/>
        <v>11</v>
      </c>
      <c r="L9" s="207">
        <v>5</v>
      </c>
      <c r="M9" s="207" t="s">
        <v>149</v>
      </c>
      <c r="N9" s="64" t="str">
        <f t="shared" si="1"/>
        <v>USD5X11F</v>
      </c>
      <c r="O9" s="64" t="str">
        <v>USD5X11F=GCMN</v>
      </c>
      <c r="P9" s="392">
        <v>0.74099999999999999</v>
      </c>
      <c r="Q9" s="392">
        <v>0.78099999999999992</v>
      </c>
      <c r="R9" s="65">
        <f t="shared" si="2"/>
        <v>0.7609999999999999</v>
      </c>
      <c r="S9" s="135">
        <f t="shared" si="3"/>
        <v>3.9999999999999925E-2</v>
      </c>
      <c r="T9" s="138"/>
      <c r="U9" s="135">
        <v>0.7609999999999999</v>
      </c>
      <c r="V9" s="138"/>
      <c r="W9" s="135">
        <v>0.7609999999999999</v>
      </c>
      <c r="X9" s="67">
        <f>_xll.qlSimpleQuoteSetValue(F9,W9/100,Trigger)</f>
        <v>9.6999999999999951E-4</v>
      </c>
      <c r="Y9" s="102"/>
      <c r="Z9" s="148"/>
      <c r="AA9" s="148"/>
    </row>
    <row r="10" spans="1:27" x14ac:dyDescent="0.2">
      <c r="A10" s="27"/>
      <c r="B10" s="58"/>
      <c r="C10" s="58">
        <f t="shared" si="4"/>
        <v>6</v>
      </c>
      <c r="D10" s="59" t="str">
        <f t="shared" si="5"/>
        <v>x12F</v>
      </c>
      <c r="E10" s="58" t="str">
        <f t="shared" si="0"/>
        <v>USD6x12F_Quote</v>
      </c>
      <c r="F10" s="42" t="str">
        <f>_xll.qlSimpleQuote(E10,,RateTickValue,Permanent,Trigger,ObjectOverwrite)</f>
        <v>USD6x12F_Quote#0000</v>
      </c>
      <c r="G10" s="159" t="str">
        <f>_xll.ohRangeRetrieveError(F10)</f>
        <v/>
      </c>
      <c r="H10" s="96"/>
      <c r="J10" s="81"/>
      <c r="K10" s="207">
        <f t="shared" si="6"/>
        <v>12</v>
      </c>
      <c r="L10" s="207">
        <v>6</v>
      </c>
      <c r="M10" s="207" t="s">
        <v>149</v>
      </c>
      <c r="N10" s="64" t="str">
        <f t="shared" si="1"/>
        <v>USD6X12F</v>
      </c>
      <c r="O10" s="64" t="str">
        <v>USD6X12F=GCMN</v>
      </c>
      <c r="P10" s="392">
        <v>0.78</v>
      </c>
      <c r="Q10" s="392">
        <v>0.82</v>
      </c>
      <c r="R10" s="65">
        <f t="shared" si="2"/>
        <v>0.8</v>
      </c>
      <c r="S10" s="135">
        <f t="shared" si="3"/>
        <v>3.9999999999999925E-2</v>
      </c>
      <c r="T10" s="138"/>
      <c r="U10" s="135">
        <v>0.8</v>
      </c>
      <c r="V10" s="138"/>
      <c r="W10" s="135">
        <v>0.8</v>
      </c>
      <c r="X10" s="67">
        <f>_xll.qlSimpleQuoteSetValue(F10,W10/100,Trigger)</f>
        <v>1.040000000000001E-3</v>
      </c>
      <c r="Y10" s="102"/>
      <c r="Z10" s="148"/>
      <c r="AA10" s="148"/>
    </row>
    <row r="11" spans="1:27" x14ac:dyDescent="0.2">
      <c r="A11" s="27"/>
      <c r="B11" s="58"/>
      <c r="C11" s="58">
        <f t="shared" si="4"/>
        <v>7</v>
      </c>
      <c r="D11" s="59" t="str">
        <f t="shared" si="5"/>
        <v>x13F</v>
      </c>
      <c r="E11" s="58" t="str">
        <f t="shared" si="0"/>
        <v>USD7x13F_Quote</v>
      </c>
      <c r="F11" s="42" t="str">
        <f>_xll.qlSimpleQuote(E11,,RateTickValue,Permanent,Trigger,ObjectOverwrite)</f>
        <v>USD7x13F_Quote#0000</v>
      </c>
      <c r="G11" s="159" t="str">
        <f>_xll.ohRangeRetrieveError(F11)</f>
        <v/>
      </c>
      <c r="H11" s="96"/>
      <c r="J11" s="81"/>
      <c r="K11" s="207">
        <f t="shared" si="6"/>
        <v>13</v>
      </c>
      <c r="L11" s="207">
        <v>7</v>
      </c>
      <c r="M11" s="207" t="s">
        <v>149</v>
      </c>
      <c r="N11" s="64" t="str">
        <f t="shared" si="1"/>
        <v>USD7X13F</v>
      </c>
      <c r="O11" s="64" t="str">
        <v>USD7X13F=GCMN</v>
      </c>
      <c r="P11" s="392">
        <v>0.82699999999999996</v>
      </c>
      <c r="Q11" s="392">
        <v>0.86699999999999999</v>
      </c>
      <c r="R11" s="65">
        <f t="shared" si="2"/>
        <v>0.84699999999999998</v>
      </c>
      <c r="S11" s="135">
        <f t="shared" si="3"/>
        <v>4.0000000000000036E-2</v>
      </c>
      <c r="T11" s="138"/>
      <c r="U11" s="135">
        <v>0.84699999999999998</v>
      </c>
      <c r="V11" s="138"/>
      <c r="W11" s="135">
        <v>0.84699999999999998</v>
      </c>
      <c r="X11" s="67">
        <f>_xll.qlSimpleQuoteSetValue(F11,W11/100,Trigger)</f>
        <v>1.1299999999999999E-3</v>
      </c>
      <c r="Y11" s="102"/>
      <c r="Z11" s="148"/>
      <c r="AA11" s="148"/>
    </row>
    <row r="12" spans="1:27" x14ac:dyDescent="0.2">
      <c r="A12" s="27"/>
      <c r="B12" s="58"/>
      <c r="C12" s="58">
        <f t="shared" si="4"/>
        <v>8</v>
      </c>
      <c r="D12" s="59" t="str">
        <f t="shared" si="5"/>
        <v>x14F</v>
      </c>
      <c r="E12" s="58" t="str">
        <f t="shared" si="0"/>
        <v>USD8x14F_Quote</v>
      </c>
      <c r="F12" s="42" t="str">
        <f>_xll.qlSimpleQuote(E12,,RateTickValue,Permanent,Trigger,ObjectOverwrite)</f>
        <v>USD8x14F_Quote#0000</v>
      </c>
      <c r="G12" s="159" t="str">
        <f>_xll.ohRangeRetrieveError(F12)</f>
        <v/>
      </c>
      <c r="H12" s="96"/>
      <c r="J12" s="81"/>
      <c r="K12" s="207">
        <f t="shared" si="6"/>
        <v>14</v>
      </c>
      <c r="L12" s="207">
        <v>8</v>
      </c>
      <c r="M12" s="207" t="s">
        <v>149</v>
      </c>
      <c r="N12" s="64" t="str">
        <f t="shared" si="1"/>
        <v>USD8X14F</v>
      </c>
      <c r="O12" s="64" t="str">
        <v>USD8X14F=GCMN</v>
      </c>
      <c r="P12" s="392">
        <v>0.876</v>
      </c>
      <c r="Q12" s="392">
        <v>0.91600000000000004</v>
      </c>
      <c r="R12" s="65">
        <f t="shared" si="2"/>
        <v>0.89600000000000002</v>
      </c>
      <c r="S12" s="135">
        <f t="shared" si="3"/>
        <v>4.0000000000000036E-2</v>
      </c>
      <c r="T12" s="138"/>
      <c r="U12" s="135">
        <v>0.89600000000000002</v>
      </c>
      <c r="V12" s="138"/>
      <c r="W12" s="135">
        <v>0.89600000000000002</v>
      </c>
      <c r="X12" s="67">
        <f>_xll.qlSimpleQuoteSetValue(F12,W12/100,Trigger)</f>
        <v>1.2200000000000006E-3</v>
      </c>
      <c r="Y12" s="102"/>
      <c r="Z12" s="148"/>
      <c r="AA12" s="148"/>
    </row>
    <row r="13" spans="1:27" x14ac:dyDescent="0.2">
      <c r="A13" s="27"/>
      <c r="B13" s="58"/>
      <c r="C13" s="58">
        <f t="shared" si="4"/>
        <v>9</v>
      </c>
      <c r="D13" s="59" t="str">
        <f t="shared" si="5"/>
        <v>x15F</v>
      </c>
      <c r="E13" s="58" t="str">
        <f t="shared" si="0"/>
        <v>USD9x15F_Quote</v>
      </c>
      <c r="F13" s="42" t="str">
        <f>_xll.qlSimpleQuote(E13,,RateTickValue,Permanent,Trigger,ObjectOverwrite)</f>
        <v>USD9x15F_Quote#0000</v>
      </c>
      <c r="G13" s="159" t="str">
        <f>_xll.ohRangeRetrieveError(F13)</f>
        <v/>
      </c>
      <c r="H13" s="96"/>
      <c r="J13" s="81"/>
      <c r="K13" s="207">
        <f t="shared" si="6"/>
        <v>15</v>
      </c>
      <c r="L13" s="207">
        <v>9</v>
      </c>
      <c r="M13" s="207" t="s">
        <v>149</v>
      </c>
      <c r="N13" s="64" t="str">
        <f t="shared" si="1"/>
        <v>USD9X15F</v>
      </c>
      <c r="O13" s="64" t="str">
        <v>USD9X15F=GCMN</v>
      </c>
      <c r="P13" s="392">
        <v>0.92100000000000004</v>
      </c>
      <c r="Q13" s="392">
        <v>0.96099999999999997</v>
      </c>
      <c r="R13" s="65">
        <f t="shared" si="2"/>
        <v>0.94100000000000006</v>
      </c>
      <c r="S13" s="135">
        <f t="shared" si="3"/>
        <v>3.9999999999999925E-2</v>
      </c>
      <c r="T13" s="138"/>
      <c r="U13" s="135">
        <v>0.94100000000000006</v>
      </c>
      <c r="V13" s="138"/>
      <c r="W13" s="135">
        <v>0.94100000000000006</v>
      </c>
      <c r="X13" s="67">
        <f>_xll.qlSimpleQuoteSetValue(F13,W13/100,Trigger)</f>
        <v>1.2300000000000002E-3</v>
      </c>
      <c r="Y13" s="102"/>
      <c r="Z13" s="148"/>
      <c r="AA13" s="148"/>
    </row>
    <row r="14" spans="1:27" x14ac:dyDescent="0.2">
      <c r="A14" s="27"/>
      <c r="B14" s="58"/>
      <c r="C14" s="58">
        <f t="shared" si="4"/>
        <v>10</v>
      </c>
      <c r="D14" s="59" t="str">
        <f t="shared" si="5"/>
        <v>x16F</v>
      </c>
      <c r="E14" s="58" t="str">
        <f t="shared" si="0"/>
        <v>USD10x16F_Quote</v>
      </c>
      <c r="F14" s="42" t="str">
        <f>_xll.qlSimpleQuote(E14,,RateTickValue,Permanent,Trigger,ObjectOverwrite)</f>
        <v>USD10x16F_Quote#0000</v>
      </c>
      <c r="G14" s="159" t="str">
        <f>_xll.ohRangeRetrieveError(F14)</f>
        <v/>
      </c>
      <c r="H14" s="96"/>
      <c r="J14" s="81"/>
      <c r="K14" s="207">
        <f t="shared" si="6"/>
        <v>16</v>
      </c>
      <c r="L14" s="207">
        <v>10</v>
      </c>
      <c r="M14" s="207" t="s">
        <v>149</v>
      </c>
      <c r="N14" s="64" t="str">
        <f t="shared" si="1"/>
        <v>USD10X16F</v>
      </c>
      <c r="O14" s="64" t="str">
        <v>USD10X16F=GCMN</v>
      </c>
      <c r="P14" s="392">
        <v>0.97300000000000009</v>
      </c>
      <c r="Q14" s="392">
        <v>1.0129999999999999</v>
      </c>
      <c r="R14" s="65">
        <f t="shared" si="2"/>
        <v>0.99299999999999999</v>
      </c>
      <c r="S14" s="135">
        <f t="shared" si="3"/>
        <v>3.9999999999999813E-2</v>
      </c>
      <c r="T14" s="138"/>
      <c r="U14" s="135">
        <v>0.99299999999999999</v>
      </c>
      <c r="V14" s="138"/>
      <c r="W14" s="135">
        <v>0.99299999999999999</v>
      </c>
      <c r="X14" s="67">
        <f>_xll.qlSimpleQuoteSetValue(F14,W14/100,Trigger)</f>
        <v>1.32E-3</v>
      </c>
      <c r="Y14" s="102"/>
      <c r="Z14" s="148"/>
      <c r="AA14" s="148"/>
    </row>
    <row r="15" spans="1:27" x14ac:dyDescent="0.2">
      <c r="A15" s="27"/>
      <c r="B15" s="58"/>
      <c r="C15" s="58">
        <f t="shared" si="4"/>
        <v>11</v>
      </c>
      <c r="D15" s="59" t="str">
        <f t="shared" si="5"/>
        <v>x17F</v>
      </c>
      <c r="E15" s="58" t="str">
        <f t="shared" si="0"/>
        <v>USD11x17F_Quote</v>
      </c>
      <c r="F15" s="42" t="str">
        <f>_xll.qlSimpleQuote(E15,,RateTickValue,Permanent,Trigger,ObjectOverwrite)</f>
        <v>USD11x17F_Quote#0000</v>
      </c>
      <c r="G15" s="159" t="str">
        <f>_xll.ohRangeRetrieveError(F15)</f>
        <v/>
      </c>
      <c r="H15" s="96"/>
      <c r="J15" s="81"/>
      <c r="K15" s="207">
        <f t="shared" si="6"/>
        <v>17</v>
      </c>
      <c r="L15" s="207">
        <v>11</v>
      </c>
      <c r="M15" s="207" t="s">
        <v>149</v>
      </c>
      <c r="N15" s="64" t="str">
        <f t="shared" si="1"/>
        <v>USD11X17F</v>
      </c>
      <c r="O15" s="64" t="str">
        <v>USD11X17F=GCMN</v>
      </c>
      <c r="P15" s="392" t="s">
        <v>253</v>
      </c>
      <c r="Q15" s="392" t="s">
        <v>253</v>
      </c>
      <c r="R15" s="65" t="e">
        <f t="shared" si="2"/>
        <v>#NUM!</v>
      </c>
      <c r="S15" s="135" t="e">
        <f t="shared" si="3"/>
        <v>#VALUE!</v>
      </c>
      <c r="T15" s="138"/>
      <c r="U15" s="135" t="e">
        <v>#NUM!</v>
      </c>
      <c r="V15" s="138"/>
      <c r="W15" s="135" t="e">
        <v>#NUM!</v>
      </c>
      <c r="X15" s="67">
        <f>_xll.qlSimpleQuoteSetValue(F15,W15/100,Trigger)</f>
        <v>0</v>
      </c>
      <c r="Y15" s="102"/>
      <c r="Z15" s="148"/>
      <c r="AA15" s="148"/>
    </row>
    <row r="16" spans="1:27" x14ac:dyDescent="0.2">
      <c r="A16" s="27"/>
      <c r="B16" s="58"/>
      <c r="C16" s="58">
        <f t="shared" si="4"/>
        <v>12</v>
      </c>
      <c r="D16" s="59" t="str">
        <f t="shared" si="5"/>
        <v>x18F</v>
      </c>
      <c r="E16" s="58" t="str">
        <f t="shared" si="0"/>
        <v>USD12x18F_Quote</v>
      </c>
      <c r="F16" s="42" t="str">
        <f>_xll.qlSimpleQuote(E16,,RateTickValue,Permanent,Trigger,ObjectOverwrite)</f>
        <v>USD12x18F_Quote#0000</v>
      </c>
      <c r="G16" s="159" t="str">
        <f>_xll.ohRangeRetrieveError(F16)</f>
        <v/>
      </c>
      <c r="H16" s="96"/>
      <c r="J16" s="81"/>
      <c r="K16" s="207">
        <f t="shared" si="6"/>
        <v>18</v>
      </c>
      <c r="L16" s="207">
        <v>12</v>
      </c>
      <c r="M16" s="207" t="s">
        <v>149</v>
      </c>
      <c r="N16" s="64" t="str">
        <f t="shared" si="1"/>
        <v>USD12X18F</v>
      </c>
      <c r="O16" s="64" t="str">
        <v>USD12X18F=GCMN</v>
      </c>
      <c r="P16" s="392">
        <v>1.07</v>
      </c>
      <c r="Q16" s="392">
        <v>1.1100000000000001</v>
      </c>
      <c r="R16" s="65">
        <f t="shared" si="2"/>
        <v>1.0900000000000001</v>
      </c>
      <c r="S16" s="135">
        <f t="shared" si="3"/>
        <v>4.0000000000000036E-2</v>
      </c>
      <c r="T16" s="138"/>
      <c r="U16" s="135">
        <v>1.0900000000000001</v>
      </c>
      <c r="V16" s="138"/>
      <c r="W16" s="135">
        <v>1.0900000000000001</v>
      </c>
      <c r="X16" s="67">
        <f>_xll.qlSimpleQuoteSetValue(F16,W16/100,Trigger)</f>
        <v>1.3600000000000001E-3</v>
      </c>
      <c r="Y16" s="102"/>
      <c r="Z16" s="148"/>
      <c r="AA16" s="148"/>
    </row>
    <row r="17" spans="1:27" x14ac:dyDescent="0.2">
      <c r="A17" s="27"/>
      <c r="B17" s="58"/>
      <c r="C17" s="58">
        <f t="shared" si="4"/>
        <v>13</v>
      </c>
      <c r="D17" s="59" t="str">
        <f t="shared" si="5"/>
        <v>x19F</v>
      </c>
      <c r="E17" s="58" t="str">
        <f t="shared" si="0"/>
        <v>USD13x19F_Quote</v>
      </c>
      <c r="F17" s="42" t="str">
        <f>_xll.qlSimpleQuote(E17,,RateTickValue,Permanent,Trigger,ObjectOverwrite)</f>
        <v>USD13x19F_Quote#0000</v>
      </c>
      <c r="G17" s="159" t="str">
        <f>_xll.ohRangeRetrieveError(F17)</f>
        <v/>
      </c>
      <c r="H17" s="96"/>
      <c r="J17" s="81"/>
      <c r="K17" s="207">
        <f t="shared" si="6"/>
        <v>19</v>
      </c>
      <c r="L17" s="207">
        <v>13</v>
      </c>
      <c r="M17" s="207" t="s">
        <v>149</v>
      </c>
      <c r="N17" s="64" t="str">
        <f t="shared" si="1"/>
        <v>USD13X19F</v>
      </c>
      <c r="O17" s="64" t="str">
        <v>USD13X19F=GCMN</v>
      </c>
      <c r="P17" s="392">
        <v>1.123</v>
      </c>
      <c r="Q17" s="392">
        <v>1.163</v>
      </c>
      <c r="R17" s="65">
        <f t="shared" si="2"/>
        <v>1.143</v>
      </c>
      <c r="S17" s="135">
        <f t="shared" si="3"/>
        <v>4.0000000000000036E-2</v>
      </c>
      <c r="T17" s="138"/>
      <c r="U17" s="135">
        <v>1.143</v>
      </c>
      <c r="V17" s="138"/>
      <c r="W17" s="135">
        <v>1.143</v>
      </c>
      <c r="X17" s="67">
        <f>_xll.qlSimpleQuoteSetValue(F17,W17/100,Trigger)</f>
        <v>1.4800000000000021E-3</v>
      </c>
      <c r="Y17" s="102"/>
      <c r="Z17" s="148"/>
      <c r="AA17" s="148"/>
    </row>
    <row r="18" spans="1:27" x14ac:dyDescent="0.2">
      <c r="A18" s="27"/>
      <c r="B18" s="58"/>
      <c r="C18" s="58">
        <f t="shared" si="4"/>
        <v>14</v>
      </c>
      <c r="D18" s="59" t="str">
        <f t="shared" si="5"/>
        <v>x20F</v>
      </c>
      <c r="E18" s="58" t="str">
        <f t="shared" si="0"/>
        <v>USD14x20F_Quote</v>
      </c>
      <c r="F18" s="42" t="str">
        <f>_xll.qlSimpleQuote(E18,,RateTickValue,Permanent,Trigger,ObjectOverwrite)</f>
        <v>USD14x20F_Quote#0000</v>
      </c>
      <c r="G18" s="159" t="str">
        <f>_xll.ohRangeRetrieveError(F18)</f>
        <v/>
      </c>
      <c r="H18" s="96"/>
      <c r="J18" s="81"/>
      <c r="K18" s="207">
        <f t="shared" si="6"/>
        <v>20</v>
      </c>
      <c r="L18" s="207">
        <v>14</v>
      </c>
      <c r="M18" s="207" t="s">
        <v>149</v>
      </c>
      <c r="N18" s="64" t="str">
        <f t="shared" si="1"/>
        <v>USD14X20F</v>
      </c>
      <c r="O18" s="64" t="str">
        <v>USD14X20F=GCMN</v>
      </c>
      <c r="P18" s="392" t="s">
        <v>253</v>
      </c>
      <c r="Q18" s="392" t="s">
        <v>253</v>
      </c>
      <c r="R18" s="65" t="e">
        <f t="shared" si="2"/>
        <v>#NUM!</v>
      </c>
      <c r="S18" s="135" t="e">
        <f t="shared" si="3"/>
        <v>#VALUE!</v>
      </c>
      <c r="T18" s="138"/>
      <c r="U18" s="135" t="e">
        <v>#NUM!</v>
      </c>
      <c r="V18" s="138"/>
      <c r="W18" s="135" t="e">
        <v>#NUM!</v>
      </c>
      <c r="X18" s="67">
        <f>_xll.qlSimpleQuoteSetValue(F18,W18/100,Trigger)</f>
        <v>0</v>
      </c>
      <c r="Y18" s="102"/>
      <c r="Z18" s="148"/>
      <c r="AA18" s="148"/>
    </row>
    <row r="19" spans="1:27" x14ac:dyDescent="0.2">
      <c r="A19" s="27"/>
      <c r="B19" s="58"/>
      <c r="C19" s="58">
        <f t="shared" si="4"/>
        <v>15</v>
      </c>
      <c r="D19" s="59" t="str">
        <f t="shared" si="5"/>
        <v>x21F</v>
      </c>
      <c r="E19" s="58" t="str">
        <f t="shared" si="0"/>
        <v>USD15x21F_Quote</v>
      </c>
      <c r="F19" s="42" t="str">
        <f>_xll.qlSimpleQuote(E19,,RateTickValue,Permanent,Trigger,ObjectOverwrite)</f>
        <v>USD15x21F_Quote#0000</v>
      </c>
      <c r="G19" s="159" t="str">
        <f>_xll.ohRangeRetrieveError(F19)</f>
        <v/>
      </c>
      <c r="H19" s="96"/>
      <c r="J19" s="81"/>
      <c r="K19" s="207">
        <f t="shared" si="6"/>
        <v>21</v>
      </c>
      <c r="L19" s="207">
        <v>15</v>
      </c>
      <c r="M19" s="207" t="s">
        <v>149</v>
      </c>
      <c r="N19" s="64" t="str">
        <f t="shared" si="1"/>
        <v>USD15X21F</v>
      </c>
      <c r="O19" s="64" t="str">
        <v>USD15X21F=GCMN</v>
      </c>
      <c r="P19" s="392" t="s">
        <v>253</v>
      </c>
      <c r="Q19" s="392" t="s">
        <v>253</v>
      </c>
      <c r="R19" s="65" t="e">
        <f t="shared" si="2"/>
        <v>#NUM!</v>
      </c>
      <c r="S19" s="135" t="e">
        <f t="shared" si="3"/>
        <v>#VALUE!</v>
      </c>
      <c r="T19" s="138"/>
      <c r="U19" s="135" t="e">
        <v>#NUM!</v>
      </c>
      <c r="V19" s="138"/>
      <c r="W19" s="135" t="e">
        <v>#NUM!</v>
      </c>
      <c r="X19" s="67">
        <f>_xll.qlSimpleQuoteSetValue(F19,W19/100,Trigger)</f>
        <v>0</v>
      </c>
      <c r="Y19" s="102"/>
      <c r="Z19" s="148"/>
      <c r="AA19" s="148"/>
    </row>
    <row r="20" spans="1:27" x14ac:dyDescent="0.2">
      <c r="A20" s="27"/>
      <c r="B20" s="58"/>
      <c r="C20" s="58">
        <f t="shared" si="4"/>
        <v>16</v>
      </c>
      <c r="D20" s="59" t="str">
        <f t="shared" si="5"/>
        <v>x22F</v>
      </c>
      <c r="E20" s="58" t="str">
        <f t="shared" si="0"/>
        <v>USD16x22F_Quote</v>
      </c>
      <c r="F20" s="42" t="str">
        <f>_xll.qlSimpleQuote(E20,,RateTickValue,Permanent,Trigger,ObjectOverwrite)</f>
        <v>USD16x22F_Quote#0000</v>
      </c>
      <c r="G20" s="159" t="str">
        <f>_xll.ohRangeRetrieveError(F20)</f>
        <v/>
      </c>
      <c r="H20" s="96"/>
      <c r="J20" s="81"/>
      <c r="K20" s="207">
        <f t="shared" si="6"/>
        <v>22</v>
      </c>
      <c r="L20" s="207">
        <v>16</v>
      </c>
      <c r="M20" s="207" t="s">
        <v>149</v>
      </c>
      <c r="N20" s="64" t="str">
        <f t="shared" si="1"/>
        <v>USD16X22F</v>
      </c>
      <c r="O20" s="64" t="str">
        <v>USD16X22F=GCMN</v>
      </c>
      <c r="P20" s="392" t="s">
        <v>253</v>
      </c>
      <c r="Q20" s="392" t="s">
        <v>253</v>
      </c>
      <c r="R20" s="65" t="e">
        <f t="shared" si="2"/>
        <v>#NUM!</v>
      </c>
      <c r="S20" s="135" t="e">
        <f t="shared" si="3"/>
        <v>#VALUE!</v>
      </c>
      <c r="T20" s="138"/>
      <c r="U20" s="135" t="e">
        <v>#NUM!</v>
      </c>
      <c r="V20" s="138"/>
      <c r="W20" s="135" t="e">
        <v>#NUM!</v>
      </c>
      <c r="X20" s="67">
        <f>_xll.qlSimpleQuoteSetValue(F20,W20/100,Trigger)</f>
        <v>0</v>
      </c>
      <c r="Y20" s="102"/>
      <c r="Z20" s="148"/>
      <c r="AA20" s="148"/>
    </row>
    <row r="21" spans="1:27" x14ac:dyDescent="0.2">
      <c r="A21" s="27"/>
      <c r="B21" s="58"/>
      <c r="C21" s="58">
        <f t="shared" si="4"/>
        <v>17</v>
      </c>
      <c r="D21" s="59" t="str">
        <f t="shared" si="5"/>
        <v>x23F</v>
      </c>
      <c r="E21" s="58" t="str">
        <f t="shared" si="0"/>
        <v>USD17x23F_Quote</v>
      </c>
      <c r="F21" s="42" t="str">
        <f>_xll.qlSimpleQuote(E21,,RateTickValue,Permanent,Trigger,ObjectOverwrite)</f>
        <v>USD17x23F_Quote#0000</v>
      </c>
      <c r="G21" s="159" t="str">
        <f>_xll.ohRangeRetrieveError(F21)</f>
        <v/>
      </c>
      <c r="H21" s="96"/>
      <c r="J21" s="81"/>
      <c r="K21" s="207">
        <f t="shared" si="6"/>
        <v>23</v>
      </c>
      <c r="L21" s="207">
        <v>17</v>
      </c>
      <c r="M21" s="207" t="s">
        <v>149</v>
      </c>
      <c r="N21" s="64" t="str">
        <f t="shared" si="1"/>
        <v>USD17X23F</v>
      </c>
      <c r="O21" s="64" t="str">
        <v>USD17X23F=GCMN</v>
      </c>
      <c r="P21" s="392" t="s">
        <v>253</v>
      </c>
      <c r="Q21" s="392" t="s">
        <v>253</v>
      </c>
      <c r="R21" s="65" t="e">
        <f t="shared" si="2"/>
        <v>#NUM!</v>
      </c>
      <c r="S21" s="135" t="e">
        <f t="shared" si="3"/>
        <v>#VALUE!</v>
      </c>
      <c r="T21" s="138"/>
      <c r="U21" s="135" t="e">
        <v>#NUM!</v>
      </c>
      <c r="V21" s="138"/>
      <c r="W21" s="135" t="e">
        <v>#NUM!</v>
      </c>
      <c r="X21" s="67">
        <f>_xll.qlSimpleQuoteSetValue(F21,W21/100,Trigger)</f>
        <v>0</v>
      </c>
      <c r="Y21" s="102"/>
      <c r="Z21" s="148"/>
      <c r="AA21" s="148"/>
    </row>
    <row r="22" spans="1:27" x14ac:dyDescent="0.2">
      <c r="A22" s="27"/>
      <c r="B22" s="60"/>
      <c r="C22" s="60">
        <f t="shared" si="4"/>
        <v>18</v>
      </c>
      <c r="D22" s="337" t="str">
        <f t="shared" si="5"/>
        <v>x24F</v>
      </c>
      <c r="E22" s="60" t="str">
        <f t="shared" si="0"/>
        <v>USD18x24F_Quote</v>
      </c>
      <c r="F22" s="43" t="str">
        <f>_xll.qlSimpleQuote(E22,,RateTickValue,Permanent,Trigger,ObjectOverwrite)</f>
        <v>USD18x24F_Quote#0000</v>
      </c>
      <c r="G22" s="160" t="str">
        <f>_xll.ohRangeRetrieveError(F22)</f>
        <v/>
      </c>
      <c r="H22" s="96"/>
      <c r="J22" s="81"/>
      <c r="K22" s="211">
        <f t="shared" si="6"/>
        <v>24</v>
      </c>
      <c r="L22" s="211">
        <v>18</v>
      </c>
      <c r="M22" s="211" t="s">
        <v>149</v>
      </c>
      <c r="N22" s="68" t="str">
        <f t="shared" si="1"/>
        <v>USD18X24F</v>
      </c>
      <c r="O22" s="68" t="str">
        <v>USD18X24F=GCMN</v>
      </c>
      <c r="P22" s="393">
        <v>1.343</v>
      </c>
      <c r="Q22" s="393">
        <v>1.383</v>
      </c>
      <c r="R22" s="72">
        <f t="shared" si="2"/>
        <v>1.363</v>
      </c>
      <c r="S22" s="137">
        <f t="shared" si="3"/>
        <v>4.0000000000000036E-2</v>
      </c>
      <c r="T22" s="138"/>
      <c r="U22" s="137">
        <v>1.363</v>
      </c>
      <c r="V22" s="138"/>
      <c r="W22" s="137">
        <v>1.363</v>
      </c>
      <c r="X22" s="69">
        <f>_xll.qlSimpleQuoteSetValue(F22,W22/100,Trigger)</f>
        <v>1.6100000000000003E-3</v>
      </c>
      <c r="Y22" s="102"/>
      <c r="Z22" s="148"/>
      <c r="AA22" s="148"/>
    </row>
    <row r="23" spans="1:27" x14ac:dyDescent="0.2">
      <c r="A23" s="85"/>
      <c r="B23" s="86"/>
      <c r="C23" s="86"/>
      <c r="D23" s="86"/>
      <c r="E23" s="86"/>
      <c r="F23" s="86"/>
      <c r="G23" s="98"/>
      <c r="H23" s="99"/>
      <c r="J23" s="85"/>
      <c r="K23" s="86"/>
      <c r="L23" s="86"/>
      <c r="M23" s="86"/>
      <c r="N23" s="86"/>
      <c r="O23" s="86"/>
      <c r="P23" s="86"/>
      <c r="Q23" s="86"/>
      <c r="R23" s="86"/>
      <c r="S23" s="86"/>
      <c r="T23" s="86"/>
      <c r="U23" s="86"/>
      <c r="V23" s="86"/>
      <c r="W23" s="86"/>
      <c r="X23" s="86"/>
      <c r="Y23" s="87"/>
    </row>
  </sheetData>
  <conditionalFormatting sqref="X5:X22">
    <cfRule type="cellIs" dxfId="21" priority="1" stopIfTrue="1" operator="greaterThan">
      <formula>0</formula>
    </cfRule>
    <cfRule type="cellIs" dxfId="20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9"/>
  <sheetViews>
    <sheetView showGridLines="0" topLeftCell="I1" workbookViewId="0">
      <selection activeCell="X2" sqref="X2"/>
    </sheetView>
  </sheetViews>
  <sheetFormatPr defaultRowHeight="11.25" outlineLevelCol="1" x14ac:dyDescent="0.2"/>
  <cols>
    <col min="1" max="2" width="2.7109375" style="144" hidden="1" customWidth="1" outlineLevel="1"/>
    <col min="3" max="3" width="3" style="144" hidden="1" customWidth="1" outlineLevel="1"/>
    <col min="4" max="4" width="5" style="144" hidden="1" customWidth="1" outlineLevel="1"/>
    <col min="5" max="5" width="16.7109375" style="144" hidden="1" customWidth="1" outlineLevel="1"/>
    <col min="6" max="6" width="22.7109375" style="144" hidden="1" customWidth="1" outlineLevel="1"/>
    <col min="7" max="7" width="20.7109375" style="145" hidden="1" customWidth="1" outlineLevel="1"/>
    <col min="8" max="8" width="2.7109375" style="145" hidden="1" customWidth="1" outlineLevel="1"/>
    <col min="9" max="9" width="2.7109375" style="145" customWidth="1" collapsed="1"/>
    <col min="10" max="11" width="2.7109375" style="144" customWidth="1"/>
    <col min="12" max="13" width="4" style="144" customWidth="1"/>
    <col min="14" max="14" width="11.7109375" style="144" customWidth="1"/>
    <col min="15" max="15" width="16.7109375" style="144" customWidth="1"/>
    <col min="16" max="19" width="10.7109375" style="144" customWidth="1"/>
    <col min="20" max="20" width="2.7109375" style="144" customWidth="1"/>
    <col min="21" max="21" width="10.7109375" style="144" customWidth="1"/>
    <col min="22" max="22" width="2.7109375" style="144" customWidth="1"/>
    <col min="23" max="24" width="10.7109375" style="144" customWidth="1"/>
    <col min="25" max="25" width="2.7109375" style="144" customWidth="1"/>
    <col min="26" max="26" width="14.140625" style="144" bestFit="1" customWidth="1"/>
    <col min="27" max="27" width="12" style="144" bestFit="1" customWidth="1"/>
    <col min="28" max="16384" width="9.140625" style="144"/>
  </cols>
  <sheetData>
    <row r="1" spans="1:27" x14ac:dyDescent="0.2">
      <c r="A1" s="25"/>
      <c r="B1" s="25"/>
      <c r="C1" s="79"/>
      <c r="D1" s="79"/>
      <c r="E1" s="79"/>
      <c r="F1" s="79"/>
      <c r="G1" s="93"/>
      <c r="H1" s="94"/>
      <c r="J1" s="104" t="s">
        <v>256</v>
      </c>
      <c r="K1" s="26"/>
      <c r="L1" s="26"/>
      <c r="M1" s="26"/>
      <c r="N1" s="26"/>
      <c r="O1" s="89"/>
      <c r="P1" s="26"/>
      <c r="Q1" s="26"/>
      <c r="R1" s="26"/>
      <c r="S1" s="26"/>
      <c r="T1" s="26"/>
      <c r="U1" s="26"/>
      <c r="V1" s="26"/>
      <c r="W1" s="26"/>
      <c r="X1" s="26"/>
      <c r="Y1" s="80"/>
    </row>
    <row r="2" spans="1:27" x14ac:dyDescent="0.2">
      <c r="A2" s="27"/>
      <c r="B2" s="14"/>
      <c r="C2" s="82"/>
      <c r="D2" s="82"/>
      <c r="E2" s="82"/>
      <c r="F2" s="82"/>
      <c r="G2" s="95"/>
      <c r="H2" s="96"/>
      <c r="J2" s="81"/>
      <c r="K2" s="82"/>
      <c r="L2" s="82"/>
      <c r="M2" s="3"/>
      <c r="N2" s="3"/>
      <c r="O2" s="187" t="str">
        <f>VLOOKUP($J$1,AreaTable,AreaIndex,0)</f>
        <v>ICAP NY</v>
      </c>
      <c r="P2" s="3"/>
      <c r="Q2" s="3"/>
      <c r="R2" s="14"/>
      <c r="S2" s="14"/>
      <c r="T2" s="14"/>
      <c r="U2" s="14"/>
      <c r="V2" s="14"/>
      <c r="W2" s="14"/>
      <c r="X2" s="55">
        <f>_xll.ohTrigger(X5:X28)</f>
        <v>2</v>
      </c>
      <c r="Y2" s="100"/>
      <c r="Z2" s="148"/>
      <c r="AA2" s="148"/>
    </row>
    <row r="3" spans="1:27" x14ac:dyDescent="0.2">
      <c r="A3" s="27"/>
      <c r="B3" s="14"/>
      <c r="C3" s="82"/>
      <c r="D3" s="82"/>
      <c r="E3" s="82"/>
      <c r="F3" s="82"/>
      <c r="G3" s="95"/>
      <c r="H3" s="96"/>
      <c r="J3" s="81"/>
      <c r="K3" s="14"/>
      <c r="L3" s="3"/>
      <c r="M3" s="3"/>
      <c r="N3" s="3"/>
      <c r="O3" s="3"/>
      <c r="P3" s="3"/>
      <c r="Q3" s="3"/>
      <c r="R3" s="3"/>
      <c r="S3" s="3"/>
      <c r="T3" s="14"/>
      <c r="U3" s="14"/>
      <c r="V3" s="14"/>
      <c r="W3" s="3"/>
      <c r="X3" s="82"/>
      <c r="Y3" s="101"/>
      <c r="Z3" s="148"/>
      <c r="AA3" s="148"/>
    </row>
    <row r="4" spans="1:27" ht="22.5" x14ac:dyDescent="0.2">
      <c r="A4" s="27"/>
      <c r="B4" s="44"/>
      <c r="C4" s="44"/>
      <c r="D4" s="45"/>
      <c r="E4" s="48" t="s">
        <v>224</v>
      </c>
      <c r="F4" s="49" t="s">
        <v>225</v>
      </c>
      <c r="G4" s="49" t="s">
        <v>239</v>
      </c>
      <c r="H4" s="96"/>
      <c r="J4" s="81"/>
      <c r="K4" s="187"/>
      <c r="L4" s="50"/>
      <c r="M4" s="50"/>
      <c r="N4" s="50" t="s">
        <v>241</v>
      </c>
      <c r="O4" s="52" t="str">
        <f>_xll.RData(O5:O28,P4:Q4,"RTFEED:IDN",ReutersRtMode,,P5)</f>
        <v>Not Signed In</v>
      </c>
      <c r="P4" s="38" t="s">
        <v>134</v>
      </c>
      <c r="Q4" s="38" t="s">
        <v>133</v>
      </c>
      <c r="R4" s="40" t="s">
        <v>158</v>
      </c>
      <c r="S4" s="39" t="s">
        <v>240</v>
      </c>
      <c r="T4" s="14"/>
      <c r="U4" s="38" t="s">
        <v>148</v>
      </c>
      <c r="V4" s="14"/>
      <c r="W4" s="50" t="s">
        <v>147</v>
      </c>
      <c r="X4" s="53" t="s">
        <v>146</v>
      </c>
      <c r="Y4" s="101"/>
      <c r="Z4" s="148"/>
      <c r="AA4" s="148"/>
    </row>
    <row r="5" spans="1:27" x14ac:dyDescent="0.2">
      <c r="A5" s="27"/>
      <c r="B5" s="56"/>
      <c r="C5" s="56">
        <f>L5</f>
        <v>1</v>
      </c>
      <c r="D5" s="61" t="str">
        <f>"x"&amp;K5&amp;"F"</f>
        <v>x13F</v>
      </c>
      <c r="E5" s="56" t="str">
        <f t="shared" ref="E5:E28" si="0">Currency&amp;$C5&amp;$D5&amp;QuoteSuffix</f>
        <v>USD1x13F_Quote</v>
      </c>
      <c r="F5" s="41" t="str">
        <f>_xll.qlSimpleQuote(E5,,RateTickValue,Permanent,Trigger,ObjectOverwrite)</f>
        <v>USD1x13F_Quote#0000</v>
      </c>
      <c r="G5" s="158" t="str">
        <f>_xll.ohRangeRetrieveError(F5)</f>
        <v/>
      </c>
      <c r="H5" s="96"/>
      <c r="J5" s="81"/>
      <c r="K5" s="217">
        <f>L5+12</f>
        <v>13</v>
      </c>
      <c r="L5" s="217">
        <v>1</v>
      </c>
      <c r="M5" s="217" t="s">
        <v>149</v>
      </c>
      <c r="N5" s="70" t="str">
        <f t="shared" ref="N5:N28" si="1">Currency&amp;$L5&amp;$M5&amp;$K5&amp;"F"</f>
        <v>USD1X13F</v>
      </c>
      <c r="O5" s="70" t="str">
        <f t="array" ref="O5:O28">Instruments&amp;"="&amp;VLOOKUP(Contributor,ContributorTable,2,FALSE)</f>
        <v>USD1X13F=GCMN</v>
      </c>
      <c r="P5" s="392">
        <v>0.85299999999999998</v>
      </c>
      <c r="Q5" s="392">
        <v>0.89300000000000002</v>
      </c>
      <c r="R5" s="71">
        <f t="shared" ref="R5:R28" si="2">IF(ISERROR(AVERAGE(P5,Q5)),#NUM!,AVERAGE(P5,Q5))</f>
        <v>0.873</v>
      </c>
      <c r="S5" s="135">
        <f t="shared" ref="S5:S28" si="3">Q5-P5</f>
        <v>4.0000000000000036E-2</v>
      </c>
      <c r="T5" s="138"/>
      <c r="U5" s="136">
        <v>0.873</v>
      </c>
      <c r="V5" s="138"/>
      <c r="W5" s="136">
        <f t="array" ref="W5:W28">QuoteStatic</f>
        <v>0.873</v>
      </c>
      <c r="X5" s="66">
        <f>_xll.qlSimpleQuoteSetValue(F5,W5/100,Trigger)</f>
        <v>6.3999999999999994E-4</v>
      </c>
      <c r="Y5" s="103"/>
    </row>
    <row r="6" spans="1:27" x14ac:dyDescent="0.2">
      <c r="A6" s="27"/>
      <c r="B6" s="58"/>
      <c r="C6" s="58">
        <f t="shared" ref="C6:C28" si="4">L6</f>
        <v>2</v>
      </c>
      <c r="D6" s="62" t="str">
        <f t="shared" ref="D6:D28" si="5">"x"&amp;K6&amp;"F"</f>
        <v>x14F</v>
      </c>
      <c r="E6" s="58" t="str">
        <f t="shared" si="0"/>
        <v>USD2x14F_Quote</v>
      </c>
      <c r="F6" s="42" t="str">
        <f>_xll.qlSimpleQuote(E6,,RateTickValue,Permanent,Trigger,ObjectOverwrite)</f>
        <v>USD2x14F_Quote#0000</v>
      </c>
      <c r="G6" s="159" t="str">
        <f>_xll.ohRangeRetrieveError(F6)</f>
        <v/>
      </c>
      <c r="H6" s="96"/>
      <c r="J6" s="81"/>
      <c r="K6" s="207">
        <f t="shared" ref="K6:K28" si="6">L6+12</f>
        <v>14</v>
      </c>
      <c r="L6" s="207">
        <v>2</v>
      </c>
      <c r="M6" s="207" t="s">
        <v>149</v>
      </c>
      <c r="N6" s="64" t="str">
        <f t="shared" si="1"/>
        <v>USD2X14F</v>
      </c>
      <c r="O6" s="64" t="str">
        <v>USD2X14F=GCMN</v>
      </c>
      <c r="P6" s="392">
        <v>0.85699999999999998</v>
      </c>
      <c r="Q6" s="392">
        <v>0.89700000000000002</v>
      </c>
      <c r="R6" s="65">
        <f t="shared" si="2"/>
        <v>0.877</v>
      </c>
      <c r="S6" s="135">
        <f t="shared" si="3"/>
        <v>4.0000000000000036E-2</v>
      </c>
      <c r="T6" s="138"/>
      <c r="U6" s="135">
        <v>0.877</v>
      </c>
      <c r="V6" s="138"/>
      <c r="W6" s="135">
        <v>0.877</v>
      </c>
      <c r="X6" s="67">
        <f>_xll.qlSimpleQuoteSetValue(F6,W6/100,Trigger)</f>
        <v>8.9999999999999976E-4</v>
      </c>
      <c r="Y6" s="103"/>
    </row>
    <row r="7" spans="1:27" x14ac:dyDescent="0.2">
      <c r="A7" s="27"/>
      <c r="B7" s="58"/>
      <c r="C7" s="58">
        <f t="shared" si="4"/>
        <v>3</v>
      </c>
      <c r="D7" s="62" t="str">
        <f t="shared" si="5"/>
        <v>x15F</v>
      </c>
      <c r="E7" s="58" t="str">
        <f t="shared" si="0"/>
        <v>USD3x15F_Quote</v>
      </c>
      <c r="F7" s="42" t="str">
        <f>_xll.qlSimpleQuote(E7,,RateTickValue,Permanent,Trigger,ObjectOverwrite)</f>
        <v>USD3x15F_Quote#0000</v>
      </c>
      <c r="G7" s="159" t="str">
        <f>_xll.ohRangeRetrieveError(F7)</f>
        <v/>
      </c>
      <c r="H7" s="96"/>
      <c r="J7" s="81"/>
      <c r="K7" s="207">
        <f t="shared" si="6"/>
        <v>15</v>
      </c>
      <c r="L7" s="207">
        <v>3</v>
      </c>
      <c r="M7" s="207" t="s">
        <v>149</v>
      </c>
      <c r="N7" s="64" t="str">
        <f t="shared" si="1"/>
        <v>USD3X15F</v>
      </c>
      <c r="O7" s="64" t="str">
        <v>USD3X15F=GCMN</v>
      </c>
      <c r="P7" s="392">
        <v>0.86099999999999999</v>
      </c>
      <c r="Q7" s="392">
        <v>0.90100000000000002</v>
      </c>
      <c r="R7" s="65">
        <f t="shared" si="2"/>
        <v>0.88100000000000001</v>
      </c>
      <c r="S7" s="135">
        <f t="shared" si="3"/>
        <v>4.0000000000000036E-2</v>
      </c>
      <c r="T7" s="138"/>
      <c r="U7" s="135">
        <v>0.88100000000000001</v>
      </c>
      <c r="V7" s="138"/>
      <c r="W7" s="135">
        <v>0.88100000000000001</v>
      </c>
      <c r="X7" s="67">
        <f>_xll.qlSimpleQuoteSetValue(F7,W7/100,Trigger)</f>
        <v>1.1600000000000013E-3</v>
      </c>
      <c r="Y7" s="103"/>
    </row>
    <row r="8" spans="1:27" x14ac:dyDescent="0.2">
      <c r="A8" s="27"/>
      <c r="B8" s="58"/>
      <c r="C8" s="58">
        <f t="shared" si="4"/>
        <v>4</v>
      </c>
      <c r="D8" s="62" t="str">
        <f t="shared" si="5"/>
        <v>x16F</v>
      </c>
      <c r="E8" s="58" t="str">
        <f t="shared" si="0"/>
        <v>USD4x16F_Quote</v>
      </c>
      <c r="F8" s="42" t="str">
        <f>_xll.qlSimpleQuote(E8,,RateTickValue,Permanent,Trigger,ObjectOverwrite)</f>
        <v>USD4x16F_Quote#0000</v>
      </c>
      <c r="G8" s="159" t="str">
        <f>_xll.ohRangeRetrieveError(F8)</f>
        <v/>
      </c>
      <c r="H8" s="96"/>
      <c r="J8" s="81"/>
      <c r="K8" s="207">
        <f t="shared" si="6"/>
        <v>16</v>
      </c>
      <c r="L8" s="207">
        <v>4</v>
      </c>
      <c r="M8" s="207" t="s">
        <v>149</v>
      </c>
      <c r="N8" s="64" t="str">
        <f t="shared" si="1"/>
        <v>USD4X16F</v>
      </c>
      <c r="O8" s="64" t="str">
        <v>USD4X16F=GCMN</v>
      </c>
      <c r="P8" s="392">
        <v>0.90800000000000003</v>
      </c>
      <c r="Q8" s="392">
        <v>0.94800000000000006</v>
      </c>
      <c r="R8" s="65">
        <f t="shared" si="2"/>
        <v>0.92800000000000005</v>
      </c>
      <c r="S8" s="135">
        <f t="shared" si="3"/>
        <v>4.0000000000000036E-2</v>
      </c>
      <c r="T8" s="138"/>
      <c r="U8" s="135">
        <v>0.92800000000000005</v>
      </c>
      <c r="V8" s="138"/>
      <c r="W8" s="135">
        <v>0.92800000000000005</v>
      </c>
      <c r="X8" s="67">
        <f>_xll.qlSimpleQuoteSetValue(F8,W8/100,Trigger)</f>
        <v>1.1900000000000001E-3</v>
      </c>
      <c r="Y8" s="103"/>
    </row>
    <row r="9" spans="1:27" x14ac:dyDescent="0.2">
      <c r="A9" s="27"/>
      <c r="B9" s="58"/>
      <c r="C9" s="58">
        <f t="shared" si="4"/>
        <v>5</v>
      </c>
      <c r="D9" s="62" t="str">
        <f t="shared" si="5"/>
        <v>x17F</v>
      </c>
      <c r="E9" s="58" t="str">
        <f t="shared" si="0"/>
        <v>USD5x17F_Quote</v>
      </c>
      <c r="F9" s="42" t="str">
        <f>_xll.qlSimpleQuote(E9,,RateTickValue,Permanent,Trigger,ObjectOverwrite)</f>
        <v>USD5x17F_Quote#0000</v>
      </c>
      <c r="G9" s="159" t="str">
        <f>_xll.ohRangeRetrieveError(F9)</f>
        <v/>
      </c>
      <c r="H9" s="96"/>
      <c r="J9" s="81"/>
      <c r="K9" s="207">
        <f t="shared" si="6"/>
        <v>17</v>
      </c>
      <c r="L9" s="207">
        <v>5</v>
      </c>
      <c r="M9" s="207" t="s">
        <v>149</v>
      </c>
      <c r="N9" s="64" t="str">
        <f t="shared" si="1"/>
        <v>USD5X17F</v>
      </c>
      <c r="O9" s="64" t="str">
        <v>USD5X17F=GCMN</v>
      </c>
      <c r="P9" s="392">
        <v>0.96099999999999997</v>
      </c>
      <c r="Q9" s="392">
        <v>1.0009999999999999</v>
      </c>
      <c r="R9" s="65">
        <f t="shared" si="2"/>
        <v>0.98099999999999987</v>
      </c>
      <c r="S9" s="135">
        <f t="shared" si="3"/>
        <v>3.9999999999999925E-2</v>
      </c>
      <c r="T9" s="138"/>
      <c r="U9" s="135">
        <v>0.98099999999999987</v>
      </c>
      <c r="V9" s="138"/>
      <c r="W9" s="135">
        <v>0.98099999999999987</v>
      </c>
      <c r="X9" s="67">
        <f>_xll.qlSimpleQuoteSetValue(F9,W9/100,Trigger)</f>
        <v>1.2999999999999991E-3</v>
      </c>
      <c r="Y9" s="103"/>
    </row>
    <row r="10" spans="1:27" x14ac:dyDescent="0.2">
      <c r="A10" s="27"/>
      <c r="B10" s="58"/>
      <c r="C10" s="58">
        <f t="shared" si="4"/>
        <v>6</v>
      </c>
      <c r="D10" s="62" t="str">
        <f t="shared" si="5"/>
        <v>x18F</v>
      </c>
      <c r="E10" s="58" t="str">
        <f t="shared" si="0"/>
        <v>USD6x18F_Quote</v>
      </c>
      <c r="F10" s="42" t="str">
        <f>_xll.qlSimpleQuote(E10,,RateTickValue,Permanent,Trigger,ObjectOverwrite)</f>
        <v>USD6x18F_Quote#0000</v>
      </c>
      <c r="G10" s="159" t="str">
        <f>_xll.ohRangeRetrieveError(F10)</f>
        <v/>
      </c>
      <c r="H10" s="96"/>
      <c r="J10" s="81"/>
      <c r="K10" s="207">
        <f t="shared" si="6"/>
        <v>18</v>
      </c>
      <c r="L10" s="207">
        <v>6</v>
      </c>
      <c r="M10" s="207" t="s">
        <v>149</v>
      </c>
      <c r="N10" s="64" t="str">
        <f t="shared" si="1"/>
        <v>USD6X18F</v>
      </c>
      <c r="O10" s="64" t="str">
        <v>USD6X18F=GCMN</v>
      </c>
      <c r="P10" s="392">
        <v>1.0109999999999999</v>
      </c>
      <c r="Q10" s="392">
        <v>1.0509999999999999</v>
      </c>
      <c r="R10" s="65">
        <f t="shared" si="2"/>
        <v>1.0309999999999999</v>
      </c>
      <c r="S10" s="135">
        <f t="shared" si="3"/>
        <v>4.0000000000000036E-2</v>
      </c>
      <c r="T10" s="138"/>
      <c r="U10" s="135">
        <v>1.0309999999999999</v>
      </c>
      <c r="V10" s="138"/>
      <c r="W10" s="135">
        <v>1.0309999999999999</v>
      </c>
      <c r="X10" s="67">
        <f>_xll.qlSimpleQuoteSetValue(F10,W10/100,Trigger)</f>
        <v>1.3300000000000013E-3</v>
      </c>
      <c r="Y10" s="103"/>
    </row>
    <row r="11" spans="1:27" x14ac:dyDescent="0.2">
      <c r="A11" s="27"/>
      <c r="B11" s="58"/>
      <c r="C11" s="58">
        <f t="shared" si="4"/>
        <v>7</v>
      </c>
      <c r="D11" s="62" t="str">
        <f t="shared" si="5"/>
        <v>x19F</v>
      </c>
      <c r="E11" s="58" t="str">
        <f t="shared" si="0"/>
        <v>USD7x19F_Quote</v>
      </c>
      <c r="F11" s="42" t="str">
        <f>_xll.qlSimpleQuote(E11,,RateTickValue,Permanent,Trigger,ObjectOverwrite)</f>
        <v>USD7x19F_Quote#0000</v>
      </c>
      <c r="G11" s="159" t="str">
        <f>_xll.ohRangeRetrieveError(F11)</f>
        <v/>
      </c>
      <c r="H11" s="96"/>
      <c r="J11" s="81"/>
      <c r="K11" s="207">
        <f t="shared" si="6"/>
        <v>19</v>
      </c>
      <c r="L11" s="207">
        <v>7</v>
      </c>
      <c r="M11" s="207" t="s">
        <v>149</v>
      </c>
      <c r="N11" s="64" t="str">
        <f t="shared" si="1"/>
        <v>USD7X19F</v>
      </c>
      <c r="O11" s="64" t="str">
        <v>USD7X19F=GCMN</v>
      </c>
      <c r="P11" s="392" t="s">
        <v>253</v>
      </c>
      <c r="Q11" s="392" t="s">
        <v>253</v>
      </c>
      <c r="R11" s="65" t="e">
        <f t="shared" si="2"/>
        <v>#NUM!</v>
      </c>
      <c r="S11" s="135" t="e">
        <f t="shared" si="3"/>
        <v>#VALUE!</v>
      </c>
      <c r="T11" s="138"/>
      <c r="U11" s="135" t="e">
        <v>#NUM!</v>
      </c>
      <c r="V11" s="138"/>
      <c r="W11" s="135" t="e">
        <v>#NUM!</v>
      </c>
      <c r="X11" s="67">
        <f>_xll.qlSimpleQuoteSetValue(F11,W11/100,Trigger)</f>
        <v>0</v>
      </c>
      <c r="Y11" s="103"/>
    </row>
    <row r="12" spans="1:27" x14ac:dyDescent="0.2">
      <c r="A12" s="27"/>
      <c r="B12" s="58"/>
      <c r="C12" s="58">
        <f t="shared" si="4"/>
        <v>8</v>
      </c>
      <c r="D12" s="62" t="str">
        <f t="shared" si="5"/>
        <v>x20F</v>
      </c>
      <c r="E12" s="58" t="str">
        <f t="shared" si="0"/>
        <v>USD8x20F_Quote</v>
      </c>
      <c r="F12" s="42" t="str">
        <f>_xll.qlSimpleQuote(E12,,RateTickValue,Permanent,Trigger,ObjectOverwrite)</f>
        <v>USD8x20F_Quote#0000</v>
      </c>
      <c r="G12" s="159" t="str">
        <f>_xll.ohRangeRetrieveError(F12)</f>
        <v/>
      </c>
      <c r="H12" s="96"/>
      <c r="J12" s="81"/>
      <c r="K12" s="207">
        <f t="shared" si="6"/>
        <v>20</v>
      </c>
      <c r="L12" s="207">
        <v>8</v>
      </c>
      <c r="M12" s="207" t="s">
        <v>149</v>
      </c>
      <c r="N12" s="64" t="str">
        <f t="shared" si="1"/>
        <v>USD8X20F</v>
      </c>
      <c r="O12" s="64" t="str">
        <v>USD8X20F=GCMN</v>
      </c>
      <c r="P12" s="392" t="s">
        <v>253</v>
      </c>
      <c r="Q12" s="392" t="s">
        <v>253</v>
      </c>
      <c r="R12" s="65" t="e">
        <f t="shared" si="2"/>
        <v>#NUM!</v>
      </c>
      <c r="S12" s="135" t="e">
        <f t="shared" si="3"/>
        <v>#VALUE!</v>
      </c>
      <c r="T12" s="138"/>
      <c r="U12" s="135" t="e">
        <v>#NUM!</v>
      </c>
      <c r="V12" s="138"/>
      <c r="W12" s="135" t="e">
        <v>#NUM!</v>
      </c>
      <c r="X12" s="67">
        <f>_xll.qlSimpleQuoteSetValue(F12,W12/100,Trigger)</f>
        <v>0</v>
      </c>
      <c r="Y12" s="103"/>
    </row>
    <row r="13" spans="1:27" x14ac:dyDescent="0.2">
      <c r="A13" s="27"/>
      <c r="B13" s="58"/>
      <c r="C13" s="58">
        <f t="shared" si="4"/>
        <v>9</v>
      </c>
      <c r="D13" s="62" t="str">
        <f t="shared" si="5"/>
        <v>x21F</v>
      </c>
      <c r="E13" s="58" t="str">
        <f t="shared" si="0"/>
        <v>USD9x21F_Quote</v>
      </c>
      <c r="F13" s="42" t="str">
        <f>_xll.qlSimpleQuote(E13,,RateTickValue,Permanent,Trigger,ObjectOverwrite)</f>
        <v>USD9x21F_Quote#0000</v>
      </c>
      <c r="G13" s="159" t="str">
        <f>_xll.ohRangeRetrieveError(F13)</f>
        <v/>
      </c>
      <c r="H13" s="96"/>
      <c r="J13" s="81"/>
      <c r="K13" s="207">
        <f t="shared" si="6"/>
        <v>21</v>
      </c>
      <c r="L13" s="207">
        <v>9</v>
      </c>
      <c r="M13" s="207" t="s">
        <v>149</v>
      </c>
      <c r="N13" s="64" t="str">
        <f t="shared" si="1"/>
        <v>USD9X21F</v>
      </c>
      <c r="O13" s="64" t="str">
        <v>USD9X21F=GCMN</v>
      </c>
      <c r="P13" s="392">
        <v>1.1599999999999999</v>
      </c>
      <c r="Q13" s="392">
        <v>1.2</v>
      </c>
      <c r="R13" s="65">
        <f t="shared" si="2"/>
        <v>1.18</v>
      </c>
      <c r="S13" s="135">
        <f t="shared" si="3"/>
        <v>4.0000000000000036E-2</v>
      </c>
      <c r="T13" s="138"/>
      <c r="U13" s="135">
        <v>1.18</v>
      </c>
      <c r="V13" s="138"/>
      <c r="W13" s="135">
        <v>1.18</v>
      </c>
      <c r="X13" s="67">
        <f>_xll.qlSimpleQuoteSetValue(F13,W13/100,Trigger)</f>
        <v>1.5199999999999988E-3</v>
      </c>
      <c r="Y13" s="103"/>
    </row>
    <row r="14" spans="1:27" x14ac:dyDescent="0.2">
      <c r="A14" s="27"/>
      <c r="B14" s="58"/>
      <c r="C14" s="58">
        <f t="shared" si="4"/>
        <v>10</v>
      </c>
      <c r="D14" s="62" t="str">
        <f t="shared" si="5"/>
        <v>x22F</v>
      </c>
      <c r="E14" s="58" t="str">
        <f t="shared" si="0"/>
        <v>USD10x22F_Quote</v>
      </c>
      <c r="F14" s="42" t="str">
        <f>_xll.qlSimpleQuote(E14,,RateTickValue,Permanent,Trigger,ObjectOverwrite)</f>
        <v>USD10x22F_Quote#0000</v>
      </c>
      <c r="G14" s="159" t="str">
        <f>_xll.ohRangeRetrieveError(F14)</f>
        <v/>
      </c>
      <c r="H14" s="96"/>
      <c r="J14" s="81"/>
      <c r="K14" s="207">
        <f t="shared" si="6"/>
        <v>22</v>
      </c>
      <c r="L14" s="207">
        <v>10</v>
      </c>
      <c r="M14" s="207" t="s">
        <v>149</v>
      </c>
      <c r="N14" s="64" t="str">
        <f t="shared" si="1"/>
        <v>USD10X22F</v>
      </c>
      <c r="O14" s="64" t="str">
        <v>USD10X22F=GCMN</v>
      </c>
      <c r="P14" s="392" t="s">
        <v>253</v>
      </c>
      <c r="Q14" s="392" t="s">
        <v>253</v>
      </c>
      <c r="R14" s="65" t="e">
        <f t="shared" si="2"/>
        <v>#NUM!</v>
      </c>
      <c r="S14" s="135" t="e">
        <f t="shared" si="3"/>
        <v>#VALUE!</v>
      </c>
      <c r="T14" s="138"/>
      <c r="U14" s="135" t="e">
        <v>#NUM!</v>
      </c>
      <c r="V14" s="138"/>
      <c r="W14" s="135" t="e">
        <v>#NUM!</v>
      </c>
      <c r="X14" s="67">
        <f>_xll.qlSimpleQuoteSetValue(F14,W14/100,Trigger)</f>
        <v>0</v>
      </c>
      <c r="Y14" s="103"/>
    </row>
    <row r="15" spans="1:27" x14ac:dyDescent="0.2">
      <c r="A15" s="27"/>
      <c r="B15" s="58"/>
      <c r="C15" s="58">
        <f t="shared" si="4"/>
        <v>11</v>
      </c>
      <c r="D15" s="62" t="str">
        <f t="shared" si="5"/>
        <v>x23F</v>
      </c>
      <c r="E15" s="58" t="str">
        <f t="shared" si="0"/>
        <v>USD11x23F_Quote</v>
      </c>
      <c r="F15" s="42" t="str">
        <f>_xll.qlSimpleQuote(E15,,RateTickValue,Permanent,Trigger,ObjectOverwrite)</f>
        <v>USD11x23F_Quote#0000</v>
      </c>
      <c r="G15" s="159" t="str">
        <f>_xll.ohRangeRetrieveError(F15)</f>
        <v/>
      </c>
      <c r="H15" s="96"/>
      <c r="J15" s="81"/>
      <c r="K15" s="207">
        <f t="shared" si="6"/>
        <v>23</v>
      </c>
      <c r="L15" s="207">
        <v>11</v>
      </c>
      <c r="M15" s="207" t="s">
        <v>149</v>
      </c>
      <c r="N15" s="64" t="str">
        <f t="shared" si="1"/>
        <v>USD11X23F</v>
      </c>
      <c r="O15" s="64" t="str">
        <v>USD11X23F=GCMN</v>
      </c>
      <c r="P15" s="392" t="s">
        <v>253</v>
      </c>
      <c r="Q15" s="392" t="s">
        <v>253</v>
      </c>
      <c r="R15" s="65" t="e">
        <f t="shared" si="2"/>
        <v>#NUM!</v>
      </c>
      <c r="S15" s="135" t="e">
        <f t="shared" si="3"/>
        <v>#VALUE!</v>
      </c>
      <c r="T15" s="138"/>
      <c r="U15" s="135" t="e">
        <v>#NUM!</v>
      </c>
      <c r="V15" s="138"/>
      <c r="W15" s="135" t="e">
        <v>#NUM!</v>
      </c>
      <c r="X15" s="67">
        <f>_xll.qlSimpleQuoteSetValue(F15,W15/100,Trigger)</f>
        <v>0</v>
      </c>
      <c r="Y15" s="103"/>
    </row>
    <row r="16" spans="1:27" x14ac:dyDescent="0.2">
      <c r="A16" s="27"/>
      <c r="B16" s="58"/>
      <c r="C16" s="58">
        <f t="shared" si="4"/>
        <v>12</v>
      </c>
      <c r="D16" s="62" t="str">
        <f t="shared" si="5"/>
        <v>x24F</v>
      </c>
      <c r="E16" s="58" t="str">
        <f t="shared" si="0"/>
        <v>USD12x24F_Quote</v>
      </c>
      <c r="F16" s="42" t="str">
        <f>_xll.qlSimpleQuote(E16,,RateTickValue,Permanent,Trigger,ObjectOverwrite)</f>
        <v>USD12x24F_Quote#0000</v>
      </c>
      <c r="G16" s="159" t="str">
        <f>_xll.ohRangeRetrieveError(F16)</f>
        <v/>
      </c>
      <c r="H16" s="96"/>
      <c r="J16" s="81"/>
      <c r="K16" s="207">
        <f t="shared" si="6"/>
        <v>24</v>
      </c>
      <c r="L16" s="207">
        <v>12</v>
      </c>
      <c r="M16" s="207" t="s">
        <v>149</v>
      </c>
      <c r="N16" s="64" t="str">
        <f t="shared" si="1"/>
        <v>USD12X24F</v>
      </c>
      <c r="O16" s="64" t="str">
        <v>USD12X24F=GCMN</v>
      </c>
      <c r="P16" s="392">
        <v>1.306</v>
      </c>
      <c r="Q16" s="392">
        <v>1.3460000000000001</v>
      </c>
      <c r="R16" s="65">
        <f t="shared" si="2"/>
        <v>1.3260000000000001</v>
      </c>
      <c r="S16" s="135">
        <f t="shared" si="3"/>
        <v>4.0000000000000036E-2</v>
      </c>
      <c r="T16" s="138"/>
      <c r="U16" s="135">
        <v>1.3260000000000001</v>
      </c>
      <c r="V16" s="138"/>
      <c r="W16" s="135">
        <v>1.3260000000000001</v>
      </c>
      <c r="X16" s="67">
        <f>_xll.qlSimpleQuoteSetValue(F16,W16/100,Trigger)</f>
        <v>1.6300000000000012E-3</v>
      </c>
      <c r="Y16" s="103"/>
    </row>
    <row r="17" spans="1:25" x14ac:dyDescent="0.2">
      <c r="A17" s="27"/>
      <c r="B17" s="58"/>
      <c r="C17" s="58">
        <f t="shared" si="4"/>
        <v>13</v>
      </c>
      <c r="D17" s="62" t="str">
        <f t="shared" si="5"/>
        <v>x25F</v>
      </c>
      <c r="E17" s="58" t="str">
        <f t="shared" si="0"/>
        <v>USD13x25F_Quote</v>
      </c>
      <c r="F17" s="42" t="str">
        <f>_xll.qlSimpleQuote(E17,,RateTickValue,Permanent,Trigger,ObjectOverwrite)</f>
        <v>USD13x25F_Quote#0000</v>
      </c>
      <c r="G17" s="159" t="str">
        <f>_xll.ohRangeRetrieveError(F17)</f>
        <v/>
      </c>
      <c r="H17" s="96"/>
      <c r="J17" s="81"/>
      <c r="K17" s="207">
        <f t="shared" si="6"/>
        <v>25</v>
      </c>
      <c r="L17" s="207">
        <v>13</v>
      </c>
      <c r="M17" s="207" t="s">
        <v>149</v>
      </c>
      <c r="N17" s="64" t="str">
        <f t="shared" si="1"/>
        <v>USD13X25F</v>
      </c>
      <c r="O17" s="64" t="str">
        <v>USD13X25F=GCMN</v>
      </c>
      <c r="P17" s="392" t="s">
        <v>253</v>
      </c>
      <c r="Q17" s="392" t="s">
        <v>253</v>
      </c>
      <c r="R17" s="65" t="e">
        <f t="shared" si="2"/>
        <v>#NUM!</v>
      </c>
      <c r="S17" s="135" t="e">
        <f t="shared" si="3"/>
        <v>#VALUE!</v>
      </c>
      <c r="T17" s="138"/>
      <c r="U17" s="135" t="e">
        <v>#NUM!</v>
      </c>
      <c r="V17" s="138"/>
      <c r="W17" s="135" t="e">
        <v>#NUM!</v>
      </c>
      <c r="X17" s="67">
        <f>_xll.qlSimpleQuoteSetValue(F17,W17/100,Trigger)</f>
        <v>0</v>
      </c>
      <c r="Y17" s="103"/>
    </row>
    <row r="18" spans="1:25" x14ac:dyDescent="0.2">
      <c r="A18" s="27"/>
      <c r="B18" s="58"/>
      <c r="C18" s="58">
        <f t="shared" si="4"/>
        <v>14</v>
      </c>
      <c r="D18" s="62" t="str">
        <f t="shared" si="5"/>
        <v>x26F</v>
      </c>
      <c r="E18" s="58" t="str">
        <f t="shared" si="0"/>
        <v>USD14x26F_Quote</v>
      </c>
      <c r="F18" s="42" t="str">
        <f>_xll.qlSimpleQuote(E18,,RateTickValue,Permanent,Trigger,ObjectOverwrite)</f>
        <v>USD14x26F_Quote#0000</v>
      </c>
      <c r="G18" s="159" t="str">
        <f>_xll.ohRangeRetrieveError(F18)</f>
        <v/>
      </c>
      <c r="H18" s="96"/>
      <c r="J18" s="81"/>
      <c r="K18" s="207">
        <f t="shared" si="6"/>
        <v>26</v>
      </c>
      <c r="L18" s="207">
        <v>14</v>
      </c>
      <c r="M18" s="207" t="s">
        <v>149</v>
      </c>
      <c r="N18" s="64" t="str">
        <f t="shared" si="1"/>
        <v>USD14X26F</v>
      </c>
      <c r="O18" s="64" t="str">
        <v>USD14X26F=GCMN</v>
      </c>
      <c r="P18" s="392" t="s">
        <v>253</v>
      </c>
      <c r="Q18" s="392" t="s">
        <v>253</v>
      </c>
      <c r="R18" s="65" t="e">
        <f t="shared" si="2"/>
        <v>#NUM!</v>
      </c>
      <c r="S18" s="135" t="e">
        <f t="shared" si="3"/>
        <v>#VALUE!</v>
      </c>
      <c r="T18" s="138"/>
      <c r="U18" s="135" t="e">
        <v>#NUM!</v>
      </c>
      <c r="V18" s="138"/>
      <c r="W18" s="135" t="e">
        <v>#NUM!</v>
      </c>
      <c r="X18" s="67">
        <f>_xll.qlSimpleQuoteSetValue(F18,W18/100,Trigger)</f>
        <v>0</v>
      </c>
      <c r="Y18" s="103"/>
    </row>
    <row r="19" spans="1:25" x14ac:dyDescent="0.2">
      <c r="A19" s="27"/>
      <c r="B19" s="58"/>
      <c r="C19" s="58">
        <f t="shared" si="4"/>
        <v>15</v>
      </c>
      <c r="D19" s="62" t="str">
        <f t="shared" si="5"/>
        <v>x27F</v>
      </c>
      <c r="E19" s="58" t="str">
        <f t="shared" si="0"/>
        <v>USD15x27F_Quote</v>
      </c>
      <c r="F19" s="42" t="str">
        <f>_xll.qlSimpleQuote(E19,,RateTickValue,Permanent,Trigger,ObjectOverwrite)</f>
        <v>USD15x27F_Quote#0000</v>
      </c>
      <c r="G19" s="159" t="str">
        <f>_xll.ohRangeRetrieveError(F19)</f>
        <v/>
      </c>
      <c r="H19" s="96"/>
      <c r="J19" s="81"/>
      <c r="K19" s="207">
        <f t="shared" si="6"/>
        <v>27</v>
      </c>
      <c r="L19" s="207">
        <v>15</v>
      </c>
      <c r="M19" s="207" t="s">
        <v>149</v>
      </c>
      <c r="N19" s="64" t="str">
        <f t="shared" si="1"/>
        <v>USD15X27F</v>
      </c>
      <c r="O19" s="64" t="str">
        <v>USD15X27F=GCMN</v>
      </c>
      <c r="P19" s="392">
        <v>1.448</v>
      </c>
      <c r="Q19" s="392">
        <v>1.488</v>
      </c>
      <c r="R19" s="65">
        <f t="shared" si="2"/>
        <v>1.468</v>
      </c>
      <c r="S19" s="135">
        <f t="shared" si="3"/>
        <v>4.0000000000000036E-2</v>
      </c>
      <c r="T19" s="138"/>
      <c r="U19" s="135">
        <v>1.468</v>
      </c>
      <c r="V19" s="138"/>
      <c r="W19" s="135">
        <v>1.468</v>
      </c>
      <c r="X19" s="67">
        <f>_xll.qlSimpleQuoteSetValue(F19,W19/100,Trigger)</f>
        <v>1.7899999999999982E-3</v>
      </c>
      <c r="Y19" s="103"/>
    </row>
    <row r="20" spans="1:25" x14ac:dyDescent="0.2">
      <c r="A20" s="27"/>
      <c r="B20" s="58"/>
      <c r="C20" s="58">
        <f t="shared" si="4"/>
        <v>16</v>
      </c>
      <c r="D20" s="62" t="str">
        <f t="shared" si="5"/>
        <v>x28F</v>
      </c>
      <c r="E20" s="58" t="str">
        <f t="shared" si="0"/>
        <v>USD16x28F_Quote</v>
      </c>
      <c r="F20" s="42" t="str">
        <f>_xll.qlSimpleQuote(E20,,RateTickValue,Permanent,Trigger,ObjectOverwrite)</f>
        <v>USD16x28F_Quote#0000</v>
      </c>
      <c r="G20" s="159" t="str">
        <f>_xll.ohRangeRetrieveError(F20)</f>
        <v/>
      </c>
      <c r="H20" s="96"/>
      <c r="J20" s="81"/>
      <c r="K20" s="207">
        <f t="shared" si="6"/>
        <v>28</v>
      </c>
      <c r="L20" s="207">
        <v>16</v>
      </c>
      <c r="M20" s="207" t="s">
        <v>149</v>
      </c>
      <c r="N20" s="64" t="str">
        <f t="shared" si="1"/>
        <v>USD16X28F</v>
      </c>
      <c r="O20" s="64" t="str">
        <v>USD16X28F=GCMN</v>
      </c>
      <c r="P20" s="392" t="s">
        <v>253</v>
      </c>
      <c r="Q20" s="392" t="s">
        <v>253</v>
      </c>
      <c r="R20" s="65" t="e">
        <f t="shared" si="2"/>
        <v>#NUM!</v>
      </c>
      <c r="S20" s="135" t="e">
        <f t="shared" si="3"/>
        <v>#VALUE!</v>
      </c>
      <c r="T20" s="138"/>
      <c r="U20" s="135" t="e">
        <v>#NUM!</v>
      </c>
      <c r="V20" s="138"/>
      <c r="W20" s="135" t="e">
        <v>#NUM!</v>
      </c>
      <c r="X20" s="67">
        <f>_xll.qlSimpleQuoteSetValue(F20,W20/100,Trigger)</f>
        <v>0</v>
      </c>
      <c r="Y20" s="103"/>
    </row>
    <row r="21" spans="1:25" x14ac:dyDescent="0.2">
      <c r="A21" s="27"/>
      <c r="B21" s="58"/>
      <c r="C21" s="58">
        <f t="shared" si="4"/>
        <v>17</v>
      </c>
      <c r="D21" s="62" t="str">
        <f t="shared" si="5"/>
        <v>x29F</v>
      </c>
      <c r="E21" s="58" t="str">
        <f t="shared" si="0"/>
        <v>USD17x29F_Quote</v>
      </c>
      <c r="F21" s="42" t="str">
        <f>_xll.qlSimpleQuote(E21,,RateTickValue,Permanent,Trigger,ObjectOverwrite)</f>
        <v>USD17x29F_Quote#0000</v>
      </c>
      <c r="G21" s="159" t="str">
        <f>_xll.ohRangeRetrieveError(F21)</f>
        <v/>
      </c>
      <c r="H21" s="96"/>
      <c r="J21" s="81"/>
      <c r="K21" s="207">
        <f t="shared" si="6"/>
        <v>29</v>
      </c>
      <c r="L21" s="207">
        <v>17</v>
      </c>
      <c r="M21" s="207" t="s">
        <v>149</v>
      </c>
      <c r="N21" s="64" t="str">
        <f t="shared" si="1"/>
        <v>USD17X29F</v>
      </c>
      <c r="O21" s="64" t="str">
        <v>USD17X29F=GCMN</v>
      </c>
      <c r="P21" s="392" t="s">
        <v>253</v>
      </c>
      <c r="Q21" s="392" t="s">
        <v>253</v>
      </c>
      <c r="R21" s="65" t="e">
        <f t="shared" si="2"/>
        <v>#NUM!</v>
      </c>
      <c r="S21" s="135" t="e">
        <f t="shared" si="3"/>
        <v>#VALUE!</v>
      </c>
      <c r="T21" s="138"/>
      <c r="U21" s="135" t="e">
        <v>#NUM!</v>
      </c>
      <c r="V21" s="138"/>
      <c r="W21" s="135" t="e">
        <v>#NUM!</v>
      </c>
      <c r="X21" s="67">
        <f>_xll.qlSimpleQuoteSetValue(F21,W21/100,Trigger)</f>
        <v>0</v>
      </c>
      <c r="Y21" s="103"/>
    </row>
    <row r="22" spans="1:25" x14ac:dyDescent="0.2">
      <c r="A22" s="27"/>
      <c r="B22" s="58"/>
      <c r="C22" s="58">
        <f t="shared" si="4"/>
        <v>18</v>
      </c>
      <c r="D22" s="62" t="str">
        <f t="shared" si="5"/>
        <v>x30F</v>
      </c>
      <c r="E22" s="58" t="str">
        <f t="shared" si="0"/>
        <v>USD18x30F_Quote</v>
      </c>
      <c r="F22" s="42" t="str">
        <f>_xll.qlSimpleQuote(E22,,RateTickValue,Permanent,Trigger,ObjectOverwrite)</f>
        <v>USD18x30F_Quote#0000</v>
      </c>
      <c r="G22" s="159" t="str">
        <f>_xll.ohRangeRetrieveError(F22)</f>
        <v/>
      </c>
      <c r="H22" s="96"/>
      <c r="J22" s="81"/>
      <c r="K22" s="207">
        <f t="shared" si="6"/>
        <v>30</v>
      </c>
      <c r="L22" s="207">
        <v>18</v>
      </c>
      <c r="M22" s="207" t="s">
        <v>149</v>
      </c>
      <c r="N22" s="64" t="str">
        <f t="shared" si="1"/>
        <v>USD18X30F</v>
      </c>
      <c r="O22" s="64" t="str">
        <v>USD18X30F=GCMN</v>
      </c>
      <c r="P22" s="392">
        <v>1.571</v>
      </c>
      <c r="Q22" s="392">
        <v>1.611</v>
      </c>
      <c r="R22" s="65">
        <f t="shared" si="2"/>
        <v>1.591</v>
      </c>
      <c r="S22" s="135">
        <f t="shared" si="3"/>
        <v>4.0000000000000036E-2</v>
      </c>
      <c r="T22" s="138"/>
      <c r="U22" s="135">
        <v>1.591</v>
      </c>
      <c r="V22" s="138"/>
      <c r="W22" s="135">
        <v>1.591</v>
      </c>
      <c r="X22" s="67">
        <f>_xll.qlSimpleQuoteSetValue(F22,W22/100,Trigger)</f>
        <v>1.8099999999999991E-3</v>
      </c>
      <c r="Y22" s="103"/>
    </row>
    <row r="23" spans="1:25" x14ac:dyDescent="0.2">
      <c r="A23" s="27"/>
      <c r="B23" s="58"/>
      <c r="C23" s="58">
        <f t="shared" si="4"/>
        <v>19</v>
      </c>
      <c r="D23" s="62" t="str">
        <f t="shared" si="5"/>
        <v>x31F</v>
      </c>
      <c r="E23" s="58" t="str">
        <f t="shared" si="0"/>
        <v>USD19x31F_Quote</v>
      </c>
      <c r="F23" s="42" t="str">
        <f>_xll.qlSimpleQuote(E23,,RateTickValue,Permanent,Trigger,ObjectOverwrite)</f>
        <v>USD19x31F_Quote#0000</v>
      </c>
      <c r="G23" s="159" t="str">
        <f>_xll.ohRangeRetrieveError(F23)</f>
        <v/>
      </c>
      <c r="H23" s="96"/>
      <c r="J23" s="81"/>
      <c r="K23" s="207">
        <f t="shared" si="6"/>
        <v>31</v>
      </c>
      <c r="L23" s="207">
        <v>19</v>
      </c>
      <c r="M23" s="207" t="s">
        <v>149</v>
      </c>
      <c r="N23" s="64" t="str">
        <f t="shared" si="1"/>
        <v>USD19X31F</v>
      </c>
      <c r="O23" s="64" t="str">
        <v>USD19X31F=GCMN</v>
      </c>
      <c r="P23" s="392" t="s">
        <v>253</v>
      </c>
      <c r="Q23" s="392" t="s">
        <v>253</v>
      </c>
      <c r="R23" s="65" t="e">
        <f t="shared" si="2"/>
        <v>#NUM!</v>
      </c>
      <c r="S23" s="135" t="e">
        <f t="shared" si="3"/>
        <v>#VALUE!</v>
      </c>
      <c r="T23" s="138"/>
      <c r="U23" s="135" t="e">
        <v>#NUM!</v>
      </c>
      <c r="V23" s="138"/>
      <c r="W23" s="135" t="e">
        <v>#NUM!</v>
      </c>
      <c r="X23" s="67">
        <f>_xll.qlSimpleQuoteSetValue(F23,W23/100,Trigger)</f>
        <v>0</v>
      </c>
      <c r="Y23" s="103"/>
    </row>
    <row r="24" spans="1:25" x14ac:dyDescent="0.2">
      <c r="A24" s="27"/>
      <c r="B24" s="58"/>
      <c r="C24" s="58">
        <f t="shared" si="4"/>
        <v>20</v>
      </c>
      <c r="D24" s="62" t="str">
        <f t="shared" si="5"/>
        <v>x32F</v>
      </c>
      <c r="E24" s="58" t="str">
        <f t="shared" si="0"/>
        <v>USD20x32F_Quote</v>
      </c>
      <c r="F24" s="42" t="str">
        <f>_xll.qlSimpleQuote(E24,,RateTickValue,Permanent,Trigger,ObjectOverwrite)</f>
        <v>USD20x32F_Quote#0000</v>
      </c>
      <c r="G24" s="159" t="str">
        <f>_xll.ohRangeRetrieveError(F24)</f>
        <v/>
      </c>
      <c r="H24" s="96"/>
      <c r="J24" s="81"/>
      <c r="K24" s="207">
        <f t="shared" si="6"/>
        <v>32</v>
      </c>
      <c r="L24" s="207">
        <v>20</v>
      </c>
      <c r="M24" s="207" t="s">
        <v>149</v>
      </c>
      <c r="N24" s="64" t="str">
        <f t="shared" si="1"/>
        <v>USD20X32F</v>
      </c>
      <c r="O24" s="64" t="str">
        <v>USD20X32F=GCMN</v>
      </c>
      <c r="P24" s="392" t="s">
        <v>253</v>
      </c>
      <c r="Q24" s="392" t="s">
        <v>253</v>
      </c>
      <c r="R24" s="65" t="e">
        <f t="shared" si="2"/>
        <v>#NUM!</v>
      </c>
      <c r="S24" s="135" t="e">
        <f t="shared" si="3"/>
        <v>#VALUE!</v>
      </c>
      <c r="T24" s="138"/>
      <c r="U24" s="135" t="e">
        <v>#NUM!</v>
      </c>
      <c r="V24" s="138"/>
      <c r="W24" s="135" t="e">
        <v>#NUM!</v>
      </c>
      <c r="X24" s="67">
        <f>_xll.qlSimpleQuoteSetValue(F24,W24/100,Trigger)</f>
        <v>0</v>
      </c>
      <c r="Y24" s="103"/>
    </row>
    <row r="25" spans="1:25" x14ac:dyDescent="0.2">
      <c r="A25" s="27"/>
      <c r="B25" s="58"/>
      <c r="C25" s="58">
        <f t="shared" si="4"/>
        <v>21</v>
      </c>
      <c r="D25" s="62" t="str">
        <f t="shared" si="5"/>
        <v>x33F</v>
      </c>
      <c r="E25" s="58" t="str">
        <f t="shared" si="0"/>
        <v>USD21x33F_Quote</v>
      </c>
      <c r="F25" s="42" t="str">
        <f>_xll.qlSimpleQuote(E25,,RateTickValue,Permanent,Trigger,ObjectOverwrite)</f>
        <v>USD21x33F_Quote#0000</v>
      </c>
      <c r="G25" s="159" t="str">
        <f>_xll.ohRangeRetrieveError(F25)</f>
        <v/>
      </c>
      <c r="H25" s="96"/>
      <c r="J25" s="81"/>
      <c r="K25" s="207">
        <f t="shared" si="6"/>
        <v>33</v>
      </c>
      <c r="L25" s="207">
        <v>21</v>
      </c>
      <c r="M25" s="207" t="s">
        <v>149</v>
      </c>
      <c r="N25" s="64" t="str">
        <f t="shared" si="1"/>
        <v>USD21X33F</v>
      </c>
      <c r="O25" s="64" t="str">
        <v>USD21X33F=GCMN</v>
      </c>
      <c r="P25" s="392">
        <v>1.706</v>
      </c>
      <c r="Q25" s="392">
        <v>1.746</v>
      </c>
      <c r="R25" s="65">
        <f t="shared" si="2"/>
        <v>1.726</v>
      </c>
      <c r="S25" s="135">
        <f t="shared" si="3"/>
        <v>4.0000000000000036E-2</v>
      </c>
      <c r="T25" s="138"/>
      <c r="U25" s="135">
        <v>1.726</v>
      </c>
      <c r="V25" s="138"/>
      <c r="W25" s="135">
        <v>1.726</v>
      </c>
      <c r="X25" s="67">
        <f>_xll.qlSimpleQuoteSetValue(F25,W25/100,Trigger)</f>
        <v>1.7900000000000017E-3</v>
      </c>
      <c r="Y25" s="103"/>
    </row>
    <row r="26" spans="1:25" x14ac:dyDescent="0.2">
      <c r="A26" s="27"/>
      <c r="B26" s="58"/>
      <c r="C26" s="58">
        <f t="shared" si="4"/>
        <v>22</v>
      </c>
      <c r="D26" s="62" t="str">
        <f t="shared" si="5"/>
        <v>x34F</v>
      </c>
      <c r="E26" s="58" t="str">
        <f t="shared" si="0"/>
        <v>USD22x34F_Quote</v>
      </c>
      <c r="F26" s="42" t="str">
        <f>_xll.qlSimpleQuote(E26,,RateTickValue,Permanent,Trigger,ObjectOverwrite)</f>
        <v>USD22x34F_Quote#0000</v>
      </c>
      <c r="G26" s="159" t="str">
        <f>_xll.ohRangeRetrieveError(F26)</f>
        <v/>
      </c>
      <c r="H26" s="96"/>
      <c r="J26" s="81"/>
      <c r="K26" s="207">
        <f t="shared" si="6"/>
        <v>34</v>
      </c>
      <c r="L26" s="207">
        <v>22</v>
      </c>
      <c r="M26" s="207" t="s">
        <v>149</v>
      </c>
      <c r="N26" s="64" t="str">
        <f t="shared" si="1"/>
        <v>USD22X34F</v>
      </c>
      <c r="O26" s="64" t="str">
        <v>USD22X34F=GCMN</v>
      </c>
      <c r="P26" s="392" t="s">
        <v>253</v>
      </c>
      <c r="Q26" s="392" t="s">
        <v>253</v>
      </c>
      <c r="R26" s="65" t="e">
        <f t="shared" si="2"/>
        <v>#NUM!</v>
      </c>
      <c r="S26" s="135" t="e">
        <f t="shared" si="3"/>
        <v>#VALUE!</v>
      </c>
      <c r="T26" s="138"/>
      <c r="U26" s="135" t="e">
        <v>#NUM!</v>
      </c>
      <c r="V26" s="138"/>
      <c r="W26" s="135" t="e">
        <v>#NUM!</v>
      </c>
      <c r="X26" s="67">
        <f>_xll.qlSimpleQuoteSetValue(F26,W26/100,Trigger)</f>
        <v>0</v>
      </c>
      <c r="Y26" s="103"/>
    </row>
    <row r="27" spans="1:25" x14ac:dyDescent="0.2">
      <c r="A27" s="27"/>
      <c r="B27" s="58"/>
      <c r="C27" s="58">
        <f t="shared" si="4"/>
        <v>23</v>
      </c>
      <c r="D27" s="62" t="str">
        <f t="shared" si="5"/>
        <v>x35F</v>
      </c>
      <c r="E27" s="58" t="str">
        <f t="shared" si="0"/>
        <v>USD23x35F_Quote</v>
      </c>
      <c r="F27" s="42" t="str">
        <f>_xll.qlSimpleQuote(E27,,RateTickValue,Permanent,Trigger,ObjectOverwrite)</f>
        <v>USD23x35F_Quote#0000</v>
      </c>
      <c r="G27" s="159" t="str">
        <f>_xll.ohRangeRetrieveError(F27)</f>
        <v/>
      </c>
      <c r="H27" s="96"/>
      <c r="J27" s="81"/>
      <c r="K27" s="207">
        <f t="shared" si="6"/>
        <v>35</v>
      </c>
      <c r="L27" s="207">
        <v>23</v>
      </c>
      <c r="M27" s="207" t="s">
        <v>149</v>
      </c>
      <c r="N27" s="64" t="str">
        <f t="shared" si="1"/>
        <v>USD23X35F</v>
      </c>
      <c r="O27" s="64" t="str">
        <v>USD23X35F=GCMN</v>
      </c>
      <c r="P27" s="392" t="s">
        <v>253</v>
      </c>
      <c r="Q27" s="392" t="s">
        <v>253</v>
      </c>
      <c r="R27" s="65" t="e">
        <f t="shared" si="2"/>
        <v>#NUM!</v>
      </c>
      <c r="S27" s="135" t="e">
        <f t="shared" si="3"/>
        <v>#VALUE!</v>
      </c>
      <c r="T27" s="138"/>
      <c r="U27" s="135" t="e">
        <v>#NUM!</v>
      </c>
      <c r="V27" s="138"/>
      <c r="W27" s="135" t="e">
        <v>#NUM!</v>
      </c>
      <c r="X27" s="67">
        <f>_xll.qlSimpleQuoteSetValue(F27,W27/100,Trigger)</f>
        <v>0</v>
      </c>
      <c r="Y27" s="103"/>
    </row>
    <row r="28" spans="1:25" x14ac:dyDescent="0.2">
      <c r="A28" s="27"/>
      <c r="B28" s="60"/>
      <c r="C28" s="60">
        <f t="shared" si="4"/>
        <v>24</v>
      </c>
      <c r="D28" s="63" t="str">
        <f t="shared" si="5"/>
        <v>x36F</v>
      </c>
      <c r="E28" s="60" t="str">
        <f t="shared" si="0"/>
        <v>USD24x36F_Quote</v>
      </c>
      <c r="F28" s="43" t="str">
        <f>_xll.qlSimpleQuote(E28,,RateTickValue,Permanent,Trigger,ObjectOverwrite)</f>
        <v>USD24x36F_Quote#0000</v>
      </c>
      <c r="G28" s="160" t="str">
        <f>_xll.ohRangeRetrieveError(F28)</f>
        <v/>
      </c>
      <c r="H28" s="97"/>
      <c r="I28" s="147"/>
      <c r="J28" s="81"/>
      <c r="K28" s="211">
        <f t="shared" si="6"/>
        <v>36</v>
      </c>
      <c r="L28" s="211">
        <v>24</v>
      </c>
      <c r="M28" s="211" t="s">
        <v>149</v>
      </c>
      <c r="N28" s="68" t="str">
        <f t="shared" si="1"/>
        <v>USD24X36F</v>
      </c>
      <c r="O28" s="68" t="str">
        <v>USD24X36F=GCMN</v>
      </c>
      <c r="P28" s="393">
        <v>1.833</v>
      </c>
      <c r="Q28" s="393">
        <v>1.873</v>
      </c>
      <c r="R28" s="72">
        <f t="shared" si="2"/>
        <v>1.853</v>
      </c>
      <c r="S28" s="137">
        <f t="shared" si="3"/>
        <v>4.0000000000000036E-2</v>
      </c>
      <c r="T28" s="138"/>
      <c r="U28" s="137">
        <v>1.853</v>
      </c>
      <c r="V28" s="138"/>
      <c r="W28" s="137">
        <v>1.853</v>
      </c>
      <c r="X28" s="69">
        <f>_xll.qlSimpleQuoteSetValue(F28,W28/100,Trigger)</f>
        <v>1.7199999999999993E-3</v>
      </c>
      <c r="Y28" s="103"/>
    </row>
    <row r="29" spans="1:25" x14ac:dyDescent="0.2">
      <c r="A29" s="85"/>
      <c r="B29" s="86"/>
      <c r="C29" s="86"/>
      <c r="D29" s="86"/>
      <c r="E29" s="86"/>
      <c r="F29" s="86"/>
      <c r="G29" s="98"/>
      <c r="H29" s="99"/>
      <c r="J29" s="85"/>
      <c r="K29" s="86"/>
      <c r="L29" s="86"/>
      <c r="M29" s="86"/>
      <c r="N29" s="86"/>
      <c r="O29" s="86"/>
      <c r="P29" s="86"/>
      <c r="Q29" s="86"/>
      <c r="R29" s="86"/>
      <c r="S29" s="86"/>
      <c r="T29" s="86"/>
      <c r="U29" s="86"/>
      <c r="V29" s="86"/>
      <c r="W29" s="86"/>
      <c r="X29" s="86"/>
      <c r="Y29" s="87"/>
    </row>
  </sheetData>
  <conditionalFormatting sqref="X5:X28">
    <cfRule type="cellIs" dxfId="19" priority="1" stopIfTrue="1" operator="greaterThan">
      <formula>0</formula>
    </cfRule>
    <cfRule type="cellIs" dxfId="18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Y59"/>
  <sheetViews>
    <sheetView showGridLines="0" topLeftCell="I1" workbookViewId="0">
      <selection activeCell="X2" sqref="X2"/>
    </sheetView>
  </sheetViews>
  <sheetFormatPr defaultRowHeight="11.25" outlineLevelCol="1" x14ac:dyDescent="0.2"/>
  <cols>
    <col min="1" max="2" width="2.7109375" style="144" hidden="1" customWidth="1" outlineLevel="1"/>
    <col min="3" max="4" width="4" style="144" hidden="1" customWidth="1" outlineLevel="1"/>
    <col min="5" max="5" width="16.7109375" style="144" hidden="1" customWidth="1" outlineLevel="1"/>
    <col min="6" max="6" width="22.7109375" style="145" hidden="1" customWidth="1" outlineLevel="1"/>
    <col min="7" max="7" width="20.7109375" style="144" hidden="1" customWidth="1" outlineLevel="1"/>
    <col min="8" max="8" width="2.7109375" style="144" hidden="1" customWidth="1" outlineLevel="1"/>
    <col min="9" max="9" width="2.7109375" style="144" customWidth="1" collapsed="1"/>
    <col min="10" max="11" width="2.7109375" style="144" customWidth="1"/>
    <col min="12" max="13" width="4" style="144" bestFit="1" customWidth="1"/>
    <col min="14" max="14" width="11.7109375" style="144" customWidth="1"/>
    <col min="15" max="15" width="16.7109375" style="144" customWidth="1"/>
    <col min="16" max="19" width="10.7109375" style="144" customWidth="1"/>
    <col min="20" max="20" width="2.7109375" style="144" customWidth="1"/>
    <col min="21" max="21" width="10.7109375" style="144" customWidth="1"/>
    <col min="22" max="22" width="2.7109375" style="144" customWidth="1"/>
    <col min="23" max="24" width="10.7109375" style="144" customWidth="1"/>
    <col min="25" max="25" width="2.7109375" style="144" customWidth="1"/>
    <col min="26" max="16384" width="9.140625" style="144"/>
  </cols>
  <sheetData>
    <row r="1" spans="1:25" x14ac:dyDescent="0.2">
      <c r="A1" s="88"/>
      <c r="B1" s="79"/>
      <c r="C1" s="79"/>
      <c r="D1" s="79"/>
      <c r="E1" s="79"/>
      <c r="F1" s="93"/>
      <c r="G1" s="79"/>
      <c r="H1" s="80"/>
      <c r="J1" s="113" t="s">
        <v>107</v>
      </c>
      <c r="K1" s="191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114"/>
    </row>
    <row r="2" spans="1:25" x14ac:dyDescent="0.2">
      <c r="A2" s="81"/>
      <c r="B2" s="82"/>
      <c r="C2" s="82"/>
      <c r="D2" s="82"/>
      <c r="E2" s="82"/>
      <c r="F2" s="95"/>
      <c r="G2" s="82"/>
      <c r="H2" s="83"/>
      <c r="J2" s="115"/>
      <c r="K2" s="3"/>
      <c r="L2" s="3"/>
      <c r="M2" s="3"/>
      <c r="N2" s="3"/>
      <c r="O2" s="187" t="str">
        <f>VLOOKUP($J$1,AreaTable,AreaIndex,0)</f>
        <v>Tullet</v>
      </c>
      <c r="P2" s="3"/>
      <c r="Q2" s="3"/>
      <c r="R2" s="3"/>
      <c r="S2" s="3"/>
      <c r="T2" s="14"/>
      <c r="U2" s="14"/>
      <c r="V2" s="14"/>
      <c r="W2" s="14"/>
      <c r="X2" s="55">
        <f>_xll.ohTrigger(X5:X58)</f>
        <v>2</v>
      </c>
      <c r="Y2" s="116"/>
    </row>
    <row r="3" spans="1:25" x14ac:dyDescent="0.2">
      <c r="A3" s="84"/>
      <c r="B3" s="105"/>
      <c r="C3" s="3"/>
      <c r="D3" s="3"/>
      <c r="E3" s="82"/>
      <c r="F3" s="95"/>
      <c r="G3" s="82"/>
      <c r="H3" s="116"/>
      <c r="J3" s="27"/>
      <c r="K3" s="14"/>
      <c r="L3" s="14"/>
      <c r="M3" s="3"/>
      <c r="N3" s="3"/>
      <c r="O3" s="3"/>
      <c r="P3" s="3"/>
      <c r="Q3" s="3"/>
      <c r="R3" s="3"/>
      <c r="S3" s="3"/>
      <c r="T3" s="14"/>
      <c r="U3" s="14"/>
      <c r="V3" s="14"/>
      <c r="W3" s="3"/>
      <c r="X3" s="25"/>
      <c r="Y3" s="28"/>
    </row>
    <row r="4" spans="1:25" ht="22.5" x14ac:dyDescent="0.2">
      <c r="A4" s="27"/>
      <c r="B4" s="48"/>
      <c r="C4" s="48"/>
      <c r="D4" s="48"/>
      <c r="E4" s="49" t="s">
        <v>224</v>
      </c>
      <c r="F4" s="49" t="s">
        <v>225</v>
      </c>
      <c r="G4" s="112" t="s">
        <v>239</v>
      </c>
      <c r="H4" s="116"/>
      <c r="J4" s="27"/>
      <c r="K4" s="192"/>
      <c r="L4" s="193"/>
      <c r="M4" s="122"/>
      <c r="N4" s="122" t="s">
        <v>241</v>
      </c>
      <c r="O4" s="123" t="str">
        <f>_xll.RData(O5:O58,P4:Q4,"RTFEED:IDN",ReutersRtMode,,P5)</f>
        <v>Not Signed In</v>
      </c>
      <c r="P4" s="124" t="s">
        <v>134</v>
      </c>
      <c r="Q4" s="124" t="s">
        <v>133</v>
      </c>
      <c r="R4" s="125" t="s">
        <v>158</v>
      </c>
      <c r="S4" s="39" t="s">
        <v>240</v>
      </c>
      <c r="T4" s="14"/>
      <c r="U4" s="38" t="s">
        <v>148</v>
      </c>
      <c r="V4" s="14"/>
      <c r="W4" s="50" t="s">
        <v>147</v>
      </c>
      <c r="X4" s="50" t="s">
        <v>146</v>
      </c>
      <c r="Y4" s="28"/>
    </row>
    <row r="5" spans="1:25" x14ac:dyDescent="0.2">
      <c r="A5" s="27"/>
      <c r="B5" s="41"/>
      <c r="C5" s="41" t="s">
        <v>107</v>
      </c>
      <c r="D5" s="41" t="str">
        <f>L5</f>
        <v>SW</v>
      </c>
      <c r="E5" s="58" t="str">
        <f t="shared" ref="E5:E36" si="0">Currency&amp;$C5&amp;$D5&amp;QuoteSuffix</f>
        <v>USDOISSW_Quote</v>
      </c>
      <c r="F5" s="42" t="str">
        <f>_xll.qlSimpleQuote(Currency&amp;$C5&amp;$D5&amp;QuoteSuffix,,RateTickValue,Permanent,Trigger,ObjectOverwrite)</f>
        <v>USDOISSW_Quote#0000</v>
      </c>
      <c r="G5" s="159" t="str">
        <f>_xll.ohRangeRetrieveError(F5)</f>
        <v/>
      </c>
      <c r="H5" s="116"/>
      <c r="J5" s="27"/>
      <c r="K5" s="29"/>
      <c r="L5" s="194" t="s">
        <v>22</v>
      </c>
      <c r="M5" s="126" t="s">
        <v>107</v>
      </c>
      <c r="N5" s="127" t="str">
        <f t="shared" ref="N5:N36" si="1">Currency&amp;$L5&amp;$M5</f>
        <v>USDSWOIS</v>
      </c>
      <c r="O5" s="127" t="str">
        <f t="array" ref="O5:O58">Instruments&amp;"="&amp;VLOOKUP(Contributor,ContributorTable,2,FALSE)</f>
        <v>USDSWOIS=TTKL</v>
      </c>
      <c r="P5" s="391">
        <v>0.11799999999999999</v>
      </c>
      <c r="Q5" s="391">
        <v>0.14799999999999999</v>
      </c>
      <c r="R5" s="35">
        <f>IF(ISERROR(AVERAGE(P5,Q5)),#NUM!,AVERAGE(P5,Q5))</f>
        <v>0.13300000000000001</v>
      </c>
      <c r="S5" s="36">
        <f>Q5-P5</f>
        <v>0.03</v>
      </c>
      <c r="T5" s="140"/>
      <c r="U5" s="141">
        <v>0.13300000000000001</v>
      </c>
      <c r="V5" s="140"/>
      <c r="W5" s="35">
        <f t="array" ref="W5:W58">QuoteStatic</f>
        <v>0.13300000000000001</v>
      </c>
      <c r="X5" s="132">
        <f>_xll.qlSimpleQuoteSetValue(F5,W5/100,Trigger)</f>
        <v>2.0000000000000052E-5</v>
      </c>
      <c r="Y5" s="28"/>
    </row>
    <row r="6" spans="1:25" x14ac:dyDescent="0.2">
      <c r="A6" s="27"/>
      <c r="B6" s="42"/>
      <c r="C6" s="42" t="s">
        <v>107</v>
      </c>
      <c r="D6" s="42" t="str">
        <f t="shared" ref="D6:D58" si="2">L6</f>
        <v>2W</v>
      </c>
      <c r="E6" s="58" t="str">
        <f t="shared" si="0"/>
        <v>USDOIS2W_Quote</v>
      </c>
      <c r="F6" s="42" t="str">
        <f>_xll.qlSimpleQuote(Currency&amp;$C6&amp;$D6&amp;QuoteSuffix,,RateTickValue,Permanent,Trigger,ObjectOverwrite)</f>
        <v>USDOIS2W_Quote#0000</v>
      </c>
      <c r="G6" s="159" t="str">
        <f>_xll.ohRangeRetrieveError(F6)</f>
        <v/>
      </c>
      <c r="H6" s="116"/>
      <c r="J6" s="27"/>
      <c r="K6" s="30"/>
      <c r="L6" s="195" t="s">
        <v>21</v>
      </c>
      <c r="M6" s="128" t="s">
        <v>107</v>
      </c>
      <c r="N6" s="129" t="str">
        <f t="shared" si="1"/>
        <v>USD2WOIS</v>
      </c>
      <c r="O6" s="129" t="str">
        <v>USD2WOIS=TTKL</v>
      </c>
      <c r="P6" s="392">
        <v>0.11799999999999999</v>
      </c>
      <c r="Q6" s="392">
        <v>0.14799999999999999</v>
      </c>
      <c r="R6" s="36">
        <f t="shared" ref="R6:R58" si="3">IF(ISERROR(AVERAGE(P6,Q6)),#NUM!,AVERAGE(P6,Q6))</f>
        <v>0.13300000000000001</v>
      </c>
      <c r="S6" s="36">
        <f t="shared" ref="S6:S58" si="4">Q6-P6</f>
        <v>0.03</v>
      </c>
      <c r="T6" s="140"/>
      <c r="U6" s="142">
        <v>0.13300000000000001</v>
      </c>
      <c r="V6" s="140"/>
      <c r="W6" s="36">
        <v>0.13300000000000001</v>
      </c>
      <c r="X6" s="133">
        <f>_xll.qlSimpleQuoteSetValue(F6,W6/100,Trigger)</f>
        <v>2.0000000000000052E-5</v>
      </c>
      <c r="Y6" s="28"/>
    </row>
    <row r="7" spans="1:25" x14ac:dyDescent="0.2">
      <c r="A7" s="27"/>
      <c r="B7" s="42"/>
      <c r="C7" s="42" t="s">
        <v>107</v>
      </c>
      <c r="D7" s="42" t="str">
        <f t="shared" si="2"/>
        <v>3W</v>
      </c>
      <c r="E7" s="58" t="str">
        <f t="shared" si="0"/>
        <v>USDOIS3W_Quote</v>
      </c>
      <c r="F7" s="42" t="str">
        <f>_xll.qlSimpleQuote(Currency&amp;$C7&amp;$D7&amp;QuoteSuffix,,RateTickValue,Permanent,Trigger,ObjectOverwrite)</f>
        <v>USDOIS3W_Quote#0000</v>
      </c>
      <c r="G7" s="159" t="str">
        <f>_xll.ohRangeRetrieveError(F7)</f>
        <v/>
      </c>
      <c r="H7" s="116"/>
      <c r="J7" s="27"/>
      <c r="K7" s="30"/>
      <c r="L7" s="195" t="s">
        <v>20</v>
      </c>
      <c r="M7" s="128" t="s">
        <v>107</v>
      </c>
      <c r="N7" s="129" t="str">
        <f t="shared" si="1"/>
        <v>USD3WOIS</v>
      </c>
      <c r="O7" s="129" t="str">
        <v>USD3WOIS=TTKL</v>
      </c>
      <c r="P7" s="392">
        <v>0.11799999999999999</v>
      </c>
      <c r="Q7" s="392">
        <v>0.14799999999999999</v>
      </c>
      <c r="R7" s="36">
        <f t="shared" si="3"/>
        <v>0.13300000000000001</v>
      </c>
      <c r="S7" s="36">
        <f t="shared" si="4"/>
        <v>0.03</v>
      </c>
      <c r="T7" s="140"/>
      <c r="U7" s="142">
        <v>0.13300000000000001</v>
      </c>
      <c r="V7" s="140"/>
      <c r="W7" s="36">
        <v>0.13300000000000001</v>
      </c>
      <c r="X7" s="133">
        <f>_xll.qlSimpleQuoteSetValue(F7,W7/100,Trigger)</f>
        <v>1.0000000000000026E-5</v>
      </c>
      <c r="Y7" s="28"/>
    </row>
    <row r="8" spans="1:25" x14ac:dyDescent="0.2">
      <c r="A8" s="27"/>
      <c r="B8" s="42"/>
      <c r="C8" s="42" t="s">
        <v>107</v>
      </c>
      <c r="D8" s="42" t="str">
        <f t="shared" si="2"/>
        <v>1M</v>
      </c>
      <c r="E8" s="58" t="str">
        <f t="shared" si="0"/>
        <v>USDOIS1M_Quote</v>
      </c>
      <c r="F8" s="42" t="str">
        <f>_xll.qlSimpleQuote(Currency&amp;$C8&amp;$D8&amp;QuoteSuffix,,RateTickValue,Permanent,Trigger,ObjectOverwrite)</f>
        <v>USDOIS1M_Quote#0000</v>
      </c>
      <c r="G8" s="159" t="str">
        <f>_xll.ohRangeRetrieveError(F8)</f>
        <v/>
      </c>
      <c r="H8" s="116"/>
      <c r="J8" s="27"/>
      <c r="K8" s="30"/>
      <c r="L8" s="195" t="s">
        <v>19</v>
      </c>
      <c r="M8" s="128" t="s">
        <v>107</v>
      </c>
      <c r="N8" s="129" t="str">
        <f t="shared" si="1"/>
        <v>USD1MOIS</v>
      </c>
      <c r="O8" s="129" t="str">
        <v>USD1MOIS=TTKL</v>
      </c>
      <c r="P8" s="392">
        <v>0.11799999999999999</v>
      </c>
      <c r="Q8" s="392">
        <v>0.14799999999999999</v>
      </c>
      <c r="R8" s="36">
        <f t="shared" si="3"/>
        <v>0.13300000000000001</v>
      </c>
      <c r="S8" s="36">
        <f t="shared" si="4"/>
        <v>0.03</v>
      </c>
      <c r="T8" s="140"/>
      <c r="U8" s="142">
        <v>0.13300000000000001</v>
      </c>
      <c r="V8" s="140"/>
      <c r="W8" s="36">
        <v>0.13300000000000001</v>
      </c>
      <c r="X8" s="133">
        <f>_xll.qlSimpleQuoteSetValue(F8,W8/100,Trigger)</f>
        <v>-3.0000000000000079E-5</v>
      </c>
      <c r="Y8" s="28"/>
    </row>
    <row r="9" spans="1:25" x14ac:dyDescent="0.2">
      <c r="A9" s="27"/>
      <c r="B9" s="42"/>
      <c r="C9" s="42" t="s">
        <v>107</v>
      </c>
      <c r="D9" s="42" t="str">
        <f t="shared" si="2"/>
        <v>2M</v>
      </c>
      <c r="E9" s="58" t="str">
        <f t="shared" si="0"/>
        <v>USDOIS2M_Quote</v>
      </c>
      <c r="F9" s="42" t="str">
        <f>_xll.qlSimpleQuote(Currency&amp;$C9&amp;$D9&amp;QuoteSuffix,,RateTickValue,Permanent,Trigger,ObjectOverwrite)</f>
        <v>USDOIS2M_Quote#0000</v>
      </c>
      <c r="G9" s="159" t="str">
        <f>_xll.ohRangeRetrieveError(F9)</f>
        <v/>
      </c>
      <c r="H9" s="116"/>
      <c r="J9" s="27"/>
      <c r="K9" s="30"/>
      <c r="L9" s="195" t="s">
        <v>18</v>
      </c>
      <c r="M9" s="128" t="s">
        <v>107</v>
      </c>
      <c r="N9" s="129" t="str">
        <f t="shared" si="1"/>
        <v>USD2MOIS</v>
      </c>
      <c r="O9" s="129" t="str">
        <v>USD2MOIS=TTKL</v>
      </c>
      <c r="P9" s="392">
        <v>0.151</v>
      </c>
      <c r="Q9" s="392">
        <v>0.18099999999999999</v>
      </c>
      <c r="R9" s="36">
        <f t="shared" si="3"/>
        <v>0.16599999999999998</v>
      </c>
      <c r="S9" s="36">
        <f t="shared" si="4"/>
        <v>0.03</v>
      </c>
      <c r="T9" s="140"/>
      <c r="U9" s="142">
        <v>0.16599999999999998</v>
      </c>
      <c r="V9" s="140"/>
      <c r="W9" s="36">
        <v>0.16599999999999998</v>
      </c>
      <c r="X9" s="133">
        <f>_xll.qlSimpleQuoteSetValue(F9,W9/100,Trigger)</f>
        <v>2.4999999999999957E-4</v>
      </c>
      <c r="Y9" s="28"/>
    </row>
    <row r="10" spans="1:25" x14ac:dyDescent="0.2">
      <c r="A10" s="27"/>
      <c r="B10" s="42"/>
      <c r="C10" s="42" t="s">
        <v>107</v>
      </c>
      <c r="D10" s="42" t="str">
        <f t="shared" si="2"/>
        <v>3M</v>
      </c>
      <c r="E10" s="58" t="str">
        <f t="shared" si="0"/>
        <v>USDOIS3M_Quote</v>
      </c>
      <c r="F10" s="42" t="str">
        <f>_xll.qlSimpleQuote(Currency&amp;$C10&amp;$D10&amp;QuoteSuffix,,RateTickValue,Permanent,Trigger,ObjectOverwrite)</f>
        <v>USDOIS3M_Quote#0000</v>
      </c>
      <c r="G10" s="159" t="str">
        <f>_xll.ohRangeRetrieveError(F10)</f>
        <v/>
      </c>
      <c r="H10" s="116"/>
      <c r="J10" s="27"/>
      <c r="K10" s="30"/>
      <c r="L10" s="195" t="s">
        <v>17</v>
      </c>
      <c r="M10" s="128" t="s">
        <v>107</v>
      </c>
      <c r="N10" s="129" t="str">
        <f t="shared" si="1"/>
        <v>USD3MOIS</v>
      </c>
      <c r="O10" s="129" t="str">
        <v>USD3MOIS=TTKL</v>
      </c>
      <c r="P10" s="392">
        <v>0.18099999999999999</v>
      </c>
      <c r="Q10" s="392">
        <v>0.21099999999999999</v>
      </c>
      <c r="R10" s="36">
        <f t="shared" si="3"/>
        <v>0.19600000000000001</v>
      </c>
      <c r="S10" s="36">
        <f t="shared" si="4"/>
        <v>0.03</v>
      </c>
      <c r="T10" s="140"/>
      <c r="U10" s="142">
        <v>0.19600000000000001</v>
      </c>
      <c r="V10" s="140"/>
      <c r="W10" s="36">
        <v>0.19600000000000001</v>
      </c>
      <c r="X10" s="133">
        <f>_xll.qlSimpleQuoteSetValue(F10,W10/100,Trigger)</f>
        <v>3.6000000000000008E-4</v>
      </c>
      <c r="Y10" s="28"/>
    </row>
    <row r="11" spans="1:25" x14ac:dyDescent="0.2">
      <c r="A11" s="27"/>
      <c r="B11" s="42"/>
      <c r="C11" s="42" t="s">
        <v>107</v>
      </c>
      <c r="D11" s="42" t="str">
        <f t="shared" si="2"/>
        <v>4M</v>
      </c>
      <c r="E11" s="58" t="str">
        <f t="shared" si="0"/>
        <v>USDOIS4M_Quote</v>
      </c>
      <c r="F11" s="42" t="str">
        <f>_xll.qlSimpleQuote(Currency&amp;$C11&amp;$D11&amp;QuoteSuffix,,RateTickValue,Permanent,Trigger,ObjectOverwrite)</f>
        <v>USDOIS4M_Quote#0000</v>
      </c>
      <c r="G11" s="159" t="str">
        <f>_xll.ohRangeRetrieveError(F11)</f>
        <v/>
      </c>
      <c r="H11" s="116"/>
      <c r="J11" s="27"/>
      <c r="K11" s="30"/>
      <c r="L11" s="195" t="s">
        <v>16</v>
      </c>
      <c r="M11" s="128" t="s">
        <v>107</v>
      </c>
      <c r="N11" s="129" t="str">
        <f t="shared" si="1"/>
        <v>USD4MOIS</v>
      </c>
      <c r="O11" s="129" t="str">
        <v>USD4MOIS=TTKL</v>
      </c>
      <c r="P11" s="392">
        <v>0.20099999999999998</v>
      </c>
      <c r="Q11" s="392">
        <v>0.23100000000000001</v>
      </c>
      <c r="R11" s="36">
        <f t="shared" si="3"/>
        <v>0.216</v>
      </c>
      <c r="S11" s="36">
        <f t="shared" si="4"/>
        <v>3.0000000000000027E-2</v>
      </c>
      <c r="T11" s="140"/>
      <c r="U11" s="142">
        <v>0.216</v>
      </c>
      <c r="V11" s="140"/>
      <c r="W11" s="36">
        <v>0.216</v>
      </c>
      <c r="X11" s="133">
        <f>_xll.qlSimpleQuoteSetValue(F11,W11/100,Trigger)</f>
        <v>3.9000000000000016E-4</v>
      </c>
      <c r="Y11" s="28"/>
    </row>
    <row r="12" spans="1:25" x14ac:dyDescent="0.2">
      <c r="A12" s="27"/>
      <c r="B12" s="42"/>
      <c r="C12" s="42" t="s">
        <v>107</v>
      </c>
      <c r="D12" s="42" t="str">
        <f t="shared" si="2"/>
        <v>5M</v>
      </c>
      <c r="E12" s="58" t="str">
        <f t="shared" si="0"/>
        <v>USDOIS5M_Quote</v>
      </c>
      <c r="F12" s="42" t="str">
        <f>_xll.qlSimpleQuote(Currency&amp;$C12&amp;$D12&amp;QuoteSuffix,,RateTickValue,Permanent,Trigger,ObjectOverwrite)</f>
        <v>USDOIS5M_Quote#0000</v>
      </c>
      <c r="G12" s="159" t="str">
        <f>_xll.ohRangeRetrieveError(F12)</f>
        <v/>
      </c>
      <c r="H12" s="116"/>
      <c r="J12" s="27"/>
      <c r="K12" s="30"/>
      <c r="L12" s="195" t="s">
        <v>15</v>
      </c>
      <c r="M12" s="128" t="s">
        <v>107</v>
      </c>
      <c r="N12" s="129" t="str">
        <f t="shared" si="1"/>
        <v>USD5MOIS</v>
      </c>
      <c r="O12" s="129" t="str">
        <v>USD5MOIS=TTKL</v>
      </c>
      <c r="P12" s="392">
        <v>0.22500000000000001</v>
      </c>
      <c r="Q12" s="392">
        <v>0.255</v>
      </c>
      <c r="R12" s="36">
        <f t="shared" si="3"/>
        <v>0.24</v>
      </c>
      <c r="S12" s="36">
        <f t="shared" si="4"/>
        <v>0.03</v>
      </c>
      <c r="T12" s="140"/>
      <c r="U12" s="142">
        <v>0.24</v>
      </c>
      <c r="V12" s="140"/>
      <c r="W12" s="36">
        <v>0.24</v>
      </c>
      <c r="X12" s="133">
        <f>_xll.qlSimpleQuoteSetValue(F12,W12/100,Trigger)</f>
        <v>4.7999999999999974E-4</v>
      </c>
      <c r="Y12" s="28"/>
    </row>
    <row r="13" spans="1:25" x14ac:dyDescent="0.2">
      <c r="A13" s="27"/>
      <c r="B13" s="42"/>
      <c r="C13" s="42" t="s">
        <v>107</v>
      </c>
      <c r="D13" s="42" t="str">
        <f t="shared" si="2"/>
        <v>6M</v>
      </c>
      <c r="E13" s="58" t="str">
        <f t="shared" si="0"/>
        <v>USDOIS6M_Quote</v>
      </c>
      <c r="F13" s="42" t="str">
        <f>_xll.qlSimpleQuote(Currency&amp;$C13&amp;$D13&amp;QuoteSuffix,,RateTickValue,Permanent,Trigger,ObjectOverwrite)</f>
        <v>USDOIS6M_Quote#0000</v>
      </c>
      <c r="G13" s="159" t="str">
        <f>_xll.ohRangeRetrieveError(F13)</f>
        <v/>
      </c>
      <c r="H13" s="116"/>
      <c r="J13" s="27"/>
      <c r="K13" s="30"/>
      <c r="L13" s="195" t="s">
        <v>14</v>
      </c>
      <c r="M13" s="128" t="s">
        <v>107</v>
      </c>
      <c r="N13" s="129" t="str">
        <f t="shared" si="1"/>
        <v>USD6MOIS</v>
      </c>
      <c r="O13" s="129" t="str">
        <v>USD6MOIS=TTKL</v>
      </c>
      <c r="P13" s="392">
        <v>0.24700000000000003</v>
      </c>
      <c r="Q13" s="392">
        <v>0.27700000000000002</v>
      </c>
      <c r="R13" s="36">
        <f t="shared" si="3"/>
        <v>0.26200000000000001</v>
      </c>
      <c r="S13" s="36">
        <f t="shared" si="4"/>
        <v>0.03</v>
      </c>
      <c r="T13" s="140"/>
      <c r="U13" s="142">
        <v>0.26200000000000001</v>
      </c>
      <c r="V13" s="140"/>
      <c r="W13" s="36">
        <v>0.26200000000000001</v>
      </c>
      <c r="X13" s="133">
        <f>_xll.qlSimpleQuoteSetValue(F13,W13/100,Trigger)</f>
        <v>5.2999999999999966E-4</v>
      </c>
      <c r="Y13" s="28"/>
    </row>
    <row r="14" spans="1:25" x14ac:dyDescent="0.2">
      <c r="A14" s="27"/>
      <c r="B14" s="42"/>
      <c r="C14" s="42" t="s">
        <v>107</v>
      </c>
      <c r="D14" s="42" t="str">
        <f t="shared" si="2"/>
        <v>7M</v>
      </c>
      <c r="E14" s="58" t="str">
        <f t="shared" si="0"/>
        <v>USDOIS7M_Quote</v>
      </c>
      <c r="F14" s="42" t="str">
        <f>_xll.qlSimpleQuote(Currency&amp;$C14&amp;$D14&amp;QuoteSuffix,,RateTickValue,Permanent,Trigger,ObjectOverwrite)</f>
        <v>USDOIS7M_Quote#0000</v>
      </c>
      <c r="G14" s="159" t="str">
        <f>_xll.ohRangeRetrieveError(F14)</f>
        <v/>
      </c>
      <c r="H14" s="116"/>
      <c r="J14" s="27"/>
      <c r="K14" s="30"/>
      <c r="L14" s="195" t="s">
        <v>13</v>
      </c>
      <c r="M14" s="128" t="s">
        <v>107</v>
      </c>
      <c r="N14" s="129" t="str">
        <f t="shared" si="1"/>
        <v>USD7MOIS</v>
      </c>
      <c r="O14" s="129" t="str">
        <v>USD7MOIS=TTKL</v>
      </c>
      <c r="P14" s="392">
        <v>0.26700000000000002</v>
      </c>
      <c r="Q14" s="392">
        <v>0.29699999999999999</v>
      </c>
      <c r="R14" s="36">
        <f t="shared" si="3"/>
        <v>0.28200000000000003</v>
      </c>
      <c r="S14" s="36">
        <f t="shared" si="4"/>
        <v>2.9999999999999971E-2</v>
      </c>
      <c r="T14" s="140"/>
      <c r="U14" s="142">
        <v>0.28200000000000003</v>
      </c>
      <c r="V14" s="140"/>
      <c r="W14" s="36">
        <v>0.28200000000000003</v>
      </c>
      <c r="X14" s="133">
        <f>_xll.qlSimpleQuoteSetValue(F14,W14/100,Trigger)</f>
        <v>5.7000000000000019E-4</v>
      </c>
      <c r="Y14" s="28"/>
    </row>
    <row r="15" spans="1:25" x14ac:dyDescent="0.2">
      <c r="A15" s="27"/>
      <c r="B15" s="42"/>
      <c r="C15" s="42" t="s">
        <v>107</v>
      </c>
      <c r="D15" s="42" t="str">
        <f t="shared" si="2"/>
        <v>8M</v>
      </c>
      <c r="E15" s="58" t="str">
        <f t="shared" si="0"/>
        <v>USDOIS8M_Quote</v>
      </c>
      <c r="F15" s="42" t="str">
        <f>_xll.qlSimpleQuote(Currency&amp;$C15&amp;$D15&amp;QuoteSuffix,,RateTickValue,Permanent,Trigger,ObjectOverwrite)</f>
        <v>USDOIS8M_Quote#0000</v>
      </c>
      <c r="G15" s="159" t="str">
        <f>_xll.ohRangeRetrieveError(F15)</f>
        <v/>
      </c>
      <c r="H15" s="116"/>
      <c r="J15" s="27"/>
      <c r="K15" s="30"/>
      <c r="L15" s="195" t="s">
        <v>12</v>
      </c>
      <c r="M15" s="128" t="s">
        <v>107</v>
      </c>
      <c r="N15" s="129" t="str">
        <f t="shared" si="1"/>
        <v>USD8MOIS</v>
      </c>
      <c r="O15" s="129" t="str">
        <v>USD8MOIS=TTKL</v>
      </c>
      <c r="P15" s="392">
        <v>0.28999999999999998</v>
      </c>
      <c r="Q15" s="392">
        <v>0.32</v>
      </c>
      <c r="R15" s="36">
        <f t="shared" si="3"/>
        <v>0.30499999999999999</v>
      </c>
      <c r="S15" s="36">
        <f t="shared" si="4"/>
        <v>3.0000000000000027E-2</v>
      </c>
      <c r="T15" s="140"/>
      <c r="U15" s="142">
        <v>0.30499999999999999</v>
      </c>
      <c r="V15" s="140"/>
      <c r="W15" s="36">
        <v>0.30499999999999999</v>
      </c>
      <c r="X15" s="133">
        <f>_xll.qlSimpleQuoteSetValue(F15,W15/100,Trigger)</f>
        <v>6.4999999999999997E-4</v>
      </c>
      <c r="Y15" s="28"/>
    </row>
    <row r="16" spans="1:25" x14ac:dyDescent="0.2">
      <c r="A16" s="27"/>
      <c r="B16" s="42"/>
      <c r="C16" s="42" t="s">
        <v>107</v>
      </c>
      <c r="D16" s="42" t="str">
        <f t="shared" si="2"/>
        <v>9M</v>
      </c>
      <c r="E16" s="58" t="str">
        <f t="shared" si="0"/>
        <v>USDOIS9M_Quote</v>
      </c>
      <c r="F16" s="42" t="str">
        <f>_xll.qlSimpleQuote(Currency&amp;$C16&amp;$D16&amp;QuoteSuffix,,RateTickValue,Permanent,Trigger,ObjectOverwrite)</f>
        <v>USDOIS9M_Quote#0000</v>
      </c>
      <c r="G16" s="159" t="str">
        <f>_xll.ohRangeRetrieveError(F16)</f>
        <v/>
      </c>
      <c r="H16" s="116"/>
      <c r="J16" s="27"/>
      <c r="K16" s="30"/>
      <c r="L16" s="195" t="s">
        <v>11</v>
      </c>
      <c r="M16" s="128" t="s">
        <v>107</v>
      </c>
      <c r="N16" s="129" t="str">
        <f t="shared" si="1"/>
        <v>USD9MOIS</v>
      </c>
      <c r="O16" s="129" t="str">
        <v>USD9MOIS=TTKL</v>
      </c>
      <c r="P16" s="392">
        <v>0.31</v>
      </c>
      <c r="Q16" s="392">
        <v>0.33999999999999997</v>
      </c>
      <c r="R16" s="36">
        <f t="shared" si="3"/>
        <v>0.32499999999999996</v>
      </c>
      <c r="S16" s="36">
        <f t="shared" si="4"/>
        <v>2.9999999999999971E-2</v>
      </c>
      <c r="T16" s="140"/>
      <c r="U16" s="142">
        <v>0.32499999999999996</v>
      </c>
      <c r="V16" s="140"/>
      <c r="W16" s="36">
        <v>0.32499999999999996</v>
      </c>
      <c r="X16" s="133">
        <f>_xll.qlSimpleQuoteSetValue(F16,W16/100,Trigger)</f>
        <v>6.8999999999999921E-4</v>
      </c>
      <c r="Y16" s="28"/>
    </row>
    <row r="17" spans="1:25" x14ac:dyDescent="0.2">
      <c r="A17" s="27"/>
      <c r="B17" s="42"/>
      <c r="C17" s="42" t="s">
        <v>107</v>
      </c>
      <c r="D17" s="42" t="str">
        <f t="shared" si="2"/>
        <v>10M</v>
      </c>
      <c r="E17" s="58" t="str">
        <f t="shared" si="0"/>
        <v>USDOIS10M_Quote</v>
      </c>
      <c r="F17" s="42" t="str">
        <f>_xll.qlSimpleQuote(Currency&amp;$C17&amp;$D17&amp;QuoteSuffix,,RateTickValue,Permanent,Trigger,ObjectOverwrite)</f>
        <v>USDOIS10M_Quote#0000</v>
      </c>
      <c r="G17" s="159" t="str">
        <f>_xll.ohRangeRetrieveError(F17)</f>
        <v/>
      </c>
      <c r="H17" s="116"/>
      <c r="J17" s="27"/>
      <c r="K17" s="30"/>
      <c r="L17" s="195" t="s">
        <v>10</v>
      </c>
      <c r="M17" s="128" t="s">
        <v>107</v>
      </c>
      <c r="N17" s="129" t="str">
        <f t="shared" si="1"/>
        <v>USD10MOIS</v>
      </c>
      <c r="O17" s="129" t="str">
        <v>USD10MOIS=TTKL</v>
      </c>
      <c r="P17" s="392">
        <v>0.33399999999999996</v>
      </c>
      <c r="Q17" s="392">
        <v>0.36399999999999999</v>
      </c>
      <c r="R17" s="36">
        <f t="shared" si="3"/>
        <v>0.34899999999999998</v>
      </c>
      <c r="S17" s="36">
        <f t="shared" si="4"/>
        <v>3.0000000000000027E-2</v>
      </c>
      <c r="T17" s="140"/>
      <c r="U17" s="142">
        <v>0.34899999999999998</v>
      </c>
      <c r="V17" s="140"/>
      <c r="W17" s="36">
        <v>0.34899999999999998</v>
      </c>
      <c r="X17" s="133">
        <f>_xll.qlSimpleQuoteSetValue(F17,W17/100,Trigger)</f>
        <v>7.5999999999999939E-4</v>
      </c>
      <c r="Y17" s="28"/>
    </row>
    <row r="18" spans="1:25" x14ac:dyDescent="0.2">
      <c r="A18" s="27"/>
      <c r="B18" s="42"/>
      <c r="C18" s="42" t="s">
        <v>107</v>
      </c>
      <c r="D18" s="42" t="str">
        <f t="shared" si="2"/>
        <v>11M</v>
      </c>
      <c r="E18" s="58" t="str">
        <f t="shared" si="0"/>
        <v>USDOIS11M_Quote</v>
      </c>
      <c r="F18" s="42" t="str">
        <f>_xll.qlSimpleQuote(Currency&amp;$C18&amp;$D18&amp;QuoteSuffix,,RateTickValue,Permanent,Trigger,ObjectOverwrite)</f>
        <v>USDOIS11M_Quote#0000</v>
      </c>
      <c r="G18" s="159" t="str">
        <f>_xll.ohRangeRetrieveError(F18)</f>
        <v/>
      </c>
      <c r="H18" s="116"/>
      <c r="J18" s="27"/>
      <c r="K18" s="30"/>
      <c r="L18" s="195" t="s">
        <v>9</v>
      </c>
      <c r="M18" s="128" t="s">
        <v>107</v>
      </c>
      <c r="N18" s="129" t="str">
        <f t="shared" si="1"/>
        <v>USD11MOIS</v>
      </c>
      <c r="O18" s="129" t="str">
        <v>USD11MOIS=TTKL</v>
      </c>
      <c r="P18" s="392">
        <v>0.35199999999999998</v>
      </c>
      <c r="Q18" s="392">
        <v>0.38200000000000001</v>
      </c>
      <c r="R18" s="36">
        <f t="shared" si="3"/>
        <v>0.36699999999999999</v>
      </c>
      <c r="S18" s="36">
        <f t="shared" si="4"/>
        <v>3.0000000000000027E-2</v>
      </c>
      <c r="T18" s="140"/>
      <c r="U18" s="142">
        <v>0.36699999999999999</v>
      </c>
      <c r="V18" s="140"/>
      <c r="W18" s="36">
        <v>0.36699999999999999</v>
      </c>
      <c r="X18" s="133">
        <f>_xll.qlSimpleQuoteSetValue(F18,W18/100,Trigger)</f>
        <v>7.7999999999999988E-4</v>
      </c>
      <c r="Y18" s="28"/>
    </row>
    <row r="19" spans="1:25" x14ac:dyDescent="0.2">
      <c r="A19" s="27"/>
      <c r="B19" s="42"/>
      <c r="C19" s="42" t="s">
        <v>107</v>
      </c>
      <c r="D19" s="42" t="str">
        <f t="shared" si="2"/>
        <v>1Y</v>
      </c>
      <c r="E19" s="58" t="str">
        <f t="shared" si="0"/>
        <v>USDOIS1Y_Quote</v>
      </c>
      <c r="F19" s="42" t="str">
        <f>_xll.qlSimpleQuote(Currency&amp;$C19&amp;$D19&amp;QuoteSuffix,,RateTickValue,Permanent,Trigger,ObjectOverwrite)</f>
        <v>USDOIS1Y_Quote#0000</v>
      </c>
      <c r="G19" s="159" t="str">
        <f>_xll.ohRangeRetrieveError(F19)</f>
        <v/>
      </c>
      <c r="H19" s="116"/>
      <c r="J19" s="27"/>
      <c r="K19" s="30"/>
      <c r="L19" s="195" t="s">
        <v>8</v>
      </c>
      <c r="M19" s="128" t="s">
        <v>107</v>
      </c>
      <c r="N19" s="129" t="str">
        <f t="shared" si="1"/>
        <v>USD1YOIS</v>
      </c>
      <c r="O19" s="129" t="str">
        <v>USD1YOIS=TTKL</v>
      </c>
      <c r="P19" s="392">
        <v>0.373</v>
      </c>
      <c r="Q19" s="392">
        <v>0.40300000000000002</v>
      </c>
      <c r="R19" s="36">
        <f t="shared" si="3"/>
        <v>0.38800000000000001</v>
      </c>
      <c r="S19" s="36">
        <f t="shared" si="4"/>
        <v>3.0000000000000027E-2</v>
      </c>
      <c r="T19" s="140"/>
      <c r="U19" s="142">
        <v>0.38800000000000001</v>
      </c>
      <c r="V19" s="140"/>
      <c r="W19" s="36">
        <v>0.38800000000000001</v>
      </c>
      <c r="X19" s="133">
        <f>_xll.qlSimpleQuoteSetValue(F19,W19/100,Trigger)</f>
        <v>7.9000000000000034E-4</v>
      </c>
      <c r="Y19" s="28"/>
    </row>
    <row r="20" spans="1:25" x14ac:dyDescent="0.2">
      <c r="A20" s="27"/>
      <c r="B20" s="42"/>
      <c r="C20" s="42" t="s">
        <v>107</v>
      </c>
      <c r="D20" s="42" t="str">
        <f t="shared" si="2"/>
        <v>13M</v>
      </c>
      <c r="E20" s="58" t="str">
        <f t="shared" si="0"/>
        <v>USDOIS13M_Quote</v>
      </c>
      <c r="F20" s="42" t="str">
        <f>_xll.qlSimpleQuote(Currency&amp;$C20&amp;$D20&amp;QuoteSuffix,,RateTickValue,Permanent,Trigger,ObjectOverwrite)</f>
        <v>USDOIS13M_Quote#0000</v>
      </c>
      <c r="G20" s="159" t="str">
        <f>_xll.ohRangeRetrieveError(F20)</f>
        <v/>
      </c>
      <c r="H20" s="116"/>
      <c r="J20" s="27"/>
      <c r="K20" s="30"/>
      <c r="L20" s="195" t="s">
        <v>124</v>
      </c>
      <c r="M20" s="128" t="s">
        <v>107</v>
      </c>
      <c r="N20" s="129" t="str">
        <f t="shared" si="1"/>
        <v>USD13MOIS</v>
      </c>
      <c r="O20" s="129" t="str">
        <v>USD13MOIS=TTKL</v>
      </c>
      <c r="P20" s="392">
        <v>0.39600000000000002</v>
      </c>
      <c r="Q20" s="392">
        <v>0.42599999999999999</v>
      </c>
      <c r="R20" s="36">
        <f t="shared" si="3"/>
        <v>0.41100000000000003</v>
      </c>
      <c r="S20" s="36">
        <f t="shared" si="4"/>
        <v>2.9999999999999971E-2</v>
      </c>
      <c r="T20" s="140"/>
      <c r="U20" s="142">
        <v>0.41100000000000003</v>
      </c>
      <c r="V20" s="140"/>
      <c r="W20" s="36">
        <v>0.41100000000000003</v>
      </c>
      <c r="X20" s="133">
        <f>_xll.qlSimpleQuoteSetValue(F20,W20/100,Trigger)</f>
        <v>8.6000000000000052E-4</v>
      </c>
      <c r="Y20" s="28"/>
    </row>
    <row r="21" spans="1:25" x14ac:dyDescent="0.2">
      <c r="A21" s="27"/>
      <c r="B21" s="42"/>
      <c r="C21" s="42" t="s">
        <v>107</v>
      </c>
      <c r="D21" s="42" t="str">
        <f t="shared" si="2"/>
        <v>14M</v>
      </c>
      <c r="E21" s="58" t="str">
        <f t="shared" si="0"/>
        <v>USDOIS14M_Quote</v>
      </c>
      <c r="F21" s="42" t="str">
        <f>_xll.qlSimpleQuote(Currency&amp;$C21&amp;$D21&amp;QuoteSuffix,,RateTickValue,Permanent,Trigger,ObjectOverwrite)</f>
        <v>USDOIS14M_Quote#0000</v>
      </c>
      <c r="G21" s="159" t="str">
        <f>_xll.ohRangeRetrieveError(F21)</f>
        <v/>
      </c>
      <c r="H21" s="116"/>
      <c r="J21" s="27"/>
      <c r="K21" s="30"/>
      <c r="L21" s="195" t="s">
        <v>123</v>
      </c>
      <c r="M21" s="128" t="s">
        <v>107</v>
      </c>
      <c r="N21" s="129" t="str">
        <f t="shared" si="1"/>
        <v>USD14MOIS</v>
      </c>
      <c r="O21" s="129" t="str">
        <v>USD14MOIS=TTKL</v>
      </c>
      <c r="P21" s="392">
        <v>0.41699999999999998</v>
      </c>
      <c r="Q21" s="392">
        <v>0.44699999999999995</v>
      </c>
      <c r="R21" s="36">
        <f t="shared" si="3"/>
        <v>0.43199999999999994</v>
      </c>
      <c r="S21" s="36">
        <f t="shared" si="4"/>
        <v>2.9999999999999971E-2</v>
      </c>
      <c r="T21" s="140"/>
      <c r="U21" s="142">
        <v>0.43199999999999994</v>
      </c>
      <c r="V21" s="140"/>
      <c r="W21" s="36">
        <v>0.43199999999999994</v>
      </c>
      <c r="X21" s="133">
        <f>_xll.qlSimpleQuoteSetValue(F21,W21/100,Trigger)</f>
        <v>9.0999999999999935E-4</v>
      </c>
      <c r="Y21" s="28"/>
    </row>
    <row r="22" spans="1:25" x14ac:dyDescent="0.2">
      <c r="A22" s="27"/>
      <c r="B22" s="42"/>
      <c r="C22" s="42" t="s">
        <v>107</v>
      </c>
      <c r="D22" s="42" t="str">
        <f t="shared" si="2"/>
        <v>15M</v>
      </c>
      <c r="E22" s="58" t="str">
        <f t="shared" si="0"/>
        <v>USDOIS15M_Quote</v>
      </c>
      <c r="F22" s="42" t="str">
        <f>_xll.qlSimpleQuote(Currency&amp;$C22&amp;$D22&amp;QuoteSuffix,,RateTickValue,Permanent,Trigger,ObjectOverwrite)</f>
        <v>USDOIS15M_Quote#0000</v>
      </c>
      <c r="G22" s="159" t="str">
        <f>_xll.ohRangeRetrieveError(F22)</f>
        <v/>
      </c>
      <c r="H22" s="116"/>
      <c r="J22" s="27"/>
      <c r="K22" s="30"/>
      <c r="L22" s="195" t="s">
        <v>97</v>
      </c>
      <c r="M22" s="128" t="s">
        <v>107</v>
      </c>
      <c r="N22" s="129" t="str">
        <f t="shared" si="1"/>
        <v>USD15MOIS</v>
      </c>
      <c r="O22" s="129" t="str">
        <v>USD15MOIS=TTKL</v>
      </c>
      <c r="P22" s="392">
        <v>0.43899999999999995</v>
      </c>
      <c r="Q22" s="392">
        <v>0.46900000000000003</v>
      </c>
      <c r="R22" s="36">
        <f t="shared" si="3"/>
        <v>0.45399999999999996</v>
      </c>
      <c r="S22" s="36">
        <f t="shared" si="4"/>
        <v>3.0000000000000082E-2</v>
      </c>
      <c r="T22" s="140"/>
      <c r="U22" s="142">
        <v>0.45399999999999996</v>
      </c>
      <c r="V22" s="140"/>
      <c r="W22" s="36">
        <v>0.45399999999999996</v>
      </c>
      <c r="X22" s="133">
        <f>_xll.qlSimpleQuoteSetValue(F22,W22/100,Trigger)</f>
        <v>9.4999999999999989E-4</v>
      </c>
      <c r="Y22" s="28"/>
    </row>
    <row r="23" spans="1:25" x14ac:dyDescent="0.2">
      <c r="A23" s="27"/>
      <c r="B23" s="42"/>
      <c r="C23" s="42" t="s">
        <v>107</v>
      </c>
      <c r="D23" s="42" t="str">
        <f t="shared" si="2"/>
        <v>16M</v>
      </c>
      <c r="E23" s="58" t="str">
        <f t="shared" si="0"/>
        <v>USDOIS16M_Quote</v>
      </c>
      <c r="F23" s="42" t="str">
        <f>_xll.qlSimpleQuote(Currency&amp;$C23&amp;$D23&amp;QuoteSuffix,,RateTickValue,Permanent,Trigger,ObjectOverwrite)</f>
        <v>USDOIS16M_Quote#0000</v>
      </c>
      <c r="G23" s="159" t="str">
        <f>_xll.ohRangeRetrieveError(F23)</f>
        <v/>
      </c>
      <c r="H23" s="116"/>
      <c r="J23" s="27"/>
      <c r="K23" s="30"/>
      <c r="L23" s="195" t="s">
        <v>122</v>
      </c>
      <c r="M23" s="128" t="s">
        <v>107</v>
      </c>
      <c r="N23" s="129" t="str">
        <f t="shared" si="1"/>
        <v>USD16MOIS</v>
      </c>
      <c r="O23" s="129" t="str">
        <v>USD16MOIS=TTKL</v>
      </c>
      <c r="P23" s="392">
        <v>0.45999999999999996</v>
      </c>
      <c r="Q23" s="392">
        <v>0.49000000000000005</v>
      </c>
      <c r="R23" s="36">
        <f t="shared" si="3"/>
        <v>0.47499999999999998</v>
      </c>
      <c r="S23" s="36">
        <f t="shared" si="4"/>
        <v>3.0000000000000082E-2</v>
      </c>
      <c r="T23" s="140"/>
      <c r="U23" s="142">
        <v>0.47499999999999998</v>
      </c>
      <c r="V23" s="140"/>
      <c r="W23" s="36">
        <v>0.47499999999999998</v>
      </c>
      <c r="X23" s="133">
        <f>_xll.qlSimpleQuoteSetValue(F23,W23/100,Trigger)</f>
        <v>9.6999999999999994E-4</v>
      </c>
      <c r="Y23" s="28"/>
    </row>
    <row r="24" spans="1:25" x14ac:dyDescent="0.2">
      <c r="A24" s="27"/>
      <c r="B24" s="42"/>
      <c r="C24" s="42" t="s">
        <v>107</v>
      </c>
      <c r="D24" s="42" t="str">
        <f t="shared" si="2"/>
        <v>17M</v>
      </c>
      <c r="E24" s="58" t="str">
        <f t="shared" si="0"/>
        <v>USDOIS17M_Quote</v>
      </c>
      <c r="F24" s="42" t="str">
        <f>_xll.qlSimpleQuote(Currency&amp;$C24&amp;$D24&amp;QuoteSuffix,,RateTickValue,Permanent,Trigger,ObjectOverwrite)</f>
        <v>USDOIS17M_Quote#0000</v>
      </c>
      <c r="G24" s="159" t="str">
        <f>_xll.ohRangeRetrieveError(F24)</f>
        <v/>
      </c>
      <c r="H24" s="116"/>
      <c r="J24" s="27"/>
      <c r="K24" s="30"/>
      <c r="L24" s="195" t="s">
        <v>121</v>
      </c>
      <c r="M24" s="128" t="s">
        <v>107</v>
      </c>
      <c r="N24" s="129" t="str">
        <f t="shared" si="1"/>
        <v>USD17MOIS</v>
      </c>
      <c r="O24" s="129" t="str">
        <v>USD17MOIS=TTKL</v>
      </c>
      <c r="P24" s="392">
        <v>0.48299999999999998</v>
      </c>
      <c r="Q24" s="392">
        <v>0.51300000000000001</v>
      </c>
      <c r="R24" s="36">
        <f t="shared" si="3"/>
        <v>0.498</v>
      </c>
      <c r="S24" s="36">
        <f t="shared" si="4"/>
        <v>3.0000000000000027E-2</v>
      </c>
      <c r="T24" s="140"/>
      <c r="U24" s="142">
        <v>0.498</v>
      </c>
      <c r="V24" s="140"/>
      <c r="W24" s="36">
        <v>0.498</v>
      </c>
      <c r="X24" s="133">
        <f>_xll.qlSimpleQuoteSetValue(F24,W24/100,Trigger)</f>
        <v>1.0200000000000001E-3</v>
      </c>
      <c r="Y24" s="28"/>
    </row>
    <row r="25" spans="1:25" x14ac:dyDescent="0.2">
      <c r="A25" s="27"/>
      <c r="B25" s="42"/>
      <c r="C25" s="42" t="s">
        <v>107</v>
      </c>
      <c r="D25" s="42" t="str">
        <f t="shared" si="2"/>
        <v>18M</v>
      </c>
      <c r="E25" s="58" t="str">
        <f t="shared" si="0"/>
        <v>USDOIS18M_Quote</v>
      </c>
      <c r="F25" s="42" t="str">
        <f>_xll.qlSimpleQuote(Currency&amp;$C25&amp;$D25&amp;QuoteSuffix,,RateTickValue,Permanent,Trigger,ObjectOverwrite)</f>
        <v>USDOIS18M_Quote#0000</v>
      </c>
      <c r="G25" s="159" t="str">
        <f>_xll.ohRangeRetrieveError(F25)</f>
        <v/>
      </c>
      <c r="H25" s="116"/>
      <c r="J25" s="27"/>
      <c r="K25" s="30"/>
      <c r="L25" s="195" t="s">
        <v>96</v>
      </c>
      <c r="M25" s="128" t="s">
        <v>107</v>
      </c>
      <c r="N25" s="129" t="str">
        <f t="shared" si="1"/>
        <v>USD18MOIS</v>
      </c>
      <c r="O25" s="129" t="str">
        <v>USD18MOIS=TTKL</v>
      </c>
      <c r="P25" s="392">
        <v>0.505</v>
      </c>
      <c r="Q25" s="392">
        <v>0.53499999999999992</v>
      </c>
      <c r="R25" s="36">
        <f t="shared" si="3"/>
        <v>0.52</v>
      </c>
      <c r="S25" s="36">
        <f t="shared" si="4"/>
        <v>2.9999999999999916E-2</v>
      </c>
      <c r="T25" s="140"/>
      <c r="U25" s="142">
        <v>0.52</v>
      </c>
      <c r="V25" s="140"/>
      <c r="W25" s="36">
        <v>0.52</v>
      </c>
      <c r="X25" s="133">
        <f>_xll.qlSimpleQuoteSetValue(F25,W25/100,Trigger)</f>
        <v>1.0299999999999997E-3</v>
      </c>
      <c r="Y25" s="28"/>
    </row>
    <row r="26" spans="1:25" x14ac:dyDescent="0.2">
      <c r="A26" s="27"/>
      <c r="B26" s="42"/>
      <c r="C26" s="42" t="s">
        <v>107</v>
      </c>
      <c r="D26" s="42" t="str">
        <f t="shared" si="2"/>
        <v>19M</v>
      </c>
      <c r="E26" s="58" t="str">
        <f t="shared" si="0"/>
        <v>USDOIS19M_Quote</v>
      </c>
      <c r="F26" s="42" t="str">
        <f>_xll.qlSimpleQuote(Currency&amp;$C26&amp;$D26&amp;QuoteSuffix,,RateTickValue,Permanent,Trigger,ObjectOverwrite)</f>
        <v>USDOIS19M_Quote#0000</v>
      </c>
      <c r="G26" s="159" t="str">
        <f>_xll.ohRangeRetrieveError(F26)</f>
        <v/>
      </c>
      <c r="H26" s="116"/>
      <c r="J26" s="27"/>
      <c r="K26" s="30"/>
      <c r="L26" s="195" t="s">
        <v>120</v>
      </c>
      <c r="M26" s="128" t="s">
        <v>107</v>
      </c>
      <c r="N26" s="129" t="str">
        <f t="shared" si="1"/>
        <v>USD19MOIS</v>
      </c>
      <c r="O26" s="129" t="str">
        <v>USD19MOIS=TTKL</v>
      </c>
      <c r="P26" s="392">
        <v>0.52900000000000003</v>
      </c>
      <c r="Q26" s="392">
        <v>0.55899999999999994</v>
      </c>
      <c r="R26" s="36">
        <f t="shared" si="3"/>
        <v>0.54400000000000004</v>
      </c>
      <c r="S26" s="36">
        <f t="shared" si="4"/>
        <v>2.9999999999999916E-2</v>
      </c>
      <c r="T26" s="140"/>
      <c r="U26" s="142">
        <v>0.54400000000000004</v>
      </c>
      <c r="V26" s="140"/>
      <c r="W26" s="36">
        <v>0.54400000000000004</v>
      </c>
      <c r="X26" s="133">
        <f>_xll.qlSimpleQuoteSetValue(F26,W26/100,Trigger)</f>
        <v>1.0899999999999998E-3</v>
      </c>
      <c r="Y26" s="28"/>
    </row>
    <row r="27" spans="1:25" x14ac:dyDescent="0.2">
      <c r="A27" s="27"/>
      <c r="B27" s="42"/>
      <c r="C27" s="42" t="s">
        <v>107</v>
      </c>
      <c r="D27" s="42" t="str">
        <f t="shared" si="2"/>
        <v>20M</v>
      </c>
      <c r="E27" s="58" t="str">
        <f t="shared" si="0"/>
        <v>USDOIS20M_Quote</v>
      </c>
      <c r="F27" s="42" t="str">
        <f>_xll.qlSimpleQuote(Currency&amp;$C27&amp;$D27&amp;QuoteSuffix,,RateTickValue,Permanent,Trigger,ObjectOverwrite)</f>
        <v>USDOIS20M_Quote#0000</v>
      </c>
      <c r="G27" s="159" t="str">
        <f>_xll.ohRangeRetrieveError(F27)</f>
        <v/>
      </c>
      <c r="H27" s="116"/>
      <c r="J27" s="27"/>
      <c r="K27" s="30"/>
      <c r="L27" s="195" t="s">
        <v>119</v>
      </c>
      <c r="M27" s="128" t="s">
        <v>107</v>
      </c>
      <c r="N27" s="129" t="str">
        <f t="shared" si="1"/>
        <v>USD20MOIS</v>
      </c>
      <c r="O27" s="129" t="str">
        <v>USD20MOIS=TTKL</v>
      </c>
      <c r="P27" s="392">
        <v>0.55000000000000004</v>
      </c>
      <c r="Q27" s="392">
        <v>0.57999999999999996</v>
      </c>
      <c r="R27" s="36">
        <f t="shared" si="3"/>
        <v>0.56499999999999995</v>
      </c>
      <c r="S27" s="36">
        <f t="shared" si="4"/>
        <v>2.9999999999999916E-2</v>
      </c>
      <c r="T27" s="140"/>
      <c r="U27" s="142">
        <v>0.56499999999999995</v>
      </c>
      <c r="V27" s="140"/>
      <c r="W27" s="36">
        <v>0.56499999999999995</v>
      </c>
      <c r="X27" s="133">
        <f>_xll.qlSimpleQuoteSetValue(F27,W27/100,Trigger)</f>
        <v>1.0999999999999985E-3</v>
      </c>
      <c r="Y27" s="28"/>
    </row>
    <row r="28" spans="1:25" x14ac:dyDescent="0.2">
      <c r="A28" s="27"/>
      <c r="B28" s="42"/>
      <c r="C28" s="42" t="s">
        <v>107</v>
      </c>
      <c r="D28" s="42" t="str">
        <f t="shared" si="2"/>
        <v>21M</v>
      </c>
      <c r="E28" s="58" t="str">
        <f t="shared" si="0"/>
        <v>USDOIS21M_Quote</v>
      </c>
      <c r="F28" s="42" t="str">
        <f>_xll.qlSimpleQuote(Currency&amp;$C28&amp;$D28&amp;QuoteSuffix,,RateTickValue,Permanent,Trigger,ObjectOverwrite)</f>
        <v>USDOIS21M_Quote#0000</v>
      </c>
      <c r="G28" s="159" t="str">
        <f>_xll.ohRangeRetrieveError(F28)</f>
        <v/>
      </c>
      <c r="H28" s="116"/>
      <c r="J28" s="27"/>
      <c r="K28" s="30"/>
      <c r="L28" s="195" t="s">
        <v>95</v>
      </c>
      <c r="M28" s="128" t="s">
        <v>107</v>
      </c>
      <c r="N28" s="129" t="str">
        <f t="shared" si="1"/>
        <v>USD21MOIS</v>
      </c>
      <c r="O28" s="129" t="str">
        <v>USD21MOIS=TTKL</v>
      </c>
      <c r="P28" s="392">
        <v>0.57199999999999995</v>
      </c>
      <c r="Q28" s="392">
        <v>0.60199999999999998</v>
      </c>
      <c r="R28" s="36">
        <f t="shared" si="3"/>
        <v>0.58699999999999997</v>
      </c>
      <c r="S28" s="36">
        <f t="shared" si="4"/>
        <v>3.0000000000000027E-2</v>
      </c>
      <c r="T28" s="140"/>
      <c r="U28" s="142">
        <v>0.58699999999999997</v>
      </c>
      <c r="V28" s="140"/>
      <c r="W28" s="36">
        <v>0.58699999999999997</v>
      </c>
      <c r="X28" s="133">
        <f>_xll.qlSimpleQuoteSetValue(F28,W28/100,Trigger)</f>
        <v>1.1099999999999999E-3</v>
      </c>
      <c r="Y28" s="28"/>
    </row>
    <row r="29" spans="1:25" x14ac:dyDescent="0.2">
      <c r="A29" s="27"/>
      <c r="B29" s="42"/>
      <c r="C29" s="42" t="s">
        <v>107</v>
      </c>
      <c r="D29" s="42" t="str">
        <f t="shared" si="2"/>
        <v>22M</v>
      </c>
      <c r="E29" s="58" t="str">
        <f t="shared" si="0"/>
        <v>USDOIS22M_Quote</v>
      </c>
      <c r="F29" s="42" t="str">
        <f>_xll.qlSimpleQuote(Currency&amp;$C29&amp;$D29&amp;QuoteSuffix,,RateTickValue,Permanent,Trigger,ObjectOverwrite)</f>
        <v>USDOIS22M_Quote#0000</v>
      </c>
      <c r="G29" s="159" t="str">
        <f>_xll.ohRangeRetrieveError(F29)</f>
        <v/>
      </c>
      <c r="H29" s="116"/>
      <c r="J29" s="27"/>
      <c r="K29" s="30"/>
      <c r="L29" s="195" t="s">
        <v>118</v>
      </c>
      <c r="M29" s="128" t="s">
        <v>107</v>
      </c>
      <c r="N29" s="129" t="str">
        <f t="shared" si="1"/>
        <v>USD22MOIS</v>
      </c>
      <c r="O29" s="129" t="str">
        <v>USD22MOIS=TTKL</v>
      </c>
      <c r="P29" s="392">
        <v>0.59499999999999997</v>
      </c>
      <c r="Q29" s="392">
        <v>0.625</v>
      </c>
      <c r="R29" s="36">
        <f t="shared" si="3"/>
        <v>0.61</v>
      </c>
      <c r="S29" s="36">
        <f t="shared" si="4"/>
        <v>3.0000000000000027E-2</v>
      </c>
      <c r="T29" s="140"/>
      <c r="U29" s="142">
        <v>0.61</v>
      </c>
      <c r="V29" s="140"/>
      <c r="W29" s="36">
        <v>0.61</v>
      </c>
      <c r="X29" s="133">
        <f>_xll.qlSimpleQuoteSetValue(F29,W29/100,Trigger)</f>
        <v>1.1599999999999996E-3</v>
      </c>
      <c r="Y29" s="28"/>
    </row>
    <row r="30" spans="1:25" x14ac:dyDescent="0.2">
      <c r="A30" s="27"/>
      <c r="B30" s="42"/>
      <c r="C30" s="42" t="s">
        <v>107</v>
      </c>
      <c r="D30" s="42" t="str">
        <f t="shared" si="2"/>
        <v>23M</v>
      </c>
      <c r="E30" s="58" t="str">
        <f t="shared" si="0"/>
        <v>USDOIS23M_Quote</v>
      </c>
      <c r="F30" s="42" t="str">
        <f>_xll.qlSimpleQuote(Currency&amp;$C30&amp;$D30&amp;QuoteSuffix,,RateTickValue,Permanent,Trigger,ObjectOverwrite)</f>
        <v>USDOIS23M_Quote#0000</v>
      </c>
      <c r="G30" s="159" t="str">
        <f>_xll.ohRangeRetrieveError(F30)</f>
        <v/>
      </c>
      <c r="H30" s="116"/>
      <c r="J30" s="27"/>
      <c r="K30" s="30"/>
      <c r="L30" s="195" t="s">
        <v>117</v>
      </c>
      <c r="M30" s="128" t="s">
        <v>107</v>
      </c>
      <c r="N30" s="129" t="str">
        <f t="shared" si="1"/>
        <v>USD23MOIS</v>
      </c>
      <c r="O30" s="129" t="str">
        <v>USD23MOIS=TTKL</v>
      </c>
      <c r="P30" s="392">
        <v>0.61499999999999999</v>
      </c>
      <c r="Q30" s="392">
        <v>0.64500000000000002</v>
      </c>
      <c r="R30" s="36">
        <f t="shared" si="3"/>
        <v>0.63</v>
      </c>
      <c r="S30" s="36">
        <f t="shared" si="4"/>
        <v>3.0000000000000027E-2</v>
      </c>
      <c r="T30" s="140"/>
      <c r="U30" s="142">
        <v>0.63</v>
      </c>
      <c r="V30" s="140"/>
      <c r="W30" s="36">
        <v>0.63</v>
      </c>
      <c r="X30" s="133">
        <f>_xll.qlSimpleQuoteSetValue(F30,W30/100,Trigger)</f>
        <v>1.1599999999999996E-3</v>
      </c>
      <c r="Y30" s="28"/>
    </row>
    <row r="31" spans="1:25" x14ac:dyDescent="0.2">
      <c r="A31" s="27"/>
      <c r="B31" s="42"/>
      <c r="C31" s="42" t="s">
        <v>107</v>
      </c>
      <c r="D31" s="42" t="str">
        <f t="shared" si="2"/>
        <v>2Y</v>
      </c>
      <c r="E31" s="58" t="str">
        <f t="shared" si="0"/>
        <v>USDOIS2Y_Quote</v>
      </c>
      <c r="F31" s="42" t="str">
        <f>_xll.qlSimpleQuote(Currency&amp;$C31&amp;$D31&amp;QuoteSuffix,,RateTickValue,Permanent,Trigger,ObjectOverwrite)</f>
        <v>USDOIS2Y_Quote#0000</v>
      </c>
      <c r="G31" s="159" t="str">
        <f>_xll.ohRangeRetrieveError(F31)</f>
        <v/>
      </c>
      <c r="H31" s="116"/>
      <c r="J31" s="27"/>
      <c r="K31" s="30"/>
      <c r="L31" s="195" t="s">
        <v>84</v>
      </c>
      <c r="M31" s="128" t="s">
        <v>107</v>
      </c>
      <c r="N31" s="129" t="str">
        <f t="shared" si="1"/>
        <v>USD2YOIS</v>
      </c>
      <c r="O31" s="129" t="str">
        <v>USD2YOIS=TTKL</v>
      </c>
      <c r="P31" s="392">
        <v>0.63700000000000001</v>
      </c>
      <c r="Q31" s="392">
        <v>0.66700000000000004</v>
      </c>
      <c r="R31" s="36">
        <f t="shared" si="3"/>
        <v>0.65200000000000002</v>
      </c>
      <c r="S31" s="36">
        <f t="shared" si="4"/>
        <v>3.0000000000000027E-2</v>
      </c>
      <c r="T31" s="140"/>
      <c r="U31" s="142">
        <v>0.65200000000000002</v>
      </c>
      <c r="V31" s="140"/>
      <c r="W31" s="36">
        <v>0.65200000000000002</v>
      </c>
      <c r="X31" s="133">
        <f>_xll.qlSimpleQuoteSetValue(F31,W31/100,Trigger)</f>
        <v>1.1800000000000005E-3</v>
      </c>
      <c r="Y31" s="28"/>
    </row>
    <row r="32" spans="1:25" x14ac:dyDescent="0.2">
      <c r="A32" s="27"/>
      <c r="B32" s="42"/>
      <c r="C32" s="42" t="s">
        <v>107</v>
      </c>
      <c r="D32" s="42" t="str">
        <f t="shared" si="2"/>
        <v>27M</v>
      </c>
      <c r="E32" s="58" t="str">
        <f t="shared" si="0"/>
        <v>USDOIS27M_Quote</v>
      </c>
      <c r="F32" s="42" t="str">
        <f>_xll.qlSimpleQuote(Currency&amp;$C32&amp;$D32&amp;QuoteSuffix,,RateTickValue,Permanent,Trigger,ObjectOverwrite)</f>
        <v>USDOIS27M_Quote#0000</v>
      </c>
      <c r="G32" s="159" t="str">
        <f>_xll.ohRangeRetrieveError(F32)</f>
        <v/>
      </c>
      <c r="H32" s="116"/>
      <c r="J32" s="27"/>
      <c r="K32" s="30"/>
      <c r="L32" s="195" t="s">
        <v>116</v>
      </c>
      <c r="M32" s="128" t="s">
        <v>107</v>
      </c>
      <c r="N32" s="129" t="str">
        <f t="shared" si="1"/>
        <v>USD27MOIS</v>
      </c>
      <c r="O32" s="129" t="str">
        <v>USD27MOIS=TTKL</v>
      </c>
      <c r="P32" s="392">
        <v>0.69199999999999995</v>
      </c>
      <c r="Q32" s="392">
        <v>0.74199999999999999</v>
      </c>
      <c r="R32" s="36">
        <f t="shared" si="3"/>
        <v>0.71699999999999997</v>
      </c>
      <c r="S32" s="36">
        <f t="shared" si="4"/>
        <v>5.0000000000000044E-2</v>
      </c>
      <c r="T32" s="140"/>
      <c r="U32" s="142">
        <v>0.71699999999999997</v>
      </c>
      <c r="V32" s="140"/>
      <c r="W32" s="36">
        <v>0.71699999999999997</v>
      </c>
      <c r="X32" s="133">
        <f>_xll.qlSimpleQuoteSetValue(F32,W32/100,Trigger)</f>
        <v>1.2699999999999986E-3</v>
      </c>
      <c r="Y32" s="28"/>
    </row>
    <row r="33" spans="1:25" x14ac:dyDescent="0.2">
      <c r="A33" s="27"/>
      <c r="B33" s="42"/>
      <c r="C33" s="42" t="s">
        <v>107</v>
      </c>
      <c r="D33" s="42" t="str">
        <f t="shared" si="2"/>
        <v>30M</v>
      </c>
      <c r="E33" s="58" t="str">
        <f t="shared" si="0"/>
        <v>USDOIS30M_Quote</v>
      </c>
      <c r="F33" s="42" t="str">
        <f>_xll.qlSimpleQuote(Currency&amp;$C33&amp;$D33&amp;QuoteSuffix,,RateTickValue,Permanent,Trigger,ObjectOverwrite)</f>
        <v>USDOIS30M_Quote#0000</v>
      </c>
      <c r="G33" s="159" t="str">
        <f>_xll.ohRangeRetrieveError(F33)</f>
        <v/>
      </c>
      <c r="H33" s="116"/>
      <c r="J33" s="27"/>
      <c r="K33" s="30"/>
      <c r="L33" s="195" t="s">
        <v>115</v>
      </c>
      <c r="M33" s="128" t="s">
        <v>107</v>
      </c>
      <c r="N33" s="129" t="str">
        <f t="shared" si="1"/>
        <v>USD30MOIS</v>
      </c>
      <c r="O33" s="129" t="str">
        <v>USD30MOIS=TTKL</v>
      </c>
      <c r="P33" s="392">
        <v>0.75</v>
      </c>
      <c r="Q33" s="392">
        <v>0.8</v>
      </c>
      <c r="R33" s="36">
        <f t="shared" si="3"/>
        <v>0.77500000000000002</v>
      </c>
      <c r="S33" s="36">
        <f t="shared" si="4"/>
        <v>5.0000000000000044E-2</v>
      </c>
      <c r="T33" s="140"/>
      <c r="U33" s="142">
        <v>0.77500000000000002</v>
      </c>
      <c r="V33" s="140"/>
      <c r="W33" s="36">
        <v>0.77500000000000002</v>
      </c>
      <c r="X33" s="133">
        <f>_xll.qlSimpleQuoteSetValue(F33,W33/100,Trigger)</f>
        <v>1.2899999999999995E-3</v>
      </c>
      <c r="Y33" s="28"/>
    </row>
    <row r="34" spans="1:25" x14ac:dyDescent="0.2">
      <c r="A34" s="27"/>
      <c r="B34" s="42"/>
      <c r="C34" s="42" t="s">
        <v>107</v>
      </c>
      <c r="D34" s="42" t="str">
        <f t="shared" si="2"/>
        <v>33M</v>
      </c>
      <c r="E34" s="58" t="str">
        <f t="shared" si="0"/>
        <v>USDOIS33M_Quote</v>
      </c>
      <c r="F34" s="42" t="str">
        <f>_xll.qlSimpleQuote(Currency&amp;$C34&amp;$D34&amp;QuoteSuffix,,RateTickValue,Permanent,Trigger,ObjectOverwrite)</f>
        <v>USDOIS33M_Quote#0000</v>
      </c>
      <c r="G34" s="159" t="str">
        <f>_xll.ohRangeRetrieveError(F34)</f>
        <v/>
      </c>
      <c r="H34" s="116"/>
      <c r="J34" s="27"/>
      <c r="K34" s="30"/>
      <c r="L34" s="195" t="s">
        <v>114</v>
      </c>
      <c r="M34" s="128" t="s">
        <v>107</v>
      </c>
      <c r="N34" s="129" t="str">
        <f t="shared" si="1"/>
        <v>USD33MOIS</v>
      </c>
      <c r="O34" s="129" t="str">
        <v>USD33MOIS=TTKL</v>
      </c>
      <c r="P34" s="392">
        <v>0.80899999999999994</v>
      </c>
      <c r="Q34" s="392">
        <v>0.85899999999999999</v>
      </c>
      <c r="R34" s="36">
        <f t="shared" si="3"/>
        <v>0.83399999999999996</v>
      </c>
      <c r="S34" s="36">
        <f t="shared" si="4"/>
        <v>5.0000000000000044E-2</v>
      </c>
      <c r="T34" s="140"/>
      <c r="U34" s="142">
        <v>0.83399999999999996</v>
      </c>
      <c r="V34" s="140"/>
      <c r="W34" s="36">
        <v>0.83399999999999996</v>
      </c>
      <c r="X34" s="133">
        <f>_xll.qlSimpleQuoteSetValue(F34,W34/100,Trigger)</f>
        <v>1.3200000000000009E-3</v>
      </c>
      <c r="Y34" s="28"/>
    </row>
    <row r="35" spans="1:25" x14ac:dyDescent="0.2">
      <c r="A35" s="27"/>
      <c r="B35" s="42"/>
      <c r="C35" s="42" t="s">
        <v>107</v>
      </c>
      <c r="D35" s="42" t="str">
        <f t="shared" si="2"/>
        <v>3Y</v>
      </c>
      <c r="E35" s="58" t="str">
        <f t="shared" si="0"/>
        <v>USDOIS3Y_Quote</v>
      </c>
      <c r="F35" s="42" t="str">
        <f>_xll.qlSimpleQuote(Currency&amp;$C35&amp;$D35&amp;QuoteSuffix,,RateTickValue,Permanent,Trigger,ObjectOverwrite)</f>
        <v>USDOIS3Y_Quote#0000</v>
      </c>
      <c r="G35" s="159" t="str">
        <f>_xll.ohRangeRetrieveError(F35)</f>
        <v/>
      </c>
      <c r="H35" s="116"/>
      <c r="J35" s="27"/>
      <c r="K35" s="30"/>
      <c r="L35" s="195" t="s">
        <v>83</v>
      </c>
      <c r="M35" s="128" t="s">
        <v>107</v>
      </c>
      <c r="N35" s="129" t="str">
        <f t="shared" si="1"/>
        <v>USD3YOIS</v>
      </c>
      <c r="O35" s="129" t="str">
        <v>USD3YOIS=TTKL</v>
      </c>
      <c r="P35" s="392">
        <v>0.86699999999999999</v>
      </c>
      <c r="Q35" s="392">
        <v>0.91700000000000004</v>
      </c>
      <c r="R35" s="36">
        <f t="shared" si="3"/>
        <v>0.89200000000000002</v>
      </c>
      <c r="S35" s="36">
        <f t="shared" si="4"/>
        <v>5.0000000000000044E-2</v>
      </c>
      <c r="T35" s="140"/>
      <c r="U35" s="142">
        <v>0.89200000000000002</v>
      </c>
      <c r="V35" s="140"/>
      <c r="W35" s="36">
        <v>0.89200000000000002</v>
      </c>
      <c r="X35" s="133">
        <f>_xll.qlSimpleQuoteSetValue(F35,W35/100,Trigger)</f>
        <v>1.360000000000001E-3</v>
      </c>
      <c r="Y35" s="28"/>
    </row>
    <row r="36" spans="1:25" x14ac:dyDescent="0.2">
      <c r="A36" s="27"/>
      <c r="B36" s="42"/>
      <c r="C36" s="42" t="s">
        <v>107</v>
      </c>
      <c r="D36" s="42" t="str">
        <f t="shared" si="2"/>
        <v>39M</v>
      </c>
      <c r="E36" s="58" t="str">
        <f t="shared" si="0"/>
        <v>USDOIS39M_Quote</v>
      </c>
      <c r="F36" s="42" t="str">
        <f>_xll.qlSimpleQuote(Currency&amp;$C36&amp;$D36&amp;QuoteSuffix,,RateTickValue,Permanent,Trigger,ObjectOverwrite)</f>
        <v>USDOIS39M_Quote#0000</v>
      </c>
      <c r="G36" s="159" t="str">
        <f>_xll.ohRangeRetrieveError(F36)</f>
        <v/>
      </c>
      <c r="H36" s="116"/>
      <c r="J36" s="27"/>
      <c r="K36" s="30"/>
      <c r="L36" s="195" t="s">
        <v>113</v>
      </c>
      <c r="M36" s="128" t="s">
        <v>107</v>
      </c>
      <c r="N36" s="129" t="str">
        <f t="shared" si="1"/>
        <v>USD39MOIS</v>
      </c>
      <c r="O36" s="129" t="str">
        <v>USD39MOIS=TTKL</v>
      </c>
      <c r="P36" s="392">
        <v>0.92200000000000004</v>
      </c>
      <c r="Q36" s="392">
        <v>0.97200000000000009</v>
      </c>
      <c r="R36" s="36">
        <f t="shared" si="3"/>
        <v>0.94700000000000006</v>
      </c>
      <c r="S36" s="36">
        <f t="shared" si="4"/>
        <v>5.0000000000000044E-2</v>
      </c>
      <c r="T36" s="140"/>
      <c r="U36" s="142">
        <v>0.94700000000000006</v>
      </c>
      <c r="V36" s="140"/>
      <c r="W36" s="36">
        <v>0.94700000000000006</v>
      </c>
      <c r="X36" s="133">
        <f>_xll.qlSimpleQuoteSetValue(F36,W36/100,Trigger)</f>
        <v>1.380000000000001E-3</v>
      </c>
      <c r="Y36" s="28"/>
    </row>
    <row r="37" spans="1:25" x14ac:dyDescent="0.2">
      <c r="A37" s="27"/>
      <c r="B37" s="42"/>
      <c r="C37" s="42" t="s">
        <v>107</v>
      </c>
      <c r="D37" s="42" t="str">
        <f t="shared" si="2"/>
        <v>42M</v>
      </c>
      <c r="E37" s="58" t="str">
        <f t="shared" ref="E37:E58" si="5">Currency&amp;$C37&amp;$D37&amp;QuoteSuffix</f>
        <v>USDOIS42M_Quote</v>
      </c>
      <c r="F37" s="42" t="str">
        <f>_xll.qlSimpleQuote(Currency&amp;$C37&amp;$D37&amp;QuoteSuffix,,RateTickValue,Permanent,Trigger,ObjectOverwrite)</f>
        <v>USDOIS42M_Quote#0000</v>
      </c>
      <c r="G37" s="159" t="str">
        <f>_xll.ohRangeRetrieveError(F37)</f>
        <v/>
      </c>
      <c r="H37" s="116"/>
      <c r="J37" s="27"/>
      <c r="K37" s="30"/>
      <c r="L37" s="195" t="s">
        <v>112</v>
      </c>
      <c r="M37" s="128" t="s">
        <v>107</v>
      </c>
      <c r="N37" s="129" t="str">
        <f t="shared" ref="N37:N58" si="6">Currency&amp;$L37&amp;$M37</f>
        <v>USD42MOIS</v>
      </c>
      <c r="O37" s="129" t="str">
        <v>USD42MOIS=TTKL</v>
      </c>
      <c r="P37" s="392">
        <v>0.96699999999999997</v>
      </c>
      <c r="Q37" s="392">
        <v>1.0169999999999999</v>
      </c>
      <c r="R37" s="36">
        <f t="shared" si="3"/>
        <v>0.99199999999999999</v>
      </c>
      <c r="S37" s="36">
        <f t="shared" si="4"/>
        <v>4.9999999999999933E-2</v>
      </c>
      <c r="T37" s="140"/>
      <c r="U37" s="142">
        <v>0.99199999999999999</v>
      </c>
      <c r="V37" s="140"/>
      <c r="W37" s="36">
        <v>0.99199999999999999</v>
      </c>
      <c r="X37" s="133">
        <f>_xll.qlSimpleQuoteSetValue(F37,W37/100,Trigger)</f>
        <v>1.2799999999999982E-3</v>
      </c>
      <c r="Y37" s="28"/>
    </row>
    <row r="38" spans="1:25" x14ac:dyDescent="0.2">
      <c r="A38" s="27"/>
      <c r="B38" s="42"/>
      <c r="C38" s="42" t="s">
        <v>107</v>
      </c>
      <c r="D38" s="42" t="str">
        <f t="shared" si="2"/>
        <v>45M</v>
      </c>
      <c r="E38" s="58" t="str">
        <f t="shared" si="5"/>
        <v>USDOIS45M_Quote</v>
      </c>
      <c r="F38" s="42" t="str">
        <f>_xll.qlSimpleQuote(Currency&amp;$C38&amp;$D38&amp;QuoteSuffix,,RateTickValue,Permanent,Trigger,ObjectOverwrite)</f>
        <v>USDOIS45M_Quote#0000</v>
      </c>
      <c r="G38" s="159" t="str">
        <f>_xll.ohRangeRetrieveError(F38)</f>
        <v/>
      </c>
      <c r="H38" s="116"/>
      <c r="J38" s="27"/>
      <c r="K38" s="30"/>
      <c r="L38" s="195" t="s">
        <v>111</v>
      </c>
      <c r="M38" s="128" t="s">
        <v>107</v>
      </c>
      <c r="N38" s="129" t="str">
        <f t="shared" si="6"/>
        <v>USD45MOIS</v>
      </c>
      <c r="O38" s="129" t="str">
        <v>USD45MOIS=TTKL</v>
      </c>
      <c r="P38" s="392">
        <v>1.0229999999999999</v>
      </c>
      <c r="Q38" s="392">
        <v>1.073</v>
      </c>
      <c r="R38" s="36">
        <f t="shared" si="3"/>
        <v>1.048</v>
      </c>
      <c r="S38" s="36">
        <f t="shared" si="4"/>
        <v>5.0000000000000044E-2</v>
      </c>
      <c r="T38" s="140"/>
      <c r="U38" s="142">
        <v>1.048</v>
      </c>
      <c r="V38" s="140"/>
      <c r="W38" s="36">
        <v>1.048</v>
      </c>
      <c r="X38" s="133">
        <f>_xll.qlSimpleQuoteSetValue(F38,W38/100,Trigger)</f>
        <v>1.3600000000000001E-3</v>
      </c>
      <c r="Y38" s="28"/>
    </row>
    <row r="39" spans="1:25" x14ac:dyDescent="0.2">
      <c r="A39" s="27"/>
      <c r="B39" s="42"/>
      <c r="C39" s="42" t="s">
        <v>107</v>
      </c>
      <c r="D39" s="42" t="str">
        <f t="shared" si="2"/>
        <v>4Y</v>
      </c>
      <c r="E39" s="58" t="str">
        <f t="shared" si="5"/>
        <v>USDOIS4Y_Quote</v>
      </c>
      <c r="F39" s="42" t="str">
        <f>_xll.qlSimpleQuote(Currency&amp;$C39&amp;$D39&amp;QuoteSuffix,,RateTickValue,Permanent,Trigger,ObjectOverwrite)</f>
        <v>USDOIS4Y_Quote#0000</v>
      </c>
      <c r="G39" s="159" t="str">
        <f>_xll.ohRangeRetrieveError(F39)</f>
        <v/>
      </c>
      <c r="H39" s="116"/>
      <c r="J39" s="27"/>
      <c r="K39" s="30"/>
      <c r="L39" s="195" t="s">
        <v>82</v>
      </c>
      <c r="M39" s="128" t="s">
        <v>107</v>
      </c>
      <c r="N39" s="129" t="str">
        <f t="shared" si="6"/>
        <v>USD4YOIS</v>
      </c>
      <c r="O39" s="129" t="str">
        <v>USD4YOIS=TTKL</v>
      </c>
      <c r="P39" s="392">
        <v>1.0660000000000001</v>
      </c>
      <c r="Q39" s="392">
        <v>1.1160000000000001</v>
      </c>
      <c r="R39" s="36">
        <f t="shared" si="3"/>
        <v>1.0910000000000002</v>
      </c>
      <c r="S39" s="36">
        <f t="shared" si="4"/>
        <v>5.0000000000000044E-2</v>
      </c>
      <c r="T39" s="140"/>
      <c r="U39" s="142">
        <v>1.0910000000000002</v>
      </c>
      <c r="V39" s="140"/>
      <c r="W39" s="36">
        <v>1.0910000000000002</v>
      </c>
      <c r="X39" s="133">
        <f>_xll.qlSimpleQuoteSetValue(F39,W39/100,Trigger)</f>
        <v>1.2300000000000019E-3</v>
      </c>
      <c r="Y39" s="28"/>
    </row>
    <row r="40" spans="1:25" x14ac:dyDescent="0.2">
      <c r="A40" s="27"/>
      <c r="B40" s="42"/>
      <c r="C40" s="42" t="s">
        <v>107</v>
      </c>
      <c r="D40" s="42" t="str">
        <f t="shared" si="2"/>
        <v>51M</v>
      </c>
      <c r="E40" s="58" t="str">
        <f t="shared" si="5"/>
        <v>USDOIS51M_Quote</v>
      </c>
      <c r="F40" s="42" t="str">
        <f>_xll.qlSimpleQuote(Currency&amp;$C40&amp;$D40&amp;QuoteSuffix,,RateTickValue,Permanent,Trigger,ObjectOverwrite)</f>
        <v>USDOIS51M_Quote#0000</v>
      </c>
      <c r="G40" s="159" t="str">
        <f>_xll.ohRangeRetrieveError(F40)</f>
        <v/>
      </c>
      <c r="H40" s="116"/>
      <c r="J40" s="27"/>
      <c r="K40" s="30"/>
      <c r="L40" s="195" t="s">
        <v>110</v>
      </c>
      <c r="M40" s="128" t="s">
        <v>107</v>
      </c>
      <c r="N40" s="129" t="str">
        <f t="shared" si="6"/>
        <v>USD51MOIS</v>
      </c>
      <c r="O40" s="129" t="str">
        <v>USD51MOIS=TTKL</v>
      </c>
      <c r="P40" s="392">
        <v>1.119</v>
      </c>
      <c r="Q40" s="392">
        <v>1.169</v>
      </c>
      <c r="R40" s="36">
        <f t="shared" si="3"/>
        <v>1.1440000000000001</v>
      </c>
      <c r="S40" s="36">
        <f t="shared" si="4"/>
        <v>5.0000000000000044E-2</v>
      </c>
      <c r="T40" s="140"/>
      <c r="U40" s="142">
        <v>1.1440000000000001</v>
      </c>
      <c r="V40" s="140"/>
      <c r="W40" s="36">
        <v>1.1440000000000001</v>
      </c>
      <c r="X40" s="133">
        <f>_xll.qlSimpleQuoteSetValue(F40,W40/100,Trigger)</f>
        <v>1.32E-3</v>
      </c>
      <c r="Y40" s="28"/>
    </row>
    <row r="41" spans="1:25" x14ac:dyDescent="0.2">
      <c r="A41" s="27"/>
      <c r="B41" s="42"/>
      <c r="C41" s="42" t="s">
        <v>107</v>
      </c>
      <c r="D41" s="42" t="str">
        <f t="shared" si="2"/>
        <v>54M</v>
      </c>
      <c r="E41" s="58" t="str">
        <f t="shared" si="5"/>
        <v>USDOIS54M_Quote</v>
      </c>
      <c r="F41" s="42" t="str">
        <f>_xll.qlSimpleQuote(Currency&amp;$C41&amp;$D41&amp;QuoteSuffix,,RateTickValue,Permanent,Trigger,ObjectOverwrite)</f>
        <v>USDOIS54M_Quote#0000</v>
      </c>
      <c r="G41" s="159" t="str">
        <f>_xll.ohRangeRetrieveError(F41)</f>
        <v/>
      </c>
      <c r="H41" s="116"/>
      <c r="J41" s="27"/>
      <c r="K41" s="30"/>
      <c r="L41" s="195" t="s">
        <v>109</v>
      </c>
      <c r="M41" s="128" t="s">
        <v>107</v>
      </c>
      <c r="N41" s="129" t="str">
        <f t="shared" si="6"/>
        <v>USD54MOIS</v>
      </c>
      <c r="O41" s="129" t="str">
        <v>USD54MOIS=TTKL</v>
      </c>
      <c r="P41" s="392">
        <v>1.1599999999999999</v>
      </c>
      <c r="Q41" s="392">
        <v>1.21</v>
      </c>
      <c r="R41" s="36">
        <f t="shared" si="3"/>
        <v>1.1850000000000001</v>
      </c>
      <c r="S41" s="36">
        <f t="shared" si="4"/>
        <v>5.0000000000000044E-2</v>
      </c>
      <c r="T41" s="140"/>
      <c r="U41" s="142">
        <v>1.1850000000000001</v>
      </c>
      <c r="V41" s="140"/>
      <c r="W41" s="36">
        <v>1.1850000000000001</v>
      </c>
      <c r="X41" s="133">
        <f>_xll.qlSimpleQuoteSetValue(F41,W41/100,Trigger)</f>
        <v>1.1799999999999988E-3</v>
      </c>
      <c r="Y41" s="28"/>
    </row>
    <row r="42" spans="1:25" x14ac:dyDescent="0.2">
      <c r="A42" s="27"/>
      <c r="B42" s="42"/>
      <c r="C42" s="42" t="s">
        <v>107</v>
      </c>
      <c r="D42" s="42" t="str">
        <f t="shared" si="2"/>
        <v>57M</v>
      </c>
      <c r="E42" s="58" t="str">
        <f t="shared" si="5"/>
        <v>USDOIS57M_Quote</v>
      </c>
      <c r="F42" s="42" t="str">
        <f>_xll.qlSimpleQuote(Currency&amp;$C42&amp;$D42&amp;QuoteSuffix,,RateTickValue,Permanent,Trigger,ObjectOverwrite)</f>
        <v>USDOIS57M_Quote#0000</v>
      </c>
      <c r="G42" s="159" t="str">
        <f>_xll.ohRangeRetrieveError(F42)</f>
        <v/>
      </c>
      <c r="H42" s="116"/>
      <c r="J42" s="27"/>
      <c r="K42" s="30"/>
      <c r="L42" s="195" t="s">
        <v>108</v>
      </c>
      <c r="M42" s="128" t="s">
        <v>107</v>
      </c>
      <c r="N42" s="129" t="str">
        <f t="shared" si="6"/>
        <v>USD57MOIS</v>
      </c>
      <c r="O42" s="129" t="str">
        <v>USD57MOIS=TTKL</v>
      </c>
      <c r="P42" s="392">
        <v>1.208</v>
      </c>
      <c r="Q42" s="392">
        <v>1.258</v>
      </c>
      <c r="R42" s="36">
        <f t="shared" si="3"/>
        <v>1.2330000000000001</v>
      </c>
      <c r="S42" s="36">
        <f t="shared" si="4"/>
        <v>5.0000000000000044E-2</v>
      </c>
      <c r="T42" s="140"/>
      <c r="U42" s="142">
        <v>1.2330000000000001</v>
      </c>
      <c r="V42" s="140"/>
      <c r="W42" s="36">
        <v>1.2330000000000001</v>
      </c>
      <c r="X42" s="133">
        <f>_xll.qlSimpleQuoteSetValue(F42,W42/100,Trigger)</f>
        <v>1.259999999999999E-3</v>
      </c>
      <c r="Y42" s="28"/>
    </row>
    <row r="43" spans="1:25" x14ac:dyDescent="0.2">
      <c r="A43" s="27"/>
      <c r="B43" s="42"/>
      <c r="C43" s="42" t="s">
        <v>107</v>
      </c>
      <c r="D43" s="42" t="str">
        <f t="shared" si="2"/>
        <v>5Y</v>
      </c>
      <c r="E43" s="58" t="str">
        <f t="shared" si="5"/>
        <v>USDOIS5Y_Quote</v>
      </c>
      <c r="F43" s="42" t="str">
        <f>_xll.qlSimpleQuote(Currency&amp;$C43&amp;$D43&amp;QuoteSuffix,,RateTickValue,Permanent,Trigger,ObjectOverwrite)</f>
        <v>USDOIS5Y_Quote#0000</v>
      </c>
      <c r="G43" s="159" t="str">
        <f>_xll.ohRangeRetrieveError(F43)</f>
        <v/>
      </c>
      <c r="H43" s="116"/>
      <c r="J43" s="27"/>
      <c r="K43" s="30"/>
      <c r="L43" s="195" t="s">
        <v>81</v>
      </c>
      <c r="M43" s="128" t="s">
        <v>107</v>
      </c>
      <c r="N43" s="129" t="str">
        <f t="shared" si="6"/>
        <v>USD5YOIS</v>
      </c>
      <c r="O43" s="129" t="str">
        <v>USD5YOIS=TTKL</v>
      </c>
      <c r="P43" s="392">
        <v>1.25</v>
      </c>
      <c r="Q43" s="392">
        <v>1.3</v>
      </c>
      <c r="R43" s="36">
        <f t="shared" si="3"/>
        <v>1.2749999999999999</v>
      </c>
      <c r="S43" s="36">
        <f t="shared" si="4"/>
        <v>5.0000000000000044E-2</v>
      </c>
      <c r="T43" s="140"/>
      <c r="U43" s="142">
        <v>1.2749999999999999</v>
      </c>
      <c r="V43" s="140"/>
      <c r="W43" s="36">
        <v>1.2749999999999999</v>
      </c>
      <c r="X43" s="133">
        <f>_xll.qlSimpleQuoteSetValue(F43,W43/100,Trigger)</f>
        <v>1.0999999999999985E-3</v>
      </c>
      <c r="Y43" s="28"/>
    </row>
    <row r="44" spans="1:25" x14ac:dyDescent="0.2">
      <c r="A44" s="27"/>
      <c r="B44" s="42"/>
      <c r="C44" s="42" t="s">
        <v>107</v>
      </c>
      <c r="D44" s="42" t="str">
        <f t="shared" si="2"/>
        <v>6Y</v>
      </c>
      <c r="E44" s="58" t="str">
        <f t="shared" si="5"/>
        <v>USDOIS6Y_Quote</v>
      </c>
      <c r="F44" s="42" t="str">
        <f>_xll.qlSimpleQuote(Currency&amp;$C44&amp;$D44&amp;QuoteSuffix,,RateTickValue,Permanent,Trigger,ObjectOverwrite)</f>
        <v>USDOIS6Y_Quote#0000</v>
      </c>
      <c r="G44" s="159" t="str">
        <f>_xll.ohRangeRetrieveError(F44)</f>
        <v/>
      </c>
      <c r="H44" s="116"/>
      <c r="J44" s="27"/>
      <c r="K44" s="30"/>
      <c r="L44" s="195" t="s">
        <v>80</v>
      </c>
      <c r="M44" s="128" t="s">
        <v>107</v>
      </c>
      <c r="N44" s="129" t="str">
        <f t="shared" si="6"/>
        <v>USD6YOIS</v>
      </c>
      <c r="O44" s="129" t="str">
        <v>USD6YOIS=TTKL</v>
      </c>
      <c r="P44" s="392">
        <v>1.4079999999999999</v>
      </c>
      <c r="Q44" s="392">
        <v>1.458</v>
      </c>
      <c r="R44" s="36">
        <f t="shared" si="3"/>
        <v>1.4329999999999998</v>
      </c>
      <c r="S44" s="36">
        <f t="shared" si="4"/>
        <v>5.0000000000000044E-2</v>
      </c>
      <c r="T44" s="140"/>
      <c r="U44" s="142">
        <v>1.4329999999999998</v>
      </c>
      <c r="V44" s="140"/>
      <c r="W44" s="36">
        <v>1.4329999999999998</v>
      </c>
      <c r="X44" s="133">
        <f>_xll.qlSimpleQuoteSetValue(F44,W44/100,Trigger)</f>
        <v>9.9999999999999742E-4</v>
      </c>
      <c r="Y44" s="28"/>
    </row>
    <row r="45" spans="1:25" x14ac:dyDescent="0.2">
      <c r="A45" s="27"/>
      <c r="B45" s="42"/>
      <c r="C45" s="42" t="s">
        <v>107</v>
      </c>
      <c r="D45" s="42" t="str">
        <f t="shared" si="2"/>
        <v>7Y</v>
      </c>
      <c r="E45" s="58" t="str">
        <f t="shared" si="5"/>
        <v>USDOIS7Y_Quote</v>
      </c>
      <c r="F45" s="42" t="str">
        <f>_xll.qlSimpleQuote(Currency&amp;$C45&amp;$D45&amp;QuoteSuffix,,RateTickValue,Permanent,Trigger,ObjectOverwrite)</f>
        <v>USDOIS7Y_Quote#0000</v>
      </c>
      <c r="G45" s="159" t="str">
        <f>_xll.ohRangeRetrieveError(F45)</f>
        <v/>
      </c>
      <c r="H45" s="116"/>
      <c r="J45" s="27"/>
      <c r="K45" s="30"/>
      <c r="L45" s="195" t="s">
        <v>79</v>
      </c>
      <c r="M45" s="128" t="s">
        <v>107</v>
      </c>
      <c r="N45" s="129" t="str">
        <f t="shared" si="6"/>
        <v>USD7YOIS</v>
      </c>
      <c r="O45" s="129" t="str">
        <v>USD7YOIS=TTKL</v>
      </c>
      <c r="P45" s="392">
        <v>1.536</v>
      </c>
      <c r="Q45" s="392">
        <v>1.5860000000000001</v>
      </c>
      <c r="R45" s="36">
        <f t="shared" si="3"/>
        <v>1.5609999999999999</v>
      </c>
      <c r="S45" s="36">
        <f t="shared" si="4"/>
        <v>5.0000000000000044E-2</v>
      </c>
      <c r="T45" s="140"/>
      <c r="U45" s="142">
        <v>1.5609999999999999</v>
      </c>
      <c r="V45" s="140"/>
      <c r="W45" s="36">
        <v>1.5609999999999999</v>
      </c>
      <c r="X45" s="133">
        <f>_xll.qlSimpleQuoteSetValue(F45,W45/100,Trigger)</f>
        <v>7.6999999999999985E-4</v>
      </c>
      <c r="Y45" s="28"/>
    </row>
    <row r="46" spans="1:25" x14ac:dyDescent="0.2">
      <c r="A46" s="27"/>
      <c r="B46" s="42"/>
      <c r="C46" s="42" t="s">
        <v>107</v>
      </c>
      <c r="D46" s="42" t="str">
        <f t="shared" si="2"/>
        <v>8Y</v>
      </c>
      <c r="E46" s="58" t="str">
        <f t="shared" si="5"/>
        <v>USDOIS8Y_Quote</v>
      </c>
      <c r="F46" s="42" t="str">
        <f>_xll.qlSimpleQuote(Currency&amp;$C46&amp;$D46&amp;QuoteSuffix,,RateTickValue,Permanent,Trigger,ObjectOverwrite)</f>
        <v>USDOIS8Y_Quote#0000</v>
      </c>
      <c r="G46" s="159" t="str">
        <f>_xll.ohRangeRetrieveError(F46)</f>
        <v/>
      </c>
      <c r="H46" s="116"/>
      <c r="J46" s="27"/>
      <c r="K46" s="30"/>
      <c r="L46" s="195" t="s">
        <v>78</v>
      </c>
      <c r="M46" s="128" t="s">
        <v>107</v>
      </c>
      <c r="N46" s="129" t="str">
        <f t="shared" si="6"/>
        <v>USD8YOIS</v>
      </c>
      <c r="O46" s="129" t="str">
        <v>USD8YOIS=TTKL</v>
      </c>
      <c r="P46" s="392">
        <v>1.645</v>
      </c>
      <c r="Q46" s="392">
        <v>1.6950000000000001</v>
      </c>
      <c r="R46" s="36">
        <f t="shared" si="3"/>
        <v>1.67</v>
      </c>
      <c r="S46" s="36">
        <f t="shared" si="4"/>
        <v>5.0000000000000044E-2</v>
      </c>
      <c r="T46" s="140"/>
      <c r="U46" s="142">
        <v>1.67</v>
      </c>
      <c r="V46" s="140"/>
      <c r="W46" s="36">
        <v>1.67</v>
      </c>
      <c r="X46" s="133">
        <f>_xll.qlSimpleQuoteSetValue(F46,W46/100,Trigger)</f>
        <v>5.8999999999999678E-4</v>
      </c>
      <c r="Y46" s="28"/>
    </row>
    <row r="47" spans="1:25" x14ac:dyDescent="0.2">
      <c r="A47" s="27"/>
      <c r="B47" s="42"/>
      <c r="C47" s="42" t="s">
        <v>107</v>
      </c>
      <c r="D47" s="42" t="str">
        <f t="shared" si="2"/>
        <v>9Y</v>
      </c>
      <c r="E47" s="58" t="str">
        <f t="shared" si="5"/>
        <v>USDOIS9Y_Quote</v>
      </c>
      <c r="F47" s="42" t="str">
        <f>_xll.qlSimpleQuote(Currency&amp;$C47&amp;$D47&amp;QuoteSuffix,,RateTickValue,Permanent,Trigger,ObjectOverwrite)</f>
        <v>USDOIS9Y_Quote#0000</v>
      </c>
      <c r="G47" s="159" t="str">
        <f>_xll.ohRangeRetrieveError(F47)</f>
        <v/>
      </c>
      <c r="H47" s="116"/>
      <c r="J47" s="27"/>
      <c r="K47" s="30"/>
      <c r="L47" s="195" t="s">
        <v>77</v>
      </c>
      <c r="M47" s="128" t="s">
        <v>107</v>
      </c>
      <c r="N47" s="129" t="str">
        <f t="shared" si="6"/>
        <v>USD9YOIS</v>
      </c>
      <c r="O47" s="129" t="str">
        <v>USD9YOIS=TTKL</v>
      </c>
      <c r="P47" s="392">
        <v>1.738</v>
      </c>
      <c r="Q47" s="392">
        <v>1.788</v>
      </c>
      <c r="R47" s="36">
        <f t="shared" si="3"/>
        <v>1.7629999999999999</v>
      </c>
      <c r="S47" s="36">
        <f t="shared" si="4"/>
        <v>5.0000000000000044E-2</v>
      </c>
      <c r="T47" s="140"/>
      <c r="U47" s="142">
        <v>1.7629999999999999</v>
      </c>
      <c r="V47" s="140"/>
      <c r="W47" s="36">
        <v>1.7629999999999999</v>
      </c>
      <c r="X47" s="133">
        <f>_xll.qlSimpleQuoteSetValue(F47,W47/100,Trigger)</f>
        <v>4.4000000000000289E-4</v>
      </c>
      <c r="Y47" s="28"/>
    </row>
    <row r="48" spans="1:25" x14ac:dyDescent="0.2">
      <c r="A48" s="27"/>
      <c r="B48" s="42"/>
      <c r="C48" s="42" t="s">
        <v>107</v>
      </c>
      <c r="D48" s="42" t="str">
        <f t="shared" si="2"/>
        <v>10Y</v>
      </c>
      <c r="E48" s="58" t="str">
        <f t="shared" si="5"/>
        <v>USDOIS10Y_Quote</v>
      </c>
      <c r="F48" s="42" t="str">
        <f>_xll.qlSimpleQuote(Currency&amp;$C48&amp;$D48&amp;QuoteSuffix,,RateTickValue,Permanent,Trigger,ObjectOverwrite)</f>
        <v>USDOIS10Y_Quote#0000</v>
      </c>
      <c r="G48" s="159" t="str">
        <f>_xll.ohRangeRetrieveError(F48)</f>
        <v/>
      </c>
      <c r="H48" s="116"/>
      <c r="J48" s="27"/>
      <c r="K48" s="30"/>
      <c r="L48" s="195" t="s">
        <v>76</v>
      </c>
      <c r="M48" s="128" t="s">
        <v>107</v>
      </c>
      <c r="N48" s="129" t="str">
        <f t="shared" si="6"/>
        <v>USD10YOIS</v>
      </c>
      <c r="O48" s="129" t="str">
        <v>USD10YOIS=TTKL</v>
      </c>
      <c r="P48" s="392">
        <v>1.81</v>
      </c>
      <c r="Q48" s="392">
        <v>1.8599999999999999</v>
      </c>
      <c r="R48" s="36">
        <f t="shared" si="3"/>
        <v>1.835</v>
      </c>
      <c r="S48" s="36">
        <f t="shared" si="4"/>
        <v>4.9999999999999822E-2</v>
      </c>
      <c r="T48" s="140"/>
      <c r="U48" s="142">
        <v>1.835</v>
      </c>
      <c r="V48" s="140"/>
      <c r="W48" s="36">
        <v>1.835</v>
      </c>
      <c r="X48" s="133">
        <f>_xll.qlSimpleQuoteSetValue(F48,W48/100,Trigger)</f>
        <v>2.3000000000000104E-4</v>
      </c>
      <c r="Y48" s="28"/>
    </row>
    <row r="49" spans="1:25" x14ac:dyDescent="0.2">
      <c r="A49" s="27"/>
      <c r="B49" s="42"/>
      <c r="C49" s="42" t="s">
        <v>107</v>
      </c>
      <c r="D49" s="42" t="str">
        <f t="shared" si="2"/>
        <v>12Y</v>
      </c>
      <c r="E49" s="58" t="str">
        <f t="shared" si="5"/>
        <v>USDOIS12Y_Quote</v>
      </c>
      <c r="F49" s="42" t="str">
        <f>_xll.qlSimpleQuote(Currency&amp;$C49&amp;$D49&amp;QuoteSuffix,,RateTickValue,Permanent,Trigger,ObjectOverwrite)</f>
        <v>USDOIS12Y_Quote#0000</v>
      </c>
      <c r="G49" s="159" t="str">
        <f>_xll.ohRangeRetrieveError(F49)</f>
        <v/>
      </c>
      <c r="H49" s="116"/>
      <c r="J49" s="27"/>
      <c r="K49" s="30"/>
      <c r="L49" s="195" t="s">
        <v>74</v>
      </c>
      <c r="M49" s="128" t="s">
        <v>107</v>
      </c>
      <c r="N49" s="129" t="str">
        <f t="shared" si="6"/>
        <v>USD12YOIS</v>
      </c>
      <c r="O49" s="129" t="str">
        <v>USD12YOIS=TTKL</v>
      </c>
      <c r="P49" s="392">
        <v>1.9369999999999998</v>
      </c>
      <c r="Q49" s="392">
        <v>1.9869999999999999</v>
      </c>
      <c r="R49" s="36">
        <f t="shared" si="3"/>
        <v>1.9619999999999997</v>
      </c>
      <c r="S49" s="36">
        <f t="shared" si="4"/>
        <v>5.0000000000000044E-2</v>
      </c>
      <c r="T49" s="140"/>
      <c r="U49" s="142">
        <v>1.9619999999999997</v>
      </c>
      <c r="V49" s="140"/>
      <c r="W49" s="36">
        <v>1.9619999999999997</v>
      </c>
      <c r="X49" s="133">
        <f>_xll.qlSimpleQuoteSetValue(F49,W49/100,Trigger)</f>
        <v>5.0000000000001432E-5</v>
      </c>
      <c r="Y49" s="28"/>
    </row>
    <row r="50" spans="1:25" x14ac:dyDescent="0.2">
      <c r="A50" s="27"/>
      <c r="B50" s="42"/>
      <c r="C50" s="42" t="s">
        <v>107</v>
      </c>
      <c r="D50" s="42" t="str">
        <f t="shared" si="2"/>
        <v>15Y</v>
      </c>
      <c r="E50" s="58" t="str">
        <f t="shared" si="5"/>
        <v>USDOIS15Y_Quote</v>
      </c>
      <c r="F50" s="42" t="str">
        <f>_xll.qlSimpleQuote(Currency&amp;$C50&amp;$D50&amp;QuoteSuffix,,RateTickValue,Permanent,Trigger,ObjectOverwrite)</f>
        <v>USDOIS15Y_Quote#0000</v>
      </c>
      <c r="G50" s="159" t="str">
        <f>_xll.ohRangeRetrieveError(F50)</f>
        <v/>
      </c>
      <c r="H50" s="116"/>
      <c r="J50" s="27"/>
      <c r="K50" s="30"/>
      <c r="L50" s="195" t="s">
        <v>71</v>
      </c>
      <c r="M50" s="128" t="s">
        <v>107</v>
      </c>
      <c r="N50" s="129" t="str">
        <f t="shared" si="6"/>
        <v>USD15YOIS</v>
      </c>
      <c r="O50" s="129" t="str">
        <v>USD15YOIS=TTKL</v>
      </c>
      <c r="P50" s="392">
        <v>2.0659999999999998</v>
      </c>
      <c r="Q50" s="392">
        <v>2.1160000000000001</v>
      </c>
      <c r="R50" s="36">
        <f t="shared" si="3"/>
        <v>2.0910000000000002</v>
      </c>
      <c r="S50" s="36">
        <f t="shared" si="4"/>
        <v>5.0000000000000266E-2</v>
      </c>
      <c r="T50" s="140"/>
      <c r="U50" s="142">
        <v>2.0910000000000002</v>
      </c>
      <c r="V50" s="140"/>
      <c r="W50" s="36">
        <v>2.0910000000000002</v>
      </c>
      <c r="X50" s="133">
        <f>_xll.qlSimpleQuoteSetValue(F50,W50/100,Trigger)</f>
        <v>-1.0999999999999552E-4</v>
      </c>
      <c r="Y50" s="28"/>
    </row>
    <row r="51" spans="1:25" x14ac:dyDescent="0.2">
      <c r="A51" s="27"/>
      <c r="B51" s="42"/>
      <c r="C51" s="42" t="s">
        <v>107</v>
      </c>
      <c r="D51" s="42" t="str">
        <f t="shared" si="2"/>
        <v>20Y</v>
      </c>
      <c r="E51" s="58" t="str">
        <f t="shared" si="5"/>
        <v>USDOIS20Y_Quote</v>
      </c>
      <c r="F51" s="42" t="str">
        <f>_xll.qlSimpleQuote(Currency&amp;$C51&amp;$D51&amp;QuoteSuffix,,RateTickValue,Permanent,Trigger,ObjectOverwrite)</f>
        <v>USDOIS20Y_Quote#0000</v>
      </c>
      <c r="G51" s="159" t="str">
        <f>_xll.ohRangeRetrieveError(F51)</f>
        <v/>
      </c>
      <c r="H51" s="116"/>
      <c r="J51" s="27"/>
      <c r="K51" s="30"/>
      <c r="L51" s="195" t="s">
        <v>66</v>
      </c>
      <c r="M51" s="128" t="s">
        <v>107</v>
      </c>
      <c r="N51" s="129" t="str">
        <f t="shared" si="6"/>
        <v>USD20YOIS</v>
      </c>
      <c r="O51" s="129" t="str">
        <v>USD20YOIS=TTKL</v>
      </c>
      <c r="P51" s="392">
        <v>2.1880000000000002</v>
      </c>
      <c r="Q51" s="392">
        <v>2.238</v>
      </c>
      <c r="R51" s="36">
        <f t="shared" si="3"/>
        <v>2.2130000000000001</v>
      </c>
      <c r="S51" s="36">
        <f t="shared" si="4"/>
        <v>4.9999999999999822E-2</v>
      </c>
      <c r="T51" s="140"/>
      <c r="U51" s="142">
        <v>2.2130000000000001</v>
      </c>
      <c r="V51" s="140"/>
      <c r="W51" s="36">
        <v>2.2130000000000001</v>
      </c>
      <c r="X51" s="133">
        <f>_xll.qlSimpleQuoteSetValue(F51,W51/100,Trigger)</f>
        <v>-2.5000000000000022E-4</v>
      </c>
      <c r="Y51" s="28"/>
    </row>
    <row r="52" spans="1:25" x14ac:dyDescent="0.2">
      <c r="A52" s="27"/>
      <c r="B52" s="42"/>
      <c r="C52" s="42" t="s">
        <v>107</v>
      </c>
      <c r="D52" s="42" t="str">
        <f t="shared" si="2"/>
        <v>25Y</v>
      </c>
      <c r="E52" s="58" t="str">
        <f t="shared" si="5"/>
        <v>USDOIS25Y_Quote</v>
      </c>
      <c r="F52" s="42" t="str">
        <f>_xll.qlSimpleQuote(Currency&amp;$C52&amp;$D52&amp;QuoteSuffix,,RateTickValue,Permanent,Trigger,ObjectOverwrite)</f>
        <v>USDOIS25Y_Quote#0000</v>
      </c>
      <c r="G52" s="159" t="str">
        <f>_xll.ohRangeRetrieveError(F52)</f>
        <v/>
      </c>
      <c r="H52" s="116"/>
      <c r="J52" s="27"/>
      <c r="K52" s="30"/>
      <c r="L52" s="195" t="s">
        <v>61</v>
      </c>
      <c r="M52" s="128" t="s">
        <v>107</v>
      </c>
      <c r="N52" s="129" t="str">
        <f t="shared" si="6"/>
        <v>USD25YOIS</v>
      </c>
      <c r="O52" s="129" t="str">
        <v>USD25YOIS=TTKL</v>
      </c>
      <c r="P52" s="392">
        <v>2.246</v>
      </c>
      <c r="Q52" s="392">
        <v>2.2959999999999998</v>
      </c>
      <c r="R52" s="36">
        <f t="shared" si="3"/>
        <v>2.2709999999999999</v>
      </c>
      <c r="S52" s="36">
        <f t="shared" si="4"/>
        <v>4.9999999999999822E-2</v>
      </c>
      <c r="T52" s="140"/>
      <c r="U52" s="142">
        <v>2.2709999999999999</v>
      </c>
      <c r="V52" s="140"/>
      <c r="W52" s="36">
        <v>2.2709999999999999</v>
      </c>
      <c r="X52" s="133">
        <f>_xll.qlSimpleQuoteSetValue(F52,W52/100,Trigger)</f>
        <v>-3.5000000000000309E-4</v>
      </c>
      <c r="Y52" s="28"/>
    </row>
    <row r="53" spans="1:25" x14ac:dyDescent="0.2">
      <c r="A53" s="27"/>
      <c r="B53" s="42"/>
      <c r="C53" s="42" t="s">
        <v>107</v>
      </c>
      <c r="D53" s="42" t="str">
        <f t="shared" si="2"/>
        <v>27Y</v>
      </c>
      <c r="E53" s="58" t="str">
        <f t="shared" si="5"/>
        <v>USDOIS27Y_Quote</v>
      </c>
      <c r="F53" s="42" t="str">
        <f>_xll.qlSimpleQuote(Currency&amp;$C53&amp;$D53&amp;QuoteSuffix,,RateTickValue,Permanent,Trigger,ObjectOverwrite)</f>
        <v>USDOIS27Y_Quote#0000</v>
      </c>
      <c r="G53" s="159" t="str">
        <f>_xll.ohRangeRetrieveError(F53)</f>
        <v/>
      </c>
      <c r="H53" s="116"/>
      <c r="J53" s="27"/>
      <c r="K53" s="30"/>
      <c r="L53" s="195" t="s">
        <v>59</v>
      </c>
      <c r="M53" s="128" t="s">
        <v>107</v>
      </c>
      <c r="N53" s="129" t="str">
        <f t="shared" si="6"/>
        <v>USD27YOIS</v>
      </c>
      <c r="O53" s="129" t="str">
        <v>USD27YOIS=TTKL</v>
      </c>
      <c r="P53" s="392" t="s">
        <v>253</v>
      </c>
      <c r="Q53" s="392" t="s">
        <v>253</v>
      </c>
      <c r="R53" s="36" t="e">
        <f t="shared" si="3"/>
        <v>#NUM!</v>
      </c>
      <c r="S53" s="36" t="e">
        <f t="shared" si="4"/>
        <v>#VALUE!</v>
      </c>
      <c r="T53" s="140"/>
      <c r="U53" s="142" t="e">
        <v>#NUM!</v>
      </c>
      <c r="V53" s="140"/>
      <c r="W53" s="36" t="e">
        <v>#NUM!</v>
      </c>
      <c r="X53" s="133">
        <f>_xll.qlSimpleQuoteSetValue(F53,W53/100,Trigger)</f>
        <v>0</v>
      </c>
      <c r="Y53" s="28"/>
    </row>
    <row r="54" spans="1:25" x14ac:dyDescent="0.2">
      <c r="A54" s="27"/>
      <c r="B54" s="42"/>
      <c r="C54" s="42" t="s">
        <v>107</v>
      </c>
      <c r="D54" s="42" t="str">
        <f t="shared" si="2"/>
        <v>30Y</v>
      </c>
      <c r="E54" s="58" t="str">
        <f t="shared" si="5"/>
        <v>USDOIS30Y_Quote</v>
      </c>
      <c r="F54" s="42" t="str">
        <f>_xll.qlSimpleQuote(Currency&amp;$C54&amp;$D54&amp;QuoteSuffix,,RateTickValue,Permanent,Trigger,ObjectOverwrite)</f>
        <v>USDOIS30Y_Quote#0000</v>
      </c>
      <c r="G54" s="159" t="str">
        <f>_xll.ohRangeRetrieveError(F54)</f>
        <v/>
      </c>
      <c r="H54" s="116"/>
      <c r="J54" s="27"/>
      <c r="K54" s="30"/>
      <c r="L54" s="195" t="s">
        <v>56</v>
      </c>
      <c r="M54" s="128" t="s">
        <v>107</v>
      </c>
      <c r="N54" s="129" t="str">
        <f t="shared" si="6"/>
        <v>USD30YOIS</v>
      </c>
      <c r="O54" s="129" t="str">
        <v>USD30YOIS=TTKL</v>
      </c>
      <c r="P54" s="392">
        <v>2.278</v>
      </c>
      <c r="Q54" s="392">
        <v>2.3279999999999998</v>
      </c>
      <c r="R54" s="36">
        <f t="shared" si="3"/>
        <v>2.3029999999999999</v>
      </c>
      <c r="S54" s="36">
        <f t="shared" si="4"/>
        <v>4.9999999999999822E-2</v>
      </c>
      <c r="T54" s="140"/>
      <c r="U54" s="142">
        <v>2.3029999999999999</v>
      </c>
      <c r="V54" s="140"/>
      <c r="W54" s="36">
        <v>2.3029999999999999</v>
      </c>
      <c r="X54" s="133">
        <f>_xll.qlSimpleQuoteSetValue(F54,W54/100,Trigger)</f>
        <v>-4.1000000000000064E-4</v>
      </c>
      <c r="Y54" s="28"/>
    </row>
    <row r="55" spans="1:25" x14ac:dyDescent="0.2">
      <c r="A55" s="27"/>
      <c r="B55" s="42"/>
      <c r="C55" s="42" t="s">
        <v>107</v>
      </c>
      <c r="D55" s="42" t="str">
        <f t="shared" si="2"/>
        <v>35Y</v>
      </c>
      <c r="E55" s="58" t="str">
        <f t="shared" si="5"/>
        <v>USDOIS35Y_Quote</v>
      </c>
      <c r="F55" s="42" t="str">
        <f>_xll.qlSimpleQuote(Currency&amp;$C55&amp;$D55&amp;QuoteSuffix,,RateTickValue,Permanent,Trigger,ObjectOverwrite)</f>
        <v>USDOIS35Y_Quote#0000</v>
      </c>
      <c r="G55" s="159" t="str">
        <f>_xll.ohRangeRetrieveError(F55)</f>
        <v/>
      </c>
      <c r="H55" s="116"/>
      <c r="J55" s="27"/>
      <c r="K55" s="30"/>
      <c r="L55" s="195" t="s">
        <v>51</v>
      </c>
      <c r="M55" s="128" t="s">
        <v>107</v>
      </c>
      <c r="N55" s="129" t="str">
        <f t="shared" si="6"/>
        <v>USD35YOIS</v>
      </c>
      <c r="O55" s="129" t="str">
        <v>USD35YOIS=TTKL</v>
      </c>
      <c r="P55" s="392">
        <v>2.29</v>
      </c>
      <c r="Q55" s="392">
        <v>2.34</v>
      </c>
      <c r="R55" s="36">
        <f t="shared" si="3"/>
        <v>2.3149999999999999</v>
      </c>
      <c r="S55" s="36">
        <f t="shared" si="4"/>
        <v>4.9999999999999822E-2</v>
      </c>
      <c r="T55" s="140"/>
      <c r="U55" s="142">
        <v>2.3149999999999999</v>
      </c>
      <c r="V55" s="140"/>
      <c r="W55" s="36">
        <v>2.3149999999999999</v>
      </c>
      <c r="X55" s="133">
        <f>_xll.qlSimpleQuoteSetValue(F55,W55/100,Trigger)</f>
        <v>-4.0000000000000105E-4</v>
      </c>
      <c r="Y55" s="28"/>
    </row>
    <row r="56" spans="1:25" x14ac:dyDescent="0.2">
      <c r="A56" s="27"/>
      <c r="B56" s="42"/>
      <c r="C56" s="42" t="s">
        <v>107</v>
      </c>
      <c r="D56" s="42" t="str">
        <f t="shared" si="2"/>
        <v>40Y</v>
      </c>
      <c r="E56" s="58" t="str">
        <f t="shared" si="5"/>
        <v>USDOIS40Y_Quote</v>
      </c>
      <c r="F56" s="42" t="str">
        <f>_xll.qlSimpleQuote(Currency&amp;$C56&amp;$D56&amp;QuoteSuffix,,RateTickValue,Permanent,Trigger,ObjectOverwrite)</f>
        <v>USDOIS40Y_Quote#0000</v>
      </c>
      <c r="G56" s="159" t="str">
        <f>_xll.ohRangeRetrieveError(F56)</f>
        <v/>
      </c>
      <c r="H56" s="116"/>
      <c r="J56" s="27"/>
      <c r="K56" s="30"/>
      <c r="L56" s="195" t="s">
        <v>46</v>
      </c>
      <c r="M56" s="128" t="s">
        <v>107</v>
      </c>
      <c r="N56" s="129" t="str">
        <f t="shared" si="6"/>
        <v>USD40YOIS</v>
      </c>
      <c r="O56" s="129" t="str">
        <v>USD40YOIS=TTKL</v>
      </c>
      <c r="P56" s="392">
        <v>2.2930000000000001</v>
      </c>
      <c r="Q56" s="392">
        <v>2.343</v>
      </c>
      <c r="R56" s="36">
        <f t="shared" si="3"/>
        <v>2.3180000000000001</v>
      </c>
      <c r="S56" s="36">
        <f t="shared" si="4"/>
        <v>4.9999999999999822E-2</v>
      </c>
      <c r="T56" s="140"/>
      <c r="U56" s="142">
        <v>2.3180000000000001</v>
      </c>
      <c r="V56" s="140"/>
      <c r="W56" s="36">
        <v>2.3180000000000001</v>
      </c>
      <c r="X56" s="133">
        <f>_xll.qlSimpleQuoteSetValue(F56,W56/100,Trigger)</f>
        <v>-3.7999999999999839E-4</v>
      </c>
      <c r="Y56" s="28"/>
    </row>
    <row r="57" spans="1:25" x14ac:dyDescent="0.2">
      <c r="A57" s="27"/>
      <c r="B57" s="42"/>
      <c r="C57" s="42" t="s">
        <v>107</v>
      </c>
      <c r="D57" s="42" t="str">
        <f t="shared" si="2"/>
        <v>45Y</v>
      </c>
      <c r="E57" s="58" t="str">
        <f t="shared" si="5"/>
        <v>USDOIS45Y_Quote</v>
      </c>
      <c r="F57" s="42" t="str">
        <f>_xll.qlSimpleQuote(Currency&amp;$C57&amp;$D57&amp;QuoteSuffix,,RateTickValue,Permanent,Trigger,ObjectOverwrite)</f>
        <v>USDOIS45Y_Quote#0000</v>
      </c>
      <c r="G57" s="159" t="str">
        <f>_xll.ohRangeRetrieveError(F57)</f>
        <v/>
      </c>
      <c r="H57" s="116"/>
      <c r="J57" s="27"/>
      <c r="K57" s="30"/>
      <c r="L57" s="195" t="s">
        <v>41</v>
      </c>
      <c r="M57" s="128" t="s">
        <v>107</v>
      </c>
      <c r="N57" s="129" t="str">
        <f t="shared" si="6"/>
        <v>USD45YOIS</v>
      </c>
      <c r="O57" s="129" t="str">
        <v>USD45YOIS=TTKL</v>
      </c>
      <c r="P57" s="392">
        <v>2.2879999999999998</v>
      </c>
      <c r="Q57" s="392">
        <v>2.3380000000000001</v>
      </c>
      <c r="R57" s="36">
        <f t="shared" si="3"/>
        <v>2.3129999999999997</v>
      </c>
      <c r="S57" s="36">
        <f t="shared" si="4"/>
        <v>5.0000000000000266E-2</v>
      </c>
      <c r="T57" s="140"/>
      <c r="U57" s="142">
        <v>2.3129999999999997</v>
      </c>
      <c r="V57" s="140"/>
      <c r="W57" s="36">
        <v>2.3129999999999997</v>
      </c>
      <c r="X57" s="133">
        <f>_xll.qlSimpleQuoteSetValue(F57,W57/100,Trigger)</f>
        <v>-3.6000000000000268E-4</v>
      </c>
      <c r="Y57" s="28"/>
    </row>
    <row r="58" spans="1:25" x14ac:dyDescent="0.2">
      <c r="A58" s="27"/>
      <c r="B58" s="43"/>
      <c r="C58" s="43" t="s">
        <v>107</v>
      </c>
      <c r="D58" s="43" t="str">
        <f t="shared" si="2"/>
        <v>50Y</v>
      </c>
      <c r="E58" s="60" t="str">
        <f t="shared" si="5"/>
        <v>USDOIS50Y_Quote</v>
      </c>
      <c r="F58" s="43" t="str">
        <f>_xll.qlSimpleQuote(Currency&amp;$C58&amp;$D58&amp;QuoteSuffix,,RateTickValue,Permanent,Trigger,ObjectOverwrite)</f>
        <v>USDOIS50Y_Quote#0000</v>
      </c>
      <c r="G58" s="160" t="str">
        <f>_xll.ohRangeRetrieveError(F58)</f>
        <v/>
      </c>
      <c r="H58" s="116"/>
      <c r="J58" s="27"/>
      <c r="K58" s="31"/>
      <c r="L58" s="196" t="s">
        <v>36</v>
      </c>
      <c r="M58" s="130" t="s">
        <v>107</v>
      </c>
      <c r="N58" s="131" t="str">
        <f t="shared" si="6"/>
        <v>USD50YOIS</v>
      </c>
      <c r="O58" s="131" t="str">
        <v>USD50YOIS=TTKL</v>
      </c>
      <c r="P58" s="393">
        <v>2.2759999999999998</v>
      </c>
      <c r="Q58" s="393">
        <v>2.3260000000000001</v>
      </c>
      <c r="R58" s="37">
        <f t="shared" si="3"/>
        <v>2.3010000000000002</v>
      </c>
      <c r="S58" s="37">
        <f t="shared" si="4"/>
        <v>5.0000000000000266E-2</v>
      </c>
      <c r="T58" s="140"/>
      <c r="U58" s="146">
        <v>2.3010000000000002</v>
      </c>
      <c r="V58" s="140"/>
      <c r="W58" s="37">
        <v>2.3010000000000002</v>
      </c>
      <c r="X58" s="134">
        <f>_xll.qlSimpleQuoteSetValue(F58,W58/100,Trigger)</f>
        <v>-3.7999999999999839E-4</v>
      </c>
      <c r="Y58" s="28"/>
    </row>
    <row r="59" spans="1:25" x14ac:dyDescent="0.2">
      <c r="A59" s="117"/>
      <c r="B59" s="118"/>
      <c r="C59" s="118"/>
      <c r="D59" s="118"/>
      <c r="E59" s="118"/>
      <c r="F59" s="119"/>
      <c r="G59" s="119"/>
      <c r="H59" s="120"/>
      <c r="J59" s="85"/>
      <c r="K59" s="86"/>
      <c r="L59" s="86"/>
      <c r="M59" s="86"/>
      <c r="N59" s="86"/>
      <c r="O59" s="86"/>
      <c r="P59" s="86"/>
      <c r="Q59" s="86"/>
      <c r="R59" s="139"/>
      <c r="S59" s="139"/>
      <c r="T59" s="139"/>
      <c r="U59" s="139"/>
      <c r="V59" s="139"/>
      <c r="W59" s="139"/>
      <c r="X59" s="86"/>
      <c r="Y59" s="87"/>
    </row>
  </sheetData>
  <conditionalFormatting sqref="X5:X58">
    <cfRule type="cellIs" dxfId="17" priority="1" stopIfTrue="1" operator="greaterThan">
      <formula>0</formula>
    </cfRule>
    <cfRule type="cellIs" dxfId="16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AE47"/>
  <sheetViews>
    <sheetView showGridLines="0" topLeftCell="L1" workbookViewId="0">
      <selection activeCell="AD2" sqref="AD2"/>
    </sheetView>
  </sheetViews>
  <sheetFormatPr defaultRowHeight="11.25" outlineLevelCol="1" x14ac:dyDescent="0.2"/>
  <cols>
    <col min="1" max="1" width="2.7109375" style="144" hidden="1" customWidth="1" outlineLevel="1"/>
    <col min="2" max="2" width="3.7109375" style="144" hidden="1" customWidth="1" outlineLevel="1"/>
    <col min="3" max="3" width="6" style="144" hidden="1" customWidth="1" outlineLevel="1"/>
    <col min="4" max="4" width="7.28515625" style="144" hidden="1" customWidth="1" outlineLevel="1"/>
    <col min="5" max="5" width="16.7109375" style="144" hidden="1" customWidth="1" outlineLevel="1"/>
    <col min="6" max="6" width="22.7109375" style="144" hidden="1" customWidth="1" outlineLevel="1"/>
    <col min="7" max="7" width="20.7109375" style="144" hidden="1" customWidth="1" outlineLevel="1"/>
    <col min="8" max="8" width="24.42578125" style="144" hidden="1" customWidth="1" outlineLevel="1"/>
    <col min="9" max="9" width="31.7109375" style="144" hidden="1" customWidth="1" outlineLevel="1"/>
    <col min="10" max="10" width="20.7109375" style="144" hidden="1" customWidth="1" outlineLevel="1"/>
    <col min="11" max="11" width="2.7109375" style="144" hidden="1" customWidth="1" outlineLevel="1"/>
    <col min="12" max="12" width="2.7109375" style="144" customWidth="1" collapsed="1"/>
    <col min="13" max="13" width="2.7109375" style="144" customWidth="1"/>
    <col min="14" max="14" width="3" style="144" bestFit="1" customWidth="1"/>
    <col min="15" max="15" width="6" style="144" bestFit="1" customWidth="1"/>
    <col min="16" max="16" width="7.140625" style="144" customWidth="1"/>
    <col min="17" max="17" width="17.28515625" style="144" bestFit="1" customWidth="1"/>
    <col min="18" max="18" width="13.5703125" style="144" customWidth="1"/>
    <col min="19" max="19" width="11.140625" style="144" customWidth="1"/>
    <col min="20" max="25" width="10.7109375" style="144" customWidth="1"/>
    <col min="26" max="26" width="2.7109375" style="144" customWidth="1"/>
    <col min="27" max="27" width="10.7109375" style="144" customWidth="1"/>
    <col min="28" max="28" width="2.7109375" style="144" customWidth="1"/>
    <col min="29" max="30" width="10.7109375" style="144" customWidth="1"/>
    <col min="31" max="32" width="2.7109375" style="144" customWidth="1"/>
    <col min="33" max="16384" width="9.140625" style="144"/>
  </cols>
  <sheetData>
    <row r="1" spans="1:31" x14ac:dyDescent="0.2">
      <c r="A1" s="88"/>
      <c r="B1" s="79"/>
      <c r="C1" s="79"/>
      <c r="D1" s="79"/>
      <c r="E1" s="79"/>
      <c r="F1" s="79"/>
      <c r="G1" s="79"/>
      <c r="H1" s="187" t="s">
        <v>132</v>
      </c>
      <c r="I1" s="55" t="str">
        <f>FuturesHWConvAdj!C5</f>
        <v>USDHW_Volatility_Quote#0000</v>
      </c>
      <c r="J1" s="79"/>
      <c r="K1" s="80"/>
      <c r="M1" s="376" t="s">
        <v>245</v>
      </c>
      <c r="N1" s="368"/>
      <c r="O1" s="368"/>
      <c r="P1" s="368"/>
      <c r="Q1" s="368"/>
      <c r="R1" s="368"/>
      <c r="S1" s="368"/>
      <c r="T1" s="368"/>
      <c r="U1" s="368"/>
      <c r="V1" s="368"/>
      <c r="W1" s="368"/>
      <c r="X1" s="368"/>
      <c r="Y1" s="368"/>
      <c r="Z1" s="371"/>
      <c r="AA1" s="371"/>
      <c r="AB1" s="368"/>
      <c r="AC1" s="368"/>
      <c r="AD1" s="368"/>
      <c r="AE1" s="377"/>
    </row>
    <row r="2" spans="1:31" x14ac:dyDescent="0.2">
      <c r="A2" s="81"/>
      <c r="B2" s="82"/>
      <c r="C2" s="82"/>
      <c r="D2" s="82"/>
      <c r="E2" s="82"/>
      <c r="F2" s="82"/>
      <c r="G2" s="82"/>
      <c r="H2" s="187" t="s">
        <v>131</v>
      </c>
      <c r="I2" s="55" t="str">
        <f>FuturesHWConvAdj!C6</f>
        <v>USDHW_MeanReversion_Quote#0000</v>
      </c>
      <c r="J2" s="82"/>
      <c r="K2" s="83"/>
      <c r="M2" s="364"/>
      <c r="N2" s="356"/>
      <c r="O2" s="372"/>
      <c r="P2" s="372"/>
      <c r="Q2" s="356"/>
      <c r="R2" s="356"/>
      <c r="S2" s="356"/>
      <c r="T2" s="356"/>
      <c r="U2" s="356"/>
      <c r="V2" s="356"/>
      <c r="W2" s="356"/>
      <c r="X2" s="356"/>
      <c r="Y2" s="356"/>
      <c r="Z2" s="358"/>
      <c r="AA2" s="358"/>
      <c r="AB2" s="356"/>
      <c r="AC2" s="358"/>
      <c r="AD2" s="363">
        <f>_xll.ohTrigger(AD5:AD46)</f>
        <v>2</v>
      </c>
      <c r="AE2" s="378"/>
    </row>
    <row r="3" spans="1:31" x14ac:dyDescent="0.2">
      <c r="A3" s="81"/>
      <c r="B3" s="82"/>
      <c r="C3" s="82"/>
      <c r="D3" s="190" t="s">
        <v>106</v>
      </c>
      <c r="E3" s="190" t="s">
        <v>17</v>
      </c>
      <c r="F3" s="82"/>
      <c r="G3" s="82"/>
      <c r="H3" s="187" t="s">
        <v>88</v>
      </c>
      <c r="I3" s="55" t="str">
        <f>Libor!E10</f>
        <v>UsdLibor3M#0000</v>
      </c>
      <c r="J3" s="82"/>
      <c r="K3" s="83"/>
      <c r="M3" s="364"/>
      <c r="N3" s="356"/>
      <c r="O3" s="356"/>
      <c r="P3" s="356"/>
      <c r="Q3" s="356"/>
      <c r="R3" s="356"/>
      <c r="S3" s="356"/>
      <c r="T3" s="356"/>
      <c r="U3" s="356"/>
      <c r="V3" s="356"/>
      <c r="W3" s="356"/>
      <c r="X3" s="356"/>
      <c r="Y3" s="356"/>
      <c r="Z3" s="358"/>
      <c r="AA3" s="358"/>
      <c r="AB3" s="356"/>
      <c r="AC3" s="356"/>
      <c r="AD3" s="356"/>
      <c r="AE3" s="378"/>
    </row>
    <row r="4" spans="1:31" ht="22.5" customHeight="1" x14ac:dyDescent="0.2">
      <c r="A4" s="115" t="str">
        <f>_xll.ohRangeRetrieveError(F5)</f>
        <v/>
      </c>
      <c r="B4" s="50" t="s">
        <v>105</v>
      </c>
      <c r="C4" s="53" t="s">
        <v>104</v>
      </c>
      <c r="D4" s="53" t="s">
        <v>103</v>
      </c>
      <c r="E4" s="49" t="s">
        <v>224</v>
      </c>
      <c r="F4" s="49" t="s">
        <v>225</v>
      </c>
      <c r="G4" s="290" t="s">
        <v>239</v>
      </c>
      <c r="H4" s="49" t="s">
        <v>246</v>
      </c>
      <c r="I4" s="49" t="s">
        <v>247</v>
      </c>
      <c r="J4" s="290" t="s">
        <v>239</v>
      </c>
      <c r="K4" s="116"/>
      <c r="M4" s="364"/>
      <c r="N4" s="124" t="s">
        <v>105</v>
      </c>
      <c r="O4" s="124" t="s">
        <v>104</v>
      </c>
      <c r="P4" s="124" t="s">
        <v>103</v>
      </c>
      <c r="Q4" s="124" t="s">
        <v>153</v>
      </c>
      <c r="R4" s="370" t="str">
        <f>_xll.RData(R5:R46,S4:W4,"RTFEED:IDN",ReutersRtMode,,S5)</f>
        <v>Not Signed In</v>
      </c>
      <c r="S4" s="124" t="s">
        <v>152</v>
      </c>
      <c r="T4" s="124" t="s">
        <v>134</v>
      </c>
      <c r="U4" s="124" t="s">
        <v>133</v>
      </c>
      <c r="V4" s="124" t="s">
        <v>143</v>
      </c>
      <c r="W4" s="124" t="s">
        <v>151</v>
      </c>
      <c r="X4" s="125" t="s">
        <v>150</v>
      </c>
      <c r="Y4" s="39" t="s">
        <v>240</v>
      </c>
      <c r="Z4" s="357"/>
      <c r="AA4" s="124" t="s">
        <v>148</v>
      </c>
      <c r="AB4" s="357"/>
      <c r="AC4" s="124" t="s">
        <v>147</v>
      </c>
      <c r="AD4" s="124" t="s">
        <v>146</v>
      </c>
      <c r="AE4" s="365"/>
    </row>
    <row r="5" spans="1:31" x14ac:dyDescent="0.2">
      <c r="A5" s="260"/>
      <c r="B5" s="261">
        <v>1</v>
      </c>
      <c r="C5" s="198" t="b">
        <v>0</v>
      </c>
      <c r="D5" s="10" t="str">
        <f t="array" ref="D5:D46">_xll.qlIMMNextCodes(_xll.qlSettingsEvaluationDate(Trigger)-1,$C5:$C46)</f>
        <v>X5</v>
      </c>
      <c r="E5" s="262" t="str">
        <f t="shared" ref="E5:E46" si="0">Currency&amp;$D$3&amp;$E$3&amp;$D5&amp;QuoteSuffix</f>
        <v>USDFUT3MX5_Quote</v>
      </c>
      <c r="F5" s="263" t="str">
        <f>_xll.qlSimpleQuote(E5,,PriceTickValue,Permanent,Trigger,ObjectOverwrite)</f>
        <v>USDFUT3MX5_Quote#0000</v>
      </c>
      <c r="G5" s="272"/>
      <c r="H5" s="268" t="str">
        <f t="shared" ref="H5:H46" si="1">Currency&amp;$D$3&amp;$E$3&amp;$D5&amp;"ConvAdj"&amp;QuoteSuffix</f>
        <v>USDFUT3MX5ConvAdj_Quote</v>
      </c>
      <c r="I5" s="269" t="str">
        <f>_xll.qlFuturesConvAdjustmentQuote(H5,IborIndex,D5,F5,Volatility,MeanReversion,Permanent,AND(ISERROR(AD5),ISERROR(FuturesHWConvAdj!U5:U6)),ObjectOverwrite)</f>
        <v>USDFUT3MX5ConvAdj_Quote#0002</v>
      </c>
      <c r="J5" s="218" t="str">
        <f>_xll.ohRangeRetrieveError(I5)</f>
        <v/>
      </c>
      <c r="K5" s="116"/>
      <c r="M5" s="373"/>
      <c r="N5" s="264">
        <v>1</v>
      </c>
      <c r="O5" s="264" t="b">
        <v>0</v>
      </c>
      <c r="P5" s="201" t="str">
        <f t="array" ref="P5:P46">_xll.qlIMMcode(FuturesDates)</f>
        <v>X5</v>
      </c>
      <c r="Q5" s="265">
        <f t="array" ref="Q5:Q46">_xll.qlIMMNextDates(_xll.qlSettingsEvaluationDate(Trigger)-1,$O5:$O46)</f>
        <v>42326</v>
      </c>
      <c r="R5" s="201" t="str">
        <f t="array" ref="R5:R46">"ED"&amp;FuturesCodes</f>
        <v>EDX5</v>
      </c>
      <c r="S5" s="394">
        <v>42324</v>
      </c>
      <c r="T5" s="391">
        <v>99.647499999999994</v>
      </c>
      <c r="U5" s="391">
        <v>99.65</v>
      </c>
      <c r="V5" s="391">
        <v>99.65</v>
      </c>
      <c r="W5" s="391">
        <v>99.644999999999996</v>
      </c>
      <c r="X5" s="35">
        <f>_xll.qlMidSafe(T5,U5,Trigger)</f>
        <v>99.648750000000007</v>
      </c>
      <c r="Y5" s="36">
        <f>U5-T5</f>
        <v>2.5000000000119371E-3</v>
      </c>
      <c r="Z5" s="374"/>
      <c r="AA5" s="267">
        <v>99.648750000000007</v>
      </c>
      <c r="AB5" s="374"/>
      <c r="AC5" s="35">
        <f t="array" ref="AC5:AC46">QuoteStatic</f>
        <v>99.648750000000007</v>
      </c>
      <c r="AD5" s="201">
        <f>_xll.qlSimpleQuoteSetValue(F5,AC5,Trigger)</f>
        <v>-3.0000000000001137E-2</v>
      </c>
      <c r="AE5" s="365"/>
    </row>
    <row r="6" spans="1:31" x14ac:dyDescent="0.2">
      <c r="A6" s="260"/>
      <c r="B6" s="270">
        <v>2</v>
      </c>
      <c r="C6" s="14" t="b">
        <v>0</v>
      </c>
      <c r="D6" s="11" t="str">
        <v>Z5</v>
      </c>
      <c r="E6" s="84" t="str">
        <f t="shared" si="0"/>
        <v>USDFUT3MZ5_Quote</v>
      </c>
      <c r="F6" s="271" t="str">
        <f>_xll.qlSimpleQuote(E6,,PriceTickValue,Permanent,Trigger,ObjectOverwrite)</f>
        <v>USDFUT3MZ5_Quote#0000</v>
      </c>
      <c r="G6" s="272" t="str">
        <f>_xll.ohRangeRetrieveError(F6)</f>
        <v/>
      </c>
      <c r="H6" s="276" t="str">
        <f t="shared" si="1"/>
        <v>USDFUT3MZ5ConvAdj_Quote</v>
      </c>
      <c r="I6" s="277" t="str">
        <f>_xll.qlFuturesConvAdjustmentQuote(H6,IborIndex,D6,F6,Volatility,MeanReversion,Permanent,AND(ISERROR(AD6),ISERROR(FuturesHWConvAdj!U6:U7)),ObjectOverwrite)</f>
        <v>USDFUT3MZ5ConvAdj_Quote#0002</v>
      </c>
      <c r="J6" s="221" t="str">
        <f>_xll.ohRangeRetrieveError(I6)</f>
        <v/>
      </c>
      <c r="K6" s="116"/>
      <c r="M6" s="373"/>
      <c r="N6" s="273">
        <v>2</v>
      </c>
      <c r="O6" s="273" t="b">
        <v>0</v>
      </c>
      <c r="P6" s="188" t="str">
        <v>Z5</v>
      </c>
      <c r="Q6" s="274">
        <v>42354</v>
      </c>
      <c r="R6" s="188" t="str">
        <v>EDZ5</v>
      </c>
      <c r="S6" s="395">
        <v>42352</v>
      </c>
      <c r="T6" s="392">
        <v>99.594999999999999</v>
      </c>
      <c r="U6" s="392">
        <v>99.6</v>
      </c>
      <c r="V6" s="392">
        <v>99.594999999999999</v>
      </c>
      <c r="W6" s="392">
        <v>99.59</v>
      </c>
      <c r="X6" s="36">
        <f>_xll.qlMidSafe(T6,U6,Trigger)</f>
        <v>99.597499999999997</v>
      </c>
      <c r="Y6" s="36">
        <f t="shared" ref="Y6:Y46" si="2">U6-T6</f>
        <v>4.9999999999954525E-3</v>
      </c>
      <c r="Z6" s="374"/>
      <c r="AA6" s="275">
        <v>99.597499999999997</v>
      </c>
      <c r="AB6" s="374"/>
      <c r="AC6" s="36">
        <v>99.597499999999997</v>
      </c>
      <c r="AD6" s="188">
        <f>_xll.qlSimpleQuoteSetValue(F6,AC6,Trigger)</f>
        <v>-5.2500000000009095E-2</v>
      </c>
      <c r="AE6" s="365"/>
    </row>
    <row r="7" spans="1:31" x14ac:dyDescent="0.2">
      <c r="A7" s="260"/>
      <c r="B7" s="270">
        <v>3</v>
      </c>
      <c r="C7" s="14" t="b">
        <v>0</v>
      </c>
      <c r="D7" s="11" t="str">
        <v>F6</v>
      </c>
      <c r="E7" s="84" t="str">
        <f t="shared" si="0"/>
        <v>USDFUT3MF6_Quote</v>
      </c>
      <c r="F7" s="271" t="str">
        <f>_xll.qlSimpleQuote(E7,,PriceTickValue,Permanent,Trigger,ObjectOverwrite)</f>
        <v>USDFUT3MF6_Quote#0000</v>
      </c>
      <c r="G7" s="272" t="str">
        <f>_xll.ohRangeRetrieveError(F7)</f>
        <v/>
      </c>
      <c r="H7" s="276" t="str">
        <f t="shared" si="1"/>
        <v>USDFUT3MF6ConvAdj_Quote</v>
      </c>
      <c r="I7" s="277" t="str">
        <f>_xll.qlFuturesConvAdjustmentQuote(H7,IborIndex,D7,F7,Volatility,MeanReversion,Permanent,AND(ISERROR(AD7),ISERROR(FuturesHWConvAdj!U7:U8)),ObjectOverwrite)</f>
        <v>USDFUT3MF6ConvAdj_Quote#0001</v>
      </c>
      <c r="J7" s="221" t="str">
        <f>_xll.ohRangeRetrieveError(I7)</f>
        <v/>
      </c>
      <c r="K7" s="116"/>
      <c r="M7" s="373"/>
      <c r="N7" s="273">
        <v>3</v>
      </c>
      <c r="O7" s="273" t="b">
        <v>0</v>
      </c>
      <c r="P7" s="188" t="str">
        <v>F6</v>
      </c>
      <c r="Q7" s="274">
        <v>42389</v>
      </c>
      <c r="R7" s="188" t="str">
        <v>EDF6</v>
      </c>
      <c r="S7" s="395">
        <v>42387</v>
      </c>
      <c r="T7" s="392">
        <v>99.54</v>
      </c>
      <c r="U7" s="392">
        <v>99.545000000000002</v>
      </c>
      <c r="V7" s="392">
        <v>99.54</v>
      </c>
      <c r="W7" s="392">
        <v>99.54</v>
      </c>
      <c r="X7" s="36">
        <f>_xll.qlMidSafe(T7,U7,Trigger)</f>
        <v>99.542500000000004</v>
      </c>
      <c r="Y7" s="36">
        <f t="shared" si="2"/>
        <v>4.9999999999954525E-3</v>
      </c>
      <c r="Z7" s="374"/>
      <c r="AA7" s="275">
        <v>99.542500000000004</v>
      </c>
      <c r="AB7" s="374"/>
      <c r="AC7" s="36">
        <v>99.542500000000004</v>
      </c>
      <c r="AD7" s="188">
        <f>_xll.qlSimpleQuoteSetValue(F7,AC7,Trigger)</f>
        <v>-6.9999999999993179E-2</v>
      </c>
      <c r="AE7" s="365"/>
    </row>
    <row r="8" spans="1:31" x14ac:dyDescent="0.2">
      <c r="A8" s="260"/>
      <c r="B8" s="270">
        <v>4</v>
      </c>
      <c r="C8" s="14" t="b">
        <v>0</v>
      </c>
      <c r="D8" s="11" t="str">
        <v>G6</v>
      </c>
      <c r="E8" s="84" t="str">
        <f t="shared" si="0"/>
        <v>USDFUT3MG6_Quote</v>
      </c>
      <c r="F8" s="271" t="str">
        <f>_xll.qlSimpleQuote(E8,,PriceTickValue,Permanent,Trigger,ObjectOverwrite)</f>
        <v>USDFUT3MG6_Quote#0000</v>
      </c>
      <c r="G8" s="272" t="str">
        <f>_xll.ohRangeRetrieveError(F8)</f>
        <v/>
      </c>
      <c r="H8" s="276" t="str">
        <f t="shared" si="1"/>
        <v>USDFUT3MG6ConvAdj_Quote</v>
      </c>
      <c r="I8" s="277" t="str">
        <f>_xll.qlFuturesConvAdjustmentQuote(H8,IborIndex,D8,F8,Volatility,MeanReversion,Permanent,AND(ISERROR(AD8),ISERROR(FuturesHWConvAdj!U8:U9)),ObjectOverwrite)</f>
        <v>USDFUT3MG6ConvAdj_Quote#0001</v>
      </c>
      <c r="J8" s="221" t="str">
        <f>_xll.ohRangeRetrieveError(I8)</f>
        <v/>
      </c>
      <c r="K8" s="116"/>
      <c r="M8" s="373"/>
      <c r="N8" s="273">
        <v>4</v>
      </c>
      <c r="O8" s="273" t="b">
        <v>0</v>
      </c>
      <c r="P8" s="188" t="str">
        <v>G6</v>
      </c>
      <c r="Q8" s="274">
        <v>42417</v>
      </c>
      <c r="R8" s="188" t="str">
        <v>EDG6</v>
      </c>
      <c r="S8" s="395">
        <v>42415</v>
      </c>
      <c r="T8" s="392">
        <v>99.495000000000005</v>
      </c>
      <c r="U8" s="392">
        <v>99.515000000000001</v>
      </c>
      <c r="V8" s="392">
        <v>0</v>
      </c>
      <c r="W8" s="392">
        <v>99.495000000000005</v>
      </c>
      <c r="X8" s="36">
        <f>_xll.qlMidSafe(T8,U8,Trigger)</f>
        <v>99.504999999999995</v>
      </c>
      <c r="Y8" s="36">
        <f t="shared" si="2"/>
        <v>1.9999999999996021E-2</v>
      </c>
      <c r="Z8" s="374"/>
      <c r="AA8" s="275">
        <v>99.504999999999995</v>
      </c>
      <c r="AB8" s="374"/>
      <c r="AC8" s="36">
        <v>99.504999999999995</v>
      </c>
      <c r="AD8" s="188">
        <f>_xll.qlSimpleQuoteSetValue(F8,AC8,Trigger)</f>
        <v>-6.4999999999997726E-2</v>
      </c>
      <c r="AE8" s="365"/>
    </row>
    <row r="9" spans="1:31" x14ac:dyDescent="0.2">
      <c r="A9" s="260"/>
      <c r="B9" s="270">
        <v>5</v>
      </c>
      <c r="C9" s="14" t="b">
        <v>0</v>
      </c>
      <c r="D9" s="11" t="str">
        <v>H6</v>
      </c>
      <c r="E9" s="84" t="str">
        <f t="shared" si="0"/>
        <v>USDFUT3MH6_Quote</v>
      </c>
      <c r="F9" s="271" t="str">
        <f>_xll.qlSimpleQuote(E9,,PriceTickValue,Permanent,Trigger,ObjectOverwrite)</f>
        <v>USDFUT3MH6_Quote#0000</v>
      </c>
      <c r="G9" s="272" t="str">
        <f>_xll.ohRangeRetrieveError(F9)</f>
        <v/>
      </c>
      <c r="H9" s="276" t="str">
        <f t="shared" si="1"/>
        <v>USDFUT3MH6ConvAdj_Quote</v>
      </c>
      <c r="I9" s="277" t="str">
        <f>_xll.qlFuturesConvAdjustmentQuote(H9,IborIndex,D9,F9,Volatility,MeanReversion,Permanent,AND(ISERROR(AD9),ISERROR(FuturesHWConvAdj!U9:U10)),ObjectOverwrite)</f>
        <v>USDFUT3MH6ConvAdj_Quote#0001</v>
      </c>
      <c r="J9" s="221" t="str">
        <f>_xll.ohRangeRetrieveError(I9)</f>
        <v/>
      </c>
      <c r="K9" s="116"/>
      <c r="L9" s="278"/>
      <c r="M9" s="373"/>
      <c r="N9" s="273">
        <v>5</v>
      </c>
      <c r="O9" s="273" t="b">
        <v>0</v>
      </c>
      <c r="P9" s="188" t="str">
        <v>H6</v>
      </c>
      <c r="Q9" s="274">
        <v>42445</v>
      </c>
      <c r="R9" s="188" t="str">
        <v>EDH6</v>
      </c>
      <c r="S9" s="395">
        <v>42443</v>
      </c>
      <c r="T9" s="392">
        <v>99.454999999999998</v>
      </c>
      <c r="U9" s="392">
        <v>99.46</v>
      </c>
      <c r="V9" s="392">
        <v>99.454999999999998</v>
      </c>
      <c r="W9" s="392">
        <v>99.454999999999998</v>
      </c>
      <c r="X9" s="36">
        <f>_xll.qlMidSafe(T9,U9,Trigger)</f>
        <v>99.457499999999996</v>
      </c>
      <c r="Y9" s="36">
        <f t="shared" si="2"/>
        <v>4.9999999999954525E-3</v>
      </c>
      <c r="Z9" s="374"/>
      <c r="AA9" s="279">
        <v>99.457499999999996</v>
      </c>
      <c r="AB9" s="374"/>
      <c r="AC9" s="36">
        <v>99.457499999999996</v>
      </c>
      <c r="AD9" s="188">
        <f>_xll.qlSimpleQuoteSetValue(F9,AC9,Trigger)</f>
        <v>-8.7500000000005684E-2</v>
      </c>
      <c r="AE9" s="365"/>
    </row>
    <row r="10" spans="1:31" x14ac:dyDescent="0.2">
      <c r="A10" s="260"/>
      <c r="B10" s="270">
        <v>6</v>
      </c>
      <c r="C10" s="14" t="b">
        <v>0</v>
      </c>
      <c r="D10" s="11" t="str">
        <v>J6</v>
      </c>
      <c r="E10" s="84" t="str">
        <f t="shared" si="0"/>
        <v>USDFUT3MJ6_Quote</v>
      </c>
      <c r="F10" s="271" t="str">
        <f>_xll.qlSimpleQuote(E10,,PriceTickValue,Permanent,Trigger,ObjectOverwrite)</f>
        <v>USDFUT3MJ6_Quote#0000</v>
      </c>
      <c r="G10" s="272" t="str">
        <f>_xll.ohRangeRetrieveError(F10)</f>
        <v/>
      </c>
      <c r="H10" s="276" t="str">
        <f t="shared" si="1"/>
        <v>USDFUT3MJ6ConvAdj_Quote</v>
      </c>
      <c r="I10" s="277" t="str">
        <f>_xll.qlFuturesConvAdjustmentQuote(H10,IborIndex,D10,F10,Volatility,MeanReversion,Permanent,AND(ISERROR(AD10),ISERROR(FuturesHWConvAdj!U10:U11)),ObjectOverwrite)</f>
        <v>USDFUT3MJ6ConvAdj_Quote#0001</v>
      </c>
      <c r="J10" s="221" t="str">
        <f>_xll.ohRangeRetrieveError(I10)</f>
        <v/>
      </c>
      <c r="K10" s="116"/>
      <c r="M10" s="373"/>
      <c r="N10" s="273">
        <v>6</v>
      </c>
      <c r="O10" s="273" t="b">
        <v>0</v>
      </c>
      <c r="P10" s="188" t="str">
        <v>J6</v>
      </c>
      <c r="Q10" s="274">
        <v>42480</v>
      </c>
      <c r="R10" s="188" t="str">
        <v>EDJ6</v>
      </c>
      <c r="S10" s="395">
        <v>42478</v>
      </c>
      <c r="T10" s="392">
        <v>99.405000000000001</v>
      </c>
      <c r="U10" s="392">
        <v>99.415000000000006</v>
      </c>
      <c r="V10" s="392">
        <v>99.41</v>
      </c>
      <c r="W10" s="392">
        <v>99.41</v>
      </c>
      <c r="X10" s="36">
        <f>_xll.qlMidSafe(T10,U10,Trigger)</f>
        <v>99.41</v>
      </c>
      <c r="Y10" s="36">
        <f t="shared" si="2"/>
        <v>1.0000000000005116E-2</v>
      </c>
      <c r="Z10" s="374"/>
      <c r="AA10" s="279">
        <v>99.41</v>
      </c>
      <c r="AB10" s="374"/>
      <c r="AC10" s="36">
        <v>99.41</v>
      </c>
      <c r="AD10" s="188">
        <f>_xll.qlSimpleQuoteSetValue(F10,AC10,Trigger)</f>
        <v>-9.7499999999996589E-2</v>
      </c>
      <c r="AE10" s="365"/>
    </row>
    <row r="11" spans="1:31" x14ac:dyDescent="0.2">
      <c r="A11" s="260"/>
      <c r="B11" s="270">
        <v>7</v>
      </c>
      <c r="C11" s="14" t="b">
        <v>0</v>
      </c>
      <c r="D11" s="11" t="str">
        <v>K6</v>
      </c>
      <c r="E11" s="84" t="str">
        <f t="shared" si="0"/>
        <v>USDFUT3MK6_Quote</v>
      </c>
      <c r="F11" s="271" t="str">
        <f>_xll.qlSimpleQuote(E11,,PriceTickValue,Permanent,Trigger,ObjectOverwrite)</f>
        <v>USDFUT3MK6_Quote#0000</v>
      </c>
      <c r="G11" s="272" t="str">
        <f>_xll.ohRangeRetrieveError(F11)</f>
        <v/>
      </c>
      <c r="H11" s="276" t="str">
        <f t="shared" si="1"/>
        <v>USDFUT3MK6ConvAdj_Quote</v>
      </c>
      <c r="I11" s="277" t="str">
        <f>_xll.qlFuturesConvAdjustmentQuote(H11,IborIndex,D11,F11,Volatility,MeanReversion,Permanent,AND(ISERROR(AD11),ISERROR(FuturesHWConvAdj!U11:U12)),ObjectOverwrite)</f>
        <v>USDFUT3MK6ConvAdj_Quote#0001</v>
      </c>
      <c r="J11" s="221" t="str">
        <f>_xll.ohRangeRetrieveError(I11)</f>
        <v/>
      </c>
      <c r="K11" s="116"/>
      <c r="M11" s="373"/>
      <c r="N11" s="273">
        <v>7</v>
      </c>
      <c r="O11" s="273" t="b">
        <v>0</v>
      </c>
      <c r="P11" s="188" t="str">
        <v>K6</v>
      </c>
      <c r="Q11" s="274">
        <v>42508</v>
      </c>
      <c r="R11" s="188" t="str">
        <v>EDK6</v>
      </c>
      <c r="S11" s="395" t="s">
        <v>253</v>
      </c>
      <c r="T11" s="392" t="s">
        <v>253</v>
      </c>
      <c r="U11" s="392" t="s">
        <v>253</v>
      </c>
      <c r="V11" s="392" t="s">
        <v>253</v>
      </c>
      <c r="W11" s="392" t="s">
        <v>253</v>
      </c>
      <c r="X11" s="36" t="e">
        <f>_xll.qlMidSafe(T11,U11,Trigger)</f>
        <v>#NUM!</v>
      </c>
      <c r="Y11" s="36" t="e">
        <f t="shared" si="2"/>
        <v>#VALUE!</v>
      </c>
      <c r="Z11" s="374"/>
      <c r="AA11" s="279" t="e">
        <v>#NUM!</v>
      </c>
      <c r="AB11" s="374"/>
      <c r="AC11" s="36" t="e">
        <v>#NUM!</v>
      </c>
      <c r="AD11" s="188">
        <f>_xll.qlSimpleQuoteSetValue(F11,AC11,Trigger)</f>
        <v>0</v>
      </c>
      <c r="AE11" s="365"/>
    </row>
    <row r="12" spans="1:31" x14ac:dyDescent="0.2">
      <c r="A12" s="260"/>
      <c r="B12" s="270">
        <v>8</v>
      </c>
      <c r="C12" s="14" t="b">
        <v>0</v>
      </c>
      <c r="D12" s="11" t="str">
        <v>M6</v>
      </c>
      <c r="E12" s="84" t="str">
        <f t="shared" si="0"/>
        <v>USDFUT3MM6_Quote</v>
      </c>
      <c r="F12" s="271" t="str">
        <f>_xll.qlSimpleQuote(E12,,PriceTickValue,Permanent,Trigger,ObjectOverwrite)</f>
        <v>USDFUT3MM6_Quote#0000</v>
      </c>
      <c r="G12" s="272" t="str">
        <f>_xll.ohRangeRetrieveError(F12)</f>
        <v/>
      </c>
      <c r="H12" s="276" t="str">
        <f t="shared" si="1"/>
        <v>USDFUT3MM6ConvAdj_Quote</v>
      </c>
      <c r="I12" s="277" t="str">
        <f>_xll.qlFuturesConvAdjustmentQuote(H12,IborIndex,D12,F12,Volatility,MeanReversion,Permanent,AND(ISERROR(AD12),ISERROR(FuturesHWConvAdj!U12:U13)),ObjectOverwrite)</f>
        <v>USDFUT3MM6ConvAdj_Quote#0001</v>
      </c>
      <c r="J12" s="221" t="str">
        <f>_xll.ohRangeRetrieveError(I12)</f>
        <v/>
      </c>
      <c r="K12" s="116"/>
      <c r="M12" s="373"/>
      <c r="N12" s="273">
        <v>8</v>
      </c>
      <c r="O12" s="273" t="b">
        <v>0</v>
      </c>
      <c r="P12" s="188" t="str">
        <v>M6</v>
      </c>
      <c r="Q12" s="274">
        <v>42536</v>
      </c>
      <c r="R12" s="188" t="str">
        <v>EDM6</v>
      </c>
      <c r="S12" s="395">
        <v>42534</v>
      </c>
      <c r="T12" s="392">
        <v>99.31</v>
      </c>
      <c r="U12" s="392">
        <v>99.314999999999998</v>
      </c>
      <c r="V12" s="392">
        <v>99.31</v>
      </c>
      <c r="W12" s="392">
        <v>99.314999999999998</v>
      </c>
      <c r="X12" s="36">
        <f>_xll.qlMidSafe(T12,U12,Trigger)</f>
        <v>99.3125</v>
      </c>
      <c r="Y12" s="36">
        <f t="shared" si="2"/>
        <v>4.9999999999954525E-3</v>
      </c>
      <c r="Z12" s="374"/>
      <c r="AA12" s="279">
        <v>99.3125</v>
      </c>
      <c r="AB12" s="374"/>
      <c r="AC12" s="36">
        <v>99.3125</v>
      </c>
      <c r="AD12" s="188" t="e">
        <f>_xll.qlSimpleQuoteSetValue(F12,AC12,Trigger)</f>
        <v>#N/A</v>
      </c>
      <c r="AE12" s="365"/>
    </row>
    <row r="13" spans="1:31" x14ac:dyDescent="0.2">
      <c r="A13" s="260"/>
      <c r="B13" s="270">
        <v>9</v>
      </c>
      <c r="C13" s="14" t="b">
        <v>0</v>
      </c>
      <c r="D13" s="11" t="str">
        <v>N6</v>
      </c>
      <c r="E13" s="84" t="str">
        <f t="shared" si="0"/>
        <v>USDFUT3MN6_Quote</v>
      </c>
      <c r="F13" s="271" t="str">
        <f>_xll.qlSimpleQuote(E13,,PriceTickValue,Permanent,Trigger,ObjectOverwrite)</f>
        <v>USDFUT3MN6_Quote#0000</v>
      </c>
      <c r="G13" s="272" t="str">
        <f>_xll.ohRangeRetrieveError(F13)</f>
        <v/>
      </c>
      <c r="H13" s="276" t="str">
        <f t="shared" si="1"/>
        <v>USDFUT3MN6ConvAdj_Quote</v>
      </c>
      <c r="I13" s="277" t="str">
        <f>_xll.qlFuturesConvAdjustmentQuote(H13,IborIndex,D13,F13,Volatility,MeanReversion,Permanent,AND(ISERROR(AD13),ISERROR(FuturesHWConvAdj!U13:U14)),ObjectOverwrite)</f>
        <v>USDFUT3MN6ConvAdj_Quote#0001</v>
      </c>
      <c r="J13" s="221" t="str">
        <f>_xll.ohRangeRetrieveError(I13)</f>
        <v/>
      </c>
      <c r="K13" s="116"/>
      <c r="M13" s="373"/>
      <c r="N13" s="273">
        <v>9</v>
      </c>
      <c r="O13" s="273" t="b">
        <v>0</v>
      </c>
      <c r="P13" s="188" t="str">
        <v>N6</v>
      </c>
      <c r="Q13" s="274">
        <v>42571</v>
      </c>
      <c r="R13" s="188" t="str">
        <v>EDN6</v>
      </c>
      <c r="S13" s="395" t="s">
        <v>253</v>
      </c>
      <c r="T13" s="392" t="s">
        <v>253</v>
      </c>
      <c r="U13" s="392" t="s">
        <v>253</v>
      </c>
      <c r="V13" s="392" t="s">
        <v>253</v>
      </c>
      <c r="W13" s="392" t="s">
        <v>253</v>
      </c>
      <c r="X13" s="36" t="e">
        <f>_xll.qlMidSafe(T13,U13,Trigger)</f>
        <v>#NUM!</v>
      </c>
      <c r="Y13" s="36" t="e">
        <f t="shared" si="2"/>
        <v>#VALUE!</v>
      </c>
      <c r="Z13" s="374"/>
      <c r="AA13" s="279" t="e">
        <v>#NUM!</v>
      </c>
      <c r="AB13" s="374"/>
      <c r="AC13" s="36" t="e">
        <v>#NUM!</v>
      </c>
      <c r="AD13" s="188" t="e">
        <f>_xll.qlSimpleQuoteSetValue(F13,AC13,Trigger)</f>
        <v>#N/A</v>
      </c>
      <c r="AE13" s="365"/>
    </row>
    <row r="14" spans="1:31" x14ac:dyDescent="0.2">
      <c r="A14" s="260"/>
      <c r="B14" s="270">
        <v>10</v>
      </c>
      <c r="C14" s="14" t="b">
        <v>0</v>
      </c>
      <c r="D14" s="11" t="str">
        <v>Q6</v>
      </c>
      <c r="E14" s="84" t="str">
        <f t="shared" si="0"/>
        <v>USDFUT3MQ6_Quote</v>
      </c>
      <c r="F14" s="271" t="str">
        <f>_xll.qlSimpleQuote(E14,,PriceTickValue,Permanent,Trigger,ObjectOverwrite)</f>
        <v>USDFUT3MQ6_Quote#0000</v>
      </c>
      <c r="G14" s="272" t="str">
        <f>_xll.ohRangeRetrieveError(F14)</f>
        <v/>
      </c>
      <c r="H14" s="276" t="str">
        <f t="shared" si="1"/>
        <v>USDFUT3MQ6ConvAdj_Quote</v>
      </c>
      <c r="I14" s="277" t="str">
        <f>_xll.qlFuturesConvAdjustmentQuote(H14,IborIndex,D14,F14,Volatility,MeanReversion,Permanent,AND(ISERROR(AD14),ISERROR(FuturesHWConvAdj!U14:U15)),ObjectOverwrite)</f>
        <v>USDFUT3MQ6ConvAdj_Quote#0001</v>
      </c>
      <c r="J14" s="221" t="str">
        <f>_xll.ohRangeRetrieveError(I14)</f>
        <v/>
      </c>
      <c r="K14" s="116"/>
      <c r="M14" s="373"/>
      <c r="N14" s="273">
        <v>10</v>
      </c>
      <c r="O14" s="273" t="b">
        <v>0</v>
      </c>
      <c r="P14" s="188" t="str">
        <v>Q6</v>
      </c>
      <c r="Q14" s="274">
        <v>42599</v>
      </c>
      <c r="R14" s="188" t="str">
        <v>EDQ6</v>
      </c>
      <c r="S14" s="395" t="s">
        <v>253</v>
      </c>
      <c r="T14" s="392" t="s">
        <v>253</v>
      </c>
      <c r="U14" s="392" t="s">
        <v>253</v>
      </c>
      <c r="V14" s="392" t="s">
        <v>253</v>
      </c>
      <c r="W14" s="392" t="s">
        <v>253</v>
      </c>
      <c r="X14" s="36" t="e">
        <f>_xll.qlMidSafe(T14,U14,Trigger)</f>
        <v>#NUM!</v>
      </c>
      <c r="Y14" s="36" t="e">
        <f t="shared" si="2"/>
        <v>#VALUE!</v>
      </c>
      <c r="Z14" s="374"/>
      <c r="AA14" s="279" t="e">
        <v>#NUM!</v>
      </c>
      <c r="AB14" s="374"/>
      <c r="AC14" s="36" t="e">
        <v>#NUM!</v>
      </c>
      <c r="AD14" s="188">
        <f>_xll.qlSimpleQuoteSetValue(F14,AC14,Trigger)</f>
        <v>0</v>
      </c>
      <c r="AE14" s="365"/>
    </row>
    <row r="15" spans="1:31" x14ac:dyDescent="0.2">
      <c r="A15" s="260"/>
      <c r="B15" s="270">
        <v>11</v>
      </c>
      <c r="C15" s="14" t="b">
        <v>0</v>
      </c>
      <c r="D15" s="11" t="str">
        <v>U6</v>
      </c>
      <c r="E15" s="84" t="str">
        <f t="shared" si="0"/>
        <v>USDFUT3MU6_Quote</v>
      </c>
      <c r="F15" s="271" t="str">
        <f>_xll.qlSimpleQuote(E15,,PriceTickValue,Permanent,Trigger,ObjectOverwrite)</f>
        <v>USDFUT3MU6_Quote#0000</v>
      </c>
      <c r="G15" s="272" t="str">
        <f>_xll.ohRangeRetrieveError(F15)</f>
        <v/>
      </c>
      <c r="H15" s="276" t="str">
        <f t="shared" si="1"/>
        <v>USDFUT3MU6ConvAdj_Quote</v>
      </c>
      <c r="I15" s="277" t="str">
        <f>_xll.qlFuturesConvAdjustmentQuote(H15,IborIndex,D15,F15,Volatility,MeanReversion,Permanent,AND(ISERROR(AD15),ISERROR(FuturesHWConvAdj!U15:U16)),ObjectOverwrite)</f>
        <v>USDFUT3MU6ConvAdj_Quote#0001</v>
      </c>
      <c r="J15" s="221" t="str">
        <f>_xll.ohRangeRetrieveError(I15)</f>
        <v/>
      </c>
      <c r="K15" s="116"/>
      <c r="M15" s="373"/>
      <c r="N15" s="273">
        <v>11</v>
      </c>
      <c r="O15" s="273" t="b">
        <v>0</v>
      </c>
      <c r="P15" s="188" t="str">
        <v>U6</v>
      </c>
      <c r="Q15" s="274">
        <v>42634</v>
      </c>
      <c r="R15" s="188" t="str">
        <v>EDU6</v>
      </c>
      <c r="S15" s="395">
        <v>42632</v>
      </c>
      <c r="T15" s="392">
        <v>99.15</v>
      </c>
      <c r="U15" s="392">
        <v>99.155000000000001</v>
      </c>
      <c r="V15" s="392">
        <v>99.155000000000001</v>
      </c>
      <c r="W15" s="392">
        <v>99.155000000000001</v>
      </c>
      <c r="X15" s="36">
        <f>_xll.qlMidSafe(T15,U15,Trigger)</f>
        <v>99.152500000000003</v>
      </c>
      <c r="Y15" s="36">
        <f t="shared" si="2"/>
        <v>4.9999999999954525E-3</v>
      </c>
      <c r="Z15" s="374"/>
      <c r="AA15" s="279">
        <v>99.152500000000003</v>
      </c>
      <c r="AB15" s="374"/>
      <c r="AC15" s="36">
        <v>99.152500000000003</v>
      </c>
      <c r="AD15" s="188" t="e">
        <f>_xll.qlSimpleQuoteSetValue(F15,AC15,Trigger)</f>
        <v>#N/A</v>
      </c>
      <c r="AE15" s="365"/>
    </row>
    <row r="16" spans="1:31" x14ac:dyDescent="0.2">
      <c r="A16" s="260"/>
      <c r="B16" s="270">
        <v>12</v>
      </c>
      <c r="C16" s="14" t="b">
        <v>0</v>
      </c>
      <c r="D16" s="11" t="str">
        <v>V6</v>
      </c>
      <c r="E16" s="84" t="str">
        <f t="shared" si="0"/>
        <v>USDFUT3MV6_Quote</v>
      </c>
      <c r="F16" s="271" t="str">
        <f>_xll.qlSimpleQuote(E16,,PriceTickValue,Permanent,Trigger,ObjectOverwrite)</f>
        <v>USDFUT3MV6_Quote#0000</v>
      </c>
      <c r="G16" s="272" t="str">
        <f>_xll.ohRangeRetrieveError(F16)</f>
        <v/>
      </c>
      <c r="H16" s="276" t="str">
        <f t="shared" si="1"/>
        <v>USDFUT3MV6ConvAdj_Quote</v>
      </c>
      <c r="I16" s="277" t="str">
        <f>_xll.qlFuturesConvAdjustmentQuote(H16,IborIndex,D16,F16,Volatility,MeanReversion,Permanent,AND(ISERROR(AD16),ISERROR(FuturesHWConvAdj!U16:U17)),ObjectOverwrite)</f>
        <v>USDFUT3MV6ConvAdj_Quote#0001</v>
      </c>
      <c r="J16" s="221" t="str">
        <f>_xll.ohRangeRetrieveError(I16)</f>
        <v/>
      </c>
      <c r="K16" s="116"/>
      <c r="M16" s="373"/>
      <c r="N16" s="273">
        <v>12</v>
      </c>
      <c r="O16" s="273" t="b">
        <v>0</v>
      </c>
      <c r="P16" s="188" t="str">
        <v>V6</v>
      </c>
      <c r="Q16" s="274">
        <v>42662</v>
      </c>
      <c r="R16" s="188" t="str">
        <v>EDV6</v>
      </c>
      <c r="S16" s="395" t="s">
        <v>253</v>
      </c>
      <c r="T16" s="392" t="s">
        <v>253</v>
      </c>
      <c r="U16" s="392" t="s">
        <v>253</v>
      </c>
      <c r="V16" s="392" t="s">
        <v>253</v>
      </c>
      <c r="W16" s="392" t="s">
        <v>253</v>
      </c>
      <c r="X16" s="36" t="e">
        <f>_xll.qlMidSafe(T16,U16,Trigger)</f>
        <v>#NUM!</v>
      </c>
      <c r="Y16" s="36" t="e">
        <f t="shared" si="2"/>
        <v>#VALUE!</v>
      </c>
      <c r="Z16" s="374"/>
      <c r="AA16" s="279" t="e">
        <v>#NUM!</v>
      </c>
      <c r="AB16" s="374"/>
      <c r="AC16" s="36" t="e">
        <v>#NUM!</v>
      </c>
      <c r="AD16" s="188" t="e">
        <f>_xll.qlSimpleQuoteSetValue(F16,AC16,Trigger)</f>
        <v>#N/A</v>
      </c>
      <c r="AE16" s="365"/>
    </row>
    <row r="17" spans="1:31" x14ac:dyDescent="0.2">
      <c r="A17" s="260"/>
      <c r="B17" s="270">
        <v>13</v>
      </c>
      <c r="C17" s="14" t="b">
        <v>1</v>
      </c>
      <c r="D17" s="11" t="str">
        <v>Z6</v>
      </c>
      <c r="E17" s="84" t="str">
        <f t="shared" si="0"/>
        <v>USDFUT3MZ6_Quote</v>
      </c>
      <c r="F17" s="271" t="str">
        <f>_xll.qlSimpleQuote(E17,,PriceTickValue,Permanent,Trigger,ObjectOverwrite)</f>
        <v>USDFUT3MZ6_Quote#0000</v>
      </c>
      <c r="G17" s="272" t="str">
        <f>_xll.ohRangeRetrieveError(F17)</f>
        <v/>
      </c>
      <c r="H17" s="276" t="str">
        <f t="shared" si="1"/>
        <v>USDFUT3MZ6ConvAdj_Quote</v>
      </c>
      <c r="I17" s="277" t="str">
        <f>_xll.qlFuturesConvAdjustmentQuote(H17,IborIndex,D17,F17,Volatility,MeanReversion,Permanent,AND(ISERROR(AD17),ISERROR(FuturesHWConvAdj!U17:U18)),ObjectOverwrite)</f>
        <v>USDFUT3MZ6ConvAdj_Quote#0001</v>
      </c>
      <c r="J17" s="221" t="str">
        <f>_xll.ohRangeRetrieveError(I17)</f>
        <v/>
      </c>
      <c r="K17" s="116"/>
      <c r="M17" s="373"/>
      <c r="N17" s="273">
        <v>13</v>
      </c>
      <c r="O17" s="273" t="b">
        <v>1</v>
      </c>
      <c r="P17" s="188" t="str">
        <v>Z6</v>
      </c>
      <c r="Q17" s="274">
        <v>42725</v>
      </c>
      <c r="R17" s="188" t="str">
        <v>EDZ6</v>
      </c>
      <c r="S17" s="395">
        <v>42723</v>
      </c>
      <c r="T17" s="392">
        <v>98.99</v>
      </c>
      <c r="U17" s="392">
        <v>98.995000000000005</v>
      </c>
      <c r="V17" s="392">
        <v>98.99</v>
      </c>
      <c r="W17" s="392">
        <v>98.995000000000005</v>
      </c>
      <c r="X17" s="36">
        <f>_xll.qlMidSafe(T17,U17,Trigger)</f>
        <v>98.992500000000007</v>
      </c>
      <c r="Y17" s="36">
        <f t="shared" si="2"/>
        <v>5.0000000000096634E-3</v>
      </c>
      <c r="Z17" s="374"/>
      <c r="AA17" s="279">
        <v>98.992500000000007</v>
      </c>
      <c r="AB17" s="374"/>
      <c r="AC17" s="36">
        <v>98.992500000000007</v>
      </c>
      <c r="AD17" s="188">
        <f>_xll.qlSimpleQuoteSetValue(F17,AC17,Trigger)</f>
        <v>-0.10499999999998977</v>
      </c>
      <c r="AE17" s="365"/>
    </row>
    <row r="18" spans="1:31" x14ac:dyDescent="0.2">
      <c r="A18" s="260"/>
      <c r="B18" s="270">
        <v>14</v>
      </c>
      <c r="C18" s="14" t="b">
        <v>1</v>
      </c>
      <c r="D18" s="11" t="str">
        <v>H7</v>
      </c>
      <c r="E18" s="84" t="str">
        <f t="shared" si="0"/>
        <v>USDFUT3MH7_Quote</v>
      </c>
      <c r="F18" s="271" t="str">
        <f>_xll.qlSimpleQuote(E18,,PriceTickValue,Permanent,Trigger,ObjectOverwrite)</f>
        <v>USDFUT3MH7_Quote#0000</v>
      </c>
      <c r="G18" s="272" t="str">
        <f>_xll.ohRangeRetrieveError(F18)</f>
        <v/>
      </c>
      <c r="H18" s="276" t="str">
        <f t="shared" si="1"/>
        <v>USDFUT3MH7ConvAdj_Quote</v>
      </c>
      <c r="I18" s="277" t="str">
        <f>_xll.qlFuturesConvAdjustmentQuote(H18,IborIndex,D18,F18,Volatility,MeanReversion,Permanent,AND(ISERROR(AD18),ISERROR(FuturesHWConvAdj!U18:U19)),ObjectOverwrite)</f>
        <v>USDFUT3MH7ConvAdj_Quote#0001</v>
      </c>
      <c r="J18" s="221" t="str">
        <f>_xll.ohRangeRetrieveError(I18)</f>
        <v/>
      </c>
      <c r="K18" s="116"/>
      <c r="M18" s="373"/>
      <c r="N18" s="273">
        <v>14</v>
      </c>
      <c r="O18" s="273" t="b">
        <v>1</v>
      </c>
      <c r="P18" s="188" t="str">
        <v>H7</v>
      </c>
      <c r="Q18" s="274">
        <v>42809</v>
      </c>
      <c r="R18" s="188" t="str">
        <v>EDH7</v>
      </c>
      <c r="S18" s="395">
        <v>42807</v>
      </c>
      <c r="T18" s="392">
        <v>98.85</v>
      </c>
      <c r="U18" s="392">
        <v>98.855000000000004</v>
      </c>
      <c r="V18" s="392">
        <v>98.855000000000004</v>
      </c>
      <c r="W18" s="392">
        <v>98.86</v>
      </c>
      <c r="X18" s="36">
        <f>_xll.qlMidSafe(T18,U18,Trigger)</f>
        <v>98.852499999999992</v>
      </c>
      <c r="Y18" s="36">
        <f t="shared" si="2"/>
        <v>5.0000000000096634E-3</v>
      </c>
      <c r="Z18" s="374"/>
      <c r="AA18" s="279">
        <v>98.852499999999992</v>
      </c>
      <c r="AB18" s="374"/>
      <c r="AC18" s="36">
        <v>98.852499999999992</v>
      </c>
      <c r="AD18" s="188">
        <f>_xll.qlSimpleQuoteSetValue(F18,AC18,Trigger)</f>
        <v>-0.11750000000000682</v>
      </c>
      <c r="AE18" s="365"/>
    </row>
    <row r="19" spans="1:31" x14ac:dyDescent="0.2">
      <c r="A19" s="260"/>
      <c r="B19" s="270">
        <v>15</v>
      </c>
      <c r="C19" s="14" t="b">
        <v>1</v>
      </c>
      <c r="D19" s="11" t="str">
        <v>M7</v>
      </c>
      <c r="E19" s="84" t="str">
        <f t="shared" si="0"/>
        <v>USDFUT3MM7_Quote</v>
      </c>
      <c r="F19" s="271" t="str">
        <f>_xll.qlSimpleQuote(E19,,PriceTickValue,Permanent,Trigger,ObjectOverwrite)</f>
        <v>USDFUT3MM7_Quote#0000</v>
      </c>
      <c r="G19" s="272" t="str">
        <f>_xll.ohRangeRetrieveError(F19)</f>
        <v/>
      </c>
      <c r="H19" s="276" t="str">
        <f t="shared" si="1"/>
        <v>USDFUT3MM7ConvAdj_Quote</v>
      </c>
      <c r="I19" s="277" t="str">
        <f>_xll.qlFuturesConvAdjustmentQuote(H19,IborIndex,D19,F19,Volatility,MeanReversion,Permanent,AND(ISERROR(AD19),ISERROR(FuturesHWConvAdj!U19:U20)),ObjectOverwrite)</f>
        <v>USDFUT3MM7ConvAdj_Quote#0001</v>
      </c>
      <c r="J19" s="221" t="str">
        <f>_xll.ohRangeRetrieveError(I19)</f>
        <v/>
      </c>
      <c r="K19" s="116"/>
      <c r="M19" s="373"/>
      <c r="N19" s="273">
        <v>15</v>
      </c>
      <c r="O19" s="273" t="b">
        <v>1</v>
      </c>
      <c r="P19" s="188" t="str">
        <v>M7</v>
      </c>
      <c r="Q19" s="274">
        <v>42907</v>
      </c>
      <c r="R19" s="188" t="str">
        <v>EDM7</v>
      </c>
      <c r="S19" s="395">
        <v>42905</v>
      </c>
      <c r="T19" s="392">
        <v>98.71</v>
      </c>
      <c r="U19" s="392">
        <v>98.715000000000003</v>
      </c>
      <c r="V19" s="392">
        <v>98.715000000000003</v>
      </c>
      <c r="W19" s="392">
        <v>98.72</v>
      </c>
      <c r="X19" s="36">
        <f>_xll.qlMidSafe(T19,U19,Trigger)</f>
        <v>98.712500000000006</v>
      </c>
      <c r="Y19" s="36">
        <f t="shared" si="2"/>
        <v>5.0000000000096634E-3</v>
      </c>
      <c r="Z19" s="374"/>
      <c r="AA19" s="279">
        <v>98.712500000000006</v>
      </c>
      <c r="AB19" s="374"/>
      <c r="AC19" s="36">
        <v>98.712500000000006</v>
      </c>
      <c r="AD19" s="188">
        <f>_xll.qlSimpleQuoteSetValue(F19,AC19,Trigger)</f>
        <v>-0.11999999999999034</v>
      </c>
      <c r="AE19" s="365"/>
    </row>
    <row r="20" spans="1:31" x14ac:dyDescent="0.2">
      <c r="A20" s="260"/>
      <c r="B20" s="270">
        <v>16</v>
      </c>
      <c r="C20" s="14" t="b">
        <v>1</v>
      </c>
      <c r="D20" s="11" t="str">
        <v>U7</v>
      </c>
      <c r="E20" s="84" t="str">
        <f t="shared" si="0"/>
        <v>USDFUT3MU7_Quote</v>
      </c>
      <c r="F20" s="271" t="str">
        <f>_xll.qlSimpleQuote(E20,,PriceTickValue,Permanent,Trigger,ObjectOverwrite)</f>
        <v>USDFUT3MU7_Quote#0000</v>
      </c>
      <c r="G20" s="272" t="str">
        <f>_xll.ohRangeRetrieveError(F20)</f>
        <v/>
      </c>
      <c r="H20" s="276" t="str">
        <f t="shared" si="1"/>
        <v>USDFUT3MU7ConvAdj_Quote</v>
      </c>
      <c r="I20" s="277" t="str">
        <f>_xll.qlFuturesConvAdjustmentQuote(H20,IborIndex,D20,F20,Volatility,MeanReversion,Permanent,AND(ISERROR(AD20),ISERROR(FuturesHWConvAdj!U20:U21)),ObjectOverwrite)</f>
        <v>USDFUT3MU7ConvAdj_Quote#0001</v>
      </c>
      <c r="J20" s="221" t="str">
        <f>_xll.ohRangeRetrieveError(I20)</f>
        <v/>
      </c>
      <c r="K20" s="116"/>
      <c r="M20" s="373"/>
      <c r="N20" s="273">
        <v>16</v>
      </c>
      <c r="O20" s="273" t="b">
        <v>1</v>
      </c>
      <c r="P20" s="188" t="str">
        <v>U7</v>
      </c>
      <c r="Q20" s="274">
        <v>42998</v>
      </c>
      <c r="R20" s="188" t="str">
        <v>EDU7</v>
      </c>
      <c r="S20" s="395">
        <v>42996</v>
      </c>
      <c r="T20" s="392">
        <v>98.575000000000003</v>
      </c>
      <c r="U20" s="392">
        <v>98.584999999999994</v>
      </c>
      <c r="V20" s="392">
        <v>98.58</v>
      </c>
      <c r="W20" s="392">
        <v>98.584999999999994</v>
      </c>
      <c r="X20" s="36">
        <f>_xll.qlMidSafe(T20,U20,Trigger)</f>
        <v>98.58</v>
      </c>
      <c r="Y20" s="36">
        <f t="shared" si="2"/>
        <v>9.9999999999909051E-3</v>
      </c>
      <c r="Z20" s="374"/>
      <c r="AA20" s="279">
        <v>98.58</v>
      </c>
      <c r="AB20" s="374"/>
      <c r="AC20" s="36">
        <v>98.58</v>
      </c>
      <c r="AD20" s="188">
        <f>_xll.qlSimpleQuoteSetValue(F20,AC20,Trigger)</f>
        <v>-0.12749999999999773</v>
      </c>
      <c r="AE20" s="365"/>
    </row>
    <row r="21" spans="1:31" x14ac:dyDescent="0.2">
      <c r="A21" s="260"/>
      <c r="B21" s="270">
        <v>17</v>
      </c>
      <c r="C21" s="14" t="b">
        <v>1</v>
      </c>
      <c r="D21" s="11" t="str">
        <v>Z7</v>
      </c>
      <c r="E21" s="84" t="str">
        <f t="shared" si="0"/>
        <v>USDFUT3MZ7_Quote</v>
      </c>
      <c r="F21" s="271" t="str">
        <f>_xll.qlSimpleQuote(E21,,PriceTickValue,Permanent,Trigger,ObjectOverwrite)</f>
        <v>USDFUT3MZ7_Quote#0000</v>
      </c>
      <c r="G21" s="272" t="str">
        <f>_xll.ohRangeRetrieveError(F21)</f>
        <v/>
      </c>
      <c r="H21" s="276" t="str">
        <f t="shared" si="1"/>
        <v>USDFUT3MZ7ConvAdj_Quote</v>
      </c>
      <c r="I21" s="277" t="str">
        <f>_xll.qlFuturesConvAdjustmentQuote(H21,IborIndex,D21,F21,Volatility,MeanReversion,Permanent,AND(ISERROR(AD21),ISERROR(FuturesHWConvAdj!U21:U22)),ObjectOverwrite)</f>
        <v>USDFUT3MZ7ConvAdj_Quote#0001</v>
      </c>
      <c r="J21" s="221" t="str">
        <f>_xll.ohRangeRetrieveError(I21)</f>
        <v/>
      </c>
      <c r="K21" s="116"/>
      <c r="M21" s="373"/>
      <c r="N21" s="273">
        <v>17</v>
      </c>
      <c r="O21" s="273" t="b">
        <v>1</v>
      </c>
      <c r="P21" s="188" t="str">
        <v>Z7</v>
      </c>
      <c r="Q21" s="274">
        <v>43089</v>
      </c>
      <c r="R21" s="188" t="str">
        <v>EDZ7</v>
      </c>
      <c r="S21" s="395">
        <v>43087</v>
      </c>
      <c r="T21" s="392">
        <v>98.444999999999993</v>
      </c>
      <c r="U21" s="392">
        <v>98.45</v>
      </c>
      <c r="V21" s="392">
        <v>98.45</v>
      </c>
      <c r="W21" s="392">
        <v>98.45</v>
      </c>
      <c r="X21" s="36">
        <f>_xll.qlMidSafe(T21,U21,Trigger)</f>
        <v>98.447499999999991</v>
      </c>
      <c r="Y21" s="36">
        <f t="shared" si="2"/>
        <v>5.0000000000096634E-3</v>
      </c>
      <c r="Z21" s="374"/>
      <c r="AA21" s="279">
        <v>98.447499999999991</v>
      </c>
      <c r="AB21" s="374"/>
      <c r="AC21" s="36">
        <v>98.447499999999991</v>
      </c>
      <c r="AD21" s="188">
        <f>_xll.qlSimpleQuoteSetValue(F21,AC21,Trigger)</f>
        <v>-0.13000000000000966</v>
      </c>
      <c r="AE21" s="365"/>
    </row>
    <row r="22" spans="1:31" x14ac:dyDescent="0.2">
      <c r="A22" s="260"/>
      <c r="B22" s="270">
        <v>18</v>
      </c>
      <c r="C22" s="14" t="b">
        <v>1</v>
      </c>
      <c r="D22" s="11" t="str">
        <v>H8</v>
      </c>
      <c r="E22" s="84" t="str">
        <f t="shared" si="0"/>
        <v>USDFUT3MH8_Quote</v>
      </c>
      <c r="F22" s="271" t="str">
        <f>_xll.qlSimpleQuote(E22,,PriceTickValue,Permanent,Trigger,ObjectOverwrite)</f>
        <v>USDFUT3MH8_Quote#0000</v>
      </c>
      <c r="G22" s="272" t="str">
        <f>_xll.ohRangeRetrieveError(F22)</f>
        <v/>
      </c>
      <c r="H22" s="276" t="str">
        <f t="shared" si="1"/>
        <v>USDFUT3MH8ConvAdj_Quote</v>
      </c>
      <c r="I22" s="277" t="str">
        <f>_xll.qlFuturesConvAdjustmentQuote(H22,IborIndex,D22,F22,Volatility,MeanReversion,Permanent,AND(ISERROR(AD22),ISERROR(FuturesHWConvAdj!U22:U23)),ObjectOverwrite)</f>
        <v>USDFUT3MH8ConvAdj_Quote#0001</v>
      </c>
      <c r="J22" s="221" t="str">
        <f>_xll.ohRangeRetrieveError(I22)</f>
        <v/>
      </c>
      <c r="K22" s="116"/>
      <c r="M22" s="373"/>
      <c r="N22" s="273">
        <v>18</v>
      </c>
      <c r="O22" s="273" t="b">
        <v>1</v>
      </c>
      <c r="P22" s="188" t="str">
        <v>H8</v>
      </c>
      <c r="Q22" s="274">
        <v>43180</v>
      </c>
      <c r="R22" s="188" t="str">
        <v>EDH8</v>
      </c>
      <c r="S22" s="395">
        <v>43178</v>
      </c>
      <c r="T22" s="392">
        <v>98.334999999999994</v>
      </c>
      <c r="U22" s="392">
        <v>98.34</v>
      </c>
      <c r="V22" s="392">
        <v>98.334999999999994</v>
      </c>
      <c r="W22" s="392">
        <v>98.34</v>
      </c>
      <c r="X22" s="36">
        <f>_xll.qlMidSafe(T22,U22,Trigger)</f>
        <v>98.337500000000006</v>
      </c>
      <c r="Y22" s="36">
        <f t="shared" si="2"/>
        <v>5.0000000000096634E-3</v>
      </c>
      <c r="Z22" s="374"/>
      <c r="AA22" s="279">
        <v>98.337500000000006</v>
      </c>
      <c r="AB22" s="374"/>
      <c r="AC22" s="36">
        <v>98.337500000000006</v>
      </c>
      <c r="AD22" s="188">
        <f>_xll.qlSimpleQuoteSetValue(F22,AC22,Trigger)</f>
        <v>-0.125</v>
      </c>
      <c r="AE22" s="365"/>
    </row>
    <row r="23" spans="1:31" x14ac:dyDescent="0.2">
      <c r="A23" s="260"/>
      <c r="B23" s="270">
        <v>19</v>
      </c>
      <c r="C23" s="14" t="b">
        <v>1</v>
      </c>
      <c r="D23" s="11" t="str">
        <v>M8</v>
      </c>
      <c r="E23" s="84" t="str">
        <f t="shared" si="0"/>
        <v>USDFUT3MM8_Quote</v>
      </c>
      <c r="F23" s="271" t="str">
        <f>_xll.qlSimpleQuote(E23,,PriceTickValue,Permanent,Trigger,ObjectOverwrite)</f>
        <v>USDFUT3MM8_Quote#0000</v>
      </c>
      <c r="G23" s="272" t="str">
        <f>_xll.ohRangeRetrieveError(F23)</f>
        <v/>
      </c>
      <c r="H23" s="276" t="str">
        <f t="shared" si="1"/>
        <v>USDFUT3MM8ConvAdj_Quote</v>
      </c>
      <c r="I23" s="277" t="str">
        <f>_xll.qlFuturesConvAdjustmentQuote(H23,IborIndex,D23,F23,Volatility,MeanReversion,Permanent,AND(ISERROR(AD23),ISERROR(FuturesHWConvAdj!U23:U24)),ObjectOverwrite)</f>
        <v>USDFUT3MM8ConvAdj_Quote#0001</v>
      </c>
      <c r="J23" s="221" t="str">
        <f>_xll.ohRangeRetrieveError(I23)</f>
        <v/>
      </c>
      <c r="K23" s="116"/>
      <c r="M23" s="373"/>
      <c r="N23" s="273">
        <v>19</v>
      </c>
      <c r="O23" s="273" t="b">
        <v>1</v>
      </c>
      <c r="P23" s="188" t="str">
        <v>M8</v>
      </c>
      <c r="Q23" s="274">
        <v>43271</v>
      </c>
      <c r="R23" s="188" t="str">
        <v>EDM8</v>
      </c>
      <c r="S23" s="395">
        <v>43269</v>
      </c>
      <c r="T23" s="392">
        <v>98.224999999999994</v>
      </c>
      <c r="U23" s="392">
        <v>98.23</v>
      </c>
      <c r="V23" s="392">
        <v>98.23</v>
      </c>
      <c r="W23" s="392">
        <v>98.23</v>
      </c>
      <c r="X23" s="36">
        <f>_xll.qlMidSafe(T23,U23,Trigger)</f>
        <v>98.227499999999992</v>
      </c>
      <c r="Y23" s="36">
        <f t="shared" si="2"/>
        <v>5.0000000000096634E-3</v>
      </c>
      <c r="Z23" s="374"/>
      <c r="AA23" s="279">
        <v>98.227499999999992</v>
      </c>
      <c r="AB23" s="374"/>
      <c r="AC23" s="36">
        <v>98.227499999999992</v>
      </c>
      <c r="AD23" s="188">
        <f>_xll.qlSimpleQuoteSetValue(F23,AC23,Trigger)</f>
        <v>-0.12000000000000455</v>
      </c>
      <c r="AE23" s="365"/>
    </row>
    <row r="24" spans="1:31" x14ac:dyDescent="0.2">
      <c r="A24" s="260"/>
      <c r="B24" s="270">
        <v>20</v>
      </c>
      <c r="C24" s="14" t="b">
        <v>1</v>
      </c>
      <c r="D24" s="11" t="str">
        <v>U8</v>
      </c>
      <c r="E24" s="84" t="str">
        <f t="shared" si="0"/>
        <v>USDFUT3MU8_Quote</v>
      </c>
      <c r="F24" s="271" t="str">
        <f>_xll.qlSimpleQuote(E24,,PriceTickValue,Permanent,Trigger,ObjectOverwrite)</f>
        <v>USDFUT3MU8_Quote#0000</v>
      </c>
      <c r="G24" s="272" t="str">
        <f>_xll.ohRangeRetrieveError(F24)</f>
        <v/>
      </c>
      <c r="H24" s="276" t="str">
        <f t="shared" si="1"/>
        <v>USDFUT3MU8ConvAdj_Quote</v>
      </c>
      <c r="I24" s="277" t="str">
        <f>_xll.qlFuturesConvAdjustmentQuote(H24,IborIndex,D24,F24,Volatility,MeanReversion,Permanent,AND(ISERROR(AD24),ISERROR(FuturesHWConvAdj!U24:U25)),ObjectOverwrite)</f>
        <v>USDFUT3MU8ConvAdj_Quote#0001</v>
      </c>
      <c r="J24" s="221" t="str">
        <f>_xll.ohRangeRetrieveError(I24)</f>
        <v/>
      </c>
      <c r="K24" s="116"/>
      <c r="M24" s="373"/>
      <c r="N24" s="273">
        <v>20</v>
      </c>
      <c r="O24" s="273" t="b">
        <v>1</v>
      </c>
      <c r="P24" s="188" t="str">
        <v>U8</v>
      </c>
      <c r="Q24" s="274">
        <v>43362</v>
      </c>
      <c r="R24" s="188" t="str">
        <v>EDU8</v>
      </c>
      <c r="S24" s="395">
        <v>43360</v>
      </c>
      <c r="T24" s="392">
        <v>98.125</v>
      </c>
      <c r="U24" s="392">
        <v>98.13</v>
      </c>
      <c r="V24" s="392">
        <v>98.13</v>
      </c>
      <c r="W24" s="392">
        <v>98.125</v>
      </c>
      <c r="X24" s="36">
        <f>_xll.qlMidSafe(T24,U24,Trigger)</f>
        <v>98.127499999999998</v>
      </c>
      <c r="Y24" s="36">
        <f t="shared" si="2"/>
        <v>4.9999999999954525E-3</v>
      </c>
      <c r="Z24" s="374"/>
      <c r="AA24" s="279">
        <v>98.127499999999998</v>
      </c>
      <c r="AB24" s="374"/>
      <c r="AC24" s="36">
        <v>98.127499999999998</v>
      </c>
      <c r="AD24" s="188">
        <f>_xll.qlSimpleQuoteSetValue(F24,AC24,Trigger)</f>
        <v>-0.11500000000000909</v>
      </c>
      <c r="AE24" s="365"/>
    </row>
    <row r="25" spans="1:31" x14ac:dyDescent="0.2">
      <c r="A25" s="260"/>
      <c r="B25" s="270">
        <v>21</v>
      </c>
      <c r="C25" s="14" t="b">
        <v>1</v>
      </c>
      <c r="D25" s="11" t="str">
        <v>Z8</v>
      </c>
      <c r="E25" s="84" t="str">
        <f t="shared" si="0"/>
        <v>USDFUT3MZ8_Quote</v>
      </c>
      <c r="F25" s="271" t="str">
        <f>_xll.qlSimpleQuote(E25,,PriceTickValue,Permanent,Trigger,ObjectOverwrite)</f>
        <v>USDFUT3MZ8_Quote#0000</v>
      </c>
      <c r="G25" s="272" t="str">
        <f>_xll.ohRangeRetrieveError(F25)</f>
        <v/>
      </c>
      <c r="H25" s="276" t="str">
        <f t="shared" si="1"/>
        <v>USDFUT3MZ8ConvAdj_Quote</v>
      </c>
      <c r="I25" s="277" t="str">
        <f>_xll.qlFuturesConvAdjustmentQuote(H25,IborIndex,D25,F25,Volatility,MeanReversion,Permanent,AND(ISERROR(AD25),ISERROR(FuturesHWConvAdj!U25:U26)),ObjectOverwrite)</f>
        <v>USDFUT3MZ8ConvAdj_Quote#0001</v>
      </c>
      <c r="J25" s="221" t="str">
        <f>_xll.ohRangeRetrieveError(I25)</f>
        <v/>
      </c>
      <c r="K25" s="116"/>
      <c r="M25" s="373"/>
      <c r="N25" s="273">
        <v>21</v>
      </c>
      <c r="O25" s="273" t="b">
        <v>1</v>
      </c>
      <c r="P25" s="188" t="str">
        <v>Z8</v>
      </c>
      <c r="Q25" s="274">
        <v>43453</v>
      </c>
      <c r="R25" s="188" t="str">
        <v>EDZ8</v>
      </c>
      <c r="S25" s="395">
        <v>43451</v>
      </c>
      <c r="T25" s="392">
        <v>98.025000000000006</v>
      </c>
      <c r="U25" s="392">
        <v>98.034999999999997</v>
      </c>
      <c r="V25" s="392">
        <v>98.03</v>
      </c>
      <c r="W25" s="392">
        <v>98.02</v>
      </c>
      <c r="X25" s="36">
        <f>_xll.qlMidSafe(T25,U25,Trigger)</f>
        <v>98.03</v>
      </c>
      <c r="Y25" s="36">
        <f t="shared" si="2"/>
        <v>9.9999999999909051E-3</v>
      </c>
      <c r="Z25" s="374"/>
      <c r="AA25" s="279">
        <v>98.03</v>
      </c>
      <c r="AB25" s="374"/>
      <c r="AC25" s="36">
        <v>98.03</v>
      </c>
      <c r="AD25" s="188">
        <f>_xll.qlSimpleQuoteSetValue(F25,AC25,Trigger)</f>
        <v>-0.10249999999999204</v>
      </c>
      <c r="AE25" s="365"/>
    </row>
    <row r="26" spans="1:31" x14ac:dyDescent="0.2">
      <c r="A26" s="260"/>
      <c r="B26" s="270">
        <v>22</v>
      </c>
      <c r="C26" s="14" t="b">
        <v>1</v>
      </c>
      <c r="D26" s="11" t="str">
        <v>H9</v>
      </c>
      <c r="E26" s="84" t="str">
        <f t="shared" si="0"/>
        <v>USDFUT3MH9_Quote</v>
      </c>
      <c r="F26" s="271" t="str">
        <f>_xll.qlSimpleQuote(E26,,PriceTickValue,Permanent,Trigger,ObjectOverwrite)</f>
        <v>USDFUT3MH9_Quote#0000</v>
      </c>
      <c r="G26" s="272" t="str">
        <f>_xll.ohRangeRetrieveError(F26)</f>
        <v/>
      </c>
      <c r="H26" s="276" t="str">
        <f t="shared" si="1"/>
        <v>USDFUT3MH9ConvAdj_Quote</v>
      </c>
      <c r="I26" s="277" t="str">
        <f>_xll.qlFuturesConvAdjustmentQuote(H26,IborIndex,D26,F26,Volatility,MeanReversion,Permanent,AND(ISERROR(AD26),ISERROR(FuturesHWConvAdj!U26:U27)),ObjectOverwrite)</f>
        <v>USDFUT3MH9ConvAdj_Quote#0001</v>
      </c>
      <c r="J26" s="221" t="str">
        <f>_xll.ohRangeRetrieveError(I26)</f>
        <v/>
      </c>
      <c r="K26" s="116"/>
      <c r="M26" s="373"/>
      <c r="N26" s="273">
        <v>22</v>
      </c>
      <c r="O26" s="273" t="b">
        <v>1</v>
      </c>
      <c r="P26" s="188" t="str">
        <v>H9</v>
      </c>
      <c r="Q26" s="274">
        <v>43544</v>
      </c>
      <c r="R26" s="188" t="str">
        <v>EDH9</v>
      </c>
      <c r="S26" s="395">
        <v>43542</v>
      </c>
      <c r="T26" s="392">
        <v>97.944999999999993</v>
      </c>
      <c r="U26" s="392">
        <v>97.95</v>
      </c>
      <c r="V26" s="392">
        <v>97.944999999999993</v>
      </c>
      <c r="W26" s="392">
        <v>97.935000000000002</v>
      </c>
      <c r="X26" s="36">
        <f>_xll.qlMidSafe(T26,U26,Trigger)</f>
        <v>97.947499999999991</v>
      </c>
      <c r="Y26" s="36">
        <f t="shared" si="2"/>
        <v>5.0000000000096634E-3</v>
      </c>
      <c r="Z26" s="374"/>
      <c r="AA26" s="279">
        <v>97.947499999999991</v>
      </c>
      <c r="AB26" s="374"/>
      <c r="AC26" s="36">
        <v>97.947499999999991</v>
      </c>
      <c r="AD26" s="188">
        <f>_xll.qlSimpleQuoteSetValue(F26,AC26,Trigger)</f>
        <v>-8.7500000000005684E-2</v>
      </c>
      <c r="AE26" s="365"/>
    </row>
    <row r="27" spans="1:31" x14ac:dyDescent="0.2">
      <c r="A27" s="260"/>
      <c r="B27" s="270">
        <v>23</v>
      </c>
      <c r="C27" s="14" t="b">
        <v>1</v>
      </c>
      <c r="D27" s="11" t="str">
        <v>M9</v>
      </c>
      <c r="E27" s="84" t="str">
        <f t="shared" si="0"/>
        <v>USDFUT3MM9_Quote</v>
      </c>
      <c r="F27" s="271" t="str">
        <f>_xll.qlSimpleQuote(E27,,PriceTickValue,Permanent,Trigger,ObjectOverwrite)</f>
        <v>USDFUT3MM9_Quote#0000</v>
      </c>
      <c r="G27" s="272" t="str">
        <f>_xll.ohRangeRetrieveError(F27)</f>
        <v/>
      </c>
      <c r="H27" s="276" t="str">
        <f t="shared" si="1"/>
        <v>USDFUT3MM9ConvAdj_Quote</v>
      </c>
      <c r="I27" s="277" t="str">
        <f>_xll.qlFuturesConvAdjustmentQuote(H27,IborIndex,D27,F27,Volatility,MeanReversion,Permanent,AND(ISERROR(AD27),ISERROR(FuturesHWConvAdj!U27:U28)),ObjectOverwrite)</f>
        <v>USDFUT3MM9ConvAdj_Quote#0001</v>
      </c>
      <c r="J27" s="221" t="str">
        <f>_xll.ohRangeRetrieveError(I27)</f>
        <v/>
      </c>
      <c r="K27" s="116"/>
      <c r="M27" s="373"/>
      <c r="N27" s="273">
        <v>23</v>
      </c>
      <c r="O27" s="273" t="b">
        <v>1</v>
      </c>
      <c r="P27" s="188" t="str">
        <v>M9</v>
      </c>
      <c r="Q27" s="274">
        <v>43635</v>
      </c>
      <c r="R27" s="188" t="str">
        <v>EDM9</v>
      </c>
      <c r="S27" s="395">
        <v>43633</v>
      </c>
      <c r="T27" s="392">
        <v>97.86</v>
      </c>
      <c r="U27" s="392">
        <v>97.864999999999995</v>
      </c>
      <c r="V27" s="392">
        <v>97.86</v>
      </c>
      <c r="W27" s="392">
        <v>97.85</v>
      </c>
      <c r="X27" s="36">
        <f>_xll.qlMidSafe(T27,U27,Trigger)</f>
        <v>97.862499999999997</v>
      </c>
      <c r="Y27" s="36">
        <f t="shared" si="2"/>
        <v>4.9999999999954525E-3</v>
      </c>
      <c r="Z27" s="374"/>
      <c r="AA27" s="279">
        <v>97.862499999999997</v>
      </c>
      <c r="AB27" s="374"/>
      <c r="AC27" s="36">
        <v>97.862499999999997</v>
      </c>
      <c r="AD27" s="188">
        <f>_xll.qlSimpleQuoteSetValue(F27,AC27,Trigger)</f>
        <v>-7.2500000000005116E-2</v>
      </c>
      <c r="AE27" s="365"/>
    </row>
    <row r="28" spans="1:31" x14ac:dyDescent="0.2">
      <c r="A28" s="260"/>
      <c r="B28" s="270">
        <v>24</v>
      </c>
      <c r="C28" s="14" t="b">
        <v>1</v>
      </c>
      <c r="D28" s="11" t="str">
        <v>U9</v>
      </c>
      <c r="E28" s="84" t="str">
        <f t="shared" si="0"/>
        <v>USDFUT3MU9_Quote</v>
      </c>
      <c r="F28" s="271" t="str">
        <f>_xll.qlSimpleQuote(E28,,PriceTickValue,Permanent,Trigger,ObjectOverwrite)</f>
        <v>USDFUT3MU9_Quote#0000</v>
      </c>
      <c r="G28" s="272" t="str">
        <f>_xll.ohRangeRetrieveError(F28)</f>
        <v/>
      </c>
      <c r="H28" s="276" t="str">
        <f t="shared" si="1"/>
        <v>USDFUT3MU9ConvAdj_Quote</v>
      </c>
      <c r="I28" s="277" t="str">
        <f>_xll.qlFuturesConvAdjustmentQuote(H28,IborIndex,D28,F28,Volatility,MeanReversion,Permanent,AND(ISERROR(AD28),ISERROR(FuturesHWConvAdj!U28:U29)),ObjectOverwrite)</f>
        <v>USDFUT3MU9ConvAdj_Quote#0001</v>
      </c>
      <c r="J28" s="221" t="str">
        <f>_xll.ohRangeRetrieveError(I28)</f>
        <v/>
      </c>
      <c r="K28" s="116"/>
      <c r="M28" s="373"/>
      <c r="N28" s="273">
        <v>24</v>
      </c>
      <c r="O28" s="273" t="b">
        <v>1</v>
      </c>
      <c r="P28" s="188" t="str">
        <v>U9</v>
      </c>
      <c r="Q28" s="274">
        <v>43726</v>
      </c>
      <c r="R28" s="188" t="str">
        <v>EDU9</v>
      </c>
      <c r="S28" s="395">
        <v>43724</v>
      </c>
      <c r="T28" s="392">
        <v>97.775000000000006</v>
      </c>
      <c r="U28" s="392">
        <v>97.784999999999997</v>
      </c>
      <c r="V28" s="392">
        <v>97.78</v>
      </c>
      <c r="W28" s="392">
        <v>97.765000000000001</v>
      </c>
      <c r="X28" s="36">
        <f>_xll.qlMidSafe(T28,U28,Trigger)</f>
        <v>97.78</v>
      </c>
      <c r="Y28" s="36">
        <f t="shared" si="2"/>
        <v>9.9999999999909051E-3</v>
      </c>
      <c r="Z28" s="374"/>
      <c r="AA28" s="279">
        <v>97.78</v>
      </c>
      <c r="AB28" s="374"/>
      <c r="AC28" s="36">
        <v>97.78</v>
      </c>
      <c r="AD28" s="188">
        <f>_xll.qlSimpleQuoteSetValue(F28,AC28,Trigger)</f>
        <v>-5.7500000000004547E-2</v>
      </c>
      <c r="AE28" s="365"/>
    </row>
    <row r="29" spans="1:31" x14ac:dyDescent="0.2">
      <c r="A29" s="260"/>
      <c r="B29" s="270">
        <v>25</v>
      </c>
      <c r="C29" s="14" t="b">
        <v>1</v>
      </c>
      <c r="D29" s="11" t="str">
        <v>Z9</v>
      </c>
      <c r="E29" s="84" t="str">
        <f t="shared" si="0"/>
        <v>USDFUT3MZ9_Quote</v>
      </c>
      <c r="F29" s="271" t="str">
        <f>_xll.qlSimpleQuote(E29,,PriceTickValue,Permanent,Trigger,ObjectOverwrite)</f>
        <v>USDFUT3MZ9_Quote#0000</v>
      </c>
      <c r="G29" s="272" t="str">
        <f>_xll.ohRangeRetrieveError(F29)</f>
        <v/>
      </c>
      <c r="H29" s="276" t="str">
        <f t="shared" si="1"/>
        <v>USDFUT3MZ9ConvAdj_Quote</v>
      </c>
      <c r="I29" s="277" t="str">
        <f>_xll.qlFuturesConvAdjustmentQuote(H29,IborIndex,D29,F29,Volatility,MeanReversion,Permanent,AND(ISERROR(AD29),ISERROR(FuturesHWConvAdj!U29:U30)),ObjectOverwrite)</f>
        <v>USDFUT3MZ9ConvAdj_Quote#0001</v>
      </c>
      <c r="J29" s="221" t="str">
        <f>_xll.ohRangeRetrieveError(I29)</f>
        <v/>
      </c>
      <c r="K29" s="116"/>
      <c r="M29" s="373"/>
      <c r="N29" s="273">
        <v>25</v>
      </c>
      <c r="O29" s="273" t="b">
        <v>1</v>
      </c>
      <c r="P29" s="188" t="str">
        <v>Z9</v>
      </c>
      <c r="Q29" s="274">
        <v>43817</v>
      </c>
      <c r="R29" s="188" t="str">
        <v>EDZ9</v>
      </c>
      <c r="S29" s="395">
        <v>43815</v>
      </c>
      <c r="T29" s="392">
        <v>97.694999999999993</v>
      </c>
      <c r="U29" s="392">
        <v>97.7</v>
      </c>
      <c r="V29" s="392">
        <v>97.694999999999993</v>
      </c>
      <c r="W29" s="392">
        <v>97.68</v>
      </c>
      <c r="X29" s="36">
        <f>_xll.qlMidSafe(T29,U29,Trigger)</f>
        <v>97.697499999999991</v>
      </c>
      <c r="Y29" s="36">
        <f t="shared" si="2"/>
        <v>5.0000000000096634E-3</v>
      </c>
      <c r="Z29" s="374"/>
      <c r="AA29" s="279">
        <v>97.697499999999991</v>
      </c>
      <c r="AB29" s="374"/>
      <c r="AC29" s="36">
        <v>97.697499999999991</v>
      </c>
      <c r="AD29" s="188">
        <f>_xll.qlSimpleQuoteSetValue(F29,AC29,Trigger)</f>
        <v>-4.5000000000015916E-2</v>
      </c>
      <c r="AE29" s="365"/>
    </row>
    <row r="30" spans="1:31" x14ac:dyDescent="0.2">
      <c r="A30" s="260"/>
      <c r="B30" s="270">
        <v>26</v>
      </c>
      <c r="C30" s="14" t="b">
        <v>1</v>
      </c>
      <c r="D30" s="11" t="str">
        <v>H0</v>
      </c>
      <c r="E30" s="84" t="str">
        <f t="shared" si="0"/>
        <v>USDFUT3MH0_Quote</v>
      </c>
      <c r="F30" s="271" t="str">
        <f>_xll.qlSimpleQuote(E30,,PriceTickValue,Permanent,Trigger,ObjectOverwrite)</f>
        <v>USDFUT3MH0_Quote#0000</v>
      </c>
      <c r="G30" s="272" t="str">
        <f>_xll.ohRangeRetrieveError(F30)</f>
        <v/>
      </c>
      <c r="H30" s="276" t="str">
        <f t="shared" si="1"/>
        <v>USDFUT3MH0ConvAdj_Quote</v>
      </c>
      <c r="I30" s="277" t="str">
        <f>_xll.qlFuturesConvAdjustmentQuote(H30,IborIndex,D30,F30,Volatility,MeanReversion,Permanent,AND(ISERROR(AD30),ISERROR(FuturesHWConvAdj!U30:U31)),ObjectOverwrite)</f>
        <v>USDFUT3MH0ConvAdj_Quote#0001</v>
      </c>
      <c r="J30" s="221" t="str">
        <f>_xll.ohRangeRetrieveError(I30)</f>
        <v/>
      </c>
      <c r="K30" s="116"/>
      <c r="M30" s="373"/>
      <c r="N30" s="273">
        <v>26</v>
      </c>
      <c r="O30" s="273" t="b">
        <v>1</v>
      </c>
      <c r="P30" s="188" t="str">
        <v>H0</v>
      </c>
      <c r="Q30" s="274">
        <v>43908</v>
      </c>
      <c r="R30" s="188" t="str">
        <v>EDH0</v>
      </c>
      <c r="S30" s="395">
        <v>43906</v>
      </c>
      <c r="T30" s="392">
        <v>97.614999999999995</v>
      </c>
      <c r="U30" s="392">
        <v>97.625</v>
      </c>
      <c r="V30" s="392">
        <v>97.62</v>
      </c>
      <c r="W30" s="392">
        <v>97.6</v>
      </c>
      <c r="X30" s="36">
        <f>_xll.qlMidSafe(T30,U30,Trigger)</f>
        <v>97.62</v>
      </c>
      <c r="Y30" s="36">
        <f t="shared" si="2"/>
        <v>1.0000000000005116E-2</v>
      </c>
      <c r="Z30" s="374"/>
      <c r="AA30" s="279">
        <v>97.62</v>
      </c>
      <c r="AB30" s="374"/>
      <c r="AC30" s="36">
        <v>97.62</v>
      </c>
      <c r="AD30" s="188">
        <f>_xll.qlSimpleQuoteSetValue(F30,AC30,Trigger)</f>
        <v>-3.2499999999998863E-2</v>
      </c>
      <c r="AE30" s="365"/>
    </row>
    <row r="31" spans="1:31" x14ac:dyDescent="0.2">
      <c r="A31" s="260"/>
      <c r="B31" s="270">
        <v>27</v>
      </c>
      <c r="C31" s="14" t="b">
        <v>1</v>
      </c>
      <c r="D31" s="11" t="str">
        <v>M0</v>
      </c>
      <c r="E31" s="84" t="str">
        <f t="shared" si="0"/>
        <v>USDFUT3MM0_Quote</v>
      </c>
      <c r="F31" s="271" t="str">
        <f>_xll.qlSimpleQuote(E31,,PriceTickValue,Permanent,Trigger,ObjectOverwrite)</f>
        <v>USDFUT3MM0_Quote#0000</v>
      </c>
      <c r="G31" s="272" t="str">
        <f>_xll.ohRangeRetrieveError(F31)</f>
        <v/>
      </c>
      <c r="H31" s="276" t="str">
        <f t="shared" si="1"/>
        <v>USDFUT3MM0ConvAdj_Quote</v>
      </c>
      <c r="I31" s="277" t="str">
        <f>_xll.qlFuturesConvAdjustmentQuote(H31,IborIndex,D31,F31,Volatility,MeanReversion,Permanent,AND(ISERROR(AD31),ISERROR(FuturesHWConvAdj!U31:U32)),ObjectOverwrite)</f>
        <v>USDFUT3MM0ConvAdj_Quote#0001</v>
      </c>
      <c r="J31" s="221" t="str">
        <f>_xll.ohRangeRetrieveError(I31)</f>
        <v/>
      </c>
      <c r="K31" s="116"/>
      <c r="M31" s="373"/>
      <c r="N31" s="273">
        <v>27</v>
      </c>
      <c r="O31" s="273" t="b">
        <v>1</v>
      </c>
      <c r="P31" s="188" t="str">
        <v>M0</v>
      </c>
      <c r="Q31" s="274">
        <v>43999</v>
      </c>
      <c r="R31" s="188" t="str">
        <v>EDM0</v>
      </c>
      <c r="S31" s="395">
        <v>43997</v>
      </c>
      <c r="T31" s="392">
        <v>97.545000000000002</v>
      </c>
      <c r="U31" s="392">
        <v>97.55</v>
      </c>
      <c r="V31" s="392">
        <v>97.545000000000002</v>
      </c>
      <c r="W31" s="392">
        <v>97.525000000000006</v>
      </c>
      <c r="X31" s="36">
        <f>_xll.qlMidSafe(T31,U31,Trigger)</f>
        <v>97.547499999999999</v>
      </c>
      <c r="Y31" s="36">
        <f t="shared" si="2"/>
        <v>4.9999999999954525E-3</v>
      </c>
      <c r="Z31" s="374"/>
      <c r="AA31" s="279">
        <v>97.547499999999999</v>
      </c>
      <c r="AB31" s="374"/>
      <c r="AC31" s="36">
        <v>97.547499999999999</v>
      </c>
      <c r="AD31" s="188">
        <f>_xll.qlSimpleQuoteSetValue(F31,AC31,Trigger)</f>
        <v>-1.7499999999998295E-2</v>
      </c>
      <c r="AE31" s="365"/>
    </row>
    <row r="32" spans="1:31" x14ac:dyDescent="0.2">
      <c r="A32" s="260"/>
      <c r="B32" s="270">
        <v>28</v>
      </c>
      <c r="C32" s="14" t="b">
        <v>1</v>
      </c>
      <c r="D32" s="11" t="str">
        <v>U0</v>
      </c>
      <c r="E32" s="84" t="str">
        <f t="shared" si="0"/>
        <v>USDFUT3MU0_Quote</v>
      </c>
      <c r="F32" s="271" t="str">
        <f>_xll.qlSimpleQuote(E32,,PriceTickValue,Permanent,Trigger,ObjectOverwrite)</f>
        <v>USDFUT3MU0_Quote#0000</v>
      </c>
      <c r="G32" s="272" t="str">
        <f>_xll.ohRangeRetrieveError(F32)</f>
        <v/>
      </c>
      <c r="H32" s="276" t="str">
        <f t="shared" si="1"/>
        <v>USDFUT3MU0ConvAdj_Quote</v>
      </c>
      <c r="I32" s="277" t="str">
        <f>_xll.qlFuturesConvAdjustmentQuote(H32,IborIndex,D32,F32,Volatility,MeanReversion,Permanent,AND(ISERROR(AD32),ISERROR(FuturesHWConvAdj!U32:U33)),ObjectOverwrite)</f>
        <v>USDFUT3MU0ConvAdj_Quote#0001</v>
      </c>
      <c r="J32" s="221" t="str">
        <f>_xll.ohRangeRetrieveError(I32)</f>
        <v/>
      </c>
      <c r="K32" s="116"/>
      <c r="M32" s="373"/>
      <c r="N32" s="273">
        <v>28</v>
      </c>
      <c r="O32" s="273" t="b">
        <v>1</v>
      </c>
      <c r="P32" s="188" t="str">
        <v>U0</v>
      </c>
      <c r="Q32" s="274">
        <v>44090</v>
      </c>
      <c r="R32" s="188" t="str">
        <v>EDU0</v>
      </c>
      <c r="S32" s="395">
        <v>44088</v>
      </c>
      <c r="T32" s="392">
        <v>97.47</v>
      </c>
      <c r="U32" s="392">
        <v>97.474999999999994</v>
      </c>
      <c r="V32" s="392">
        <v>97.474999999999994</v>
      </c>
      <c r="W32" s="392">
        <v>97.45</v>
      </c>
      <c r="X32" s="36">
        <f>_xll.qlMidSafe(T32,U32,Trigger)</f>
        <v>97.472499999999997</v>
      </c>
      <c r="Y32" s="36">
        <f t="shared" si="2"/>
        <v>4.9999999999954525E-3</v>
      </c>
      <c r="Z32" s="374"/>
      <c r="AA32" s="279">
        <v>97.472499999999997</v>
      </c>
      <c r="AB32" s="374"/>
      <c r="AC32" s="36">
        <v>97.472499999999997</v>
      </c>
      <c r="AD32" s="188">
        <f>_xll.qlSimpleQuoteSetValue(F32,AC32,Trigger)</f>
        <v>-1.0000000000005116E-2</v>
      </c>
      <c r="AE32" s="365"/>
    </row>
    <row r="33" spans="1:31" x14ac:dyDescent="0.2">
      <c r="A33" s="260"/>
      <c r="B33" s="270">
        <v>29</v>
      </c>
      <c r="C33" s="14" t="b">
        <v>1</v>
      </c>
      <c r="D33" s="11" t="str">
        <v>Z0</v>
      </c>
      <c r="E33" s="84" t="str">
        <f t="shared" si="0"/>
        <v>USDFUT3MZ0_Quote</v>
      </c>
      <c r="F33" s="271" t="str">
        <f>_xll.qlSimpleQuote(E33,,PriceTickValue,Permanent,Trigger,ObjectOverwrite)</f>
        <v>USDFUT3MZ0_Quote#0000</v>
      </c>
      <c r="G33" s="272" t="str">
        <f>_xll.ohRangeRetrieveError(F33)</f>
        <v/>
      </c>
      <c r="H33" s="276" t="str">
        <f t="shared" si="1"/>
        <v>USDFUT3MZ0ConvAdj_Quote</v>
      </c>
      <c r="I33" s="277" t="str">
        <f>_xll.qlFuturesConvAdjustmentQuote(H33,IborIndex,D33,F33,Volatility,MeanReversion,Permanent,AND(ISERROR(AD33),ISERROR(FuturesHWConvAdj!U33:U34)),ObjectOverwrite)</f>
        <v>USDFUT3MZ0ConvAdj_Quote#0001</v>
      </c>
      <c r="J33" s="221" t="str">
        <f>_xll.ohRangeRetrieveError(I33)</f>
        <v/>
      </c>
      <c r="K33" s="116"/>
      <c r="M33" s="373"/>
      <c r="N33" s="273">
        <v>29</v>
      </c>
      <c r="O33" s="273" t="b">
        <v>1</v>
      </c>
      <c r="P33" s="188" t="str">
        <v>Z0</v>
      </c>
      <c r="Q33" s="274">
        <v>44181</v>
      </c>
      <c r="R33" s="188" t="str">
        <v>EDZ0</v>
      </c>
      <c r="S33" s="395">
        <v>44179</v>
      </c>
      <c r="T33" s="392">
        <v>97.4</v>
      </c>
      <c r="U33" s="392">
        <v>97.405000000000001</v>
      </c>
      <c r="V33" s="392">
        <v>97.405000000000001</v>
      </c>
      <c r="W33" s="392">
        <v>97.375</v>
      </c>
      <c r="X33" s="36">
        <f>_xll.qlMidSafe(T33,U33,Trigger)</f>
        <v>97.402500000000003</v>
      </c>
      <c r="Y33" s="36">
        <f t="shared" si="2"/>
        <v>4.9999999999954525E-3</v>
      </c>
      <c r="Z33" s="374"/>
      <c r="AA33" s="279">
        <v>97.402500000000003</v>
      </c>
      <c r="AB33" s="374"/>
      <c r="AC33" s="36">
        <v>97.402500000000003</v>
      </c>
      <c r="AD33" s="188">
        <f>_xll.qlSimpleQuoteSetValue(F33,AC33,Trigger)</f>
        <v>0</v>
      </c>
      <c r="AE33" s="365"/>
    </row>
    <row r="34" spans="1:31" x14ac:dyDescent="0.2">
      <c r="A34" s="260"/>
      <c r="B34" s="270">
        <v>30</v>
      </c>
      <c r="C34" s="14" t="b">
        <v>1</v>
      </c>
      <c r="D34" s="11" t="str">
        <v>H1</v>
      </c>
      <c r="E34" s="84" t="str">
        <f t="shared" si="0"/>
        <v>USDFUT3MH1_Quote</v>
      </c>
      <c r="F34" s="271" t="str">
        <f>_xll.qlSimpleQuote(E34,,PriceTickValue,Permanent,Trigger,ObjectOverwrite)</f>
        <v>USDFUT3MH1_Quote#0000</v>
      </c>
      <c r="G34" s="272" t="str">
        <f>_xll.ohRangeRetrieveError(F34)</f>
        <v/>
      </c>
      <c r="H34" s="276" t="str">
        <f t="shared" si="1"/>
        <v>USDFUT3MH1ConvAdj_Quote</v>
      </c>
      <c r="I34" s="277" t="str">
        <f>_xll.qlFuturesConvAdjustmentQuote(H34,IborIndex,D34,F34,Volatility,MeanReversion,Permanent,AND(ISERROR(AD34),ISERROR(FuturesHWConvAdj!U34:U35)),ObjectOverwrite)</f>
        <v>USDFUT3MH1ConvAdj_Quote#0001</v>
      </c>
      <c r="J34" s="221" t="str">
        <f>_xll.ohRangeRetrieveError(I34)</f>
        <v/>
      </c>
      <c r="K34" s="116"/>
      <c r="M34" s="373"/>
      <c r="N34" s="273">
        <v>30</v>
      </c>
      <c r="O34" s="273" t="b">
        <v>1</v>
      </c>
      <c r="P34" s="188" t="str">
        <v>H1</v>
      </c>
      <c r="Q34" s="274">
        <v>44272</v>
      </c>
      <c r="R34" s="188" t="str">
        <v>EDH1</v>
      </c>
      <c r="S34" s="395">
        <v>44270</v>
      </c>
      <c r="T34" s="392">
        <v>97.34</v>
      </c>
      <c r="U34" s="392">
        <v>97.344999999999999</v>
      </c>
      <c r="V34" s="392">
        <v>97.344999999999999</v>
      </c>
      <c r="W34" s="392">
        <v>97.314999999999998</v>
      </c>
      <c r="X34" s="36">
        <f>_xll.qlMidSafe(T34,U34,Trigger)</f>
        <v>97.342500000000001</v>
      </c>
      <c r="Y34" s="36">
        <f t="shared" si="2"/>
        <v>4.9999999999954525E-3</v>
      </c>
      <c r="Z34" s="374"/>
      <c r="AA34" s="279">
        <v>97.342500000000001</v>
      </c>
      <c r="AB34" s="374"/>
      <c r="AC34" s="36">
        <v>97.342500000000001</v>
      </c>
      <c r="AD34" s="188">
        <f>_xll.qlSimpleQuoteSetValue(F34,AC34,Trigger)</f>
        <v>1.0000000000005116E-2</v>
      </c>
      <c r="AE34" s="365"/>
    </row>
    <row r="35" spans="1:31" x14ac:dyDescent="0.2">
      <c r="A35" s="260"/>
      <c r="B35" s="270">
        <v>31</v>
      </c>
      <c r="C35" s="14" t="b">
        <v>1</v>
      </c>
      <c r="D35" s="11" t="str">
        <v>M1</v>
      </c>
      <c r="E35" s="84" t="str">
        <f t="shared" si="0"/>
        <v>USDFUT3MM1_Quote</v>
      </c>
      <c r="F35" s="271" t="str">
        <f>_xll.qlSimpleQuote(E35,,PriceTickValue,Permanent,Trigger,ObjectOverwrite)</f>
        <v>USDFUT3MM1_Quote#0000</v>
      </c>
      <c r="G35" s="272" t="str">
        <f>_xll.ohRangeRetrieveError(F35)</f>
        <v/>
      </c>
      <c r="H35" s="276" t="str">
        <f t="shared" si="1"/>
        <v>USDFUT3MM1ConvAdj_Quote</v>
      </c>
      <c r="I35" s="277" t="str">
        <f>_xll.qlFuturesConvAdjustmentQuote(H35,IborIndex,D35,F35,Volatility,MeanReversion,Permanent,AND(ISERROR(AD35),ISERROR(FuturesHWConvAdj!U35:U36)),ObjectOverwrite)</f>
        <v>USDFUT3MM1ConvAdj_Quote#0001</v>
      </c>
      <c r="J35" s="221" t="str">
        <f>_xll.ohRangeRetrieveError(I35)</f>
        <v/>
      </c>
      <c r="K35" s="116"/>
      <c r="M35" s="373"/>
      <c r="N35" s="273">
        <v>31</v>
      </c>
      <c r="O35" s="273" t="b">
        <v>1</v>
      </c>
      <c r="P35" s="188" t="str">
        <v>M1</v>
      </c>
      <c r="Q35" s="274">
        <v>44363</v>
      </c>
      <c r="R35" s="188" t="str">
        <v>EDM1</v>
      </c>
      <c r="S35" s="395">
        <v>44361</v>
      </c>
      <c r="T35" s="392">
        <v>97.284999999999997</v>
      </c>
      <c r="U35" s="392">
        <v>97.29</v>
      </c>
      <c r="V35" s="392">
        <v>97.29</v>
      </c>
      <c r="W35" s="392">
        <v>97.26</v>
      </c>
      <c r="X35" s="36">
        <f>_xll.qlMidSafe(T35,U35,Trigger)</f>
        <v>97.287499999999994</v>
      </c>
      <c r="Y35" s="36">
        <f t="shared" si="2"/>
        <v>5.0000000000096634E-3</v>
      </c>
      <c r="Z35" s="374"/>
      <c r="AA35" s="279">
        <v>97.287499999999994</v>
      </c>
      <c r="AB35" s="374"/>
      <c r="AC35" s="36">
        <v>97.287499999999994</v>
      </c>
      <c r="AD35" s="188">
        <f>_xll.qlSimpleQuoteSetValue(F35,AC35,Trigger)</f>
        <v>1.9999999999996021E-2</v>
      </c>
      <c r="AE35" s="365"/>
    </row>
    <row r="36" spans="1:31" x14ac:dyDescent="0.2">
      <c r="A36" s="260"/>
      <c r="B36" s="270">
        <v>32</v>
      </c>
      <c r="C36" s="14" t="b">
        <v>1</v>
      </c>
      <c r="D36" s="11" t="str">
        <v>U1</v>
      </c>
      <c r="E36" s="84" t="str">
        <f t="shared" si="0"/>
        <v>USDFUT3MU1_Quote</v>
      </c>
      <c r="F36" s="271" t="str">
        <f>_xll.qlSimpleQuote(E36,,PriceTickValue,Permanent,Trigger,ObjectOverwrite)</f>
        <v>USDFUT3MU1_Quote#0000</v>
      </c>
      <c r="G36" s="272" t="str">
        <f>_xll.ohRangeRetrieveError(F36)</f>
        <v/>
      </c>
      <c r="H36" s="276" t="str">
        <f t="shared" si="1"/>
        <v>USDFUT3MU1ConvAdj_Quote</v>
      </c>
      <c r="I36" s="277" t="str">
        <f>_xll.qlFuturesConvAdjustmentQuote(H36,IborIndex,D36,F36,Volatility,MeanReversion,Permanent,AND(ISERROR(AD36),ISERROR(FuturesHWConvAdj!U36:U37)),ObjectOverwrite)</f>
        <v>USDFUT3MU1ConvAdj_Quote#0001</v>
      </c>
      <c r="J36" s="221" t="str">
        <f>_xll.ohRangeRetrieveError(I36)</f>
        <v/>
      </c>
      <c r="K36" s="116"/>
      <c r="M36" s="373"/>
      <c r="N36" s="273">
        <v>32</v>
      </c>
      <c r="O36" s="273" t="b">
        <v>1</v>
      </c>
      <c r="P36" s="188" t="str">
        <v>U1</v>
      </c>
      <c r="Q36" s="274">
        <v>44454</v>
      </c>
      <c r="R36" s="188" t="str">
        <v>EDU1</v>
      </c>
      <c r="S36" s="395">
        <v>44452</v>
      </c>
      <c r="T36" s="392">
        <v>97.24</v>
      </c>
      <c r="U36" s="392">
        <v>97.245000000000005</v>
      </c>
      <c r="V36" s="392">
        <v>97.245000000000005</v>
      </c>
      <c r="W36" s="392">
        <v>97.21</v>
      </c>
      <c r="X36" s="36">
        <f>_xll.qlMidSafe(T36,U36,Trigger)</f>
        <v>97.242500000000007</v>
      </c>
      <c r="Y36" s="36">
        <f t="shared" si="2"/>
        <v>5.0000000000096634E-3</v>
      </c>
      <c r="Z36" s="374"/>
      <c r="AA36" s="279">
        <v>97.242500000000007</v>
      </c>
      <c r="AB36" s="374"/>
      <c r="AC36" s="36">
        <v>97.242500000000007</v>
      </c>
      <c r="AD36" s="188">
        <f>_xll.qlSimpleQuoteSetValue(F36,AC36,Trigger)</f>
        <v>3.50000000000108E-2</v>
      </c>
      <c r="AE36" s="365"/>
    </row>
    <row r="37" spans="1:31" x14ac:dyDescent="0.2">
      <c r="A37" s="260"/>
      <c r="B37" s="270">
        <v>33</v>
      </c>
      <c r="C37" s="14" t="b">
        <v>1</v>
      </c>
      <c r="D37" s="11" t="str">
        <v>Z1</v>
      </c>
      <c r="E37" s="84" t="str">
        <f t="shared" si="0"/>
        <v>USDFUT3MZ1_Quote</v>
      </c>
      <c r="F37" s="271" t="str">
        <f>_xll.qlSimpleQuote(E37,,PriceTickValue,Permanent,Trigger,ObjectOverwrite)</f>
        <v>USDFUT3MZ1_Quote#0000</v>
      </c>
      <c r="G37" s="272" t="str">
        <f>_xll.ohRangeRetrieveError(F37)</f>
        <v/>
      </c>
      <c r="H37" s="276" t="str">
        <f t="shared" si="1"/>
        <v>USDFUT3MZ1ConvAdj_Quote</v>
      </c>
      <c r="I37" s="277" t="str">
        <f>_xll.qlFuturesConvAdjustmentQuote(H37,IborIndex,D37,F37,Volatility,MeanReversion,Permanent,AND(ISERROR(AD37),ISERROR(FuturesHWConvAdj!U37:U38)),ObjectOverwrite)</f>
        <v>USDFUT3MZ1ConvAdj_Quote#0001</v>
      </c>
      <c r="J37" s="221" t="str">
        <f>_xll.ohRangeRetrieveError(I37)</f>
        <v/>
      </c>
      <c r="K37" s="116"/>
      <c r="M37" s="373"/>
      <c r="N37" s="273">
        <v>33</v>
      </c>
      <c r="O37" s="273" t="b">
        <v>1</v>
      </c>
      <c r="P37" s="188" t="str">
        <v>Z1</v>
      </c>
      <c r="Q37" s="274">
        <v>44545</v>
      </c>
      <c r="R37" s="188" t="str">
        <v>EDZ1</v>
      </c>
      <c r="S37" s="395">
        <v>44543</v>
      </c>
      <c r="T37" s="392">
        <v>97.19</v>
      </c>
      <c r="U37" s="392">
        <v>97.2</v>
      </c>
      <c r="V37" s="392">
        <v>0</v>
      </c>
      <c r="W37" s="392">
        <v>97.16</v>
      </c>
      <c r="X37" s="36">
        <f>_xll.qlMidSafe(T37,U37,Trigger)</f>
        <v>97.194999999999993</v>
      </c>
      <c r="Y37" s="36">
        <f t="shared" si="2"/>
        <v>1.0000000000005116E-2</v>
      </c>
      <c r="Z37" s="374"/>
      <c r="AA37" s="279">
        <v>97.194999999999993</v>
      </c>
      <c r="AB37" s="374"/>
      <c r="AC37" s="36">
        <v>97.194999999999993</v>
      </c>
      <c r="AD37" s="188">
        <f>_xll.qlSimpleQuoteSetValue(F37,AC37,Trigger)</f>
        <v>3.9999999999992042E-2</v>
      </c>
      <c r="AE37" s="365"/>
    </row>
    <row r="38" spans="1:31" x14ac:dyDescent="0.2">
      <c r="A38" s="260"/>
      <c r="B38" s="270">
        <v>34</v>
      </c>
      <c r="C38" s="14" t="b">
        <v>1</v>
      </c>
      <c r="D38" s="11" t="str">
        <v>H2</v>
      </c>
      <c r="E38" s="84" t="str">
        <f t="shared" si="0"/>
        <v>USDFUT3MH2_Quote</v>
      </c>
      <c r="F38" s="271" t="str">
        <f>_xll.qlSimpleQuote(E38,,PriceTickValue,Permanent,Trigger,ObjectOverwrite)</f>
        <v>USDFUT3MH2_Quote#0000</v>
      </c>
      <c r="G38" s="272" t="str">
        <f>_xll.ohRangeRetrieveError(F38)</f>
        <v/>
      </c>
      <c r="H38" s="276" t="str">
        <f t="shared" si="1"/>
        <v>USDFUT3MH2ConvAdj_Quote</v>
      </c>
      <c r="I38" s="277" t="str">
        <f>_xll.qlFuturesConvAdjustmentQuote(H38,IborIndex,D38,F38,Volatility,MeanReversion,Permanent,AND(ISERROR(AD38),ISERROR(FuturesHWConvAdj!U38:U39)),ObjectOverwrite)</f>
        <v>USDFUT3MH2ConvAdj_Quote#0001</v>
      </c>
      <c r="J38" s="221" t="str">
        <f>_xll.ohRangeRetrieveError(I38)</f>
        <v/>
      </c>
      <c r="K38" s="116"/>
      <c r="M38" s="373"/>
      <c r="N38" s="273">
        <v>34</v>
      </c>
      <c r="O38" s="273" t="b">
        <v>1</v>
      </c>
      <c r="P38" s="188" t="str">
        <v>H2</v>
      </c>
      <c r="Q38" s="274">
        <v>44636</v>
      </c>
      <c r="R38" s="188" t="str">
        <v>EDH2</v>
      </c>
      <c r="S38" s="395">
        <v>44634</v>
      </c>
      <c r="T38" s="392">
        <v>97.155000000000001</v>
      </c>
      <c r="U38" s="392">
        <v>97.165000000000006</v>
      </c>
      <c r="V38" s="392">
        <v>97.144999999999996</v>
      </c>
      <c r="W38" s="392">
        <v>97.125</v>
      </c>
      <c r="X38" s="36">
        <f>_xll.qlMidSafe(T38,U38,Trigger)</f>
        <v>97.16</v>
      </c>
      <c r="Y38" s="36">
        <f t="shared" si="2"/>
        <v>1.0000000000005116E-2</v>
      </c>
      <c r="Z38" s="374"/>
      <c r="AA38" s="279">
        <v>97.16</v>
      </c>
      <c r="AB38" s="374"/>
      <c r="AC38" s="36">
        <v>97.16</v>
      </c>
      <c r="AD38" s="188">
        <f>_xll.qlSimpleQuoteSetValue(F38,AC38,Trigger)</f>
        <v>4.7499999999985221E-2</v>
      </c>
      <c r="AE38" s="365"/>
    </row>
    <row r="39" spans="1:31" x14ac:dyDescent="0.2">
      <c r="A39" s="260"/>
      <c r="B39" s="270">
        <v>35</v>
      </c>
      <c r="C39" s="14" t="b">
        <v>1</v>
      </c>
      <c r="D39" s="11" t="str">
        <v>M2</v>
      </c>
      <c r="E39" s="84" t="str">
        <f t="shared" si="0"/>
        <v>USDFUT3MM2_Quote</v>
      </c>
      <c r="F39" s="271" t="str">
        <f>_xll.qlSimpleQuote(E39,,PriceTickValue,Permanent,Trigger,ObjectOverwrite)</f>
        <v>USDFUT3MM2_Quote#0000</v>
      </c>
      <c r="G39" s="272" t="str">
        <f>_xll.ohRangeRetrieveError(F39)</f>
        <v/>
      </c>
      <c r="H39" s="276" t="str">
        <f t="shared" si="1"/>
        <v>USDFUT3MM2ConvAdj_Quote</v>
      </c>
      <c r="I39" s="277" t="str">
        <f>_xll.qlFuturesConvAdjustmentQuote(H39,IborIndex,D39,F39,Volatility,MeanReversion,Permanent,AND(ISERROR(AD39),ISERROR(FuturesHWConvAdj!U39:U40)),ObjectOverwrite)</f>
        <v>USDFUT3MM2ConvAdj_Quote#0001</v>
      </c>
      <c r="J39" s="221" t="str">
        <f>_xll.ohRangeRetrieveError(I39)</f>
        <v/>
      </c>
      <c r="K39" s="116"/>
      <c r="M39" s="373"/>
      <c r="N39" s="273">
        <v>35</v>
      </c>
      <c r="O39" s="273" t="b">
        <v>1</v>
      </c>
      <c r="P39" s="188" t="str">
        <v>M2</v>
      </c>
      <c r="Q39" s="274">
        <v>44727</v>
      </c>
      <c r="R39" s="188" t="str">
        <v>EDM2</v>
      </c>
      <c r="S39" s="395">
        <v>44725</v>
      </c>
      <c r="T39" s="392">
        <v>97.125</v>
      </c>
      <c r="U39" s="392">
        <v>97.13</v>
      </c>
      <c r="V39" s="392">
        <v>0</v>
      </c>
      <c r="W39" s="392">
        <v>97.09</v>
      </c>
      <c r="X39" s="36">
        <f>_xll.qlMidSafe(T39,U39,Trigger)</f>
        <v>97.127499999999998</v>
      </c>
      <c r="Y39" s="36">
        <f t="shared" si="2"/>
        <v>4.9999999999954525E-3</v>
      </c>
      <c r="Z39" s="374"/>
      <c r="AA39" s="279">
        <v>97.127499999999998</v>
      </c>
      <c r="AB39" s="374"/>
      <c r="AC39" s="36">
        <v>97.127499999999998</v>
      </c>
      <c r="AD39" s="188">
        <f>_xll.qlSimpleQuoteSetValue(F39,AC39,Trigger)</f>
        <v>6.0000000000002274E-2</v>
      </c>
      <c r="AE39" s="365"/>
    </row>
    <row r="40" spans="1:31" x14ac:dyDescent="0.2">
      <c r="A40" s="260"/>
      <c r="B40" s="270">
        <v>36</v>
      </c>
      <c r="C40" s="14" t="b">
        <v>1</v>
      </c>
      <c r="D40" s="11" t="str">
        <v>U2</v>
      </c>
      <c r="E40" s="84" t="str">
        <f t="shared" si="0"/>
        <v>USDFUT3MU2_Quote</v>
      </c>
      <c r="F40" s="271" t="str">
        <f>_xll.qlSimpleQuote(E40,,PriceTickValue,Permanent,Trigger,ObjectOverwrite)</f>
        <v>USDFUT3MU2_Quote#0000</v>
      </c>
      <c r="G40" s="272" t="str">
        <f>_xll.ohRangeRetrieveError(F40)</f>
        <v/>
      </c>
      <c r="H40" s="276" t="str">
        <f t="shared" si="1"/>
        <v>USDFUT3MU2ConvAdj_Quote</v>
      </c>
      <c r="I40" s="277" t="str">
        <f>_xll.qlFuturesConvAdjustmentQuote(H40,IborIndex,D40,F40,Volatility,MeanReversion,Permanent,AND(ISERROR(AD40),ISERROR(FuturesHWConvAdj!U40:U41)),ObjectOverwrite)</f>
        <v>USDFUT3MU2ConvAdj_Quote#0001</v>
      </c>
      <c r="J40" s="221" t="str">
        <f>_xll.ohRangeRetrieveError(I40)</f>
        <v/>
      </c>
      <c r="K40" s="116"/>
      <c r="M40" s="373"/>
      <c r="N40" s="273">
        <v>36</v>
      </c>
      <c r="O40" s="273" t="b">
        <v>1</v>
      </c>
      <c r="P40" s="188" t="str">
        <v>U2</v>
      </c>
      <c r="Q40" s="274">
        <v>44825</v>
      </c>
      <c r="R40" s="188" t="str">
        <v>EDU2</v>
      </c>
      <c r="S40" s="395">
        <v>44823</v>
      </c>
      <c r="T40" s="392">
        <v>97.094999999999999</v>
      </c>
      <c r="U40" s="392">
        <v>97.105000000000004</v>
      </c>
      <c r="V40" s="392">
        <v>97.1</v>
      </c>
      <c r="W40" s="392">
        <v>97.064999999999998</v>
      </c>
      <c r="X40" s="36">
        <f>_xll.qlMidSafe(T40,U40,Trigger)</f>
        <v>97.1</v>
      </c>
      <c r="Y40" s="36">
        <f t="shared" si="2"/>
        <v>1.0000000000005116E-2</v>
      </c>
      <c r="Z40" s="374"/>
      <c r="AA40" s="279">
        <v>97.1</v>
      </c>
      <c r="AB40" s="374"/>
      <c r="AC40" s="36">
        <v>97.1</v>
      </c>
      <c r="AD40" s="188">
        <f>_xll.qlSimpleQuoteSetValue(F40,AC40,Trigger)</f>
        <v>6.25E-2</v>
      </c>
      <c r="AE40" s="365"/>
    </row>
    <row r="41" spans="1:31" x14ac:dyDescent="0.2">
      <c r="A41" s="260"/>
      <c r="B41" s="270">
        <v>37</v>
      </c>
      <c r="C41" s="14" t="b">
        <v>1</v>
      </c>
      <c r="D41" s="11" t="str">
        <v>Z2</v>
      </c>
      <c r="E41" s="84" t="str">
        <f t="shared" si="0"/>
        <v>USDFUT3MZ2_Quote</v>
      </c>
      <c r="F41" s="271" t="str">
        <f>_xll.qlSimpleQuote(E41,,PriceTickValue,Permanent,Trigger,ObjectOverwrite)</f>
        <v>USDFUT3MZ2_Quote#0000</v>
      </c>
      <c r="G41" s="272" t="str">
        <f>_xll.ohRangeRetrieveError(F41)</f>
        <v/>
      </c>
      <c r="H41" s="276" t="str">
        <f t="shared" si="1"/>
        <v>USDFUT3MZ2ConvAdj_Quote</v>
      </c>
      <c r="I41" s="277" t="str">
        <f>_xll.qlFuturesConvAdjustmentQuote(H41,IborIndex,D41,F41,Volatility,MeanReversion,Permanent,AND(ISERROR(AD41),ISERROR(FuturesHWConvAdj!U41:U42)),ObjectOverwrite)</f>
        <v>USDFUT3MZ2ConvAdj_Quote#0001</v>
      </c>
      <c r="J41" s="221" t="str">
        <f>_xll.ohRangeRetrieveError(I41)</f>
        <v/>
      </c>
      <c r="K41" s="116"/>
      <c r="M41" s="373"/>
      <c r="N41" s="273">
        <v>37</v>
      </c>
      <c r="O41" s="273" t="b">
        <v>1</v>
      </c>
      <c r="P41" s="188" t="str">
        <v>Z2</v>
      </c>
      <c r="Q41" s="274">
        <v>44916</v>
      </c>
      <c r="R41" s="188" t="str">
        <v>EDZ2</v>
      </c>
      <c r="S41" s="395">
        <v>44914</v>
      </c>
      <c r="T41" s="392">
        <v>97.06</v>
      </c>
      <c r="U41" s="392">
        <v>97.08</v>
      </c>
      <c r="V41" s="392">
        <v>0</v>
      </c>
      <c r="W41" s="392">
        <v>97.034999999999997</v>
      </c>
      <c r="X41" s="36">
        <f>_xll.qlMidSafe(T41,U41,Trigger)</f>
        <v>97.07</v>
      </c>
      <c r="Y41" s="36">
        <f t="shared" si="2"/>
        <v>1.9999999999996021E-2</v>
      </c>
      <c r="Z41" s="374"/>
      <c r="AA41" s="279">
        <v>97.07</v>
      </c>
      <c r="AB41" s="374"/>
      <c r="AC41" s="36">
        <v>97.07</v>
      </c>
      <c r="AD41" s="188">
        <f>_xll.qlSimpleQuoteSetValue(F41,AC41,Trigger)</f>
        <v>5.9999999999988063E-2</v>
      </c>
      <c r="AE41" s="365"/>
    </row>
    <row r="42" spans="1:31" x14ac:dyDescent="0.2">
      <c r="A42" s="260"/>
      <c r="B42" s="270">
        <v>38</v>
      </c>
      <c r="C42" s="14" t="b">
        <v>1</v>
      </c>
      <c r="D42" s="11" t="str">
        <v>H3</v>
      </c>
      <c r="E42" s="84" t="str">
        <f t="shared" si="0"/>
        <v>USDFUT3MH3_Quote</v>
      </c>
      <c r="F42" s="271" t="str">
        <f>_xll.qlSimpleQuote(E42,,PriceTickValue,Permanent,Trigger,ObjectOverwrite)</f>
        <v>USDFUT3MH3_Quote#0000</v>
      </c>
      <c r="G42" s="272" t="str">
        <f>_xll.ohRangeRetrieveError(F42)</f>
        <v/>
      </c>
      <c r="H42" s="276" t="str">
        <f t="shared" si="1"/>
        <v>USDFUT3MH3ConvAdj_Quote</v>
      </c>
      <c r="I42" s="277" t="str">
        <f>_xll.qlFuturesConvAdjustmentQuote(H42,IborIndex,D42,F42,Volatility,MeanReversion,Permanent,AND(ISERROR(AD42),ISERROR(FuturesHWConvAdj!U42:U43)),ObjectOverwrite)</f>
        <v>USDFUT3MH3ConvAdj_Quote#0001</v>
      </c>
      <c r="J42" s="221" t="str">
        <f>_xll.ohRangeRetrieveError(I42)</f>
        <v/>
      </c>
      <c r="K42" s="116"/>
      <c r="M42" s="373"/>
      <c r="N42" s="273">
        <v>38</v>
      </c>
      <c r="O42" s="273" t="b">
        <v>1</v>
      </c>
      <c r="P42" s="188" t="str">
        <v>H3</v>
      </c>
      <c r="Q42" s="274">
        <v>45000</v>
      </c>
      <c r="R42" s="188" t="str">
        <v>EDH3</v>
      </c>
      <c r="S42" s="395">
        <v>44998</v>
      </c>
      <c r="T42" s="392">
        <v>97.04</v>
      </c>
      <c r="U42" s="392">
        <v>97.064999999999998</v>
      </c>
      <c r="V42" s="392">
        <v>0</v>
      </c>
      <c r="W42" s="392">
        <v>97.015000000000001</v>
      </c>
      <c r="X42" s="36">
        <f>_xll.qlMidSafe(T42,U42,Trigger)</f>
        <v>97.052500000000009</v>
      </c>
      <c r="Y42" s="36">
        <f t="shared" si="2"/>
        <v>2.4999999999991473E-2</v>
      </c>
      <c r="Z42" s="374"/>
      <c r="AA42" s="279">
        <v>97.052500000000009</v>
      </c>
      <c r="AB42" s="374"/>
      <c r="AC42" s="36">
        <v>97.052500000000009</v>
      </c>
      <c r="AD42" s="188">
        <f>_xll.qlSimpleQuoteSetValue(F42,AC42,Trigger)</f>
        <v>6.7500000000009663E-2</v>
      </c>
      <c r="AE42" s="365"/>
    </row>
    <row r="43" spans="1:31" x14ac:dyDescent="0.2">
      <c r="A43" s="260"/>
      <c r="B43" s="270">
        <v>39</v>
      </c>
      <c r="C43" s="14" t="b">
        <v>1</v>
      </c>
      <c r="D43" s="11" t="str">
        <v>M3</v>
      </c>
      <c r="E43" s="84" t="str">
        <f t="shared" si="0"/>
        <v>USDFUT3MM3_Quote</v>
      </c>
      <c r="F43" s="271" t="str">
        <f>_xll.qlSimpleQuote(E43,,PriceTickValue,Permanent,Trigger,ObjectOverwrite)</f>
        <v>USDFUT3MM3_Quote#0000</v>
      </c>
      <c r="G43" s="272" t="str">
        <f>_xll.ohRangeRetrieveError(F43)</f>
        <v/>
      </c>
      <c r="H43" s="276" t="str">
        <f t="shared" si="1"/>
        <v>USDFUT3MM3ConvAdj_Quote</v>
      </c>
      <c r="I43" s="277" t="str">
        <f>_xll.qlFuturesConvAdjustmentQuote(H43,IborIndex,D43,F43,Volatility,MeanReversion,Permanent,AND(ISERROR(AD43),ISERROR(FuturesHWConvAdj!U43:U44)),ObjectOverwrite)</f>
        <v>USDFUT3MM3ConvAdj_Quote#0001</v>
      </c>
      <c r="J43" s="221" t="str">
        <f>_xll.ohRangeRetrieveError(I43)</f>
        <v/>
      </c>
      <c r="K43" s="116"/>
      <c r="M43" s="373"/>
      <c r="N43" s="273">
        <v>39</v>
      </c>
      <c r="O43" s="273" t="b">
        <v>1</v>
      </c>
      <c r="P43" s="188" t="str">
        <v>M3</v>
      </c>
      <c r="Q43" s="274">
        <v>45098</v>
      </c>
      <c r="R43" s="188" t="str">
        <v>EDM3</v>
      </c>
      <c r="S43" s="395">
        <v>45096</v>
      </c>
      <c r="T43" s="392">
        <v>97.02</v>
      </c>
      <c r="U43" s="392">
        <v>97.04</v>
      </c>
      <c r="V43" s="392">
        <v>0</v>
      </c>
      <c r="W43" s="392">
        <v>96.995000000000005</v>
      </c>
      <c r="X43" s="36">
        <f>_xll.qlMidSafe(T43,U43,Trigger)</f>
        <v>97.03</v>
      </c>
      <c r="Y43" s="36">
        <f t="shared" si="2"/>
        <v>2.0000000000010232E-2</v>
      </c>
      <c r="Z43" s="374"/>
      <c r="AA43" s="279">
        <v>97.03</v>
      </c>
      <c r="AB43" s="374"/>
      <c r="AC43" s="36">
        <v>97.03</v>
      </c>
      <c r="AD43" s="188">
        <f>_xll.qlSimpleQuoteSetValue(F43,AC43,Trigger)</f>
        <v>6.9999999999993179E-2</v>
      </c>
      <c r="AE43" s="365"/>
    </row>
    <row r="44" spans="1:31" x14ac:dyDescent="0.2">
      <c r="A44" s="260"/>
      <c r="B44" s="270">
        <v>40</v>
      </c>
      <c r="C44" s="14" t="b">
        <v>1</v>
      </c>
      <c r="D44" s="11" t="str">
        <v>U3</v>
      </c>
      <c r="E44" s="84" t="str">
        <f t="shared" si="0"/>
        <v>USDFUT3MU3_Quote</v>
      </c>
      <c r="F44" s="271" t="str">
        <f>_xll.qlSimpleQuote(E44,,PriceTickValue,Permanent,Trigger,ObjectOverwrite)</f>
        <v>USDFUT3MU3_Quote#0000</v>
      </c>
      <c r="G44" s="272" t="str">
        <f>_xll.ohRangeRetrieveError(F44)</f>
        <v/>
      </c>
      <c r="H44" s="276" t="str">
        <f t="shared" si="1"/>
        <v>USDFUT3MU3ConvAdj_Quote</v>
      </c>
      <c r="I44" s="277" t="str">
        <f>_xll.qlFuturesConvAdjustmentQuote(H44,IborIndex,D44,F44,Volatility,MeanReversion,Permanent,AND(ISERROR(AD44),ISERROR(FuturesHWConvAdj!U44:U45)),ObjectOverwrite)</f>
        <v>USDFUT3MU3ConvAdj_Quote#0001</v>
      </c>
      <c r="J44" s="221" t="str">
        <f>_xll.ohRangeRetrieveError(I44)</f>
        <v/>
      </c>
      <c r="K44" s="116"/>
      <c r="M44" s="373"/>
      <c r="N44" s="273">
        <v>40</v>
      </c>
      <c r="O44" s="273" t="b">
        <v>1</v>
      </c>
      <c r="P44" s="188" t="str">
        <v>U3</v>
      </c>
      <c r="Q44" s="274">
        <v>45189</v>
      </c>
      <c r="R44" s="188" t="str">
        <v>EDU3</v>
      </c>
      <c r="S44" s="395">
        <v>45187</v>
      </c>
      <c r="T44" s="392">
        <v>97</v>
      </c>
      <c r="U44" s="392">
        <v>97.025000000000006</v>
      </c>
      <c r="V44" s="392">
        <v>0</v>
      </c>
      <c r="W44" s="392">
        <v>96.974999999999994</v>
      </c>
      <c r="X44" s="36">
        <f>_xll.qlMidSafe(T44,U44,Trigger)</f>
        <v>97.012500000000003</v>
      </c>
      <c r="Y44" s="36">
        <f t="shared" si="2"/>
        <v>2.5000000000005684E-2</v>
      </c>
      <c r="Z44" s="374"/>
      <c r="AA44" s="279">
        <v>97.012500000000003</v>
      </c>
      <c r="AB44" s="374"/>
      <c r="AC44" s="36">
        <v>97.012500000000003</v>
      </c>
      <c r="AD44" s="188">
        <f>_xll.qlSimpleQuoteSetValue(F44,AC44,Trigger)</f>
        <v>7.2500000000005116E-2</v>
      </c>
      <c r="AE44" s="365"/>
    </row>
    <row r="45" spans="1:31" x14ac:dyDescent="0.2">
      <c r="A45" s="260"/>
      <c r="B45" s="270">
        <v>41</v>
      </c>
      <c r="C45" s="14" t="b">
        <v>1</v>
      </c>
      <c r="D45" s="11" t="str">
        <v>Z3</v>
      </c>
      <c r="E45" s="84" t="str">
        <f t="shared" si="0"/>
        <v>USDFUT3MZ3_Quote</v>
      </c>
      <c r="F45" s="271" t="str">
        <f>_xll.qlSimpleQuote(E45,,PriceTickValue,Permanent,Trigger,ObjectOverwrite)</f>
        <v>USDFUT3MZ3_Quote#0000</v>
      </c>
      <c r="G45" s="272" t="str">
        <f>_xll.ohRangeRetrieveError(F45)</f>
        <v/>
      </c>
      <c r="H45" s="276" t="str">
        <f t="shared" si="1"/>
        <v>USDFUT3MZ3ConvAdj_Quote</v>
      </c>
      <c r="I45" s="277" t="str">
        <f>_xll.qlFuturesConvAdjustmentQuote(H45,IborIndex,D45,F45,Volatility,MeanReversion,Permanent,AND(ISERROR(AD45),ISERROR(FuturesHWConvAdj!U45:U46)),ObjectOverwrite)</f>
        <v>USDFUT3MZ3ConvAdj_Quote#0001</v>
      </c>
      <c r="J45" s="221" t="str">
        <f>_xll.ohRangeRetrieveError(I45)</f>
        <v/>
      </c>
      <c r="K45" s="116"/>
      <c r="M45" s="373"/>
      <c r="N45" s="273">
        <v>41</v>
      </c>
      <c r="O45" s="273" t="b">
        <v>1</v>
      </c>
      <c r="P45" s="188" t="str">
        <v>Z3</v>
      </c>
      <c r="Q45" s="274">
        <v>45280</v>
      </c>
      <c r="R45" s="188" t="str">
        <v>EDZ3</v>
      </c>
      <c r="S45" s="395">
        <v>45278</v>
      </c>
      <c r="T45" s="392">
        <v>96.974999999999994</v>
      </c>
      <c r="U45" s="392">
        <v>97.004999999999995</v>
      </c>
      <c r="V45" s="392">
        <v>0</v>
      </c>
      <c r="W45" s="392">
        <v>96.954999999999998</v>
      </c>
      <c r="X45" s="36">
        <f>_xll.qlMidSafe(T45,U45,Trigger)</f>
        <v>96.99</v>
      </c>
      <c r="Y45" s="36">
        <f t="shared" si="2"/>
        <v>3.0000000000001137E-2</v>
      </c>
      <c r="Z45" s="374"/>
      <c r="AA45" s="279">
        <v>96.99</v>
      </c>
      <c r="AB45" s="374"/>
      <c r="AC45" s="36">
        <v>96.99</v>
      </c>
      <c r="AD45" s="188">
        <f>_xll.qlSimpleQuoteSetValue(F45,AC45,Trigger)</f>
        <v>7.000000000000739E-2</v>
      </c>
      <c r="AE45" s="365"/>
    </row>
    <row r="46" spans="1:31" x14ac:dyDescent="0.2">
      <c r="A46" s="260"/>
      <c r="B46" s="280">
        <v>42</v>
      </c>
      <c r="C46" s="200" t="b">
        <v>1</v>
      </c>
      <c r="D46" s="12" t="str">
        <v>H4</v>
      </c>
      <c r="E46" s="281" t="str">
        <f t="shared" si="0"/>
        <v>USDFUT3MH4_Quote</v>
      </c>
      <c r="F46" s="282" t="str">
        <f>_xll.qlSimpleQuote(E46,,PriceTickValue,Permanent,Trigger,ObjectOverwrite)</f>
        <v>USDFUT3MH4_Quote#0000</v>
      </c>
      <c r="G46" s="283" t="str">
        <f>_xll.ohRangeRetrieveError(F46)</f>
        <v/>
      </c>
      <c r="H46" s="287" t="str">
        <f t="shared" si="1"/>
        <v>USDFUT3MH4ConvAdj_Quote</v>
      </c>
      <c r="I46" s="288" t="str">
        <f>_xll.qlFuturesConvAdjustmentQuote(H46,IborIndex,D46,F46,Volatility,MeanReversion,Permanent,AND(ISERROR(AD46),ISERROR(FuturesHWConvAdj!U46:U47)),ObjectOverwrite)</f>
        <v>USDFUT3MH4ConvAdj_Quote#0001</v>
      </c>
      <c r="J46" s="223" t="str">
        <f>_xll.ohRangeRetrieveError(I46)</f>
        <v/>
      </c>
      <c r="K46" s="116"/>
      <c r="M46" s="373"/>
      <c r="N46" s="284">
        <v>42</v>
      </c>
      <c r="O46" s="284" t="b">
        <v>1</v>
      </c>
      <c r="P46" s="189" t="str">
        <v>H4</v>
      </c>
      <c r="Q46" s="285">
        <v>45371</v>
      </c>
      <c r="R46" s="189" t="str">
        <v>EDH4</v>
      </c>
      <c r="S46" s="396" t="s">
        <v>253</v>
      </c>
      <c r="T46" s="393" t="s">
        <v>253</v>
      </c>
      <c r="U46" s="393" t="s">
        <v>253</v>
      </c>
      <c r="V46" s="393" t="s">
        <v>253</v>
      </c>
      <c r="W46" s="393" t="s">
        <v>253</v>
      </c>
      <c r="X46" s="37" t="e">
        <f>_xll.qlMidSafe(T46,U46,Trigger)</f>
        <v>#NUM!</v>
      </c>
      <c r="Y46" s="37" t="e">
        <f t="shared" si="2"/>
        <v>#VALUE!</v>
      </c>
      <c r="Z46" s="374"/>
      <c r="AA46" s="286" t="e">
        <v>#NUM!</v>
      </c>
      <c r="AB46" s="374"/>
      <c r="AC46" s="37" t="e">
        <v>#NUM!</v>
      </c>
      <c r="AD46" s="189">
        <f>_xll.qlSimpleQuoteSetValue(F46,AC46,Trigger)</f>
        <v>0</v>
      </c>
      <c r="AE46" s="365"/>
    </row>
    <row r="47" spans="1:31" x14ac:dyDescent="0.2">
      <c r="A47" s="289"/>
      <c r="B47" s="118"/>
      <c r="C47" s="118"/>
      <c r="D47" s="118"/>
      <c r="E47" s="118"/>
      <c r="F47" s="118"/>
      <c r="G47" s="118"/>
      <c r="H47" s="118"/>
      <c r="I47" s="118"/>
      <c r="J47" s="118"/>
      <c r="K47" s="120"/>
      <c r="M47" s="375"/>
      <c r="N47" s="366"/>
      <c r="O47" s="366"/>
      <c r="P47" s="366"/>
      <c r="Q47" s="366"/>
      <c r="R47" s="366"/>
      <c r="S47" s="366"/>
      <c r="T47" s="366"/>
      <c r="U47" s="366"/>
      <c r="V47" s="366"/>
      <c r="W47" s="366"/>
      <c r="X47" s="366"/>
      <c r="Y47" s="366"/>
      <c r="Z47" s="366"/>
      <c r="AA47" s="366"/>
      <c r="AB47" s="366"/>
      <c r="AC47" s="366"/>
      <c r="AD47" s="366"/>
      <c r="AE47" s="367"/>
    </row>
  </sheetData>
  <conditionalFormatting sqref="AD5:AD46">
    <cfRule type="cellIs" dxfId="15" priority="1" stopIfTrue="1" operator="greaterThan">
      <formula>0</formula>
    </cfRule>
    <cfRule type="cellIs" dxfId="14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AA26"/>
  <sheetViews>
    <sheetView showGridLines="0" topLeftCell="I1" workbookViewId="0">
      <selection activeCell="X2" sqref="X2"/>
    </sheetView>
  </sheetViews>
  <sheetFormatPr defaultRowHeight="11.25" outlineLevelCol="1" x14ac:dyDescent="0.2"/>
  <cols>
    <col min="1" max="1" width="2.7109375" style="144" hidden="1" customWidth="1" outlineLevel="1"/>
    <col min="2" max="2" width="4" style="144" hidden="1" customWidth="1" outlineLevel="1"/>
    <col min="3" max="3" width="3.7109375" style="144" hidden="1" customWidth="1" outlineLevel="1"/>
    <col min="4" max="4" width="4" style="144" hidden="1" customWidth="1" outlineLevel="1"/>
    <col min="5" max="5" width="16.7109375" style="144" hidden="1" customWidth="1" outlineLevel="1"/>
    <col min="6" max="6" width="22.7109375" style="145" hidden="1" customWidth="1" outlineLevel="1"/>
    <col min="7" max="7" width="20.7109375" style="144" hidden="1" customWidth="1" outlineLevel="1"/>
    <col min="8" max="8" width="2.7109375" style="144" hidden="1" customWidth="1" outlineLevel="1"/>
    <col min="9" max="9" width="2.7109375" style="144" customWidth="1" collapsed="1"/>
    <col min="10" max="10" width="1.7109375" style="144" customWidth="1"/>
    <col min="11" max="11" width="4" style="144" bestFit="1" customWidth="1"/>
    <col min="12" max="12" width="3.7109375" style="144" customWidth="1"/>
    <col min="13" max="13" width="4" style="144" customWidth="1"/>
    <col min="14" max="14" width="11.7109375" style="144" customWidth="1"/>
    <col min="15" max="15" width="16.7109375" style="144" customWidth="1"/>
    <col min="16" max="19" width="10.7109375" style="144" customWidth="1"/>
    <col min="20" max="20" width="2.7109375" style="144" customWidth="1"/>
    <col min="21" max="21" width="10.7109375" style="144" customWidth="1"/>
    <col min="22" max="22" width="2.7109375" style="144" customWidth="1"/>
    <col min="23" max="24" width="10.7109375" style="144" customWidth="1"/>
    <col min="25" max="25" width="2.7109375" style="144" customWidth="1"/>
    <col min="26" max="16384" width="9.140625" style="144"/>
  </cols>
  <sheetData>
    <row r="1" spans="1:27" x14ac:dyDescent="0.2">
      <c r="A1" s="82"/>
      <c r="B1" s="82"/>
      <c r="C1" s="82"/>
      <c r="D1" s="82"/>
      <c r="E1" s="82"/>
      <c r="F1" s="95"/>
      <c r="G1" s="82"/>
      <c r="H1" s="83"/>
      <c r="J1" s="81" t="s">
        <v>232</v>
      </c>
      <c r="K1" s="8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162"/>
    </row>
    <row r="2" spans="1:27" x14ac:dyDescent="0.2">
      <c r="A2" s="82"/>
      <c r="B2" s="82"/>
      <c r="C2" s="82"/>
      <c r="D2" s="82"/>
      <c r="E2" s="82"/>
      <c r="F2" s="95"/>
      <c r="G2" s="82"/>
      <c r="H2" s="83"/>
      <c r="J2" s="115"/>
      <c r="K2" s="3"/>
      <c r="L2" s="14"/>
      <c r="M2" s="14"/>
      <c r="N2" s="14"/>
      <c r="O2" s="187" t="str">
        <f>VLOOKUP($J$1,AreaTable,AreaIndex,0)</f>
        <v>ICAP LN</v>
      </c>
      <c r="P2" s="14"/>
      <c r="Q2" s="14"/>
      <c r="R2" s="3"/>
      <c r="S2" s="3"/>
      <c r="T2" s="14"/>
      <c r="U2" s="14"/>
      <c r="V2" s="14"/>
      <c r="W2" s="14"/>
      <c r="X2" s="55">
        <f>_xll.ohTrigger(X5:X18)</f>
        <v>2</v>
      </c>
      <c r="Y2" s="116"/>
    </row>
    <row r="3" spans="1:27" x14ac:dyDescent="0.2">
      <c r="A3" s="163"/>
      <c r="B3" s="3"/>
      <c r="C3" s="3"/>
      <c r="D3" s="3"/>
      <c r="E3" s="82"/>
      <c r="F3" s="95"/>
      <c r="G3" s="82"/>
      <c r="H3" s="116"/>
      <c r="J3" s="27"/>
      <c r="K3" s="14"/>
      <c r="L3" s="3"/>
      <c r="M3" s="3"/>
      <c r="N3" s="3"/>
      <c r="O3" s="3"/>
      <c r="P3" s="3"/>
      <c r="Q3" s="3"/>
      <c r="R3" s="3"/>
      <c r="S3" s="3"/>
      <c r="T3" s="14"/>
      <c r="U3" s="14"/>
      <c r="V3" s="14"/>
      <c r="W3" s="3"/>
      <c r="X3" s="14"/>
      <c r="Y3" s="28"/>
    </row>
    <row r="4" spans="1:27" ht="22.5" x14ac:dyDescent="0.2">
      <c r="A4" s="164"/>
      <c r="B4" s="48"/>
      <c r="C4" s="48"/>
      <c r="D4" s="48"/>
      <c r="E4" s="49" t="s">
        <v>224</v>
      </c>
      <c r="F4" s="49" t="s">
        <v>225</v>
      </c>
      <c r="G4" s="112" t="s">
        <v>239</v>
      </c>
      <c r="H4" s="116"/>
      <c r="J4" s="27"/>
      <c r="K4" s="50"/>
      <c r="L4" s="53"/>
      <c r="M4" s="50"/>
      <c r="N4" s="50" t="s">
        <v>241</v>
      </c>
      <c r="O4" s="52" t="str">
        <f>_xll.RData(O5:O18,P4:Q4,"RTFEED:IDN",ReutersRtMode,,P5)</f>
        <v>Not Signed In</v>
      </c>
      <c r="P4" s="38" t="s">
        <v>134</v>
      </c>
      <c r="Q4" s="38" t="s">
        <v>133</v>
      </c>
      <c r="R4" s="39" t="s">
        <v>158</v>
      </c>
      <c r="S4" s="39" t="s">
        <v>240</v>
      </c>
      <c r="T4" s="14"/>
      <c r="U4" s="38" t="s">
        <v>148</v>
      </c>
      <c r="V4" s="14"/>
      <c r="W4" s="50" t="s">
        <v>147</v>
      </c>
      <c r="X4" s="50" t="s">
        <v>146</v>
      </c>
      <c r="Y4" s="28"/>
      <c r="AA4" s="148"/>
    </row>
    <row r="5" spans="1:27" x14ac:dyDescent="0.2">
      <c r="A5" s="164"/>
      <c r="B5" s="165"/>
      <c r="C5" s="166">
        <v>2</v>
      </c>
      <c r="D5" s="167" t="s">
        <v>259</v>
      </c>
      <c r="E5" s="168" t="str">
        <f t="shared" ref="E5:E18" si="0">Currency&amp;$C5&amp;$D5&amp;$B5&amp;QuoteSuffix</f>
        <v>USD2X1S_Quote</v>
      </c>
      <c r="F5" s="168" t="str">
        <f>_xll.qlSimpleQuote(Currency&amp;$C5&amp;$D5&amp;$B5&amp;QuoteSuffix,,RateTickValue,Permanent,Trigger,ObjectOverwrite)</f>
        <v>USD2X1S_Quote#0000</v>
      </c>
      <c r="G5" s="169" t="str">
        <f>_xll.ohRangeRetrieveError(F5)</f>
        <v/>
      </c>
      <c r="H5" s="116" t="s">
        <v>196</v>
      </c>
      <c r="J5" s="27"/>
      <c r="K5" s="128" t="str">
        <f>IF($O$2="ICAP Singapore","2M","")</f>
        <v/>
      </c>
      <c r="L5" s="128">
        <f>IF($O$2="ICAP Singapore","AM",2)</f>
        <v>2</v>
      </c>
      <c r="M5" s="128" t="str">
        <f>IF($O$2="ICAP Singapore","1L","X1S")</f>
        <v>X1S</v>
      </c>
      <c r="N5" s="33" t="str">
        <f t="shared" ref="N5:N18" si="1">Currency&amp;$L5&amp;$M5&amp;K5</f>
        <v>USD2X1S</v>
      </c>
      <c r="O5" s="33" t="str">
        <f t="array" ref="O5:O18">Instruments&amp;"="&amp;VLOOKUP($O$2,ContributorTable,2,FALSE)</f>
        <v>USD2X1S=ICAP</v>
      </c>
      <c r="P5" s="392">
        <v>0.19400000000000001</v>
      </c>
      <c r="Q5" s="392">
        <v>0.24399999999999999</v>
      </c>
      <c r="R5" s="36">
        <f>IF(ISERROR(AVERAGE(P5,Q5)),#NUM!,AVERAGE(P5,Q5))</f>
        <v>0.219</v>
      </c>
      <c r="S5" s="36">
        <f>Q5-P5</f>
        <v>4.9999999999999989E-2</v>
      </c>
      <c r="T5" s="14"/>
      <c r="U5" s="170">
        <v>0.219</v>
      </c>
      <c r="V5" s="14"/>
      <c r="W5" s="36">
        <f t="array" ref="W5:W18">QuoteStatic</f>
        <v>0.219</v>
      </c>
      <c r="X5" s="133">
        <f>_xll.qlSimpleQuoteSetValue(F5,W5/100,Trigger)</f>
        <v>1.8000000000000047E-4</v>
      </c>
      <c r="Y5" s="28"/>
      <c r="AA5" s="171"/>
    </row>
    <row r="6" spans="1:27" x14ac:dyDescent="0.2">
      <c r="A6" s="164"/>
      <c r="B6" s="172"/>
      <c r="C6" s="173">
        <v>3</v>
      </c>
      <c r="D6" s="174" t="s">
        <v>259</v>
      </c>
      <c r="E6" s="175" t="str">
        <f t="shared" si="0"/>
        <v>USD3X1S_Quote</v>
      </c>
      <c r="F6" s="175" t="str">
        <f>_xll.qlSimpleQuote(Currency&amp;$C6&amp;$D6&amp;$B6&amp;QuoteSuffix,,RateTickValue,Permanent,Trigger,ObjectOverwrite)</f>
        <v>USD3X1S_Quote#0000</v>
      </c>
      <c r="G6" s="176" t="str">
        <f>_xll.ohRangeRetrieveError(F6)</f>
        <v/>
      </c>
      <c r="H6" s="116" t="s">
        <v>196</v>
      </c>
      <c r="J6" s="27"/>
      <c r="K6" s="128" t="str">
        <f>IF($O$2="ICAP Singapore","3M","")</f>
        <v/>
      </c>
      <c r="L6" s="128">
        <f>IF($O$2="ICAP Singapore","AM",3)</f>
        <v>3</v>
      </c>
      <c r="M6" s="128" t="str">
        <f t="shared" ref="M6:M18" si="2">IF($O$2="ICAP Singapore","1L","X1S")</f>
        <v>X1S</v>
      </c>
      <c r="N6" s="33" t="str">
        <f t="shared" si="1"/>
        <v>USD3X1S</v>
      </c>
      <c r="O6" s="33" t="str">
        <v>USD3X1S=ICAP</v>
      </c>
      <c r="P6" s="392">
        <v>0.22400000000000003</v>
      </c>
      <c r="Q6" s="392">
        <v>0.27400000000000002</v>
      </c>
      <c r="R6" s="36">
        <f t="shared" ref="R6:R18" si="3">IF(ISERROR(AVERAGE(P6,Q6)),#NUM!,AVERAGE(P6,Q6))</f>
        <v>0.24900000000000003</v>
      </c>
      <c r="S6" s="36">
        <f t="shared" ref="S6:S18" si="4">Q6-P6</f>
        <v>4.9999999999999989E-2</v>
      </c>
      <c r="T6" s="14"/>
      <c r="U6" s="170">
        <v>0.24900000000000003</v>
      </c>
      <c r="V6" s="14"/>
      <c r="W6" s="36">
        <v>0.24900000000000003</v>
      </c>
      <c r="X6" s="133">
        <f>_xll.qlSimpleQuoteSetValue(F6,W6/100,Trigger)</f>
        <v>2.9000000000000033E-4</v>
      </c>
      <c r="Y6" s="28"/>
      <c r="AA6" s="171"/>
    </row>
    <row r="7" spans="1:27" x14ac:dyDescent="0.2">
      <c r="A7" s="164"/>
      <c r="B7" s="172"/>
      <c r="C7" s="173">
        <v>4</v>
      </c>
      <c r="D7" s="174" t="s">
        <v>259</v>
      </c>
      <c r="E7" s="175" t="str">
        <f t="shared" si="0"/>
        <v>USD4X1S_Quote</v>
      </c>
      <c r="F7" s="175" t="str">
        <f>_xll.qlSimpleQuote(Currency&amp;$C7&amp;$D7&amp;$B7&amp;QuoteSuffix,,RateTickValue,Permanent,Trigger,ObjectOverwrite)</f>
        <v>USD4X1S_Quote#0000</v>
      </c>
      <c r="G7" s="176" t="str">
        <f>_xll.ohRangeRetrieveError(F7)</f>
        <v/>
      </c>
      <c r="H7" s="116" t="s">
        <v>196</v>
      </c>
      <c r="J7" s="27"/>
      <c r="K7" s="128" t="str">
        <f>IF($O$2="ICAP Singapore","4M","")</f>
        <v/>
      </c>
      <c r="L7" s="128">
        <f>IF($O$2="ICAP Singapore","AM",4)</f>
        <v>4</v>
      </c>
      <c r="M7" s="128" t="str">
        <f t="shared" si="2"/>
        <v>X1S</v>
      </c>
      <c r="N7" s="33" t="str">
        <f t="shared" si="1"/>
        <v>USD4X1S</v>
      </c>
      <c r="O7" s="33" t="str">
        <v>USD4X1S=ICAP</v>
      </c>
      <c r="P7" s="392">
        <v>0.246</v>
      </c>
      <c r="Q7" s="392">
        <v>0.29599999999999999</v>
      </c>
      <c r="R7" s="36">
        <f t="shared" si="3"/>
        <v>0.27100000000000002</v>
      </c>
      <c r="S7" s="36">
        <f t="shared" si="4"/>
        <v>4.9999999999999989E-2</v>
      </c>
      <c r="T7" s="14"/>
      <c r="U7" s="170">
        <v>0.27100000000000002</v>
      </c>
      <c r="V7" s="14"/>
      <c r="W7" s="36">
        <v>0.27100000000000002</v>
      </c>
      <c r="X7" s="133">
        <f>_xll.qlSimpleQuoteSetValue(F7,W7/100,Trigger)</f>
        <v>3.4000000000000002E-4</v>
      </c>
      <c r="Y7" s="28"/>
      <c r="AA7" s="171"/>
    </row>
    <row r="8" spans="1:27" x14ac:dyDescent="0.2">
      <c r="A8" s="164"/>
      <c r="B8" s="172"/>
      <c r="C8" s="173">
        <v>5</v>
      </c>
      <c r="D8" s="174" t="s">
        <v>259</v>
      </c>
      <c r="E8" s="175" t="str">
        <f t="shared" si="0"/>
        <v>USD5X1S_Quote</v>
      </c>
      <c r="F8" s="175" t="str">
        <f>_xll.qlSimpleQuote(Currency&amp;$C8&amp;$D8&amp;$B8&amp;QuoteSuffix,,RateTickValue,Permanent,Trigger,ObjectOverwrite)</f>
        <v>USD5X1S_Quote#0000</v>
      </c>
      <c r="G8" s="176" t="str">
        <f>_xll.ohRangeRetrieveError(F8)</f>
        <v/>
      </c>
      <c r="H8" s="116" t="s">
        <v>196</v>
      </c>
      <c r="J8" s="27"/>
      <c r="K8" s="128" t="str">
        <f>IF($O$2="ICAP Singapore","5M","")</f>
        <v/>
      </c>
      <c r="L8" s="128">
        <f>IF($O$2="ICAP Singapore","AM",5)</f>
        <v>5</v>
      </c>
      <c r="M8" s="128" t="str">
        <f t="shared" si="2"/>
        <v>X1S</v>
      </c>
      <c r="N8" s="33" t="str">
        <f t="shared" si="1"/>
        <v>USD5X1S</v>
      </c>
      <c r="O8" s="33" t="str">
        <v>USD5X1S=ICAP</v>
      </c>
      <c r="P8" s="392">
        <v>0.27100000000000002</v>
      </c>
      <c r="Q8" s="392">
        <v>0.32100000000000001</v>
      </c>
      <c r="R8" s="36">
        <f t="shared" si="3"/>
        <v>0.29600000000000004</v>
      </c>
      <c r="S8" s="36">
        <f t="shared" si="4"/>
        <v>4.9999999999999989E-2</v>
      </c>
      <c r="T8" s="14"/>
      <c r="U8" s="170">
        <v>0.29600000000000004</v>
      </c>
      <c r="V8" s="14"/>
      <c r="W8" s="36">
        <v>0.29600000000000004</v>
      </c>
      <c r="X8" s="133">
        <f>_xll.qlSimpleQuoteSetValue(F8,W8/100,Trigger)</f>
        <v>4.4000000000000029E-4</v>
      </c>
      <c r="Y8" s="28"/>
      <c r="AA8" s="171"/>
    </row>
    <row r="9" spans="1:27" x14ac:dyDescent="0.2">
      <c r="A9" s="164"/>
      <c r="B9" s="172"/>
      <c r="C9" s="173">
        <v>6</v>
      </c>
      <c r="D9" s="174" t="s">
        <v>259</v>
      </c>
      <c r="E9" s="175" t="str">
        <f t="shared" si="0"/>
        <v>USD6X1S_Quote</v>
      </c>
      <c r="F9" s="175" t="str">
        <f>_xll.qlSimpleQuote(Currency&amp;$C9&amp;$D9&amp;$B9&amp;QuoteSuffix,,RateTickValue,Permanent,Trigger,ObjectOverwrite)</f>
        <v>USD6X1S_Quote#0000</v>
      </c>
      <c r="G9" s="176" t="str">
        <f>_xll.ohRangeRetrieveError(F9)</f>
        <v/>
      </c>
      <c r="H9" s="116" t="s">
        <v>196</v>
      </c>
      <c r="J9" s="27"/>
      <c r="K9" s="128" t="str">
        <f>IF($O$2="ICAP Singapore","6M","")</f>
        <v/>
      </c>
      <c r="L9" s="128">
        <f>IF($O$2="ICAP Singapore","AM",6)</f>
        <v>6</v>
      </c>
      <c r="M9" s="128" t="str">
        <f t="shared" si="2"/>
        <v>X1S</v>
      </c>
      <c r="N9" s="33" t="str">
        <f t="shared" si="1"/>
        <v>USD6X1S</v>
      </c>
      <c r="O9" s="33" t="str">
        <v>USD6X1S=ICAP</v>
      </c>
      <c r="P9" s="392">
        <v>0.29300000000000004</v>
      </c>
      <c r="Q9" s="392">
        <v>0.34300000000000003</v>
      </c>
      <c r="R9" s="36">
        <f t="shared" si="3"/>
        <v>0.31800000000000006</v>
      </c>
      <c r="S9" s="36">
        <f t="shared" si="4"/>
        <v>4.9999999999999989E-2</v>
      </c>
      <c r="T9" s="14"/>
      <c r="U9" s="170">
        <v>0.31800000000000006</v>
      </c>
      <c r="V9" s="14"/>
      <c r="W9" s="36">
        <v>0.31800000000000006</v>
      </c>
      <c r="X9" s="133">
        <f>_xll.qlSimpleQuoteSetValue(F9,W9/100,Trigger)</f>
        <v>4.7000000000000037E-4</v>
      </c>
      <c r="Y9" s="28"/>
      <c r="AA9" s="171"/>
    </row>
    <row r="10" spans="1:27" x14ac:dyDescent="0.2">
      <c r="A10" s="164"/>
      <c r="B10" s="172"/>
      <c r="C10" s="173">
        <v>7</v>
      </c>
      <c r="D10" s="174" t="s">
        <v>259</v>
      </c>
      <c r="E10" s="175" t="str">
        <f t="shared" si="0"/>
        <v>USD7X1S_Quote</v>
      </c>
      <c r="F10" s="175" t="str">
        <f>_xll.qlSimpleQuote(Currency&amp;$C10&amp;$D10&amp;$B10&amp;QuoteSuffix,,RateTickValue,Permanent,Trigger,ObjectOverwrite)</f>
        <v>USD7X1S_Quote#0000</v>
      </c>
      <c r="G10" s="176" t="str">
        <f>_xll.ohRangeRetrieveError(F10)</f>
        <v/>
      </c>
      <c r="H10" s="116" t="s">
        <v>196</v>
      </c>
      <c r="J10" s="27"/>
      <c r="K10" s="128" t="str">
        <f>IF($O$2="ICAP Singapore","7M","")</f>
        <v/>
      </c>
      <c r="L10" s="128">
        <f>IF($O$2="ICAP Singapore","AM",7)</f>
        <v>7</v>
      </c>
      <c r="M10" s="128" t="str">
        <f t="shared" si="2"/>
        <v>X1S</v>
      </c>
      <c r="N10" s="33" t="str">
        <f t="shared" si="1"/>
        <v>USD7X1S</v>
      </c>
      <c r="O10" s="33" t="str">
        <v>USD7X1S=ICAP</v>
      </c>
      <c r="P10" s="392">
        <v>0.314</v>
      </c>
      <c r="Q10" s="392">
        <v>0.36399999999999999</v>
      </c>
      <c r="R10" s="36">
        <f t="shared" si="3"/>
        <v>0.33899999999999997</v>
      </c>
      <c r="S10" s="36">
        <f t="shared" si="4"/>
        <v>4.9999999999999989E-2</v>
      </c>
      <c r="T10" s="14"/>
      <c r="U10" s="170">
        <v>0.33899999999999997</v>
      </c>
      <c r="V10" s="14"/>
      <c r="W10" s="36">
        <v>0.33899999999999997</v>
      </c>
      <c r="X10" s="133">
        <f>_xll.qlSimpleQuoteSetValue(F10,W10/100,Trigger)</f>
        <v>4.9999999999999958E-4</v>
      </c>
      <c r="Y10" s="28"/>
      <c r="AA10" s="171"/>
    </row>
    <row r="11" spans="1:27" x14ac:dyDescent="0.2">
      <c r="A11" s="164"/>
      <c r="B11" s="172"/>
      <c r="C11" s="173">
        <v>8</v>
      </c>
      <c r="D11" s="174" t="s">
        <v>259</v>
      </c>
      <c r="E11" s="175" t="str">
        <f t="shared" si="0"/>
        <v>USD8X1S_Quote</v>
      </c>
      <c r="F11" s="175" t="str">
        <f>_xll.qlSimpleQuote(Currency&amp;$C11&amp;$D11&amp;$B11&amp;QuoteSuffix,,RateTickValue,Permanent,Trigger,ObjectOverwrite)</f>
        <v>USD8X1S_Quote#0000</v>
      </c>
      <c r="G11" s="176" t="str">
        <f>_xll.ohRangeRetrieveError(F11)</f>
        <v/>
      </c>
      <c r="H11" s="116" t="s">
        <v>196</v>
      </c>
      <c r="J11" s="27"/>
      <c r="K11" s="128" t="str">
        <f>IF($O$2="ICAP Singapore","8M","")</f>
        <v/>
      </c>
      <c r="L11" s="128">
        <f>IF($O$2="ICAP Singapore","AM",8)</f>
        <v>8</v>
      </c>
      <c r="M11" s="128" t="str">
        <f t="shared" si="2"/>
        <v>X1S</v>
      </c>
      <c r="N11" s="33" t="str">
        <f t="shared" si="1"/>
        <v>USD8X1S</v>
      </c>
      <c r="O11" s="33" t="str">
        <v>USD8X1S=ICAP</v>
      </c>
      <c r="P11" s="392">
        <v>0.33500000000000002</v>
      </c>
      <c r="Q11" s="392">
        <v>0.38500000000000001</v>
      </c>
      <c r="R11" s="36">
        <f t="shared" si="3"/>
        <v>0.36</v>
      </c>
      <c r="S11" s="36">
        <f t="shared" si="4"/>
        <v>4.9999999999999989E-2</v>
      </c>
      <c r="T11" s="14"/>
      <c r="U11" s="170">
        <v>0.36</v>
      </c>
      <c r="V11" s="14"/>
      <c r="W11" s="36">
        <v>0.36</v>
      </c>
      <c r="X11" s="133">
        <f>_xll.qlSimpleQuoteSetValue(F11,W11/100,Trigger)</f>
        <v>5.599999999999993E-4</v>
      </c>
      <c r="Y11" s="28"/>
      <c r="AA11" s="171"/>
    </row>
    <row r="12" spans="1:27" x14ac:dyDescent="0.2">
      <c r="A12" s="164"/>
      <c r="B12" s="172"/>
      <c r="C12" s="173">
        <v>9</v>
      </c>
      <c r="D12" s="174" t="s">
        <v>259</v>
      </c>
      <c r="E12" s="175" t="str">
        <f t="shared" si="0"/>
        <v>USD9X1S_Quote</v>
      </c>
      <c r="F12" s="175" t="str">
        <f>_xll.qlSimpleQuote(Currency&amp;$C12&amp;$D12&amp;$B12&amp;QuoteSuffix,,RateTickValue,Permanent,Trigger,ObjectOverwrite)</f>
        <v>USD9X1S_Quote#0000</v>
      </c>
      <c r="G12" s="176" t="str">
        <f>_xll.ohRangeRetrieveError(F12)</f>
        <v/>
      </c>
      <c r="H12" s="116" t="s">
        <v>196</v>
      </c>
      <c r="J12" s="27"/>
      <c r="K12" s="128" t="str">
        <f>IF($O$2="ICAP Singapore","9M","")</f>
        <v/>
      </c>
      <c r="L12" s="128">
        <f>IF($O$2="ICAP Singapore","AM",9)</f>
        <v>9</v>
      </c>
      <c r="M12" s="128" t="str">
        <f t="shared" si="2"/>
        <v>X1S</v>
      </c>
      <c r="N12" s="33" t="str">
        <f t="shared" si="1"/>
        <v>USD9X1S</v>
      </c>
      <c r="O12" s="33" t="str">
        <v>USD9X1S=ICAP</v>
      </c>
      <c r="P12" s="392">
        <v>0.35700000000000004</v>
      </c>
      <c r="Q12" s="392">
        <v>0.40700000000000003</v>
      </c>
      <c r="R12" s="36">
        <f t="shared" si="3"/>
        <v>0.38200000000000001</v>
      </c>
      <c r="S12" s="36">
        <f t="shared" si="4"/>
        <v>4.9999999999999989E-2</v>
      </c>
      <c r="T12" s="14"/>
      <c r="U12" s="170">
        <v>0.38200000000000001</v>
      </c>
      <c r="V12" s="14"/>
      <c r="W12" s="36">
        <v>0.38200000000000001</v>
      </c>
      <c r="X12" s="133">
        <f>_xll.qlSimpleQuoteSetValue(F12,W12/100,Trigger)</f>
        <v>6.1000000000000073E-4</v>
      </c>
      <c r="Y12" s="28"/>
      <c r="AA12" s="171"/>
    </row>
    <row r="13" spans="1:27" x14ac:dyDescent="0.2">
      <c r="A13" s="164"/>
      <c r="B13" s="172"/>
      <c r="C13" s="173">
        <v>10</v>
      </c>
      <c r="D13" s="174" t="s">
        <v>259</v>
      </c>
      <c r="E13" s="175" t="str">
        <f t="shared" si="0"/>
        <v>USD10X1S_Quote</v>
      </c>
      <c r="F13" s="175" t="str">
        <f>_xll.qlSimpleQuote(Currency&amp;$C13&amp;$D13&amp;$B13&amp;QuoteSuffix,,RateTickValue,Permanent,Trigger,ObjectOverwrite)</f>
        <v>USD10X1S_Quote#0000</v>
      </c>
      <c r="G13" s="176" t="str">
        <f>_xll.ohRangeRetrieveError(F13)</f>
        <v/>
      </c>
      <c r="H13" s="116" t="s">
        <v>196</v>
      </c>
      <c r="J13" s="27"/>
      <c r="K13" s="128" t="str">
        <f>IF($O$2="ICAP Singapore","10M","")</f>
        <v/>
      </c>
      <c r="L13" s="128">
        <f>IF($O$2="ICAP Singapore","AM",10)</f>
        <v>10</v>
      </c>
      <c r="M13" s="128" t="str">
        <f t="shared" si="2"/>
        <v>X1S</v>
      </c>
      <c r="N13" s="33" t="str">
        <f t="shared" si="1"/>
        <v>USD10X1S</v>
      </c>
      <c r="O13" s="33" t="str">
        <v>USD10X1S=ICAP</v>
      </c>
      <c r="P13" s="392">
        <v>0.38200000000000001</v>
      </c>
      <c r="Q13" s="392">
        <v>0.43200000000000005</v>
      </c>
      <c r="R13" s="36">
        <f t="shared" si="3"/>
        <v>0.40700000000000003</v>
      </c>
      <c r="S13" s="36">
        <f t="shared" si="4"/>
        <v>5.0000000000000044E-2</v>
      </c>
      <c r="T13" s="14"/>
      <c r="U13" s="170">
        <v>0.40700000000000003</v>
      </c>
      <c r="V13" s="14"/>
      <c r="W13" s="36">
        <v>0.40700000000000003</v>
      </c>
      <c r="X13" s="133">
        <f>_xll.qlSimpleQuoteSetValue(F13,W13/100,Trigger)</f>
        <v>6.8000000000000092E-4</v>
      </c>
      <c r="Y13" s="28"/>
      <c r="AA13" s="171"/>
    </row>
    <row r="14" spans="1:27" x14ac:dyDescent="0.2">
      <c r="A14" s="164"/>
      <c r="B14" s="172"/>
      <c r="C14" s="173">
        <v>11</v>
      </c>
      <c r="D14" s="174" t="s">
        <v>259</v>
      </c>
      <c r="E14" s="175" t="str">
        <f t="shared" si="0"/>
        <v>USD11X1S_Quote</v>
      </c>
      <c r="F14" s="175" t="str">
        <f>_xll.qlSimpleQuote(Currency&amp;$C14&amp;$D14&amp;$B14&amp;QuoteSuffix,,RateTickValue,Permanent,Trigger,ObjectOverwrite)</f>
        <v>USD11X1S_Quote#0000</v>
      </c>
      <c r="G14" s="176" t="str">
        <f>_xll.ohRangeRetrieveError(F14)</f>
        <v/>
      </c>
      <c r="H14" s="116" t="s">
        <v>196</v>
      </c>
      <c r="J14" s="27"/>
      <c r="K14" s="128" t="str">
        <f>IF($O$2="ICAP Singapore","11M","")</f>
        <v/>
      </c>
      <c r="L14" s="128">
        <f>IF($O$2="ICAP Singapore","AM",11)</f>
        <v>11</v>
      </c>
      <c r="M14" s="128" t="str">
        <f t="shared" si="2"/>
        <v>X1S</v>
      </c>
      <c r="N14" s="33" t="str">
        <f t="shared" si="1"/>
        <v>USD11X1S</v>
      </c>
      <c r="O14" s="33" t="str">
        <v>USD11X1S=ICAP</v>
      </c>
      <c r="P14" s="392">
        <v>0.40099999999999997</v>
      </c>
      <c r="Q14" s="392">
        <v>0.45099999999999996</v>
      </c>
      <c r="R14" s="36">
        <f t="shared" si="3"/>
        <v>0.42599999999999993</v>
      </c>
      <c r="S14" s="36">
        <f t="shared" si="4"/>
        <v>4.9999999999999989E-2</v>
      </c>
      <c r="T14" s="14"/>
      <c r="U14" s="170">
        <v>0.42599999999999993</v>
      </c>
      <c r="V14" s="14"/>
      <c r="W14" s="36">
        <v>0.42599999999999993</v>
      </c>
      <c r="X14" s="133">
        <f>_xll.qlSimpleQuoteSetValue(F14,W14/100,Trigger)</f>
        <v>6.8999999999999921E-4</v>
      </c>
      <c r="Y14" s="28"/>
      <c r="AA14" s="171"/>
    </row>
    <row r="15" spans="1:27" x14ac:dyDescent="0.2">
      <c r="A15" s="164"/>
      <c r="B15" s="172"/>
      <c r="C15" s="173">
        <v>12</v>
      </c>
      <c r="D15" s="174" t="s">
        <v>259</v>
      </c>
      <c r="E15" s="175" t="str">
        <f t="shared" si="0"/>
        <v>USD12X1S_Quote</v>
      </c>
      <c r="F15" s="175" t="str">
        <f>_xll.qlSimpleQuote(Currency&amp;$C15&amp;$D15&amp;$B15&amp;QuoteSuffix,,RateTickValue,Permanent,Trigger,ObjectOverwrite)</f>
        <v>USD12X1S_Quote#0000</v>
      </c>
      <c r="G15" s="176" t="str">
        <f>_xll.ohRangeRetrieveError(F15)</f>
        <v/>
      </c>
      <c r="H15" s="116" t="s">
        <v>196</v>
      </c>
      <c r="J15" s="27"/>
      <c r="K15" s="128" t="str">
        <f>IF($O$2="ICAP Singapore","12M","")</f>
        <v/>
      </c>
      <c r="L15" s="128">
        <f>IF($O$2="ICAP Singapore","AM",12)</f>
        <v>12</v>
      </c>
      <c r="M15" s="128" t="str">
        <f t="shared" si="2"/>
        <v>X1S</v>
      </c>
      <c r="N15" s="33" t="str">
        <f t="shared" si="1"/>
        <v>USD12X1S</v>
      </c>
      <c r="O15" s="33" t="str">
        <v>USD12X1S=ICAP</v>
      </c>
      <c r="P15" s="392">
        <v>0.42400000000000004</v>
      </c>
      <c r="Q15" s="392">
        <v>0.47400000000000003</v>
      </c>
      <c r="R15" s="36">
        <f t="shared" si="3"/>
        <v>0.44900000000000007</v>
      </c>
      <c r="S15" s="36">
        <f t="shared" si="4"/>
        <v>4.9999999999999989E-2</v>
      </c>
      <c r="T15" s="14"/>
      <c r="U15" s="170">
        <v>0.44900000000000007</v>
      </c>
      <c r="V15" s="14"/>
      <c r="W15" s="36">
        <v>0.44900000000000007</v>
      </c>
      <c r="X15" s="133">
        <f>_xll.qlSimpleQuoteSetValue(F15,W15/100,Trigger)</f>
        <v>7.2000000000000102E-4</v>
      </c>
      <c r="Y15" s="28"/>
      <c r="AA15" s="171"/>
    </row>
    <row r="16" spans="1:27" x14ac:dyDescent="0.2">
      <c r="A16" s="46"/>
      <c r="B16" s="172"/>
      <c r="C16" s="173">
        <v>15</v>
      </c>
      <c r="D16" s="174" t="s">
        <v>259</v>
      </c>
      <c r="E16" s="175" t="str">
        <f t="shared" si="0"/>
        <v>USD15X1S_Quote</v>
      </c>
      <c r="F16" s="175" t="str">
        <f>_xll.qlSimpleQuote(Currency&amp;$C16&amp;$D16&amp;$B16&amp;QuoteSuffix,,RateTickValue,Permanent,Trigger,ObjectOverwrite)</f>
        <v>USD15X1S_Quote#0000</v>
      </c>
      <c r="G16" s="176" t="str">
        <f>_xll.ohRangeRetrieveError(F16)</f>
        <v/>
      </c>
      <c r="H16" s="116" t="s">
        <v>196</v>
      </c>
      <c r="J16" s="27"/>
      <c r="K16" s="128" t="str">
        <f>IF($O$2="ICAP Singapore","15M","")</f>
        <v/>
      </c>
      <c r="L16" s="128">
        <f>IF($O$2="ICAP Singapore","AM",15)</f>
        <v>15</v>
      </c>
      <c r="M16" s="128" t="str">
        <f t="shared" si="2"/>
        <v>X1S</v>
      </c>
      <c r="N16" s="33" t="str">
        <f t="shared" si="1"/>
        <v>USD15X1S</v>
      </c>
      <c r="O16" s="33" t="str">
        <v>USD15X1S=ICAP</v>
      </c>
      <c r="P16" s="392">
        <v>0.495</v>
      </c>
      <c r="Q16" s="392">
        <v>0.54500000000000004</v>
      </c>
      <c r="R16" s="36">
        <f t="shared" si="3"/>
        <v>0.52</v>
      </c>
      <c r="S16" s="36">
        <f t="shared" si="4"/>
        <v>5.0000000000000044E-2</v>
      </c>
      <c r="T16" s="14"/>
      <c r="U16" s="170">
        <v>0.52</v>
      </c>
      <c r="V16" s="14"/>
      <c r="W16" s="36">
        <v>0.52</v>
      </c>
      <c r="X16" s="133">
        <f>_xll.qlSimpleQuoteSetValue(F16,W16/100,Trigger)</f>
        <v>8.399999999999996E-4</v>
      </c>
      <c r="Y16" s="28"/>
    </row>
    <row r="17" spans="1:25" x14ac:dyDescent="0.2">
      <c r="A17" s="82"/>
      <c r="B17" s="172"/>
      <c r="C17" s="173">
        <v>18</v>
      </c>
      <c r="D17" s="174" t="s">
        <v>259</v>
      </c>
      <c r="E17" s="175" t="str">
        <f t="shared" si="0"/>
        <v>USD18X1S_Quote</v>
      </c>
      <c r="F17" s="175" t="str">
        <f>_xll.qlSimpleQuote(Currency&amp;$C17&amp;$D17&amp;$B17&amp;QuoteSuffix,,RateTickValue,Permanent,Trigger,ObjectOverwrite)</f>
        <v>USD18X1S_Quote#0000</v>
      </c>
      <c r="G17" s="176" t="str">
        <f>_xll.ohRangeRetrieveError(F17)</f>
        <v/>
      </c>
      <c r="H17" s="83" t="s">
        <v>196</v>
      </c>
      <c r="J17" s="27"/>
      <c r="K17" s="128" t="str">
        <f>IF($O$2="ICAP Singapore","18M","")</f>
        <v/>
      </c>
      <c r="L17" s="128">
        <f>IF($O$2="ICAP Singapore","AM",18)</f>
        <v>18</v>
      </c>
      <c r="M17" s="128" t="str">
        <f t="shared" si="2"/>
        <v>X1S</v>
      </c>
      <c r="N17" s="33" t="str">
        <f t="shared" si="1"/>
        <v>USD18X1S</v>
      </c>
      <c r="O17" s="33" t="str">
        <v>USD18X1S=ICAP</v>
      </c>
      <c r="P17" s="392">
        <v>0.56500000000000006</v>
      </c>
      <c r="Q17" s="392">
        <v>0.61499999999999999</v>
      </c>
      <c r="R17" s="36">
        <f t="shared" si="3"/>
        <v>0.59000000000000008</v>
      </c>
      <c r="S17" s="36">
        <f t="shared" si="4"/>
        <v>4.9999999999999933E-2</v>
      </c>
      <c r="T17" s="14"/>
      <c r="U17" s="170">
        <v>0.59000000000000008</v>
      </c>
      <c r="V17" s="14"/>
      <c r="W17" s="36">
        <v>0.59000000000000008</v>
      </c>
      <c r="X17" s="133">
        <f>_xll.qlSimpleQuoteSetValue(F17,W17/100,Trigger)</f>
        <v>9.2000000000000068E-4</v>
      </c>
      <c r="Y17" s="28"/>
    </row>
    <row r="18" spans="1:25" x14ac:dyDescent="0.2">
      <c r="A18" s="82"/>
      <c r="B18" s="177"/>
      <c r="C18" s="178">
        <v>24</v>
      </c>
      <c r="D18" s="179" t="s">
        <v>259</v>
      </c>
      <c r="E18" s="180" t="str">
        <f t="shared" si="0"/>
        <v>USD24X1S_Quote</v>
      </c>
      <c r="F18" s="180" t="str">
        <f>_xll.qlSimpleQuote(Currency&amp;$C18&amp;$D18&amp;$B18&amp;QuoteSuffix,,RateTickValue,Permanent,Trigger,ObjectOverwrite)</f>
        <v>USD24X1S_Quote#0000</v>
      </c>
      <c r="G18" s="181" t="str">
        <f>_xll.ohRangeRetrieveError(F18)</f>
        <v/>
      </c>
      <c r="H18" s="83" t="s">
        <v>196</v>
      </c>
      <c r="J18" s="27"/>
      <c r="K18" s="130" t="str">
        <f>IF($O$2="ICAP Singapore","24M","")</f>
        <v/>
      </c>
      <c r="L18" s="128">
        <f>IF($O$2="ICAP Singapore","AM",24)</f>
        <v>24</v>
      </c>
      <c r="M18" s="128" t="str">
        <f t="shared" si="2"/>
        <v>X1S</v>
      </c>
      <c r="N18" s="33" t="str">
        <f t="shared" si="1"/>
        <v>USD24X1S</v>
      </c>
      <c r="O18" s="34" t="str">
        <v>USD24X1S=ICAP</v>
      </c>
      <c r="P18" s="393">
        <v>0.70399999999999996</v>
      </c>
      <c r="Q18" s="393">
        <v>0.754</v>
      </c>
      <c r="R18" s="37">
        <f t="shared" si="3"/>
        <v>0.72899999999999998</v>
      </c>
      <c r="S18" s="37">
        <f t="shared" si="4"/>
        <v>5.0000000000000044E-2</v>
      </c>
      <c r="T18" s="14"/>
      <c r="U18" s="182">
        <v>0.72899999999999998</v>
      </c>
      <c r="V18" s="14"/>
      <c r="W18" s="37">
        <v>0.72899999999999998</v>
      </c>
      <c r="X18" s="134">
        <f>_xll.qlSimpleQuoteSetValue(F18,W18/100,Trigger)</f>
        <v>1.0799999999999994E-3</v>
      </c>
      <c r="Y18" s="28"/>
    </row>
    <row r="19" spans="1:25" x14ac:dyDescent="0.2">
      <c r="A19" s="86"/>
      <c r="B19" s="86"/>
      <c r="C19" s="86"/>
      <c r="D19" s="86"/>
      <c r="E19" s="86"/>
      <c r="F19" s="98"/>
      <c r="G19" s="86"/>
      <c r="H19" s="87"/>
      <c r="J19" s="117"/>
      <c r="K19" s="118"/>
      <c r="L19" s="183"/>
      <c r="M19" s="183"/>
      <c r="N19" s="183"/>
      <c r="O19" s="183"/>
      <c r="P19" s="183"/>
      <c r="Q19" s="183"/>
      <c r="R19" s="183"/>
      <c r="S19" s="118"/>
      <c r="T19" s="118"/>
      <c r="U19" s="183"/>
      <c r="V19" s="118"/>
      <c r="W19" s="183"/>
      <c r="X19" s="183"/>
      <c r="Y19" s="184"/>
    </row>
    <row r="26" spans="1:25" x14ac:dyDescent="0.2">
      <c r="M26" s="185"/>
    </row>
  </sheetData>
  <conditionalFormatting sqref="X5:X18">
    <cfRule type="cellIs" dxfId="13" priority="1" stopIfTrue="1" operator="greaterThan">
      <formula>0</formula>
    </cfRule>
    <cfRule type="cellIs" dxfId="12" priority="2" stopIfTrue="1" operator="lessThan">
      <formula>0</formula>
    </cfRule>
  </conditionalFormatting>
  <dataValidations disablePrompts="1"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AE43"/>
  <sheetViews>
    <sheetView showGridLines="0" topLeftCell="I1" workbookViewId="0">
      <selection activeCell="AA2" sqref="AA2"/>
    </sheetView>
  </sheetViews>
  <sheetFormatPr defaultRowHeight="11.25" outlineLevelCol="1" x14ac:dyDescent="0.2"/>
  <cols>
    <col min="1" max="1" width="2.7109375" style="144" hidden="1" customWidth="1" outlineLevel="1"/>
    <col min="2" max="2" width="5" style="144" hidden="1" customWidth="1" outlineLevel="1"/>
    <col min="3" max="4" width="3" style="144" hidden="1" customWidth="1" outlineLevel="1"/>
    <col min="5" max="5" width="16.7109375" style="144" hidden="1" customWidth="1" outlineLevel="1"/>
    <col min="6" max="6" width="22.7109375" style="145" hidden="1" customWidth="1" outlineLevel="1"/>
    <col min="7" max="7" width="20.7109375" style="144" hidden="1" customWidth="1" outlineLevel="1"/>
    <col min="8" max="8" width="2.7109375" style="144" hidden="1" customWidth="1" outlineLevel="1"/>
    <col min="9" max="9" width="2.7109375" style="144" customWidth="1" collapsed="1"/>
    <col min="10" max="10" width="2.7109375" style="144" customWidth="1"/>
    <col min="11" max="11" width="4.7109375" style="197" customWidth="1"/>
    <col min="12" max="13" width="3" style="197" bestFit="1" customWidth="1"/>
    <col min="14" max="14" width="11.7109375" style="144" customWidth="1"/>
    <col min="15" max="15" width="16.7109375" style="144" customWidth="1"/>
    <col min="16" max="18" width="10.7109375" style="144" customWidth="1"/>
    <col min="19" max="20" width="10.7109375" style="144" hidden="1" customWidth="1" outlineLevel="1"/>
    <col min="21" max="21" width="10.7109375" style="144" customWidth="1" collapsed="1"/>
    <col min="22" max="22" width="10.7109375" style="144" customWidth="1"/>
    <col min="23" max="23" width="2.7109375" style="144" customWidth="1"/>
    <col min="24" max="24" width="10.7109375" style="144" customWidth="1"/>
    <col min="25" max="25" width="2.7109375" style="144" customWidth="1"/>
    <col min="26" max="27" width="10.7109375" style="144" customWidth="1"/>
    <col min="28" max="29" width="2.7109375" style="144" customWidth="1"/>
    <col min="30" max="16384" width="9.140625" style="144"/>
  </cols>
  <sheetData>
    <row r="1" spans="1:31" x14ac:dyDescent="0.2">
      <c r="A1" s="88"/>
      <c r="B1" s="79"/>
      <c r="C1" s="79"/>
      <c r="D1" s="79"/>
      <c r="E1" s="79"/>
      <c r="F1" s="93"/>
      <c r="G1" s="79"/>
      <c r="H1" s="80"/>
      <c r="J1" s="88" t="s">
        <v>233</v>
      </c>
      <c r="K1" s="198"/>
      <c r="L1" s="198"/>
      <c r="M1" s="198"/>
      <c r="N1" s="26"/>
      <c r="O1" s="26"/>
      <c r="P1" s="26"/>
      <c r="Q1" s="26"/>
      <c r="R1" s="26"/>
      <c r="S1" s="368"/>
      <c r="T1" s="368"/>
      <c r="U1" s="368"/>
      <c r="V1" s="26"/>
      <c r="W1" s="26"/>
      <c r="X1" s="26"/>
      <c r="Y1" s="26"/>
      <c r="Z1" s="26"/>
      <c r="AA1" s="26"/>
      <c r="AB1" s="114"/>
    </row>
    <row r="2" spans="1:31" x14ac:dyDescent="0.2">
      <c r="A2" s="81"/>
      <c r="B2" s="82"/>
      <c r="C2" s="82"/>
      <c r="D2" s="82"/>
      <c r="E2" s="82"/>
      <c r="F2" s="95"/>
      <c r="G2" s="82"/>
      <c r="H2" s="83"/>
      <c r="J2" s="115"/>
      <c r="K2" s="14"/>
      <c r="L2" s="14"/>
      <c r="M2" s="14"/>
      <c r="N2" s="14"/>
      <c r="O2" s="187" t="str">
        <f>VLOOKUP($J$1,AreaTable,AreaIndex,0)</f>
        <v>ICAP LN</v>
      </c>
      <c r="P2" s="14"/>
      <c r="Q2" s="14"/>
      <c r="R2" s="3"/>
      <c r="S2" s="356"/>
      <c r="T2" s="356"/>
      <c r="U2" s="356"/>
      <c r="V2" s="3"/>
      <c r="W2" s="14"/>
      <c r="X2" s="14"/>
      <c r="Y2" s="14"/>
      <c r="Z2" s="14"/>
      <c r="AA2" s="55">
        <f>_xll.ohTrigger(AA5:AA42)</f>
        <v>1</v>
      </c>
      <c r="AB2" s="116"/>
    </row>
    <row r="3" spans="1:31" x14ac:dyDescent="0.2">
      <c r="A3" s="84"/>
      <c r="B3" s="3"/>
      <c r="C3" s="3"/>
      <c r="D3" s="3"/>
      <c r="E3" s="82"/>
      <c r="F3" s="95"/>
      <c r="G3" s="82"/>
      <c r="H3" s="116"/>
      <c r="J3" s="27"/>
      <c r="K3" s="14"/>
      <c r="L3" s="14"/>
      <c r="M3" s="14"/>
      <c r="N3" s="3"/>
      <c r="O3" s="3"/>
      <c r="P3" s="3"/>
      <c r="Q3" s="3"/>
      <c r="R3" s="3"/>
      <c r="S3" s="356" t="str">
        <f>_xll.qlInterpolation(,"linear",_xll.ohFilter(S5:S42,T5:T42),_xll.ohFilter(R5:R42,T5:T42),Permanent,Trigger,ObjectOverwrite)</f>
        <v>obj_007c7#0001</v>
      </c>
      <c r="T3" s="356"/>
      <c r="U3" s="356"/>
      <c r="V3" s="3"/>
      <c r="W3" s="14"/>
      <c r="X3" s="14"/>
      <c r="Y3" s="14"/>
      <c r="Z3" s="3"/>
      <c r="AA3" s="3"/>
      <c r="AB3" s="28"/>
    </row>
    <row r="4" spans="1:31" ht="22.5" x14ac:dyDescent="0.2">
      <c r="A4" s="27"/>
      <c r="B4" s="48"/>
      <c r="C4" s="48"/>
      <c r="D4" s="48"/>
      <c r="E4" s="49" t="s">
        <v>224</v>
      </c>
      <c r="F4" s="49" t="s">
        <v>225</v>
      </c>
      <c r="G4" s="112" t="s">
        <v>239</v>
      </c>
      <c r="H4" s="116"/>
      <c r="J4" s="27"/>
      <c r="K4" s="50"/>
      <c r="L4" s="50"/>
      <c r="M4" s="50"/>
      <c r="N4" s="50" t="s">
        <v>241</v>
      </c>
      <c r="O4" s="52" t="str">
        <f>_xll.RData(O5:O42,P4:Q4,"RTFEED:IDN",ReutersRtMode,,P5)</f>
        <v>Not Signed In</v>
      </c>
      <c r="P4" s="38" t="s">
        <v>257</v>
      </c>
      <c r="Q4" s="38" t="s">
        <v>258</v>
      </c>
      <c r="R4" s="39" t="s">
        <v>158</v>
      </c>
      <c r="S4" s="39" t="s">
        <v>268</v>
      </c>
      <c r="T4" s="39" t="s">
        <v>269</v>
      </c>
      <c r="U4" s="39" t="s">
        <v>270</v>
      </c>
      <c r="V4" s="39" t="s">
        <v>240</v>
      </c>
      <c r="W4" s="14"/>
      <c r="X4" s="38" t="s">
        <v>148</v>
      </c>
      <c r="Y4" s="14"/>
      <c r="Z4" s="186" t="s">
        <v>147</v>
      </c>
      <c r="AA4" s="53" t="s">
        <v>146</v>
      </c>
      <c r="AB4" s="28"/>
      <c r="AE4" s="148"/>
    </row>
    <row r="5" spans="1:31" x14ac:dyDescent="0.2">
      <c r="A5" s="27"/>
      <c r="B5" s="165" t="str">
        <f>K5</f>
        <v>6M</v>
      </c>
      <c r="C5" s="167" t="str">
        <f>L5</f>
        <v>AM</v>
      </c>
      <c r="D5" s="167" t="str">
        <f>M5</f>
        <v>3L</v>
      </c>
      <c r="E5" s="175" t="str">
        <f t="shared" ref="E5:E42" si="0">Currency&amp;$C5&amp;$D5&amp;$B5&amp;QuoteSuffix</f>
        <v>USDAM3L6M_Quote</v>
      </c>
      <c r="F5" s="175" t="str">
        <f>_xll.qlSimpleQuote(Currency&amp;$C5&amp;$D5&amp;$B5&amp;QuoteSuffix,,RateTickValue,Permanent,Trigger,ObjectOverwrite)</f>
        <v>USDAM3L6M_Quote#0003</v>
      </c>
      <c r="G5" s="176" t="str">
        <f>_xll.ohRangeRetrieveError(F5)</f>
        <v/>
      </c>
      <c r="H5" s="116"/>
      <c r="J5" s="27"/>
      <c r="K5" s="126" t="s">
        <v>14</v>
      </c>
      <c r="L5" s="126" t="s">
        <v>129</v>
      </c>
      <c r="M5" s="126" t="s">
        <v>93</v>
      </c>
      <c r="N5" s="127" t="str">
        <f t="shared" ref="N5:N42" si="1">Currency&amp;$L5&amp;$M5&amp;$K5</f>
        <v>USDAM3L6M</v>
      </c>
      <c r="O5" s="127" t="str">
        <f t="array" ref="O5:O42">Instruments&amp;"="&amp;VLOOKUP(Contributor,ContributorTable,2,FALSE)</f>
        <v>USDAM3L6M=ICAP</v>
      </c>
      <c r="P5" s="391" t="s">
        <v>253</v>
      </c>
      <c r="Q5" s="391" t="s">
        <v>253</v>
      </c>
      <c r="R5" s="35" t="e">
        <f>IF(ISERROR(AVERAGE(P5,Q5)),#NUM!,AVERAGE(P5,Q5))</f>
        <v>#NUM!</v>
      </c>
      <c r="S5" s="402">
        <v>0.5</v>
      </c>
      <c r="T5" s="403" t="b">
        <v>0</v>
      </c>
      <c r="U5" s="404">
        <f>_xll.qlInterpolationInterpolate($S$3,S5,TRUE,Trigger)</f>
        <v>0.40149999999999991</v>
      </c>
      <c r="V5" s="36" t="e">
        <f>Q5-P5</f>
        <v>#VALUE!</v>
      </c>
      <c r="W5" s="140"/>
      <c r="X5" s="142">
        <v>0.40149999999999991</v>
      </c>
      <c r="Y5" s="140"/>
      <c r="Z5" s="35">
        <f t="array" ref="Z5:Z42">QuoteStatic</f>
        <v>0.40149999999999991</v>
      </c>
      <c r="AA5" s="133" t="e">
        <f>_xll.qlSimpleQuoteSetValue(F5,Z5/100,Trigger)</f>
        <v>#N/A</v>
      </c>
      <c r="AB5" s="28"/>
      <c r="AE5" s="171"/>
    </row>
    <row r="6" spans="1:31" x14ac:dyDescent="0.2">
      <c r="A6" s="27"/>
      <c r="B6" s="172" t="str">
        <f t="shared" ref="B6:B42" si="2">K6</f>
        <v>1Y</v>
      </c>
      <c r="C6" s="174" t="str">
        <f t="shared" ref="C6:C42" si="3">L6</f>
        <v>AM</v>
      </c>
      <c r="D6" s="174" t="str">
        <f t="shared" ref="D6:D42" si="4">M6</f>
        <v>3L</v>
      </c>
      <c r="E6" s="175" t="str">
        <f t="shared" si="0"/>
        <v>USDAM3L1Y_Quote</v>
      </c>
      <c r="F6" s="175" t="str">
        <f>_xll.qlSimpleQuote(Currency&amp;$C6&amp;$D6&amp;$B6&amp;QuoteSuffix,,RateTickValue,Permanent,Trigger,ObjectOverwrite)</f>
        <v>USDAM3L1Y_Quote#0003</v>
      </c>
      <c r="G6" s="176" t="str">
        <f>_xll.ohRangeRetrieveError(F6)</f>
        <v/>
      </c>
      <c r="H6" s="116"/>
      <c r="J6" s="27"/>
      <c r="K6" s="128" t="s">
        <v>8</v>
      </c>
      <c r="L6" s="128" t="s">
        <v>129</v>
      </c>
      <c r="M6" s="128" t="s">
        <v>93</v>
      </c>
      <c r="N6" s="129" t="str">
        <f t="shared" si="1"/>
        <v>USDAM3L1Y</v>
      </c>
      <c r="O6" s="129" t="str">
        <v>USDAM3L1Y=ICAP</v>
      </c>
      <c r="P6" s="392">
        <v>0.52699999999999991</v>
      </c>
      <c r="Q6" s="392">
        <v>0.56699999999999995</v>
      </c>
      <c r="R6" s="36">
        <f t="shared" ref="R6:R42" si="5">IF(ISERROR(AVERAGE(P6,Q6)),#NUM!,AVERAGE(P6,Q6))</f>
        <v>0.54699999999999993</v>
      </c>
      <c r="S6" s="129">
        <v>1</v>
      </c>
      <c r="T6" s="401" t="b">
        <v>1</v>
      </c>
      <c r="U6" s="36">
        <f>_xll.qlInterpolationInterpolate($S$3,S6,TRUE,Trigger)</f>
        <v>0.54699999999999993</v>
      </c>
      <c r="V6" s="36">
        <f t="shared" ref="V6:V42" si="6">Q6-P6</f>
        <v>4.0000000000000036E-2</v>
      </c>
      <c r="W6" s="140"/>
      <c r="X6" s="142">
        <v>0.54699999999999993</v>
      </c>
      <c r="Y6" s="140"/>
      <c r="Z6" s="36">
        <v>0.54699999999999993</v>
      </c>
      <c r="AA6" s="133">
        <f>_xll.qlSimpleQuoteSetValue(F6,Z6/100,Trigger)</f>
        <v>0</v>
      </c>
      <c r="AB6" s="28"/>
      <c r="AE6" s="171"/>
    </row>
    <row r="7" spans="1:31" x14ac:dyDescent="0.2">
      <c r="A7" s="27"/>
      <c r="B7" s="172" t="str">
        <f t="shared" si="2"/>
        <v>15M</v>
      </c>
      <c r="C7" s="173" t="str">
        <f t="shared" si="3"/>
        <v>AM</v>
      </c>
      <c r="D7" s="173" t="str">
        <f t="shared" si="4"/>
        <v>3L</v>
      </c>
      <c r="E7" s="175" t="str">
        <f t="shared" si="0"/>
        <v>USDAM3L15M_Quote</v>
      </c>
      <c r="F7" s="175" t="str">
        <f>_xll.qlSimpleQuote(Currency&amp;$C7&amp;$D7&amp;$B7&amp;QuoteSuffix,,RateTickValue,Permanent,Trigger,ObjectOverwrite)</f>
        <v>USDAM3L15M_Quote#0003</v>
      </c>
      <c r="G7" s="176" t="str">
        <f>_xll.ohRangeRetrieveError(F7)</f>
        <v/>
      </c>
      <c r="H7" s="116"/>
      <c r="J7" s="27"/>
      <c r="K7" s="128" t="s">
        <v>97</v>
      </c>
      <c r="L7" s="128" t="s">
        <v>129</v>
      </c>
      <c r="M7" s="128" t="s">
        <v>93</v>
      </c>
      <c r="N7" s="129" t="str">
        <f t="shared" si="1"/>
        <v>USDAM3L15M</v>
      </c>
      <c r="O7" s="129" t="str">
        <v>USDAM3L15M=ICAP</v>
      </c>
      <c r="P7" s="392" t="s">
        <v>253</v>
      </c>
      <c r="Q7" s="392" t="s">
        <v>253</v>
      </c>
      <c r="R7" s="36" t="e">
        <f t="shared" si="5"/>
        <v>#NUM!</v>
      </c>
      <c r="S7" s="402">
        <v>1.25</v>
      </c>
      <c r="T7" s="403" t="b">
        <v>0</v>
      </c>
      <c r="U7" s="404">
        <f>_xll.qlInterpolationInterpolate($S$3,S7,TRUE,Trigger)</f>
        <v>0.61974999999999991</v>
      </c>
      <c r="V7" s="36" t="e">
        <f t="shared" si="6"/>
        <v>#VALUE!</v>
      </c>
      <c r="W7" s="140"/>
      <c r="X7" s="142">
        <v>0.61974999999999991</v>
      </c>
      <c r="Y7" s="140"/>
      <c r="Z7" s="36">
        <v>0.61974999999999991</v>
      </c>
      <c r="AA7" s="133" t="e">
        <f>_xll.qlSimpleQuoteSetValue(F7,Z7/100,Trigger)</f>
        <v>#N/A</v>
      </c>
      <c r="AB7" s="28"/>
      <c r="AE7" s="171"/>
    </row>
    <row r="8" spans="1:31" x14ac:dyDescent="0.2">
      <c r="A8" s="27"/>
      <c r="B8" s="172" t="str">
        <f t="shared" si="2"/>
        <v>18M</v>
      </c>
      <c r="C8" s="173" t="str">
        <f t="shared" si="3"/>
        <v>AM</v>
      </c>
      <c r="D8" s="173" t="str">
        <f t="shared" si="4"/>
        <v>3L</v>
      </c>
      <c r="E8" s="175" t="str">
        <f t="shared" si="0"/>
        <v>USDAM3L18M_Quote</v>
      </c>
      <c r="F8" s="175" t="str">
        <f>_xll.qlSimpleQuote(Currency&amp;$C8&amp;$D8&amp;$B8&amp;QuoteSuffix,,RateTickValue,Permanent,Trigger,ObjectOverwrite)</f>
        <v>USDAM3L18M_Quote#0003</v>
      </c>
      <c r="G8" s="176" t="str">
        <f>_xll.ohRangeRetrieveError(F8)</f>
        <v/>
      </c>
      <c r="H8" s="116"/>
      <c r="J8" s="27"/>
      <c r="K8" s="128" t="s">
        <v>96</v>
      </c>
      <c r="L8" s="128" t="s">
        <v>129</v>
      </c>
      <c r="M8" s="128" t="s">
        <v>93</v>
      </c>
      <c r="N8" s="129" t="str">
        <f t="shared" si="1"/>
        <v>USDAM3L18M</v>
      </c>
      <c r="O8" s="129" t="str">
        <v>USDAM3L18M=ICAP</v>
      </c>
      <c r="P8" s="392" t="s">
        <v>253</v>
      </c>
      <c r="Q8" s="392" t="s">
        <v>253</v>
      </c>
      <c r="R8" s="36" t="e">
        <f t="shared" si="5"/>
        <v>#NUM!</v>
      </c>
      <c r="S8" s="402">
        <v>1.5</v>
      </c>
      <c r="T8" s="403" t="b">
        <v>0</v>
      </c>
      <c r="U8" s="404">
        <f>_xll.qlInterpolationInterpolate($S$3,S8,TRUE,Trigger)</f>
        <v>0.69249999999999989</v>
      </c>
      <c r="V8" s="36" t="e">
        <f t="shared" si="6"/>
        <v>#VALUE!</v>
      </c>
      <c r="W8" s="140"/>
      <c r="X8" s="142">
        <v>0.69249999999999989</v>
      </c>
      <c r="Y8" s="140"/>
      <c r="Z8" s="36">
        <v>0.69249999999999989</v>
      </c>
      <c r="AA8" s="133" t="e">
        <f>_xll.qlSimpleQuoteSetValue(F8,Z8/100,Trigger)</f>
        <v>#N/A</v>
      </c>
      <c r="AB8" s="28"/>
      <c r="AE8" s="171"/>
    </row>
    <row r="9" spans="1:31" x14ac:dyDescent="0.2">
      <c r="A9" s="27"/>
      <c r="B9" s="172" t="str">
        <f t="shared" si="2"/>
        <v>21M</v>
      </c>
      <c r="C9" s="173" t="str">
        <f t="shared" si="3"/>
        <v>AM</v>
      </c>
      <c r="D9" s="173" t="str">
        <f t="shared" si="4"/>
        <v>3L</v>
      </c>
      <c r="E9" s="175" t="str">
        <f t="shared" si="0"/>
        <v>USDAM3L21M_Quote</v>
      </c>
      <c r="F9" s="175" t="str">
        <f>_xll.qlSimpleQuote(Currency&amp;$C9&amp;$D9&amp;$B9&amp;QuoteSuffix,,RateTickValue,Permanent,Trigger,ObjectOverwrite)</f>
        <v>USDAM3L21M_Quote#0003</v>
      </c>
      <c r="G9" s="176" t="str">
        <f>_xll.ohRangeRetrieveError(F9)</f>
        <v/>
      </c>
      <c r="H9" s="116"/>
      <c r="J9" s="27"/>
      <c r="K9" s="128" t="s">
        <v>95</v>
      </c>
      <c r="L9" s="128" t="s">
        <v>129</v>
      </c>
      <c r="M9" s="128" t="s">
        <v>93</v>
      </c>
      <c r="N9" s="129" t="str">
        <f t="shared" si="1"/>
        <v>USDAM3L21M</v>
      </c>
      <c r="O9" s="129" t="str">
        <v>USDAM3L21M=ICAP</v>
      </c>
      <c r="P9" s="392" t="s">
        <v>253</v>
      </c>
      <c r="Q9" s="392" t="s">
        <v>253</v>
      </c>
      <c r="R9" s="36" t="e">
        <f t="shared" si="5"/>
        <v>#NUM!</v>
      </c>
      <c r="S9" s="402">
        <v>1.75</v>
      </c>
      <c r="T9" s="403" t="b">
        <v>0</v>
      </c>
      <c r="U9" s="404">
        <f>_xll.qlInterpolationInterpolate($S$3,S9,TRUE,Trigger)</f>
        <v>0.76524999999999999</v>
      </c>
      <c r="V9" s="36" t="e">
        <f t="shared" si="6"/>
        <v>#VALUE!</v>
      </c>
      <c r="W9" s="140"/>
      <c r="X9" s="142">
        <v>0.76524999999999999</v>
      </c>
      <c r="Y9" s="140"/>
      <c r="Z9" s="36">
        <v>0.76524999999999999</v>
      </c>
      <c r="AA9" s="133" t="e">
        <f>_xll.qlSimpleQuoteSetValue(F9,Z9/100,Trigger)</f>
        <v>#N/A</v>
      </c>
      <c r="AB9" s="28"/>
      <c r="AE9" s="171"/>
    </row>
    <row r="10" spans="1:31" x14ac:dyDescent="0.2">
      <c r="A10" s="27"/>
      <c r="B10" s="172" t="str">
        <f t="shared" si="2"/>
        <v>2Y</v>
      </c>
      <c r="C10" s="173" t="str">
        <f t="shared" si="3"/>
        <v>AM</v>
      </c>
      <c r="D10" s="173" t="str">
        <f t="shared" si="4"/>
        <v>3L</v>
      </c>
      <c r="E10" s="175" t="str">
        <f t="shared" si="0"/>
        <v>USDAM3L2Y_Quote</v>
      </c>
      <c r="F10" s="175" t="str">
        <f>_xll.qlSimpleQuote(Currency&amp;$C10&amp;$D10&amp;$B10&amp;QuoteSuffix,,RateTickValue,Permanent,Trigger,ObjectOverwrite)</f>
        <v>USDAM3L2Y_Quote#0003</v>
      </c>
      <c r="G10" s="176" t="str">
        <f>_xll.ohRangeRetrieveError(F10)</f>
        <v/>
      </c>
      <c r="H10" s="116"/>
      <c r="J10" s="27"/>
      <c r="K10" s="128" t="s">
        <v>84</v>
      </c>
      <c r="L10" s="128" t="s">
        <v>129</v>
      </c>
      <c r="M10" s="128" t="s">
        <v>93</v>
      </c>
      <c r="N10" s="129" t="str">
        <f t="shared" si="1"/>
        <v>USDAM3L2Y</v>
      </c>
      <c r="O10" s="129" t="str">
        <v>USDAM3L2Y=ICAP</v>
      </c>
      <c r="P10" s="392">
        <v>0.81799999999999995</v>
      </c>
      <c r="Q10" s="392">
        <v>0.85799999999999998</v>
      </c>
      <c r="R10" s="36">
        <f t="shared" si="5"/>
        <v>0.83799999999999997</v>
      </c>
      <c r="S10" s="129">
        <v>2</v>
      </c>
      <c r="T10" s="401" t="b">
        <v>1</v>
      </c>
      <c r="U10" s="36">
        <f>_xll.qlInterpolationInterpolate($S$3,S10,TRUE,Trigger)</f>
        <v>0.83799999999999997</v>
      </c>
      <c r="V10" s="36">
        <f t="shared" si="6"/>
        <v>4.0000000000000036E-2</v>
      </c>
      <c r="W10" s="140"/>
      <c r="X10" s="142">
        <v>0.83799999999999997</v>
      </c>
      <c r="Y10" s="140"/>
      <c r="Z10" s="36">
        <v>0.83799999999999997</v>
      </c>
      <c r="AA10" s="133">
        <f>_xll.qlSimpleQuoteSetValue(F10,Z10/100,Trigger)</f>
        <v>0</v>
      </c>
      <c r="AB10" s="28"/>
      <c r="AE10" s="171"/>
    </row>
    <row r="11" spans="1:31" x14ac:dyDescent="0.2">
      <c r="A11" s="27"/>
      <c r="B11" s="172" t="str">
        <f t="shared" si="2"/>
        <v>3Y</v>
      </c>
      <c r="C11" s="173" t="str">
        <f t="shared" si="3"/>
        <v>AM</v>
      </c>
      <c r="D11" s="173" t="str">
        <f t="shared" si="4"/>
        <v>3L</v>
      </c>
      <c r="E11" s="175" t="str">
        <f t="shared" si="0"/>
        <v>USDAM3L3Y_Quote</v>
      </c>
      <c r="F11" s="175" t="str">
        <f>_xll.qlSimpleQuote(Currency&amp;$C11&amp;$D11&amp;$B11&amp;QuoteSuffix,,RateTickValue,Permanent,Trigger,ObjectOverwrite)</f>
        <v>USDAM3L3Y_Quote#0003</v>
      </c>
      <c r="G11" s="176" t="str">
        <f>_xll.ohRangeRetrieveError(F11)</f>
        <v/>
      </c>
      <c r="H11" s="116"/>
      <c r="J11" s="27"/>
      <c r="K11" s="128" t="s">
        <v>83</v>
      </c>
      <c r="L11" s="202" t="s">
        <v>129</v>
      </c>
      <c r="M11" s="202" t="s">
        <v>93</v>
      </c>
      <c r="N11" s="129" t="str">
        <f t="shared" si="1"/>
        <v>USDAM3L3Y</v>
      </c>
      <c r="O11" s="129" t="str">
        <v>USDAM3L3Y=ICAP</v>
      </c>
      <c r="P11" s="392">
        <v>1.0780000000000001</v>
      </c>
      <c r="Q11" s="392">
        <v>1.1179999999999999</v>
      </c>
      <c r="R11" s="36">
        <f t="shared" si="5"/>
        <v>1.0979999999999999</v>
      </c>
      <c r="S11" s="129">
        <v>3</v>
      </c>
      <c r="T11" s="401" t="b">
        <v>1</v>
      </c>
      <c r="U11" s="36">
        <f>_xll.qlInterpolationInterpolate($S$3,S11,TRUE,Trigger)</f>
        <v>1.0979999999999999</v>
      </c>
      <c r="V11" s="36">
        <f t="shared" si="6"/>
        <v>3.9999999999999813E-2</v>
      </c>
      <c r="W11" s="140"/>
      <c r="X11" s="142">
        <v>1.0979999999999999</v>
      </c>
      <c r="Y11" s="140"/>
      <c r="Z11" s="36">
        <v>1.0979999999999999</v>
      </c>
      <c r="AA11" s="133">
        <f>_xll.qlSimpleQuoteSetValue(F11,Z11/100,Trigger)</f>
        <v>0</v>
      </c>
      <c r="AB11" s="28"/>
      <c r="AE11" s="171"/>
    </row>
    <row r="12" spans="1:31" x14ac:dyDescent="0.2">
      <c r="A12" s="27"/>
      <c r="B12" s="172" t="str">
        <f t="shared" si="2"/>
        <v>4Y</v>
      </c>
      <c r="C12" s="173" t="str">
        <f t="shared" si="3"/>
        <v>AM</v>
      </c>
      <c r="D12" s="173" t="str">
        <f t="shared" si="4"/>
        <v>3L</v>
      </c>
      <c r="E12" s="175" t="str">
        <f t="shared" si="0"/>
        <v>USDAM3L4Y_Quote</v>
      </c>
      <c r="F12" s="175" t="str">
        <f>_xll.qlSimpleQuote(Currency&amp;$C12&amp;$D12&amp;$B12&amp;QuoteSuffix,,RateTickValue,Permanent,Trigger,ObjectOverwrite)</f>
        <v>USDAM3L4Y_Quote#0003</v>
      </c>
      <c r="G12" s="176" t="str">
        <f>_xll.ohRangeRetrieveError(F12)</f>
        <v/>
      </c>
      <c r="H12" s="116"/>
      <c r="J12" s="27"/>
      <c r="K12" s="128" t="s">
        <v>82</v>
      </c>
      <c r="L12" s="202" t="s">
        <v>129</v>
      </c>
      <c r="M12" s="202" t="s">
        <v>93</v>
      </c>
      <c r="N12" s="129" t="str">
        <f t="shared" si="1"/>
        <v>USDAM3L4Y</v>
      </c>
      <c r="O12" s="129" t="str">
        <v>USDAM3L4Y=ICAP</v>
      </c>
      <c r="P12" s="392">
        <v>1.294</v>
      </c>
      <c r="Q12" s="392">
        <v>1.3340000000000001</v>
      </c>
      <c r="R12" s="36">
        <f t="shared" si="5"/>
        <v>1.3140000000000001</v>
      </c>
      <c r="S12" s="129">
        <v>4</v>
      </c>
      <c r="T12" s="401" t="b">
        <v>1</v>
      </c>
      <c r="U12" s="36">
        <f>_xll.qlInterpolationInterpolate($S$3,S12,TRUE,Trigger)</f>
        <v>1.3140000000000001</v>
      </c>
      <c r="V12" s="36">
        <f t="shared" si="6"/>
        <v>4.0000000000000036E-2</v>
      </c>
      <c r="W12" s="140"/>
      <c r="X12" s="142">
        <v>1.3140000000000001</v>
      </c>
      <c r="Y12" s="140"/>
      <c r="Z12" s="36">
        <v>1.3140000000000001</v>
      </c>
      <c r="AA12" s="133">
        <f>_xll.qlSimpleQuoteSetValue(F12,Z12/100,Trigger)</f>
        <v>0</v>
      </c>
      <c r="AB12" s="28"/>
      <c r="AE12" s="171"/>
    </row>
    <row r="13" spans="1:31" x14ac:dyDescent="0.2">
      <c r="A13" s="27"/>
      <c r="B13" s="172" t="str">
        <f t="shared" si="2"/>
        <v>5Y</v>
      </c>
      <c r="C13" s="173" t="str">
        <f t="shared" si="3"/>
        <v>AM</v>
      </c>
      <c r="D13" s="173" t="str">
        <f t="shared" si="4"/>
        <v>3L</v>
      </c>
      <c r="E13" s="175" t="str">
        <f t="shared" si="0"/>
        <v>USDAM3L5Y_Quote</v>
      </c>
      <c r="F13" s="175" t="str">
        <f>_xll.qlSimpleQuote(Currency&amp;$C13&amp;$D13&amp;$B13&amp;QuoteSuffix,,RateTickValue,Permanent,Trigger,ObjectOverwrite)</f>
        <v>USDAM3L5Y_Quote#0003</v>
      </c>
      <c r="G13" s="176" t="str">
        <f>_xll.ohRangeRetrieveError(F13)</f>
        <v/>
      </c>
      <c r="H13" s="116"/>
      <c r="J13" s="27"/>
      <c r="K13" s="128" t="s">
        <v>81</v>
      </c>
      <c r="L13" s="202" t="s">
        <v>129</v>
      </c>
      <c r="M13" s="202" t="s">
        <v>93</v>
      </c>
      <c r="N13" s="129" t="str">
        <f t="shared" si="1"/>
        <v>USDAM3L5Y</v>
      </c>
      <c r="O13" s="129" t="str">
        <v>USDAM3L5Y=ICAP</v>
      </c>
      <c r="P13" s="392">
        <v>1.476</v>
      </c>
      <c r="Q13" s="392">
        <v>1.516</v>
      </c>
      <c r="R13" s="36">
        <f t="shared" si="5"/>
        <v>1.496</v>
      </c>
      <c r="S13" s="129">
        <v>5</v>
      </c>
      <c r="T13" s="401" t="b">
        <v>1</v>
      </c>
      <c r="U13" s="36">
        <f>_xll.qlInterpolationInterpolate($S$3,S13,TRUE,Trigger)</f>
        <v>1.496</v>
      </c>
      <c r="V13" s="36">
        <f t="shared" si="6"/>
        <v>4.0000000000000036E-2</v>
      </c>
      <c r="W13" s="140"/>
      <c r="X13" s="142">
        <v>1.496</v>
      </c>
      <c r="Y13" s="140"/>
      <c r="Z13" s="36">
        <v>1.496</v>
      </c>
      <c r="AA13" s="133">
        <f>_xll.qlSimpleQuoteSetValue(F13,Z13/100,Trigger)</f>
        <v>0</v>
      </c>
      <c r="AB13" s="28"/>
      <c r="AE13" s="171"/>
    </row>
    <row r="14" spans="1:31" x14ac:dyDescent="0.2">
      <c r="A14" s="27"/>
      <c r="B14" s="172" t="str">
        <f t="shared" si="2"/>
        <v>6Y</v>
      </c>
      <c r="C14" s="173" t="str">
        <f t="shared" si="3"/>
        <v>AM</v>
      </c>
      <c r="D14" s="173" t="str">
        <f t="shared" si="4"/>
        <v>3L</v>
      </c>
      <c r="E14" s="175" t="str">
        <f t="shared" si="0"/>
        <v>USDAM3L6Y_Quote</v>
      </c>
      <c r="F14" s="175" t="str">
        <f>_xll.qlSimpleQuote(Currency&amp;$C14&amp;$D14&amp;$B14&amp;QuoteSuffix,,RateTickValue,Permanent,Trigger,ObjectOverwrite)</f>
        <v>USDAM3L6Y_Quote#0003</v>
      </c>
      <c r="G14" s="176" t="str">
        <f>_xll.ohRangeRetrieveError(F14)</f>
        <v/>
      </c>
      <c r="H14" s="116"/>
      <c r="J14" s="27"/>
      <c r="K14" s="128" t="s">
        <v>80</v>
      </c>
      <c r="L14" s="202" t="s">
        <v>129</v>
      </c>
      <c r="M14" s="202" t="s">
        <v>93</v>
      </c>
      <c r="N14" s="129" t="str">
        <f t="shared" si="1"/>
        <v>USDAM3L6Y</v>
      </c>
      <c r="O14" s="129" t="str">
        <v>USDAM3L6Y=ICAP</v>
      </c>
      <c r="P14" s="392">
        <v>1.6339999999999999</v>
      </c>
      <c r="Q14" s="392">
        <v>1.6739999999999999</v>
      </c>
      <c r="R14" s="36">
        <f t="shared" si="5"/>
        <v>1.6539999999999999</v>
      </c>
      <c r="S14" s="129">
        <v>6</v>
      </c>
      <c r="T14" s="401" t="b">
        <v>1</v>
      </c>
      <c r="U14" s="36">
        <f>_xll.qlInterpolationInterpolate($S$3,S14,TRUE,Trigger)</f>
        <v>1.6539999999999999</v>
      </c>
      <c r="V14" s="36">
        <f t="shared" si="6"/>
        <v>4.0000000000000036E-2</v>
      </c>
      <c r="W14" s="140"/>
      <c r="X14" s="142">
        <v>1.6539999999999999</v>
      </c>
      <c r="Y14" s="140"/>
      <c r="Z14" s="36">
        <v>1.6539999999999999</v>
      </c>
      <c r="AA14" s="133">
        <f>_xll.qlSimpleQuoteSetValue(F14,Z14/100,Trigger)</f>
        <v>0</v>
      </c>
      <c r="AB14" s="28"/>
      <c r="AE14" s="171"/>
    </row>
    <row r="15" spans="1:31" x14ac:dyDescent="0.2">
      <c r="A15" s="27"/>
      <c r="B15" s="172" t="str">
        <f t="shared" si="2"/>
        <v>7Y</v>
      </c>
      <c r="C15" s="173" t="str">
        <f t="shared" si="3"/>
        <v>AM</v>
      </c>
      <c r="D15" s="173" t="str">
        <f t="shared" si="4"/>
        <v>3L</v>
      </c>
      <c r="E15" s="175" t="str">
        <f t="shared" si="0"/>
        <v>USDAM3L7Y_Quote</v>
      </c>
      <c r="F15" s="175" t="str">
        <f>_xll.qlSimpleQuote(Currency&amp;$C15&amp;$D15&amp;$B15&amp;QuoteSuffix,,RateTickValue,Permanent,Trigger,ObjectOverwrite)</f>
        <v>USDAM3L7Y_Quote#0003</v>
      </c>
      <c r="G15" s="176" t="str">
        <f>_xll.ohRangeRetrieveError(F15)</f>
        <v/>
      </c>
      <c r="H15" s="116"/>
      <c r="J15" s="27"/>
      <c r="K15" s="128" t="s">
        <v>79</v>
      </c>
      <c r="L15" s="202" t="s">
        <v>129</v>
      </c>
      <c r="M15" s="202" t="s">
        <v>93</v>
      </c>
      <c r="N15" s="129" t="str">
        <f t="shared" si="1"/>
        <v>USDAM3L7Y</v>
      </c>
      <c r="O15" s="129" t="str">
        <v>USDAM3L7Y=ICAP</v>
      </c>
      <c r="P15" s="392">
        <v>1.7669999999999999</v>
      </c>
      <c r="Q15" s="392">
        <v>1.8069999999999999</v>
      </c>
      <c r="R15" s="36">
        <f t="shared" si="5"/>
        <v>1.7869999999999999</v>
      </c>
      <c r="S15" s="129">
        <v>7</v>
      </c>
      <c r="T15" s="401" t="b">
        <v>1</v>
      </c>
      <c r="U15" s="36">
        <f>_xll.qlInterpolationInterpolate($S$3,S15,TRUE,Trigger)</f>
        <v>1.7869999999999999</v>
      </c>
      <c r="V15" s="36">
        <f t="shared" si="6"/>
        <v>4.0000000000000036E-2</v>
      </c>
      <c r="W15" s="140"/>
      <c r="X15" s="142">
        <v>1.7869999999999999</v>
      </c>
      <c r="Y15" s="140"/>
      <c r="Z15" s="36">
        <v>1.7869999999999999</v>
      </c>
      <c r="AA15" s="133">
        <f>_xll.qlSimpleQuoteSetValue(F15,Z15/100,Trigger)</f>
        <v>0</v>
      </c>
      <c r="AB15" s="28"/>
      <c r="AE15" s="171"/>
    </row>
    <row r="16" spans="1:31" x14ac:dyDescent="0.2">
      <c r="A16" s="27"/>
      <c r="B16" s="172" t="str">
        <f t="shared" si="2"/>
        <v>8Y</v>
      </c>
      <c r="C16" s="173" t="str">
        <f t="shared" si="3"/>
        <v>AM</v>
      </c>
      <c r="D16" s="173" t="str">
        <f t="shared" si="4"/>
        <v>3L</v>
      </c>
      <c r="E16" s="175" t="str">
        <f t="shared" si="0"/>
        <v>USDAM3L8Y_Quote</v>
      </c>
      <c r="F16" s="175" t="str">
        <f>_xll.qlSimpleQuote(Currency&amp;$C16&amp;$D16&amp;$B16&amp;QuoteSuffix,,RateTickValue,Permanent,Trigger,ObjectOverwrite)</f>
        <v>USDAM3L8Y_Quote#0003</v>
      </c>
      <c r="G16" s="176" t="str">
        <f>_xll.ohRangeRetrieveError(F16)</f>
        <v/>
      </c>
      <c r="H16" s="116"/>
      <c r="J16" s="27"/>
      <c r="K16" s="128" t="s">
        <v>78</v>
      </c>
      <c r="L16" s="202" t="s">
        <v>129</v>
      </c>
      <c r="M16" s="202" t="s">
        <v>93</v>
      </c>
      <c r="N16" s="129" t="str">
        <f t="shared" si="1"/>
        <v>USDAM3L8Y</v>
      </c>
      <c r="O16" s="129" t="str">
        <v>USDAM3L8Y=ICAP</v>
      </c>
      <c r="P16" s="392">
        <v>1.8759999999999999</v>
      </c>
      <c r="Q16" s="392">
        <v>1.9159999999999999</v>
      </c>
      <c r="R16" s="36">
        <f t="shared" si="5"/>
        <v>1.8959999999999999</v>
      </c>
      <c r="S16" s="129">
        <v>8</v>
      </c>
      <c r="T16" s="401" t="b">
        <v>1</v>
      </c>
      <c r="U16" s="36">
        <f>_xll.qlInterpolationInterpolate($S$3,S16,TRUE,Trigger)</f>
        <v>1.8959999999999999</v>
      </c>
      <c r="V16" s="36">
        <f t="shared" si="6"/>
        <v>4.0000000000000036E-2</v>
      </c>
      <c r="W16" s="140"/>
      <c r="X16" s="142">
        <v>1.8959999999999999</v>
      </c>
      <c r="Y16" s="140"/>
      <c r="Z16" s="36">
        <v>1.8959999999999999</v>
      </c>
      <c r="AA16" s="133">
        <f>_xll.qlSimpleQuoteSetValue(F16,Z16/100,Trigger)</f>
        <v>0</v>
      </c>
      <c r="AB16" s="28"/>
      <c r="AE16" s="171"/>
    </row>
    <row r="17" spans="1:31" x14ac:dyDescent="0.2">
      <c r="A17" s="27"/>
      <c r="B17" s="172" t="str">
        <f t="shared" si="2"/>
        <v>9Y</v>
      </c>
      <c r="C17" s="173" t="str">
        <f t="shared" si="3"/>
        <v>AM</v>
      </c>
      <c r="D17" s="173" t="str">
        <f t="shared" si="4"/>
        <v>3L</v>
      </c>
      <c r="E17" s="175" t="str">
        <f t="shared" si="0"/>
        <v>USDAM3L9Y_Quote</v>
      </c>
      <c r="F17" s="175" t="str">
        <f>_xll.qlSimpleQuote(Currency&amp;$C17&amp;$D17&amp;$B17&amp;QuoteSuffix,,RateTickValue,Permanent,Trigger,ObjectOverwrite)</f>
        <v>USDAM3L9Y_Quote#0003</v>
      </c>
      <c r="G17" s="176" t="str">
        <f>_xll.ohRangeRetrieveError(F17)</f>
        <v/>
      </c>
      <c r="H17" s="116"/>
      <c r="J17" s="27"/>
      <c r="K17" s="128" t="s">
        <v>77</v>
      </c>
      <c r="L17" s="202" t="s">
        <v>129</v>
      </c>
      <c r="M17" s="202" t="s">
        <v>93</v>
      </c>
      <c r="N17" s="129" t="str">
        <f t="shared" si="1"/>
        <v>USDAM3L9Y</v>
      </c>
      <c r="O17" s="129" t="str">
        <v>USDAM3L9Y=ICAP</v>
      </c>
      <c r="P17" s="392">
        <v>1.9670000000000001</v>
      </c>
      <c r="Q17" s="392">
        <v>2.0070000000000001</v>
      </c>
      <c r="R17" s="36">
        <f t="shared" si="5"/>
        <v>1.9870000000000001</v>
      </c>
      <c r="S17" s="129">
        <v>9</v>
      </c>
      <c r="T17" s="401" t="b">
        <v>1</v>
      </c>
      <c r="U17" s="36">
        <f>_xll.qlInterpolationInterpolate($S$3,S17,TRUE,Trigger)</f>
        <v>1.9870000000000001</v>
      </c>
      <c r="V17" s="36">
        <f t="shared" si="6"/>
        <v>4.0000000000000036E-2</v>
      </c>
      <c r="W17" s="140"/>
      <c r="X17" s="142">
        <v>1.9870000000000001</v>
      </c>
      <c r="Y17" s="140"/>
      <c r="Z17" s="36">
        <v>1.9870000000000001</v>
      </c>
      <c r="AA17" s="133">
        <f>_xll.qlSimpleQuoteSetValue(F17,Z17/100,Trigger)</f>
        <v>0</v>
      </c>
      <c r="AB17" s="28"/>
      <c r="AE17" s="171"/>
    </row>
    <row r="18" spans="1:31" x14ac:dyDescent="0.2">
      <c r="A18" s="27"/>
      <c r="B18" s="172" t="str">
        <f t="shared" si="2"/>
        <v>10Y</v>
      </c>
      <c r="C18" s="173" t="str">
        <f t="shared" si="3"/>
        <v>AM</v>
      </c>
      <c r="D18" s="173" t="str">
        <f t="shared" si="4"/>
        <v>3L</v>
      </c>
      <c r="E18" s="175" t="str">
        <f t="shared" si="0"/>
        <v>USDAM3L10Y_Quote</v>
      </c>
      <c r="F18" s="175" t="str">
        <f>_xll.qlSimpleQuote(Currency&amp;$C18&amp;$D18&amp;$B18&amp;QuoteSuffix,,RateTickValue,Permanent,Trigger,ObjectOverwrite)</f>
        <v>USDAM3L10Y_Quote#0003</v>
      </c>
      <c r="G18" s="176" t="str">
        <f>_xll.ohRangeRetrieveError(F18)</f>
        <v/>
      </c>
      <c r="H18" s="116"/>
      <c r="J18" s="27"/>
      <c r="K18" s="128" t="s">
        <v>76</v>
      </c>
      <c r="L18" s="202" t="s">
        <v>129</v>
      </c>
      <c r="M18" s="202" t="s">
        <v>93</v>
      </c>
      <c r="N18" s="129" t="str">
        <f t="shared" si="1"/>
        <v>USDAM3L10Y</v>
      </c>
      <c r="O18" s="129" t="str">
        <v>USDAM3L10Y=ICAP</v>
      </c>
      <c r="P18" s="392">
        <v>2.044</v>
      </c>
      <c r="Q18" s="392">
        <v>2.0840000000000001</v>
      </c>
      <c r="R18" s="36">
        <f t="shared" si="5"/>
        <v>2.0640000000000001</v>
      </c>
      <c r="S18" s="129">
        <v>10</v>
      </c>
      <c r="T18" s="401" t="b">
        <v>1</v>
      </c>
      <c r="U18" s="36">
        <f>_xll.qlInterpolationInterpolate($S$3,S18,TRUE,Trigger)</f>
        <v>2.0640000000000001</v>
      </c>
      <c r="V18" s="36">
        <f t="shared" si="6"/>
        <v>4.0000000000000036E-2</v>
      </c>
      <c r="W18" s="140"/>
      <c r="X18" s="142">
        <v>2.0640000000000001</v>
      </c>
      <c r="Y18" s="140"/>
      <c r="Z18" s="36">
        <v>2.0640000000000001</v>
      </c>
      <c r="AA18" s="133">
        <f>_xll.qlSimpleQuoteSetValue(F18,Z18/100,Trigger)</f>
        <v>0</v>
      </c>
      <c r="AB18" s="28"/>
      <c r="AE18" s="171"/>
    </row>
    <row r="19" spans="1:31" x14ac:dyDescent="0.2">
      <c r="A19" s="27"/>
      <c r="B19" s="172" t="str">
        <f t="shared" si="2"/>
        <v>11Y</v>
      </c>
      <c r="C19" s="173" t="str">
        <f t="shared" si="3"/>
        <v>AM</v>
      </c>
      <c r="D19" s="173" t="str">
        <f t="shared" si="4"/>
        <v>3L</v>
      </c>
      <c r="E19" s="175" t="str">
        <f t="shared" si="0"/>
        <v>USDAM3L11Y_Quote</v>
      </c>
      <c r="F19" s="175" t="str">
        <f>_xll.qlSimpleQuote(Currency&amp;$C19&amp;$D19&amp;$B19&amp;QuoteSuffix,,RateTickValue,Permanent,Trigger,ObjectOverwrite)</f>
        <v>USDAM3L11Y_Quote#0003</v>
      </c>
      <c r="G19" s="176" t="str">
        <f>_xll.ohRangeRetrieveError(F19)</f>
        <v/>
      </c>
      <c r="H19" s="116"/>
      <c r="J19" s="27"/>
      <c r="K19" s="128" t="s">
        <v>75</v>
      </c>
      <c r="L19" s="202" t="s">
        <v>129</v>
      </c>
      <c r="M19" s="202" t="s">
        <v>93</v>
      </c>
      <c r="N19" s="129" t="str">
        <f t="shared" si="1"/>
        <v>USDAM3L11Y</v>
      </c>
      <c r="O19" s="129" t="str">
        <v>USDAM3L11Y=ICAP</v>
      </c>
      <c r="P19" s="392" t="s">
        <v>253</v>
      </c>
      <c r="Q19" s="392" t="s">
        <v>253</v>
      </c>
      <c r="R19" s="36" t="e">
        <f t="shared" si="5"/>
        <v>#NUM!</v>
      </c>
      <c r="S19" s="402">
        <v>11</v>
      </c>
      <c r="T19" s="403" t="b">
        <v>0</v>
      </c>
      <c r="U19" s="404">
        <f>_xll.qlInterpolationInterpolate($S$3,S19,TRUE,Trigger)</f>
        <v>2.1280000000000001</v>
      </c>
      <c r="V19" s="36" t="e">
        <f t="shared" si="6"/>
        <v>#VALUE!</v>
      </c>
      <c r="W19" s="140"/>
      <c r="X19" s="142">
        <v>2.1280000000000001</v>
      </c>
      <c r="Y19" s="140"/>
      <c r="Z19" s="36">
        <v>2.1280000000000001</v>
      </c>
      <c r="AA19" s="133" t="e">
        <f>_xll.qlSimpleQuoteSetValue(F19,Z19/100,Trigger)</f>
        <v>#N/A</v>
      </c>
      <c r="AB19" s="28"/>
      <c r="AE19" s="171"/>
    </row>
    <row r="20" spans="1:31" x14ac:dyDescent="0.2">
      <c r="A20" s="27"/>
      <c r="B20" s="172" t="str">
        <f t="shared" si="2"/>
        <v>12Y</v>
      </c>
      <c r="C20" s="173" t="str">
        <f t="shared" si="3"/>
        <v>AM</v>
      </c>
      <c r="D20" s="173" t="str">
        <f t="shared" si="4"/>
        <v>3L</v>
      </c>
      <c r="E20" s="175" t="str">
        <f t="shared" si="0"/>
        <v>USDAM3L12Y_Quote</v>
      </c>
      <c r="F20" s="175" t="str">
        <f>_xll.qlSimpleQuote(Currency&amp;$C20&amp;$D20&amp;$B20&amp;QuoteSuffix,,RateTickValue,Permanent,Trigger,ObjectOverwrite)</f>
        <v>USDAM3L12Y_Quote#0003</v>
      </c>
      <c r="G20" s="176" t="str">
        <f>_xll.ohRangeRetrieveError(F20)</f>
        <v/>
      </c>
      <c r="H20" s="116"/>
      <c r="J20" s="27"/>
      <c r="K20" s="128" t="s">
        <v>74</v>
      </c>
      <c r="L20" s="202" t="s">
        <v>129</v>
      </c>
      <c r="M20" s="202" t="s">
        <v>93</v>
      </c>
      <c r="N20" s="129" t="str">
        <f t="shared" si="1"/>
        <v>USDAM3L12Y</v>
      </c>
      <c r="O20" s="129" t="str">
        <v>USDAM3L12Y=ICAP</v>
      </c>
      <c r="P20" s="392">
        <v>2.1720000000000002</v>
      </c>
      <c r="Q20" s="392">
        <v>2.2120000000000002</v>
      </c>
      <c r="R20" s="36">
        <f t="shared" si="5"/>
        <v>2.1920000000000002</v>
      </c>
      <c r="S20" s="129">
        <v>12</v>
      </c>
      <c r="T20" s="401" t="b">
        <v>1</v>
      </c>
      <c r="U20" s="36">
        <f>_xll.qlInterpolationInterpolate($S$3,S20,TRUE,Trigger)</f>
        <v>2.1920000000000002</v>
      </c>
      <c r="V20" s="36">
        <f t="shared" si="6"/>
        <v>4.0000000000000036E-2</v>
      </c>
      <c r="W20" s="140"/>
      <c r="X20" s="142">
        <v>2.1920000000000002</v>
      </c>
      <c r="Y20" s="140"/>
      <c r="Z20" s="36">
        <v>2.1920000000000002</v>
      </c>
      <c r="AA20" s="133">
        <f>_xll.qlSimpleQuoteSetValue(F20,Z20/100,Trigger)</f>
        <v>0</v>
      </c>
      <c r="AB20" s="28"/>
      <c r="AE20" s="171"/>
    </row>
    <row r="21" spans="1:31" x14ac:dyDescent="0.2">
      <c r="A21" s="27"/>
      <c r="B21" s="172" t="str">
        <f t="shared" si="2"/>
        <v>13Y</v>
      </c>
      <c r="C21" s="173" t="str">
        <f t="shared" si="3"/>
        <v>AM</v>
      </c>
      <c r="D21" s="173" t="str">
        <f t="shared" si="4"/>
        <v>3L</v>
      </c>
      <c r="E21" s="175" t="str">
        <f t="shared" si="0"/>
        <v>USDAM3L13Y_Quote</v>
      </c>
      <c r="F21" s="175" t="str">
        <f>_xll.qlSimpleQuote(Currency&amp;$C21&amp;$D21&amp;$B21&amp;QuoteSuffix,,RateTickValue,Permanent,Trigger,ObjectOverwrite)</f>
        <v>USDAM3L13Y_Quote#0003</v>
      </c>
      <c r="G21" s="176" t="str">
        <f>_xll.ohRangeRetrieveError(F21)</f>
        <v/>
      </c>
      <c r="H21" s="116"/>
      <c r="J21" s="27"/>
      <c r="K21" s="128" t="s">
        <v>73</v>
      </c>
      <c r="L21" s="202" t="s">
        <v>129</v>
      </c>
      <c r="M21" s="202" t="s">
        <v>93</v>
      </c>
      <c r="N21" s="129" t="str">
        <f t="shared" si="1"/>
        <v>USDAM3L13Y</v>
      </c>
      <c r="O21" s="129" t="str">
        <v>USDAM3L13Y=ICAP</v>
      </c>
      <c r="P21" s="392" t="s">
        <v>253</v>
      </c>
      <c r="Q21" s="392" t="s">
        <v>253</v>
      </c>
      <c r="R21" s="36" t="e">
        <f t="shared" si="5"/>
        <v>#NUM!</v>
      </c>
      <c r="S21" s="402">
        <v>13</v>
      </c>
      <c r="T21" s="403" t="b">
        <v>0</v>
      </c>
      <c r="U21" s="404">
        <f>_xll.qlInterpolationInterpolate($S$3,S21,TRUE,Trigger)</f>
        <v>2.2346666666666666</v>
      </c>
      <c r="V21" s="36" t="e">
        <f t="shared" si="6"/>
        <v>#VALUE!</v>
      </c>
      <c r="W21" s="140"/>
      <c r="X21" s="142">
        <v>2.2346666666666666</v>
      </c>
      <c r="Y21" s="140"/>
      <c r="Z21" s="36">
        <v>2.2346666666666666</v>
      </c>
      <c r="AA21" s="133" t="e">
        <f>_xll.qlSimpleQuoteSetValue(F21,Z21/100,Trigger)</f>
        <v>#N/A</v>
      </c>
      <c r="AB21" s="28"/>
      <c r="AE21" s="171"/>
    </row>
    <row r="22" spans="1:31" x14ac:dyDescent="0.2">
      <c r="A22" s="27"/>
      <c r="B22" s="172" t="str">
        <f t="shared" si="2"/>
        <v>14Y</v>
      </c>
      <c r="C22" s="173" t="str">
        <f t="shared" si="3"/>
        <v>AM</v>
      </c>
      <c r="D22" s="173" t="str">
        <f t="shared" si="4"/>
        <v>3L</v>
      </c>
      <c r="E22" s="175" t="str">
        <f t="shared" si="0"/>
        <v>USDAM3L14Y_Quote</v>
      </c>
      <c r="F22" s="175" t="str">
        <f>_xll.qlSimpleQuote(Currency&amp;$C22&amp;$D22&amp;$B22&amp;QuoteSuffix,,RateTickValue,Permanent,Trigger,ObjectOverwrite)</f>
        <v>USDAM3L14Y_Quote#0003</v>
      </c>
      <c r="G22" s="176" t="str">
        <f>_xll.ohRangeRetrieveError(F22)</f>
        <v/>
      </c>
      <c r="H22" s="116"/>
      <c r="J22" s="27"/>
      <c r="K22" s="128" t="s">
        <v>72</v>
      </c>
      <c r="L22" s="202" t="s">
        <v>129</v>
      </c>
      <c r="M22" s="202" t="s">
        <v>93</v>
      </c>
      <c r="N22" s="129" t="str">
        <f t="shared" si="1"/>
        <v>USDAM3L14Y</v>
      </c>
      <c r="O22" s="129" t="str">
        <v>USDAM3L14Y=ICAP</v>
      </c>
      <c r="P22" s="392" t="s">
        <v>253</v>
      </c>
      <c r="Q22" s="392" t="s">
        <v>253</v>
      </c>
      <c r="R22" s="36" t="e">
        <f t="shared" si="5"/>
        <v>#NUM!</v>
      </c>
      <c r="S22" s="402">
        <v>14</v>
      </c>
      <c r="T22" s="403" t="b">
        <v>0</v>
      </c>
      <c r="U22" s="404">
        <f>_xll.qlInterpolationInterpolate($S$3,S22,TRUE,Trigger)</f>
        <v>2.2773333333333334</v>
      </c>
      <c r="V22" s="36" t="e">
        <f t="shared" si="6"/>
        <v>#VALUE!</v>
      </c>
      <c r="W22" s="140"/>
      <c r="X22" s="142">
        <v>2.2773333333333334</v>
      </c>
      <c r="Y22" s="140"/>
      <c r="Z22" s="36">
        <v>2.2773333333333334</v>
      </c>
      <c r="AA22" s="133" t="e">
        <f>_xll.qlSimpleQuoteSetValue(F22,Z22/100,Trigger)</f>
        <v>#N/A</v>
      </c>
      <c r="AB22" s="28"/>
      <c r="AE22" s="171"/>
    </row>
    <row r="23" spans="1:31" x14ac:dyDescent="0.2">
      <c r="A23" s="27"/>
      <c r="B23" s="172" t="str">
        <f t="shared" si="2"/>
        <v>15Y</v>
      </c>
      <c r="C23" s="173" t="str">
        <f t="shared" si="3"/>
        <v>AM</v>
      </c>
      <c r="D23" s="173" t="str">
        <f t="shared" si="4"/>
        <v>3L</v>
      </c>
      <c r="E23" s="175" t="str">
        <f t="shared" si="0"/>
        <v>USDAM3L15Y_Quote</v>
      </c>
      <c r="F23" s="175" t="str">
        <f>_xll.qlSimpleQuote(Currency&amp;$C23&amp;$D23&amp;$B23&amp;QuoteSuffix,,RateTickValue,Permanent,Trigger,ObjectOverwrite)</f>
        <v>USDAM3L15Y_Quote#0003</v>
      </c>
      <c r="G23" s="176" t="str">
        <f>_xll.ohRangeRetrieveError(F23)</f>
        <v/>
      </c>
      <c r="H23" s="116"/>
      <c r="J23" s="27"/>
      <c r="K23" s="128" t="s">
        <v>71</v>
      </c>
      <c r="L23" s="202" t="s">
        <v>129</v>
      </c>
      <c r="M23" s="202" t="s">
        <v>93</v>
      </c>
      <c r="N23" s="129" t="str">
        <f t="shared" si="1"/>
        <v>USDAM3L15Y</v>
      </c>
      <c r="O23" s="129" t="str">
        <v>USDAM3L15Y=ICAP</v>
      </c>
      <c r="P23" s="392">
        <v>2.2999999999999998</v>
      </c>
      <c r="Q23" s="392">
        <v>2.34</v>
      </c>
      <c r="R23" s="36">
        <f t="shared" si="5"/>
        <v>2.3199999999999998</v>
      </c>
      <c r="S23" s="129">
        <v>15</v>
      </c>
      <c r="T23" s="401" t="b">
        <v>1</v>
      </c>
      <c r="U23" s="36">
        <f>_xll.qlInterpolationInterpolate($S$3,S23,TRUE,Trigger)</f>
        <v>2.3199999999999998</v>
      </c>
      <c r="V23" s="36">
        <f t="shared" si="6"/>
        <v>4.0000000000000036E-2</v>
      </c>
      <c r="W23" s="140"/>
      <c r="X23" s="142">
        <v>2.3199999999999998</v>
      </c>
      <c r="Y23" s="140"/>
      <c r="Z23" s="36">
        <v>2.3199999999999998</v>
      </c>
      <c r="AA23" s="133">
        <f>_xll.qlSimpleQuoteSetValue(F23,Z23/100,Trigger)</f>
        <v>0</v>
      </c>
      <c r="AB23" s="28"/>
      <c r="AE23" s="171"/>
    </row>
    <row r="24" spans="1:31" x14ac:dyDescent="0.2">
      <c r="A24" s="27"/>
      <c r="B24" s="172" t="str">
        <f t="shared" si="2"/>
        <v>16Y</v>
      </c>
      <c r="C24" s="173" t="str">
        <f t="shared" si="3"/>
        <v>AM</v>
      </c>
      <c r="D24" s="173" t="str">
        <f t="shared" si="4"/>
        <v>3L</v>
      </c>
      <c r="E24" s="175" t="str">
        <f t="shared" si="0"/>
        <v>USDAM3L16Y_Quote</v>
      </c>
      <c r="F24" s="175" t="str">
        <f>_xll.qlSimpleQuote(Currency&amp;$C24&amp;$D24&amp;$B24&amp;QuoteSuffix,,RateTickValue,Permanent,Trigger,ObjectOverwrite)</f>
        <v>USDAM3L16Y_Quote#0003</v>
      </c>
      <c r="G24" s="176" t="str">
        <f>_xll.ohRangeRetrieveError(F24)</f>
        <v/>
      </c>
      <c r="H24" s="116"/>
      <c r="J24" s="27"/>
      <c r="K24" s="128" t="s">
        <v>70</v>
      </c>
      <c r="L24" s="202" t="s">
        <v>129</v>
      </c>
      <c r="M24" s="202" t="s">
        <v>93</v>
      </c>
      <c r="N24" s="129" t="str">
        <f t="shared" si="1"/>
        <v>USDAM3L16Y</v>
      </c>
      <c r="O24" s="129" t="str">
        <v>USDAM3L16Y=ICAP</v>
      </c>
      <c r="P24" s="392" t="s">
        <v>253</v>
      </c>
      <c r="Q24" s="392" t="s">
        <v>253</v>
      </c>
      <c r="R24" s="36" t="e">
        <f t="shared" si="5"/>
        <v>#NUM!</v>
      </c>
      <c r="S24" s="402">
        <v>16</v>
      </c>
      <c r="T24" s="403" t="b">
        <v>0</v>
      </c>
      <c r="U24" s="404">
        <f>_xll.qlInterpolationInterpolate($S$3,S24,TRUE,Trigger)</f>
        <v>2.3447999999999998</v>
      </c>
      <c r="V24" s="36" t="e">
        <f t="shared" si="6"/>
        <v>#VALUE!</v>
      </c>
      <c r="W24" s="140"/>
      <c r="X24" s="142">
        <v>2.3447999999999998</v>
      </c>
      <c r="Y24" s="140"/>
      <c r="Z24" s="36">
        <v>2.3447999999999998</v>
      </c>
      <c r="AA24" s="133" t="e">
        <f>_xll.qlSimpleQuoteSetValue(F24,Z24/100,Trigger)</f>
        <v>#N/A</v>
      </c>
      <c r="AB24" s="28"/>
      <c r="AE24" s="171"/>
    </row>
    <row r="25" spans="1:31" x14ac:dyDescent="0.2">
      <c r="A25" s="27"/>
      <c r="B25" s="172" t="str">
        <f t="shared" si="2"/>
        <v>17Y</v>
      </c>
      <c r="C25" s="173" t="str">
        <f t="shared" si="3"/>
        <v>AM</v>
      </c>
      <c r="D25" s="173" t="str">
        <f t="shared" si="4"/>
        <v>3L</v>
      </c>
      <c r="E25" s="175" t="str">
        <f t="shared" si="0"/>
        <v>USDAM3L17Y_Quote</v>
      </c>
      <c r="F25" s="175" t="str">
        <f>_xll.qlSimpleQuote(Currency&amp;$C25&amp;$D25&amp;$B25&amp;QuoteSuffix,,RateTickValue,Permanent,Trigger,ObjectOverwrite)</f>
        <v>USDAM3L17Y_Quote#0003</v>
      </c>
      <c r="G25" s="176" t="str">
        <f>_xll.ohRangeRetrieveError(F25)</f>
        <v/>
      </c>
      <c r="H25" s="116"/>
      <c r="J25" s="27"/>
      <c r="K25" s="128" t="s">
        <v>69</v>
      </c>
      <c r="L25" s="202" t="s">
        <v>129</v>
      </c>
      <c r="M25" s="202" t="s">
        <v>93</v>
      </c>
      <c r="N25" s="129" t="str">
        <f t="shared" si="1"/>
        <v>USDAM3L17Y</v>
      </c>
      <c r="O25" s="129" t="str">
        <v>USDAM3L17Y=ICAP</v>
      </c>
      <c r="P25" s="392" t="s">
        <v>253</v>
      </c>
      <c r="Q25" s="392" t="s">
        <v>253</v>
      </c>
      <c r="R25" s="36" t="e">
        <f t="shared" si="5"/>
        <v>#NUM!</v>
      </c>
      <c r="S25" s="402">
        <v>17</v>
      </c>
      <c r="T25" s="403" t="b">
        <v>0</v>
      </c>
      <c r="U25" s="404">
        <f>_xll.qlInterpolationInterpolate($S$3,S25,TRUE,Trigger)</f>
        <v>2.3695999999999997</v>
      </c>
      <c r="V25" s="36" t="e">
        <f t="shared" si="6"/>
        <v>#VALUE!</v>
      </c>
      <c r="W25" s="140"/>
      <c r="X25" s="142">
        <v>2.3695999999999997</v>
      </c>
      <c r="Y25" s="140"/>
      <c r="Z25" s="36">
        <v>2.3695999999999997</v>
      </c>
      <c r="AA25" s="133" t="e">
        <f>_xll.qlSimpleQuoteSetValue(F25,Z25/100,Trigger)</f>
        <v>#N/A</v>
      </c>
      <c r="AB25" s="28"/>
      <c r="AE25" s="171"/>
    </row>
    <row r="26" spans="1:31" x14ac:dyDescent="0.2">
      <c r="A26" s="27"/>
      <c r="B26" s="172" t="str">
        <f t="shared" si="2"/>
        <v>18Y</v>
      </c>
      <c r="C26" s="173" t="str">
        <f t="shared" si="3"/>
        <v>AM</v>
      </c>
      <c r="D26" s="173" t="str">
        <f t="shared" si="4"/>
        <v>3L</v>
      </c>
      <c r="E26" s="175" t="str">
        <f t="shared" si="0"/>
        <v>USDAM3L18Y_Quote</v>
      </c>
      <c r="F26" s="175" t="str">
        <f>_xll.qlSimpleQuote(Currency&amp;$C26&amp;$D26&amp;$B26&amp;QuoteSuffix,,RateTickValue,Permanent,Trigger,ObjectOverwrite)</f>
        <v>USDAM3L18Y_Quote#0003</v>
      </c>
      <c r="G26" s="176" t="str">
        <f>_xll.ohRangeRetrieveError(F26)</f>
        <v/>
      </c>
      <c r="H26" s="116"/>
      <c r="J26" s="27"/>
      <c r="K26" s="128" t="s">
        <v>68</v>
      </c>
      <c r="L26" s="202" t="s">
        <v>129</v>
      </c>
      <c r="M26" s="202" t="s">
        <v>93</v>
      </c>
      <c r="N26" s="129" t="str">
        <f t="shared" si="1"/>
        <v>USDAM3L18Y</v>
      </c>
      <c r="O26" s="129" t="str">
        <v>USDAM3L18Y=ICAP</v>
      </c>
      <c r="P26" s="392" t="s">
        <v>253</v>
      </c>
      <c r="Q26" s="392" t="s">
        <v>253</v>
      </c>
      <c r="R26" s="36" t="e">
        <f t="shared" si="5"/>
        <v>#NUM!</v>
      </c>
      <c r="S26" s="402">
        <v>18</v>
      </c>
      <c r="T26" s="403" t="b">
        <v>0</v>
      </c>
      <c r="U26" s="404">
        <f>_xll.qlInterpolationInterpolate($S$3,S26,TRUE,Trigger)</f>
        <v>2.3944000000000001</v>
      </c>
      <c r="V26" s="36" t="e">
        <f t="shared" si="6"/>
        <v>#VALUE!</v>
      </c>
      <c r="W26" s="140"/>
      <c r="X26" s="142">
        <v>2.3944000000000001</v>
      </c>
      <c r="Y26" s="140"/>
      <c r="Z26" s="36">
        <v>2.3944000000000001</v>
      </c>
      <c r="AA26" s="133" t="e">
        <f>_xll.qlSimpleQuoteSetValue(F26,Z26/100,Trigger)</f>
        <v>#N/A</v>
      </c>
      <c r="AB26" s="28"/>
      <c r="AE26" s="171"/>
    </row>
    <row r="27" spans="1:31" x14ac:dyDescent="0.2">
      <c r="A27" s="27"/>
      <c r="B27" s="172" t="str">
        <f t="shared" si="2"/>
        <v>19Y</v>
      </c>
      <c r="C27" s="173" t="str">
        <f t="shared" si="3"/>
        <v>AM</v>
      </c>
      <c r="D27" s="173" t="str">
        <f t="shared" si="4"/>
        <v>3L</v>
      </c>
      <c r="E27" s="175" t="str">
        <f t="shared" si="0"/>
        <v>USDAM3L19Y_Quote</v>
      </c>
      <c r="F27" s="175" t="str">
        <f>_xll.qlSimpleQuote(Currency&amp;$C27&amp;$D27&amp;$B27&amp;QuoteSuffix,,RateTickValue,Permanent,Trigger,ObjectOverwrite)</f>
        <v>USDAM3L19Y_Quote#0003</v>
      </c>
      <c r="G27" s="176" t="str">
        <f>_xll.ohRangeRetrieveError(F27)</f>
        <v/>
      </c>
      <c r="H27" s="116"/>
      <c r="J27" s="27"/>
      <c r="K27" s="128" t="s">
        <v>67</v>
      </c>
      <c r="L27" s="202" t="s">
        <v>129</v>
      </c>
      <c r="M27" s="202" t="s">
        <v>93</v>
      </c>
      <c r="N27" s="129" t="str">
        <f t="shared" si="1"/>
        <v>USDAM3L19Y</v>
      </c>
      <c r="O27" s="129" t="str">
        <v>USDAM3L19Y=ICAP</v>
      </c>
      <c r="P27" s="392" t="s">
        <v>253</v>
      </c>
      <c r="Q27" s="392" t="s">
        <v>253</v>
      </c>
      <c r="R27" s="36" t="e">
        <f t="shared" si="5"/>
        <v>#NUM!</v>
      </c>
      <c r="S27" s="402">
        <v>19</v>
      </c>
      <c r="T27" s="403" t="b">
        <v>0</v>
      </c>
      <c r="U27" s="404">
        <f>_xll.qlInterpolationInterpolate($S$3,S27,TRUE,Trigger)</f>
        <v>2.4192</v>
      </c>
      <c r="V27" s="36" t="e">
        <f t="shared" si="6"/>
        <v>#VALUE!</v>
      </c>
      <c r="W27" s="140"/>
      <c r="X27" s="142">
        <v>2.4192</v>
      </c>
      <c r="Y27" s="140"/>
      <c r="Z27" s="36">
        <v>2.4192</v>
      </c>
      <c r="AA27" s="133" t="e">
        <f>_xll.qlSimpleQuoteSetValue(F27,Z27/100,Trigger)</f>
        <v>#N/A</v>
      </c>
      <c r="AB27" s="28"/>
      <c r="AE27" s="171"/>
    </row>
    <row r="28" spans="1:31" x14ac:dyDescent="0.2">
      <c r="A28" s="27"/>
      <c r="B28" s="172" t="str">
        <f t="shared" si="2"/>
        <v>20Y</v>
      </c>
      <c r="C28" s="173" t="str">
        <f t="shared" si="3"/>
        <v>AM</v>
      </c>
      <c r="D28" s="173" t="str">
        <f t="shared" si="4"/>
        <v>3L</v>
      </c>
      <c r="E28" s="175" t="str">
        <f t="shared" si="0"/>
        <v>USDAM3L20Y_Quote</v>
      </c>
      <c r="F28" s="175" t="str">
        <f>_xll.qlSimpleQuote(Currency&amp;$C28&amp;$D28&amp;$B28&amp;QuoteSuffix,,RateTickValue,Permanent,Trigger,ObjectOverwrite)</f>
        <v>USDAM3L20Y_Quote#0003</v>
      </c>
      <c r="G28" s="176" t="str">
        <f>_xll.ohRangeRetrieveError(F28)</f>
        <v/>
      </c>
      <c r="H28" s="116"/>
      <c r="J28" s="27"/>
      <c r="K28" s="128" t="s">
        <v>66</v>
      </c>
      <c r="L28" s="202" t="s">
        <v>129</v>
      </c>
      <c r="M28" s="202" t="s">
        <v>93</v>
      </c>
      <c r="N28" s="129" t="str">
        <f t="shared" si="1"/>
        <v>USDAM3L20Y</v>
      </c>
      <c r="O28" s="129" t="str">
        <v>USDAM3L20Y=ICAP</v>
      </c>
      <c r="P28" s="392">
        <v>2.4239999999999999</v>
      </c>
      <c r="Q28" s="392">
        <v>2.464</v>
      </c>
      <c r="R28" s="36">
        <f t="shared" si="5"/>
        <v>2.444</v>
      </c>
      <c r="S28" s="129">
        <v>20</v>
      </c>
      <c r="T28" s="401" t="b">
        <v>1</v>
      </c>
      <c r="U28" s="36">
        <f>_xll.qlInterpolationInterpolate($S$3,S28,TRUE,Trigger)</f>
        <v>2.444</v>
      </c>
      <c r="V28" s="36">
        <f t="shared" si="6"/>
        <v>4.0000000000000036E-2</v>
      </c>
      <c r="W28" s="140"/>
      <c r="X28" s="142">
        <v>2.444</v>
      </c>
      <c r="Y28" s="140"/>
      <c r="Z28" s="36">
        <v>2.444</v>
      </c>
      <c r="AA28" s="133">
        <f>_xll.qlSimpleQuoteSetValue(F28,Z28/100,Trigger)</f>
        <v>0</v>
      </c>
      <c r="AB28" s="28"/>
      <c r="AE28" s="171"/>
    </row>
    <row r="29" spans="1:31" x14ac:dyDescent="0.2">
      <c r="A29" s="27"/>
      <c r="B29" s="172" t="str">
        <f t="shared" si="2"/>
        <v>21Y</v>
      </c>
      <c r="C29" s="173" t="str">
        <f t="shared" si="3"/>
        <v>AM</v>
      </c>
      <c r="D29" s="173" t="str">
        <f t="shared" si="4"/>
        <v>3L</v>
      </c>
      <c r="E29" s="175" t="str">
        <f t="shared" si="0"/>
        <v>USDAM3L21Y_Quote</v>
      </c>
      <c r="F29" s="175" t="str">
        <f>_xll.qlSimpleQuote(Currency&amp;$C29&amp;$D29&amp;$B29&amp;QuoteSuffix,,RateTickValue,Permanent,Trigger,ObjectOverwrite)</f>
        <v>USDAM3L21Y_Quote#0003</v>
      </c>
      <c r="G29" s="176" t="str">
        <f>_xll.ohRangeRetrieveError(F29)</f>
        <v/>
      </c>
      <c r="H29" s="116"/>
      <c r="J29" s="27"/>
      <c r="K29" s="128" t="s">
        <v>65</v>
      </c>
      <c r="L29" s="11" t="s">
        <v>129</v>
      </c>
      <c r="M29" s="11" t="s">
        <v>93</v>
      </c>
      <c r="N29" s="129" t="str">
        <f t="shared" si="1"/>
        <v>USDAM3L21Y</v>
      </c>
      <c r="O29" s="129" t="str">
        <v>USDAM3L21Y=ICAP</v>
      </c>
      <c r="P29" s="392" t="s">
        <v>253</v>
      </c>
      <c r="Q29" s="392" t="s">
        <v>253</v>
      </c>
      <c r="R29" s="36" t="e">
        <f t="shared" si="5"/>
        <v>#NUM!</v>
      </c>
      <c r="S29" s="402">
        <v>21</v>
      </c>
      <c r="T29" s="403" t="b">
        <v>0</v>
      </c>
      <c r="U29" s="404">
        <f>_xll.qlInterpolationInterpolate($S$3,S29,TRUE,Trigger)</f>
        <v>2.4556</v>
      </c>
      <c r="V29" s="36" t="e">
        <f t="shared" si="6"/>
        <v>#VALUE!</v>
      </c>
      <c r="W29" s="140"/>
      <c r="X29" s="142">
        <v>2.4556</v>
      </c>
      <c r="Y29" s="140"/>
      <c r="Z29" s="36">
        <v>2.4556</v>
      </c>
      <c r="AA29" s="133" t="e">
        <f>_xll.qlSimpleQuoteSetValue(F29,Z29/100,Trigger)</f>
        <v>#N/A</v>
      </c>
      <c r="AB29" s="28"/>
      <c r="AE29" s="171"/>
    </row>
    <row r="30" spans="1:31" x14ac:dyDescent="0.2">
      <c r="A30" s="27"/>
      <c r="B30" s="172" t="str">
        <f t="shared" si="2"/>
        <v>22Y</v>
      </c>
      <c r="C30" s="173" t="str">
        <f t="shared" si="3"/>
        <v>AM</v>
      </c>
      <c r="D30" s="173" t="str">
        <f t="shared" si="4"/>
        <v>3L</v>
      </c>
      <c r="E30" s="175" t="str">
        <f t="shared" si="0"/>
        <v>USDAM3L22Y_Quote</v>
      </c>
      <c r="F30" s="175" t="str">
        <f>_xll.qlSimpleQuote(Currency&amp;$C30&amp;$D30&amp;$B30&amp;QuoteSuffix,,RateTickValue,Permanent,Trigger,ObjectOverwrite)</f>
        <v>USDAM3L22Y_Quote#0003</v>
      </c>
      <c r="G30" s="176" t="str">
        <f>_xll.ohRangeRetrieveError(F30)</f>
        <v/>
      </c>
      <c r="H30" s="116"/>
      <c r="J30" s="27"/>
      <c r="K30" s="128" t="s">
        <v>64</v>
      </c>
      <c r="L30" s="202" t="s">
        <v>129</v>
      </c>
      <c r="M30" s="202" t="s">
        <v>93</v>
      </c>
      <c r="N30" s="129" t="str">
        <f t="shared" si="1"/>
        <v>USDAM3L22Y</v>
      </c>
      <c r="O30" s="129" t="str">
        <v>USDAM3L22Y=ICAP</v>
      </c>
      <c r="P30" s="392" t="s">
        <v>253</v>
      </c>
      <c r="Q30" s="392" t="s">
        <v>253</v>
      </c>
      <c r="R30" s="36" t="e">
        <f t="shared" si="5"/>
        <v>#NUM!</v>
      </c>
      <c r="S30" s="402">
        <v>22</v>
      </c>
      <c r="T30" s="403" t="b">
        <v>0</v>
      </c>
      <c r="U30" s="404">
        <f>_xll.qlInterpolationInterpolate($S$3,S30,TRUE,Trigger)</f>
        <v>2.4672000000000001</v>
      </c>
      <c r="V30" s="36" t="e">
        <f t="shared" si="6"/>
        <v>#VALUE!</v>
      </c>
      <c r="W30" s="140"/>
      <c r="X30" s="142">
        <v>2.4672000000000001</v>
      </c>
      <c r="Y30" s="140"/>
      <c r="Z30" s="36">
        <v>2.4672000000000001</v>
      </c>
      <c r="AA30" s="133" t="e">
        <f>_xll.qlSimpleQuoteSetValue(F30,Z30/100,Trigger)</f>
        <v>#N/A</v>
      </c>
      <c r="AB30" s="28"/>
      <c r="AE30" s="171"/>
    </row>
    <row r="31" spans="1:31" x14ac:dyDescent="0.2">
      <c r="A31" s="27"/>
      <c r="B31" s="172" t="str">
        <f t="shared" si="2"/>
        <v>23Y</v>
      </c>
      <c r="C31" s="173" t="str">
        <f t="shared" si="3"/>
        <v>AM</v>
      </c>
      <c r="D31" s="173" t="str">
        <f t="shared" si="4"/>
        <v>3L</v>
      </c>
      <c r="E31" s="175" t="str">
        <f t="shared" si="0"/>
        <v>USDAM3L23Y_Quote</v>
      </c>
      <c r="F31" s="175" t="str">
        <f>_xll.qlSimpleQuote(Currency&amp;$C31&amp;$D31&amp;$B31&amp;QuoteSuffix,,RateTickValue,Permanent,Trigger,ObjectOverwrite)</f>
        <v>USDAM3L23Y_Quote#0003</v>
      </c>
      <c r="G31" s="176" t="str">
        <f>_xll.ohRangeRetrieveError(F31)</f>
        <v/>
      </c>
      <c r="H31" s="116"/>
      <c r="J31" s="27"/>
      <c r="K31" s="128" t="s">
        <v>63</v>
      </c>
      <c r="L31" s="202" t="s">
        <v>129</v>
      </c>
      <c r="M31" s="202" t="s">
        <v>93</v>
      </c>
      <c r="N31" s="129" t="str">
        <f t="shared" si="1"/>
        <v>USDAM3L23Y</v>
      </c>
      <c r="O31" s="129" t="str">
        <v>USDAM3L23Y=ICAP</v>
      </c>
      <c r="P31" s="392" t="s">
        <v>253</v>
      </c>
      <c r="Q31" s="392" t="s">
        <v>253</v>
      </c>
      <c r="R31" s="36" t="e">
        <f t="shared" si="5"/>
        <v>#NUM!</v>
      </c>
      <c r="S31" s="402">
        <v>23</v>
      </c>
      <c r="T31" s="403" t="b">
        <v>0</v>
      </c>
      <c r="U31" s="404">
        <f>_xll.qlInterpolationInterpolate($S$3,S31,TRUE,Trigger)</f>
        <v>2.4788000000000001</v>
      </c>
      <c r="V31" s="36" t="e">
        <f t="shared" si="6"/>
        <v>#VALUE!</v>
      </c>
      <c r="W31" s="140"/>
      <c r="X31" s="142">
        <v>2.4788000000000001</v>
      </c>
      <c r="Y31" s="140"/>
      <c r="Z31" s="36">
        <v>2.4788000000000001</v>
      </c>
      <c r="AA31" s="133" t="e">
        <f>_xll.qlSimpleQuoteSetValue(F31,Z31/100,Trigger)</f>
        <v>#N/A</v>
      </c>
      <c r="AB31" s="28"/>
      <c r="AE31" s="171"/>
    </row>
    <row r="32" spans="1:31" x14ac:dyDescent="0.2">
      <c r="A32" s="27"/>
      <c r="B32" s="172" t="str">
        <f t="shared" si="2"/>
        <v>24Y</v>
      </c>
      <c r="C32" s="173" t="str">
        <f t="shared" si="3"/>
        <v>AM</v>
      </c>
      <c r="D32" s="173" t="str">
        <f t="shared" si="4"/>
        <v>3L</v>
      </c>
      <c r="E32" s="175" t="str">
        <f t="shared" si="0"/>
        <v>USDAM3L24Y_Quote</v>
      </c>
      <c r="F32" s="175" t="str">
        <f>_xll.qlSimpleQuote(Currency&amp;$C32&amp;$D32&amp;$B32&amp;QuoteSuffix,,RateTickValue,Permanent,Trigger,ObjectOverwrite)</f>
        <v>USDAM3L24Y_Quote#0003</v>
      </c>
      <c r="G32" s="176" t="str">
        <f>_xll.ohRangeRetrieveError(F32)</f>
        <v/>
      </c>
      <c r="H32" s="116"/>
      <c r="J32" s="27"/>
      <c r="K32" s="128" t="s">
        <v>62</v>
      </c>
      <c r="L32" s="202" t="s">
        <v>129</v>
      </c>
      <c r="M32" s="202" t="s">
        <v>93</v>
      </c>
      <c r="N32" s="129" t="str">
        <f t="shared" si="1"/>
        <v>USDAM3L24Y</v>
      </c>
      <c r="O32" s="129" t="str">
        <v>USDAM3L24Y=ICAP</v>
      </c>
      <c r="P32" s="392" t="s">
        <v>253</v>
      </c>
      <c r="Q32" s="392" t="s">
        <v>253</v>
      </c>
      <c r="R32" s="36" t="e">
        <f t="shared" si="5"/>
        <v>#NUM!</v>
      </c>
      <c r="S32" s="402">
        <v>24</v>
      </c>
      <c r="T32" s="403" t="b">
        <v>0</v>
      </c>
      <c r="U32" s="404">
        <f>_xll.qlInterpolationInterpolate($S$3,S32,TRUE,Trigger)</f>
        <v>2.4904000000000002</v>
      </c>
      <c r="V32" s="36" t="e">
        <f t="shared" si="6"/>
        <v>#VALUE!</v>
      </c>
      <c r="W32" s="140"/>
      <c r="X32" s="142">
        <v>2.4904000000000002</v>
      </c>
      <c r="Y32" s="140"/>
      <c r="Z32" s="36">
        <v>2.4904000000000002</v>
      </c>
      <c r="AA32" s="133" t="e">
        <f>_xll.qlSimpleQuoteSetValue(F32,Z32/100,Trigger)</f>
        <v>#N/A</v>
      </c>
      <c r="AB32" s="28"/>
      <c r="AE32" s="171"/>
    </row>
    <row r="33" spans="1:31" x14ac:dyDescent="0.2">
      <c r="A33" s="27"/>
      <c r="B33" s="172" t="str">
        <f t="shared" si="2"/>
        <v>25Y</v>
      </c>
      <c r="C33" s="173" t="str">
        <f t="shared" si="3"/>
        <v>AM</v>
      </c>
      <c r="D33" s="173" t="str">
        <f t="shared" si="4"/>
        <v>3L</v>
      </c>
      <c r="E33" s="175" t="str">
        <f t="shared" si="0"/>
        <v>USDAM3L25Y_Quote</v>
      </c>
      <c r="F33" s="175" t="str">
        <f>_xll.qlSimpleQuote(Currency&amp;$C33&amp;$D33&amp;$B33&amp;QuoteSuffix,,RateTickValue,Permanent,Trigger,ObjectOverwrite)</f>
        <v>USDAM3L25Y_Quote#0003</v>
      </c>
      <c r="G33" s="176" t="str">
        <f>_xll.ohRangeRetrieveError(F33)</f>
        <v/>
      </c>
      <c r="H33" s="116"/>
      <c r="J33" s="27"/>
      <c r="K33" s="128" t="s">
        <v>61</v>
      </c>
      <c r="L33" s="202" t="s">
        <v>129</v>
      </c>
      <c r="M33" s="202" t="s">
        <v>93</v>
      </c>
      <c r="N33" s="129" t="str">
        <f t="shared" si="1"/>
        <v>USDAM3L25Y</v>
      </c>
      <c r="O33" s="129" t="str">
        <v>USDAM3L25Y=ICAP</v>
      </c>
      <c r="P33" s="392">
        <v>2.4820000000000002</v>
      </c>
      <c r="Q33" s="392">
        <v>2.5220000000000002</v>
      </c>
      <c r="R33" s="36">
        <f t="shared" si="5"/>
        <v>2.5020000000000002</v>
      </c>
      <c r="S33" s="129">
        <v>25</v>
      </c>
      <c r="T33" s="401" t="b">
        <v>1</v>
      </c>
      <c r="U33" s="36">
        <f>_xll.qlInterpolationInterpolate($S$3,S33,TRUE,Trigger)</f>
        <v>2.5020000000000002</v>
      </c>
      <c r="V33" s="36">
        <f t="shared" si="6"/>
        <v>4.0000000000000036E-2</v>
      </c>
      <c r="W33" s="140"/>
      <c r="X33" s="142">
        <v>2.5020000000000002</v>
      </c>
      <c r="Y33" s="140"/>
      <c r="Z33" s="36">
        <v>2.5020000000000002</v>
      </c>
      <c r="AA33" s="133">
        <f>_xll.qlSimpleQuoteSetValue(F33,Z33/100,Trigger)</f>
        <v>0</v>
      </c>
      <c r="AB33" s="28"/>
      <c r="AE33" s="171"/>
    </row>
    <row r="34" spans="1:31" x14ac:dyDescent="0.2">
      <c r="A34" s="27"/>
      <c r="B34" s="172" t="str">
        <f t="shared" si="2"/>
        <v>26Y</v>
      </c>
      <c r="C34" s="173" t="str">
        <f t="shared" si="3"/>
        <v>AM</v>
      </c>
      <c r="D34" s="173" t="str">
        <f t="shared" si="4"/>
        <v>3L</v>
      </c>
      <c r="E34" s="175" t="str">
        <f t="shared" si="0"/>
        <v>USDAM3L26Y_Quote</v>
      </c>
      <c r="F34" s="175" t="str">
        <f>_xll.qlSimpleQuote(Currency&amp;$C34&amp;$D34&amp;$B34&amp;QuoteSuffix,,RateTickValue,Permanent,Trigger,ObjectOverwrite)</f>
        <v>USDAM3L26Y_Quote#0003</v>
      </c>
      <c r="G34" s="176" t="str">
        <f>_xll.ohRangeRetrieveError(F34)</f>
        <v/>
      </c>
      <c r="H34" s="116"/>
      <c r="J34" s="27"/>
      <c r="K34" s="128" t="s">
        <v>60</v>
      </c>
      <c r="L34" s="202" t="s">
        <v>129</v>
      </c>
      <c r="M34" s="202" t="s">
        <v>93</v>
      </c>
      <c r="N34" s="129" t="str">
        <f t="shared" si="1"/>
        <v>USDAM3L26Y</v>
      </c>
      <c r="O34" s="129" t="str">
        <v>USDAM3L26Y=ICAP</v>
      </c>
      <c r="P34" s="392" t="s">
        <v>253</v>
      </c>
      <c r="Q34" s="392" t="s">
        <v>253</v>
      </c>
      <c r="R34" s="36" t="e">
        <f t="shared" si="5"/>
        <v>#NUM!</v>
      </c>
      <c r="S34" s="402">
        <v>26</v>
      </c>
      <c r="T34" s="403" t="b">
        <v>0</v>
      </c>
      <c r="U34" s="404">
        <f>_xll.qlInterpolationInterpolate($S$3,S34,TRUE,Trigger)</f>
        <v>2.5086000000000004</v>
      </c>
      <c r="V34" s="36" t="e">
        <f t="shared" si="6"/>
        <v>#VALUE!</v>
      </c>
      <c r="W34" s="140"/>
      <c r="X34" s="142">
        <v>2.5086000000000004</v>
      </c>
      <c r="Y34" s="140"/>
      <c r="Z34" s="36">
        <v>2.5086000000000004</v>
      </c>
      <c r="AA34" s="133" t="e">
        <f>_xll.qlSimpleQuoteSetValue(F34,Z34/100,Trigger)</f>
        <v>#N/A</v>
      </c>
      <c r="AB34" s="28"/>
      <c r="AE34" s="171"/>
    </row>
    <row r="35" spans="1:31" x14ac:dyDescent="0.2">
      <c r="A35" s="27"/>
      <c r="B35" s="172" t="str">
        <f t="shared" si="2"/>
        <v>27Y</v>
      </c>
      <c r="C35" s="173" t="str">
        <f t="shared" si="3"/>
        <v>AM</v>
      </c>
      <c r="D35" s="173" t="str">
        <f t="shared" si="4"/>
        <v>3L</v>
      </c>
      <c r="E35" s="175" t="str">
        <f t="shared" si="0"/>
        <v>USDAM3L27Y_Quote</v>
      </c>
      <c r="F35" s="175" t="str">
        <f>_xll.qlSimpleQuote(Currency&amp;$C35&amp;$D35&amp;$B35&amp;QuoteSuffix,,RateTickValue,Permanent,Trigger,ObjectOverwrite)</f>
        <v>USDAM3L27Y_Quote#0003</v>
      </c>
      <c r="G35" s="176" t="str">
        <f>_xll.ohRangeRetrieveError(F35)</f>
        <v/>
      </c>
      <c r="H35" s="116"/>
      <c r="J35" s="27"/>
      <c r="K35" s="128" t="s">
        <v>59</v>
      </c>
      <c r="L35" s="202" t="s">
        <v>129</v>
      </c>
      <c r="M35" s="202" t="s">
        <v>93</v>
      </c>
      <c r="N35" s="129" t="str">
        <f t="shared" si="1"/>
        <v>USDAM3L27Y</v>
      </c>
      <c r="O35" s="129" t="str">
        <v>USDAM3L27Y=ICAP</v>
      </c>
      <c r="P35" s="392" t="s">
        <v>253</v>
      </c>
      <c r="Q35" s="392" t="s">
        <v>253</v>
      </c>
      <c r="R35" s="36" t="e">
        <f t="shared" si="5"/>
        <v>#NUM!</v>
      </c>
      <c r="S35" s="402">
        <v>27</v>
      </c>
      <c r="T35" s="403" t="b">
        <v>0</v>
      </c>
      <c r="U35" s="404">
        <f>_xll.qlInterpolationInterpolate($S$3,S35,TRUE,Trigger)</f>
        <v>2.5152000000000001</v>
      </c>
      <c r="V35" s="36" t="e">
        <f t="shared" si="6"/>
        <v>#VALUE!</v>
      </c>
      <c r="W35" s="140"/>
      <c r="X35" s="142">
        <v>2.5152000000000001</v>
      </c>
      <c r="Y35" s="140"/>
      <c r="Z35" s="36">
        <v>2.5152000000000001</v>
      </c>
      <c r="AA35" s="133" t="e">
        <f>_xll.qlSimpleQuoteSetValue(F35,Z35/100,Trigger)</f>
        <v>#N/A</v>
      </c>
      <c r="AB35" s="28"/>
      <c r="AE35" s="171"/>
    </row>
    <row r="36" spans="1:31" x14ac:dyDescent="0.2">
      <c r="A36" s="27"/>
      <c r="B36" s="172" t="str">
        <f t="shared" si="2"/>
        <v>28Y</v>
      </c>
      <c r="C36" s="173" t="str">
        <f t="shared" si="3"/>
        <v>AM</v>
      </c>
      <c r="D36" s="173" t="str">
        <f t="shared" si="4"/>
        <v>3L</v>
      </c>
      <c r="E36" s="175" t="str">
        <f t="shared" si="0"/>
        <v>USDAM3L28Y_Quote</v>
      </c>
      <c r="F36" s="175" t="str">
        <f>_xll.qlSimpleQuote(Currency&amp;$C36&amp;$D36&amp;$B36&amp;QuoteSuffix,,RateTickValue,Permanent,Trigger,ObjectOverwrite)</f>
        <v>USDAM3L28Y_Quote#0003</v>
      </c>
      <c r="G36" s="176" t="str">
        <f>_xll.ohRangeRetrieveError(F36)</f>
        <v/>
      </c>
      <c r="H36" s="116"/>
      <c r="J36" s="27"/>
      <c r="K36" s="128" t="s">
        <v>58</v>
      </c>
      <c r="L36" s="202" t="s">
        <v>129</v>
      </c>
      <c r="M36" s="202" t="s">
        <v>93</v>
      </c>
      <c r="N36" s="129" t="str">
        <f t="shared" si="1"/>
        <v>USDAM3L28Y</v>
      </c>
      <c r="O36" s="129" t="str">
        <v>USDAM3L28Y=ICAP</v>
      </c>
      <c r="P36" s="392" t="s">
        <v>253</v>
      </c>
      <c r="Q36" s="392" t="s">
        <v>253</v>
      </c>
      <c r="R36" s="36" t="e">
        <f t="shared" si="5"/>
        <v>#NUM!</v>
      </c>
      <c r="S36" s="402">
        <v>28</v>
      </c>
      <c r="T36" s="403" t="b">
        <v>0</v>
      </c>
      <c r="U36" s="404">
        <f>_xll.qlInterpolationInterpolate($S$3,S36,TRUE,Trigger)</f>
        <v>2.5218000000000003</v>
      </c>
      <c r="V36" s="36" t="e">
        <f t="shared" si="6"/>
        <v>#VALUE!</v>
      </c>
      <c r="W36" s="140"/>
      <c r="X36" s="142">
        <v>2.5218000000000003</v>
      </c>
      <c r="Y36" s="140"/>
      <c r="Z36" s="36">
        <v>2.5218000000000003</v>
      </c>
      <c r="AA36" s="133" t="e">
        <f>_xll.qlSimpleQuoteSetValue(F36,Z36/100,Trigger)</f>
        <v>#N/A</v>
      </c>
      <c r="AB36" s="28"/>
      <c r="AE36" s="171"/>
    </row>
    <row r="37" spans="1:31" x14ac:dyDescent="0.2">
      <c r="A37" s="27"/>
      <c r="B37" s="172" t="str">
        <f t="shared" si="2"/>
        <v>29Y</v>
      </c>
      <c r="C37" s="173" t="str">
        <f t="shared" si="3"/>
        <v>AM</v>
      </c>
      <c r="D37" s="173" t="str">
        <f t="shared" si="4"/>
        <v>3L</v>
      </c>
      <c r="E37" s="175" t="str">
        <f t="shared" si="0"/>
        <v>USDAM3L29Y_Quote</v>
      </c>
      <c r="F37" s="175" t="str">
        <f>_xll.qlSimpleQuote(Currency&amp;$C37&amp;$D37&amp;$B37&amp;QuoteSuffix,,RateTickValue,Permanent,Trigger,ObjectOverwrite)</f>
        <v>USDAM3L29Y_Quote#0003</v>
      </c>
      <c r="G37" s="176" t="str">
        <f>_xll.ohRangeRetrieveError(F37)</f>
        <v/>
      </c>
      <c r="H37" s="116"/>
      <c r="J37" s="27"/>
      <c r="K37" s="128" t="s">
        <v>57</v>
      </c>
      <c r="L37" s="202" t="s">
        <v>129</v>
      </c>
      <c r="M37" s="202" t="s">
        <v>93</v>
      </c>
      <c r="N37" s="129" t="str">
        <f t="shared" si="1"/>
        <v>USDAM3L29Y</v>
      </c>
      <c r="O37" s="129" t="str">
        <v>USDAM3L29Y=ICAP</v>
      </c>
      <c r="P37" s="392" t="s">
        <v>253</v>
      </c>
      <c r="Q37" s="392" t="s">
        <v>253</v>
      </c>
      <c r="R37" s="36" t="e">
        <f t="shared" si="5"/>
        <v>#NUM!</v>
      </c>
      <c r="S37" s="402">
        <v>29</v>
      </c>
      <c r="T37" s="403" t="b">
        <v>0</v>
      </c>
      <c r="U37" s="404">
        <f>_xll.qlInterpolationInterpolate($S$3,S37,TRUE,Trigger)</f>
        <v>2.5284</v>
      </c>
      <c r="V37" s="36" t="e">
        <f t="shared" si="6"/>
        <v>#VALUE!</v>
      </c>
      <c r="W37" s="140"/>
      <c r="X37" s="142">
        <v>2.5284</v>
      </c>
      <c r="Y37" s="140"/>
      <c r="Z37" s="36">
        <v>2.5284</v>
      </c>
      <c r="AA37" s="133" t="e">
        <f>_xll.qlSimpleQuoteSetValue(F37,Z37/100,Trigger)</f>
        <v>#N/A</v>
      </c>
      <c r="AB37" s="28"/>
      <c r="AE37" s="171"/>
    </row>
    <row r="38" spans="1:31" x14ac:dyDescent="0.2">
      <c r="A38" s="27"/>
      <c r="B38" s="172" t="str">
        <f t="shared" si="2"/>
        <v>30Y</v>
      </c>
      <c r="C38" s="173" t="str">
        <f t="shared" si="3"/>
        <v>AM</v>
      </c>
      <c r="D38" s="173" t="str">
        <f t="shared" si="4"/>
        <v>3L</v>
      </c>
      <c r="E38" s="175" t="str">
        <f t="shared" si="0"/>
        <v>USDAM3L30Y_Quote</v>
      </c>
      <c r="F38" s="175" t="str">
        <f>_xll.qlSimpleQuote(Currency&amp;$C38&amp;$D38&amp;$B38&amp;QuoteSuffix,,RateTickValue,Permanent,Trigger,ObjectOverwrite)</f>
        <v>USDAM3L30Y_Quote#0003</v>
      </c>
      <c r="G38" s="176" t="str">
        <f>_xll.ohRangeRetrieveError(F38)</f>
        <v/>
      </c>
      <c r="H38" s="116"/>
      <c r="J38" s="27"/>
      <c r="K38" s="128" t="s">
        <v>56</v>
      </c>
      <c r="L38" s="202" t="s">
        <v>129</v>
      </c>
      <c r="M38" s="202" t="s">
        <v>93</v>
      </c>
      <c r="N38" s="129" t="str">
        <f t="shared" si="1"/>
        <v>USDAM3L30Y</v>
      </c>
      <c r="O38" s="129" t="str">
        <v>USDAM3L30Y=ICAP</v>
      </c>
      <c r="P38" s="392">
        <v>2.5150000000000001</v>
      </c>
      <c r="Q38" s="392">
        <v>2.5549999999999997</v>
      </c>
      <c r="R38" s="36">
        <f t="shared" si="5"/>
        <v>2.5350000000000001</v>
      </c>
      <c r="S38" s="129">
        <v>30</v>
      </c>
      <c r="T38" s="401" t="b">
        <v>1</v>
      </c>
      <c r="U38" s="36">
        <f>_xll.qlInterpolationInterpolate($S$3,S38,TRUE,Trigger)</f>
        <v>2.5350000000000001</v>
      </c>
      <c r="V38" s="36">
        <f t="shared" si="6"/>
        <v>3.9999999999999591E-2</v>
      </c>
      <c r="W38" s="140"/>
      <c r="X38" s="142">
        <v>2.5350000000000001</v>
      </c>
      <c r="Y38" s="140"/>
      <c r="Z38" s="36">
        <v>2.5350000000000001</v>
      </c>
      <c r="AA38" s="133">
        <f>_xll.qlSimpleQuoteSetValue(F38,Z38/100,Trigger)</f>
        <v>0</v>
      </c>
      <c r="AB38" s="28"/>
      <c r="AE38" s="171"/>
    </row>
    <row r="39" spans="1:31" x14ac:dyDescent="0.2">
      <c r="A39" s="27"/>
      <c r="B39" s="172" t="str">
        <f t="shared" si="2"/>
        <v>35Y</v>
      </c>
      <c r="C39" s="173" t="str">
        <f t="shared" si="3"/>
        <v>AM</v>
      </c>
      <c r="D39" s="173" t="str">
        <f t="shared" si="4"/>
        <v>3L</v>
      </c>
      <c r="E39" s="175" t="str">
        <f t="shared" si="0"/>
        <v>USDAM3L35Y_Quote</v>
      </c>
      <c r="F39" s="175" t="str">
        <f>_xll.qlSimpleQuote(Currency&amp;$C39&amp;$D39&amp;$B39&amp;QuoteSuffix,,RateTickValue,Permanent,Trigger,ObjectOverwrite)</f>
        <v>USDAM3L35Y_Quote#0003</v>
      </c>
      <c r="G39" s="176" t="str">
        <f>_xll.ohRangeRetrieveError(F39)</f>
        <v/>
      </c>
      <c r="H39" s="116"/>
      <c r="J39" s="27"/>
      <c r="K39" s="128" t="s">
        <v>51</v>
      </c>
      <c r="L39" s="202" t="s">
        <v>129</v>
      </c>
      <c r="M39" s="202" t="s">
        <v>93</v>
      </c>
      <c r="N39" s="129" t="str">
        <f t="shared" si="1"/>
        <v>USDAM3L35Y</v>
      </c>
      <c r="O39" s="129" t="str">
        <v>USDAM3L35Y=ICAP</v>
      </c>
      <c r="P39" s="392" t="s">
        <v>253</v>
      </c>
      <c r="Q39" s="392" t="s">
        <v>253</v>
      </c>
      <c r="R39" s="36" t="e">
        <f t="shared" si="5"/>
        <v>#NUM!</v>
      </c>
      <c r="S39" s="402">
        <v>35</v>
      </c>
      <c r="T39" s="403" t="b">
        <v>0</v>
      </c>
      <c r="U39" s="404">
        <f>_xll.qlInterpolationInterpolate($S$3,S39,TRUE,Trigger)</f>
        <v>2.5449999999999999</v>
      </c>
      <c r="V39" s="36" t="e">
        <f t="shared" si="6"/>
        <v>#VALUE!</v>
      </c>
      <c r="W39" s="140"/>
      <c r="X39" s="142">
        <v>2.5449999999999999</v>
      </c>
      <c r="Y39" s="140"/>
      <c r="Z39" s="36">
        <v>2.5449999999999999</v>
      </c>
      <c r="AA39" s="133" t="e">
        <f>_xll.qlSimpleQuoteSetValue(F39,Z39/100,Trigger)</f>
        <v>#N/A</v>
      </c>
      <c r="AB39" s="28"/>
      <c r="AE39" s="171"/>
    </row>
    <row r="40" spans="1:31" x14ac:dyDescent="0.2">
      <c r="A40" s="27"/>
      <c r="B40" s="172" t="str">
        <f t="shared" si="2"/>
        <v>40Y</v>
      </c>
      <c r="C40" s="173" t="str">
        <f t="shared" si="3"/>
        <v>AM</v>
      </c>
      <c r="D40" s="173" t="str">
        <f t="shared" si="4"/>
        <v>3L</v>
      </c>
      <c r="E40" s="175" t="str">
        <f t="shared" si="0"/>
        <v>USDAM3L40Y_Quote</v>
      </c>
      <c r="F40" s="175" t="str">
        <f>_xll.qlSimpleQuote(Currency&amp;$C40&amp;$D40&amp;$B40&amp;QuoteSuffix,,RateTickValue,Permanent,Trigger,ObjectOverwrite)</f>
        <v>USDAM3L40Y_Quote#0003</v>
      </c>
      <c r="G40" s="176" t="str">
        <f>_xll.ohRangeRetrieveError(F40)</f>
        <v/>
      </c>
      <c r="H40" s="116"/>
      <c r="J40" s="27"/>
      <c r="K40" s="128" t="s">
        <v>46</v>
      </c>
      <c r="L40" s="202" t="s">
        <v>129</v>
      </c>
      <c r="M40" s="202" t="s">
        <v>93</v>
      </c>
      <c r="N40" s="129" t="str">
        <f t="shared" si="1"/>
        <v>USDAM3L40Y</v>
      </c>
      <c r="O40" s="129" t="str">
        <v>USDAM3L40Y=ICAP</v>
      </c>
      <c r="P40" s="392">
        <v>2.5350000000000001</v>
      </c>
      <c r="Q40" s="392">
        <v>2.5750000000000002</v>
      </c>
      <c r="R40" s="36">
        <f t="shared" si="5"/>
        <v>2.5550000000000002</v>
      </c>
      <c r="S40" s="129">
        <v>40</v>
      </c>
      <c r="T40" s="401" t="b">
        <v>1</v>
      </c>
      <c r="U40" s="36">
        <f>_xll.qlInterpolationInterpolate($S$3,S40,TRUE,Trigger)</f>
        <v>2.5550000000000002</v>
      </c>
      <c r="V40" s="36">
        <f t="shared" si="6"/>
        <v>4.0000000000000036E-2</v>
      </c>
      <c r="W40" s="140"/>
      <c r="X40" s="142">
        <v>2.5550000000000002</v>
      </c>
      <c r="Y40" s="140"/>
      <c r="Z40" s="36">
        <v>2.5550000000000002</v>
      </c>
      <c r="AA40" s="133">
        <f>_xll.qlSimpleQuoteSetValue(F40,Z40/100,Trigger)</f>
        <v>0</v>
      </c>
      <c r="AB40" s="28"/>
      <c r="AE40" s="171"/>
    </row>
    <row r="41" spans="1:31" x14ac:dyDescent="0.2">
      <c r="A41" s="27"/>
      <c r="B41" s="172" t="str">
        <f t="shared" si="2"/>
        <v>50Y</v>
      </c>
      <c r="C41" s="173" t="str">
        <f t="shared" si="3"/>
        <v>AM</v>
      </c>
      <c r="D41" s="173" t="str">
        <f t="shared" si="4"/>
        <v>3L</v>
      </c>
      <c r="E41" s="175" t="str">
        <f t="shared" si="0"/>
        <v>USDAM3L50Y_Quote</v>
      </c>
      <c r="F41" s="175" t="str">
        <f>_xll.qlSimpleQuote(Currency&amp;$C41&amp;$D41&amp;$B41&amp;QuoteSuffix,,RateTickValue,Permanent,Trigger,ObjectOverwrite)</f>
        <v>USDAM3L50Y_Quote#0003</v>
      </c>
      <c r="G41" s="176" t="str">
        <f>_xll.ohRangeRetrieveError(F41)</f>
        <v/>
      </c>
      <c r="H41" s="116"/>
      <c r="J41" s="27"/>
      <c r="K41" s="128" t="s">
        <v>36</v>
      </c>
      <c r="L41" s="202" t="s">
        <v>129</v>
      </c>
      <c r="M41" s="202" t="s">
        <v>93</v>
      </c>
      <c r="N41" s="129" t="str">
        <f t="shared" si="1"/>
        <v>USDAM3L50Y</v>
      </c>
      <c r="O41" s="129" t="str">
        <v>USDAM3L50Y=ICAP</v>
      </c>
      <c r="P41" s="392">
        <v>2.5179999999999998</v>
      </c>
      <c r="Q41" s="392">
        <v>2.5579999999999998</v>
      </c>
      <c r="R41" s="36">
        <f t="shared" si="5"/>
        <v>2.5379999999999998</v>
      </c>
      <c r="S41" s="129">
        <v>50</v>
      </c>
      <c r="T41" s="401" t="b">
        <v>1</v>
      </c>
      <c r="U41" s="36">
        <f>_xll.qlInterpolationInterpolate($S$3,S41,TRUE,Trigger)</f>
        <v>2.5379999999999998</v>
      </c>
      <c r="V41" s="36">
        <f t="shared" si="6"/>
        <v>4.0000000000000036E-2</v>
      </c>
      <c r="W41" s="140"/>
      <c r="X41" s="142">
        <v>2.5379999999999998</v>
      </c>
      <c r="Y41" s="140"/>
      <c r="Z41" s="36">
        <v>2.5379999999999998</v>
      </c>
      <c r="AA41" s="133">
        <f>_xll.qlSimpleQuoteSetValue(F41,Z41/100,Trigger)</f>
        <v>0</v>
      </c>
      <c r="AB41" s="28"/>
      <c r="AE41" s="171"/>
    </row>
    <row r="42" spans="1:31" x14ac:dyDescent="0.2">
      <c r="A42" s="27"/>
      <c r="B42" s="177" t="str">
        <f t="shared" si="2"/>
        <v>60Y</v>
      </c>
      <c r="C42" s="178" t="str">
        <f t="shared" si="3"/>
        <v>AM</v>
      </c>
      <c r="D42" s="178" t="str">
        <f t="shared" si="4"/>
        <v>3L</v>
      </c>
      <c r="E42" s="180" t="str">
        <f t="shared" si="0"/>
        <v>USDAM3L60Y_Quote</v>
      </c>
      <c r="F42" s="180" t="str">
        <f>_xll.qlSimpleQuote(Currency&amp;$C42&amp;$D42&amp;$B42&amp;QuoteSuffix,,RateTickValue,Permanent,Trigger,ObjectOverwrite)</f>
        <v>USDAM3L60Y_Quote#0003</v>
      </c>
      <c r="G42" s="181" t="str">
        <f>_xll.ohRangeRetrieveError(F42)</f>
        <v/>
      </c>
      <c r="H42" s="116"/>
      <c r="J42" s="27"/>
      <c r="K42" s="130" t="s">
        <v>26</v>
      </c>
      <c r="L42" s="203" t="s">
        <v>129</v>
      </c>
      <c r="M42" s="203" t="s">
        <v>93</v>
      </c>
      <c r="N42" s="131" t="str">
        <f t="shared" si="1"/>
        <v>USDAM3L60Y</v>
      </c>
      <c r="O42" s="131" t="str">
        <v>USDAM3L60Y=ICAP</v>
      </c>
      <c r="P42" s="393" t="s">
        <v>253</v>
      </c>
      <c r="Q42" s="393" t="s">
        <v>253</v>
      </c>
      <c r="R42" s="37" t="e">
        <f t="shared" si="5"/>
        <v>#NUM!</v>
      </c>
      <c r="S42" s="405">
        <v>60</v>
      </c>
      <c r="T42" s="406" t="b">
        <v>0</v>
      </c>
      <c r="U42" s="407">
        <f>_xll.qlInterpolationInterpolate($S$3,S42,TRUE,Trigger)</f>
        <v>2.5209999999999995</v>
      </c>
      <c r="V42" s="37" t="e">
        <f t="shared" si="6"/>
        <v>#VALUE!</v>
      </c>
      <c r="W42" s="140"/>
      <c r="X42" s="146">
        <v>2.5209999999999995</v>
      </c>
      <c r="Y42" s="140"/>
      <c r="Z42" s="37">
        <v>2.5209999999999995</v>
      </c>
      <c r="AA42" s="134" t="e">
        <f>_xll.qlSimpleQuoteSetValue(F42,Z42/100,Trigger)</f>
        <v>#N/A</v>
      </c>
      <c r="AB42" s="28"/>
      <c r="AE42" s="171"/>
    </row>
    <row r="43" spans="1:31" x14ac:dyDescent="0.2">
      <c r="A43" s="117"/>
      <c r="B43" s="118"/>
      <c r="C43" s="118"/>
      <c r="D43" s="118"/>
      <c r="E43" s="118"/>
      <c r="F43" s="119"/>
      <c r="G43" s="119"/>
      <c r="H43" s="120"/>
      <c r="J43" s="199"/>
      <c r="K43" s="200"/>
      <c r="L43" s="200"/>
      <c r="M43" s="200"/>
      <c r="N43" s="118"/>
      <c r="O43" s="118"/>
      <c r="P43" s="118"/>
      <c r="Q43" s="118"/>
      <c r="R43" s="118"/>
      <c r="S43" s="366"/>
      <c r="T43" s="366"/>
      <c r="U43" s="366"/>
      <c r="V43" s="118"/>
      <c r="W43" s="200"/>
      <c r="X43" s="200"/>
      <c r="Y43" s="200"/>
      <c r="Z43" s="200"/>
      <c r="AA43" s="200"/>
      <c r="AB43" s="184"/>
    </row>
  </sheetData>
  <conditionalFormatting sqref="AA5:AA42">
    <cfRule type="cellIs" dxfId="11" priority="1" stopIfTrue="1" operator="greaterThan">
      <formula>0</formula>
    </cfRule>
    <cfRule type="cellIs" dxfId="10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AA12"/>
  <sheetViews>
    <sheetView showGridLines="0" topLeftCell="I1" workbookViewId="0">
      <selection activeCell="X2" sqref="X2"/>
    </sheetView>
  </sheetViews>
  <sheetFormatPr defaultRowHeight="11.25" outlineLevelCol="1" x14ac:dyDescent="0.2"/>
  <cols>
    <col min="1" max="1" width="2.7109375" style="144" hidden="1" customWidth="1" outlineLevel="1"/>
    <col min="2" max="2" width="5" style="144" hidden="1" customWidth="1" outlineLevel="1"/>
    <col min="3" max="4" width="3" style="144" hidden="1" customWidth="1" outlineLevel="1"/>
    <col min="5" max="5" width="16.7109375" style="144" hidden="1" customWidth="1" outlineLevel="1"/>
    <col min="6" max="6" width="22.7109375" style="145" hidden="1" customWidth="1" outlineLevel="1"/>
    <col min="7" max="7" width="20.7109375" style="144" hidden="1" customWidth="1" outlineLevel="1"/>
    <col min="8" max="8" width="2.7109375" style="144" hidden="1" customWidth="1" outlineLevel="1"/>
    <col min="9" max="9" width="2.7109375" style="144" customWidth="1" collapsed="1"/>
    <col min="10" max="10" width="2.7109375" style="144" customWidth="1"/>
    <col min="11" max="11" width="4.7109375" style="144" customWidth="1"/>
    <col min="12" max="13" width="3" style="144" customWidth="1"/>
    <col min="14" max="14" width="11.7109375" style="144" customWidth="1"/>
    <col min="15" max="15" width="16.7109375" style="144" customWidth="1"/>
    <col min="16" max="19" width="10.7109375" style="144" customWidth="1"/>
    <col min="20" max="20" width="2.7109375" style="144" customWidth="1"/>
    <col min="21" max="21" width="10.7109375" style="144" customWidth="1"/>
    <col min="22" max="22" width="2.7109375" style="144" customWidth="1"/>
    <col min="23" max="24" width="10.7109375" style="144" customWidth="1"/>
    <col min="25" max="25" width="2.7109375" style="144" customWidth="1"/>
    <col min="26" max="16384" width="9.140625" style="144"/>
  </cols>
  <sheetData>
    <row r="1" spans="1:27" x14ac:dyDescent="0.2">
      <c r="A1" s="82"/>
      <c r="B1" s="82"/>
      <c r="C1" s="82"/>
      <c r="D1" s="82"/>
      <c r="E1" s="82"/>
      <c r="F1" s="95"/>
      <c r="G1" s="82"/>
      <c r="H1" s="83"/>
      <c r="J1" s="88" t="s">
        <v>234</v>
      </c>
      <c r="K1" s="79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114"/>
    </row>
    <row r="2" spans="1:27" x14ac:dyDescent="0.2">
      <c r="A2" s="82"/>
      <c r="B2" s="82"/>
      <c r="C2" s="82"/>
      <c r="D2" s="82"/>
      <c r="E2" s="82"/>
      <c r="F2" s="95"/>
      <c r="G2" s="82"/>
      <c r="H2" s="83"/>
      <c r="J2" s="115"/>
      <c r="K2" s="3"/>
      <c r="L2" s="14"/>
      <c r="M2" s="14"/>
      <c r="N2" s="14"/>
      <c r="O2" s="187" t="str">
        <f>VLOOKUP($J$1,AreaTable,AreaIndex,0)</f>
        <v>Tullet</v>
      </c>
      <c r="P2" s="14"/>
      <c r="Q2" s="14"/>
      <c r="R2" s="3"/>
      <c r="S2" s="3"/>
      <c r="T2" s="14"/>
      <c r="U2" s="14"/>
      <c r="V2" s="14"/>
      <c r="W2" s="14"/>
      <c r="X2" s="55">
        <f>_xll.ohTrigger(X5:X11)</f>
        <v>0</v>
      </c>
      <c r="Y2" s="116"/>
    </row>
    <row r="3" spans="1:27" x14ac:dyDescent="0.2">
      <c r="A3" s="84"/>
      <c r="B3" s="105"/>
      <c r="C3" s="3"/>
      <c r="D3" s="3"/>
      <c r="E3" s="82"/>
      <c r="F3" s="95"/>
      <c r="G3" s="82"/>
      <c r="H3" s="116"/>
      <c r="J3" s="27"/>
      <c r="K3" s="14"/>
      <c r="L3" s="3"/>
      <c r="M3" s="3"/>
      <c r="N3" s="3"/>
      <c r="O3" s="3"/>
      <c r="P3" s="3"/>
      <c r="Q3" s="3"/>
      <c r="R3" s="3"/>
      <c r="S3" s="3"/>
      <c r="T3" s="14"/>
      <c r="U3" s="14"/>
      <c r="V3" s="14"/>
      <c r="W3" s="3"/>
      <c r="X3" s="14"/>
      <c r="Y3" s="28"/>
    </row>
    <row r="4" spans="1:27" ht="22.5" x14ac:dyDescent="0.2">
      <c r="A4" s="27"/>
      <c r="B4" s="48"/>
      <c r="C4" s="48"/>
      <c r="D4" s="48"/>
      <c r="E4" s="49" t="s">
        <v>224</v>
      </c>
      <c r="F4" s="49" t="s">
        <v>225</v>
      </c>
      <c r="G4" s="112" t="s">
        <v>239</v>
      </c>
      <c r="H4" s="116"/>
      <c r="J4" s="27"/>
      <c r="K4" s="187"/>
      <c r="L4" s="50"/>
      <c r="M4" s="50"/>
      <c r="N4" s="50" t="s">
        <v>241</v>
      </c>
      <c r="O4" s="52" t="str">
        <f>_xll.RData(O5:O11,P4:Q4,"RTFEED:IDN",ReutersRtMode,,P5)</f>
        <v>Not Signed In</v>
      </c>
      <c r="P4" s="38" t="s">
        <v>134</v>
      </c>
      <c r="Q4" s="38" t="s">
        <v>133</v>
      </c>
      <c r="R4" s="39" t="s">
        <v>158</v>
      </c>
      <c r="S4" s="39" t="s">
        <v>240</v>
      </c>
      <c r="T4" s="204"/>
      <c r="U4" s="38" t="s">
        <v>148</v>
      </c>
      <c r="V4" s="204"/>
      <c r="W4" s="50" t="s">
        <v>147</v>
      </c>
      <c r="X4" s="50" t="s">
        <v>146</v>
      </c>
      <c r="Y4" s="28"/>
      <c r="AA4" s="148"/>
    </row>
    <row r="5" spans="1:27" x14ac:dyDescent="0.2">
      <c r="A5" s="27"/>
      <c r="B5" s="205"/>
      <c r="C5" s="167" t="str">
        <f>L5</f>
        <v>1S</v>
      </c>
      <c r="D5" s="167">
        <f>M5</f>
        <v>12</v>
      </c>
      <c r="E5" s="168" t="str">
        <f t="shared" ref="E5:E11" si="0">Currency&amp;$C5&amp;$D5&amp;QuoteSuffix</f>
        <v>USD1S12_Quote</v>
      </c>
      <c r="F5" s="168" t="str">
        <f>_xll.qlSimpleQuote(Currency&amp;$C5&amp;$D5&amp;QuoteSuffix,,RateTickValue,Permanent,Trigger,ObjectOverwrite)</f>
        <v>USD1S12_Quote#0000</v>
      </c>
      <c r="G5" s="206" t="str">
        <f>_xll.ohRangeRetrieveError(F5)</f>
        <v/>
      </c>
      <c r="H5" s="116"/>
      <c r="J5" s="27"/>
      <c r="K5" s="215"/>
      <c r="L5" s="207" t="s">
        <v>125</v>
      </c>
      <c r="M5" s="207">
        <v>12</v>
      </c>
      <c r="N5" s="208" t="str">
        <f t="shared" ref="N5:N11" si="1">Currency&amp;$L5&amp;$M5</f>
        <v>USD1S12</v>
      </c>
      <c r="O5" s="208" t="str">
        <f t="array" ref="O5:O11">Instruments&amp;"="&amp;VLOOKUP($O$2,ContributorTable,2,FALSE)</f>
        <v>USD1S12=TTKL</v>
      </c>
      <c r="P5" s="392" t="s">
        <v>253</v>
      </c>
      <c r="Q5" s="392" t="s">
        <v>253</v>
      </c>
      <c r="R5" s="135" t="e">
        <f>IF(ISERROR(AVERAGE(P5,Q5)),#NUM!,AVERAGE(P5,Q5))</f>
        <v>#NUM!</v>
      </c>
      <c r="S5" s="135" t="e">
        <f>Q5-P5</f>
        <v>#VALUE!</v>
      </c>
      <c r="T5" s="138"/>
      <c r="U5" s="135">
        <v>0.317</v>
      </c>
      <c r="V5" s="138"/>
      <c r="W5" s="135" t="e">
        <f t="array" ref="W5:W11">QuoteLive</f>
        <v>#NUM!</v>
      </c>
      <c r="X5" s="213">
        <f>_xll.qlSimpleQuoteSetValue(F5,W5/100,Trigger)</f>
        <v>0</v>
      </c>
      <c r="Y5" s="28"/>
      <c r="AA5" s="171"/>
    </row>
    <row r="6" spans="1:27" x14ac:dyDescent="0.2">
      <c r="A6" s="27"/>
      <c r="B6" s="27"/>
      <c r="C6" s="174" t="str">
        <f t="shared" ref="C6:C11" si="2">L6</f>
        <v>2S</v>
      </c>
      <c r="D6" s="174">
        <f t="shared" ref="D6:D11" si="3">M6</f>
        <v>12</v>
      </c>
      <c r="E6" s="175" t="str">
        <f t="shared" si="0"/>
        <v>USD2S12_Quote</v>
      </c>
      <c r="F6" s="175" t="str">
        <f>_xll.qlSimpleQuote(Currency&amp;$C6&amp;$D6&amp;QuoteSuffix,,RateTickValue,Permanent,Trigger,ObjectOverwrite)</f>
        <v>USD2S12_Quote#0000</v>
      </c>
      <c r="G6" s="209" t="str">
        <f>_xll.ohRangeRetrieveError(F6)</f>
        <v/>
      </c>
      <c r="H6" s="116"/>
      <c r="J6" s="27"/>
      <c r="K6" s="215"/>
      <c r="L6" s="207" t="s">
        <v>126</v>
      </c>
      <c r="M6" s="207">
        <v>12</v>
      </c>
      <c r="N6" s="208" t="str">
        <f t="shared" si="1"/>
        <v>USD2S12</v>
      </c>
      <c r="O6" s="208" t="str">
        <v>USD2S12=TTKL</v>
      </c>
      <c r="P6" s="392" t="s">
        <v>253</v>
      </c>
      <c r="Q6" s="392" t="s">
        <v>253</v>
      </c>
      <c r="R6" s="135" t="e">
        <f t="shared" ref="R6:R11" si="4">IF(ISERROR(AVERAGE(P6,Q6)),#NUM!,AVERAGE(P6,Q6))</f>
        <v>#NUM!</v>
      </c>
      <c r="S6" s="135" t="e">
        <f t="shared" ref="S6:S11" si="5">Q6-P6</f>
        <v>#VALUE!</v>
      </c>
      <c r="T6" s="138"/>
      <c r="U6" s="135">
        <v>0.36899999999999999</v>
      </c>
      <c r="V6" s="138"/>
      <c r="W6" s="135" t="e">
        <v>#NUM!</v>
      </c>
      <c r="X6" s="213">
        <f>_xll.qlSimpleQuoteSetValue(F6,W6/100,Trigger)</f>
        <v>0</v>
      </c>
      <c r="Y6" s="28"/>
      <c r="AA6" s="171"/>
    </row>
    <row r="7" spans="1:27" x14ac:dyDescent="0.2">
      <c r="A7" s="27"/>
      <c r="B7" s="27"/>
      <c r="C7" s="174" t="str">
        <f t="shared" si="2"/>
        <v>3S</v>
      </c>
      <c r="D7" s="174">
        <f t="shared" si="3"/>
        <v>12</v>
      </c>
      <c r="E7" s="175" t="str">
        <f t="shared" si="0"/>
        <v>USD3S12_Quote</v>
      </c>
      <c r="F7" s="175" t="str">
        <f>_xll.qlSimpleQuote(Currency&amp;$C7&amp;$D7&amp;QuoteSuffix,,RateTickValue,Permanent,Trigger,ObjectOverwrite)</f>
        <v>USD3S12_Quote#0000</v>
      </c>
      <c r="G7" s="209" t="str">
        <f>_xll.ohRangeRetrieveError(F7)</f>
        <v/>
      </c>
      <c r="H7" s="116"/>
      <c r="J7" s="27"/>
      <c r="K7" s="215"/>
      <c r="L7" s="207" t="s">
        <v>128</v>
      </c>
      <c r="M7" s="207">
        <v>12</v>
      </c>
      <c r="N7" s="208" t="str">
        <f t="shared" si="1"/>
        <v>USD3S12</v>
      </c>
      <c r="O7" s="208" t="str">
        <v>USD3S12=TTKL</v>
      </c>
      <c r="P7" s="392" t="s">
        <v>253</v>
      </c>
      <c r="Q7" s="392" t="s">
        <v>253</v>
      </c>
      <c r="R7" s="135" t="e">
        <f t="shared" si="4"/>
        <v>#NUM!</v>
      </c>
      <c r="S7" s="135" t="e">
        <f t="shared" si="5"/>
        <v>#VALUE!</v>
      </c>
      <c r="T7" s="138"/>
      <c r="U7" s="135">
        <v>0.434</v>
      </c>
      <c r="V7" s="138"/>
      <c r="W7" s="135" t="e">
        <v>#NUM!</v>
      </c>
      <c r="X7" s="213">
        <f>_xll.qlSimpleQuoteSetValue(F7,W7/100,Trigger)</f>
        <v>0</v>
      </c>
      <c r="Y7" s="28"/>
      <c r="AA7" s="171"/>
    </row>
    <row r="8" spans="1:27" x14ac:dyDescent="0.2">
      <c r="A8" s="27"/>
      <c r="B8" s="27"/>
      <c r="C8" s="174" t="str">
        <f t="shared" si="2"/>
        <v>4S</v>
      </c>
      <c r="D8" s="174">
        <f t="shared" si="3"/>
        <v>12</v>
      </c>
      <c r="E8" s="175" t="str">
        <f t="shared" si="0"/>
        <v>USD4S12_Quote</v>
      </c>
      <c r="F8" s="175" t="str">
        <f>_xll.qlSimpleQuote(Currency&amp;$C8&amp;$D8&amp;QuoteSuffix,,RateTickValue,Permanent,Trigger,ObjectOverwrite)</f>
        <v>USD4S12_Quote#0000</v>
      </c>
      <c r="G8" s="209" t="str">
        <f>_xll.ohRangeRetrieveError(F8)</f>
        <v/>
      </c>
      <c r="H8" s="116"/>
      <c r="J8" s="27"/>
      <c r="K8" s="215"/>
      <c r="L8" s="207" t="s">
        <v>127</v>
      </c>
      <c r="M8" s="207">
        <v>12</v>
      </c>
      <c r="N8" s="208" t="str">
        <f t="shared" si="1"/>
        <v>USD4S12</v>
      </c>
      <c r="O8" s="208" t="str">
        <v>USD4S12=TTKL</v>
      </c>
      <c r="P8" s="392" t="s">
        <v>253</v>
      </c>
      <c r="Q8" s="392" t="s">
        <v>253</v>
      </c>
      <c r="R8" s="135" t="e">
        <f t="shared" si="4"/>
        <v>#NUM!</v>
      </c>
      <c r="S8" s="135" t="e">
        <f t="shared" si="5"/>
        <v>#VALUE!</v>
      </c>
      <c r="T8" s="138"/>
      <c r="U8" s="135">
        <v>0.51900000000000002</v>
      </c>
      <c r="V8" s="138"/>
      <c r="W8" s="135" t="e">
        <v>#NUM!</v>
      </c>
      <c r="X8" s="213">
        <f>_xll.qlSimpleQuoteSetValue(F8,W8/100,Trigger)</f>
        <v>0</v>
      </c>
      <c r="Y8" s="28"/>
      <c r="AA8" s="171"/>
    </row>
    <row r="9" spans="1:27" x14ac:dyDescent="0.2">
      <c r="A9" s="27"/>
      <c r="B9" s="27"/>
      <c r="C9" s="174" t="str">
        <f t="shared" si="2"/>
        <v>5S</v>
      </c>
      <c r="D9" s="174">
        <f t="shared" si="3"/>
        <v>12</v>
      </c>
      <c r="E9" s="175" t="str">
        <f t="shared" si="0"/>
        <v>USD5S12_Quote</v>
      </c>
      <c r="F9" s="175" t="str">
        <f>_xll.qlSimpleQuote(Currency&amp;$C9&amp;$D9&amp;QuoteSuffix,,RateTickValue,Permanent,Trigger,ObjectOverwrite)</f>
        <v>USD5S12_Quote#0000</v>
      </c>
      <c r="G9" s="209" t="str">
        <f>_xll.ohRangeRetrieveError(F9)</f>
        <v/>
      </c>
      <c r="H9" s="116"/>
      <c r="J9" s="27"/>
      <c r="K9" s="215"/>
      <c r="L9" s="207" t="s">
        <v>160</v>
      </c>
      <c r="M9" s="207">
        <v>12</v>
      </c>
      <c r="N9" s="208" t="str">
        <f t="shared" si="1"/>
        <v>USD5S12</v>
      </c>
      <c r="O9" s="208" t="str">
        <v>USD5S12=TTKL</v>
      </c>
      <c r="P9" s="392" t="s">
        <v>253</v>
      </c>
      <c r="Q9" s="392" t="s">
        <v>253</v>
      </c>
      <c r="R9" s="135" t="e">
        <f t="shared" si="4"/>
        <v>#NUM!</v>
      </c>
      <c r="S9" s="135" t="e">
        <f t="shared" si="5"/>
        <v>#VALUE!</v>
      </c>
      <c r="T9" s="138"/>
      <c r="U9" s="135" t="e">
        <v>#NUM!</v>
      </c>
      <c r="V9" s="138"/>
      <c r="W9" s="135" t="e">
        <v>#NUM!</v>
      </c>
      <c r="X9" s="213">
        <f>_xll.qlSimpleQuoteSetValue(F9,W9/100,Trigger)</f>
        <v>0</v>
      </c>
      <c r="Y9" s="28"/>
      <c r="AA9" s="171"/>
    </row>
    <row r="10" spans="1:27" x14ac:dyDescent="0.2">
      <c r="A10" s="27"/>
      <c r="B10" s="27"/>
      <c r="C10" s="174" t="str">
        <f t="shared" si="2"/>
        <v>6S</v>
      </c>
      <c r="D10" s="174">
        <f t="shared" si="3"/>
        <v>12</v>
      </c>
      <c r="E10" s="175" t="str">
        <f t="shared" si="0"/>
        <v>USD6S12_Quote</v>
      </c>
      <c r="F10" s="175" t="str">
        <f>_xll.qlSimpleQuote(Currency&amp;$C10&amp;$D10&amp;QuoteSuffix,,RateTickValue,Permanent,Trigger,ObjectOverwrite)</f>
        <v>USD6S12_Quote#0000</v>
      </c>
      <c r="G10" s="209" t="str">
        <f>_xll.ohRangeRetrieveError(F10)</f>
        <v/>
      </c>
      <c r="H10" s="116"/>
      <c r="J10" s="27"/>
      <c r="K10" s="215"/>
      <c r="L10" s="207" t="s">
        <v>159</v>
      </c>
      <c r="M10" s="207">
        <v>12</v>
      </c>
      <c r="N10" s="208" t="str">
        <f t="shared" si="1"/>
        <v>USD6S12</v>
      </c>
      <c r="O10" s="208" t="str">
        <v>USD6S12=TTKL</v>
      </c>
      <c r="P10" s="392" t="s">
        <v>253</v>
      </c>
      <c r="Q10" s="392" t="s">
        <v>253</v>
      </c>
      <c r="R10" s="135" t="e">
        <f t="shared" si="4"/>
        <v>#NUM!</v>
      </c>
      <c r="S10" s="135" t="e">
        <f t="shared" si="5"/>
        <v>#VALUE!</v>
      </c>
      <c r="T10" s="138"/>
      <c r="U10" s="135" t="e">
        <v>#NUM!</v>
      </c>
      <c r="V10" s="138"/>
      <c r="W10" s="135" t="e">
        <v>#NUM!</v>
      </c>
      <c r="X10" s="213">
        <f>_xll.qlSimpleQuoteSetValue(F10,W10/100,Trigger)</f>
        <v>0</v>
      </c>
      <c r="Y10" s="28"/>
      <c r="AA10" s="171"/>
    </row>
    <row r="11" spans="1:27" x14ac:dyDescent="0.2">
      <c r="A11" s="27"/>
      <c r="B11" s="199"/>
      <c r="C11" s="179" t="str">
        <f t="shared" si="2"/>
        <v>1S</v>
      </c>
      <c r="D11" s="179">
        <f t="shared" si="3"/>
        <v>24</v>
      </c>
      <c r="E11" s="180" t="str">
        <f t="shared" si="0"/>
        <v>USD1S24_Quote</v>
      </c>
      <c r="F11" s="180" t="str">
        <f>_xll.qlSimpleQuote(Currency&amp;$C11&amp;$D11&amp;QuoteSuffix,,RateTickValue,Permanent,Trigger,ObjectOverwrite)</f>
        <v>USD1S24_Quote#0000</v>
      </c>
      <c r="G11" s="210" t="str">
        <f>_xll.ohRangeRetrieveError(F11)</f>
        <v/>
      </c>
      <c r="H11" s="116" t="s">
        <v>196</v>
      </c>
      <c r="J11" s="27"/>
      <c r="K11" s="216"/>
      <c r="L11" s="211" t="s">
        <v>125</v>
      </c>
      <c r="M11" s="211">
        <v>24</v>
      </c>
      <c r="N11" s="212" t="str">
        <f t="shared" si="1"/>
        <v>USD1S24</v>
      </c>
      <c r="O11" s="212" t="str">
        <v>USD1S24=TTKL</v>
      </c>
      <c r="P11" s="393" t="s">
        <v>253</v>
      </c>
      <c r="Q11" s="393" t="s">
        <v>253</v>
      </c>
      <c r="R11" s="137" t="e">
        <f t="shared" si="4"/>
        <v>#NUM!</v>
      </c>
      <c r="S11" s="137" t="e">
        <f t="shared" si="5"/>
        <v>#VALUE!</v>
      </c>
      <c r="T11" s="138"/>
      <c r="U11" s="137" t="e">
        <v>#NUM!</v>
      </c>
      <c r="V11" s="138"/>
      <c r="W11" s="137" t="e">
        <v>#NUM!</v>
      </c>
      <c r="X11" s="214">
        <f>_xll.qlSimpleQuoteSetValue(F11,W11/100,Trigger)</f>
        <v>0</v>
      </c>
      <c r="Y11" s="28"/>
      <c r="AA11" s="171"/>
    </row>
    <row r="12" spans="1:27" x14ac:dyDescent="0.2">
      <c r="A12" s="117"/>
      <c r="B12" s="118"/>
      <c r="C12" s="118"/>
      <c r="D12" s="118"/>
      <c r="E12" s="118"/>
      <c r="F12" s="119"/>
      <c r="G12" s="119"/>
      <c r="H12" s="120"/>
      <c r="J12" s="117"/>
      <c r="K12" s="118"/>
      <c r="L12" s="118"/>
      <c r="M12" s="118"/>
      <c r="N12" s="118"/>
      <c r="O12" s="118"/>
      <c r="P12" s="118"/>
      <c r="Q12" s="118"/>
      <c r="R12" s="118"/>
      <c r="S12" s="118"/>
      <c r="T12" s="118"/>
      <c r="U12" s="118"/>
      <c r="V12" s="118"/>
      <c r="W12" s="118"/>
      <c r="X12" s="118"/>
      <c r="Y12" s="184"/>
    </row>
  </sheetData>
  <conditionalFormatting sqref="X5:X11">
    <cfRule type="cellIs" dxfId="9" priority="1" stopIfTrue="1" operator="greaterThan">
      <formula>0</formula>
    </cfRule>
    <cfRule type="cellIs" dxfId="8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3"/>
  <sheetViews>
    <sheetView showGridLines="0" topLeftCell="I1" workbookViewId="0">
      <selection activeCell="Z2" sqref="Z2"/>
    </sheetView>
  </sheetViews>
  <sheetFormatPr defaultRowHeight="11.25" outlineLevelCol="1" x14ac:dyDescent="0.2"/>
  <cols>
    <col min="1" max="1" width="2.7109375" style="144" hidden="1" customWidth="1" outlineLevel="1"/>
    <col min="2" max="2" width="4.7109375" style="144" hidden="1" customWidth="1" outlineLevel="1"/>
    <col min="3" max="4" width="3" style="144" hidden="1" customWidth="1" outlineLevel="1"/>
    <col min="5" max="5" width="16.7109375" style="144" hidden="1" customWidth="1" outlineLevel="1"/>
    <col min="6" max="6" width="22.7109375" style="145" hidden="1" customWidth="1" outlineLevel="1"/>
    <col min="7" max="7" width="20.7109375" style="144" hidden="1" customWidth="1" outlineLevel="1"/>
    <col min="8" max="8" width="2.7109375" style="144" hidden="1" customWidth="1" outlineLevel="1"/>
    <col min="9" max="9" width="2.7109375" style="144" customWidth="1" collapsed="1"/>
    <col min="10" max="10" width="2.7109375" style="144" customWidth="1"/>
    <col min="11" max="11" width="4.7109375" style="144" customWidth="1"/>
    <col min="12" max="13" width="3" style="144" customWidth="1"/>
    <col min="14" max="14" width="11.7109375" style="144" customWidth="1"/>
    <col min="15" max="15" width="16.7109375" style="144" customWidth="1"/>
    <col min="16" max="18" width="10.7109375" style="144" customWidth="1"/>
    <col min="19" max="20" width="10.7109375" style="144" hidden="1" customWidth="1" outlineLevel="1"/>
    <col min="21" max="21" width="10.7109375" style="144" customWidth="1" collapsed="1"/>
    <col min="22" max="22" width="2.7109375" style="144" customWidth="1"/>
    <col min="23" max="23" width="10.7109375" style="144" customWidth="1"/>
    <col min="24" max="24" width="2.7109375" style="144" customWidth="1"/>
    <col min="25" max="26" width="10.7109375" style="144" customWidth="1"/>
    <col min="27" max="28" width="2.7109375" style="144" customWidth="1"/>
    <col min="29" max="16384" width="9.140625" style="144"/>
  </cols>
  <sheetData>
    <row r="1" spans="1:28" x14ac:dyDescent="0.2">
      <c r="A1" s="88"/>
      <c r="B1" s="79"/>
      <c r="C1" s="79"/>
      <c r="D1" s="79"/>
      <c r="E1" s="79"/>
      <c r="F1" s="93"/>
      <c r="G1" s="79"/>
      <c r="H1" s="80"/>
      <c r="J1" s="88" t="s">
        <v>264</v>
      </c>
      <c r="K1" s="368"/>
      <c r="L1" s="368"/>
      <c r="M1" s="368"/>
      <c r="N1" s="368"/>
      <c r="O1" s="368"/>
      <c r="P1" s="368"/>
      <c r="Q1" s="368"/>
      <c r="R1" s="368"/>
      <c r="S1" s="368"/>
      <c r="T1" s="368"/>
      <c r="U1" s="368"/>
      <c r="V1" s="368"/>
      <c r="W1" s="368"/>
      <c r="X1" s="368"/>
      <c r="Y1" s="368"/>
      <c r="Z1" s="368"/>
      <c r="AA1" s="114"/>
    </row>
    <row r="2" spans="1:28" x14ac:dyDescent="0.2">
      <c r="A2" s="81"/>
      <c r="B2" s="82"/>
      <c r="C2" s="82"/>
      <c r="D2" s="82"/>
      <c r="E2" s="82"/>
      <c r="F2" s="95"/>
      <c r="G2" s="82"/>
      <c r="H2" s="83"/>
      <c r="J2" s="364"/>
      <c r="K2" s="358"/>
      <c r="L2" s="358"/>
      <c r="M2" s="358"/>
      <c r="N2" s="358"/>
      <c r="O2" s="187" t="str">
        <f>VLOOKUP($J$1,AreaTable,AreaIndex,0)</f>
        <v>Tullet Prebon LN</v>
      </c>
      <c r="P2" s="358"/>
      <c r="Q2" s="358"/>
      <c r="R2" s="358"/>
      <c r="S2" s="358"/>
      <c r="T2" s="358"/>
      <c r="U2" s="356"/>
      <c r="V2" s="358"/>
      <c r="W2" s="358"/>
      <c r="X2" s="358"/>
      <c r="Y2" s="358"/>
      <c r="Z2" s="363">
        <f>_xll.ohTrigger(Z5:Z42)</f>
        <v>2</v>
      </c>
      <c r="AA2" s="365"/>
    </row>
    <row r="3" spans="1:28" x14ac:dyDescent="0.2">
      <c r="A3" s="84"/>
      <c r="B3" s="356"/>
      <c r="C3" s="356"/>
      <c r="D3" s="356"/>
      <c r="E3" s="82"/>
      <c r="F3" s="95"/>
      <c r="G3" s="82"/>
      <c r="H3" s="365"/>
      <c r="J3" s="27"/>
      <c r="K3" s="358"/>
      <c r="L3" s="356"/>
      <c r="M3" s="356"/>
      <c r="N3" s="356"/>
      <c r="O3" s="358"/>
      <c r="P3" s="356"/>
      <c r="Q3" s="356"/>
      <c r="R3" s="356"/>
      <c r="S3" s="356" t="str">
        <f>_xll.qlInterpolation(,InterpolationType,_xll.ohFilter(S5:S42,T5:T42),_xll.ohFilter(R5:R42,T5:T42))</f>
        <v>obj_003ba#0307</v>
      </c>
      <c r="T3" s="356"/>
      <c r="U3" s="356"/>
      <c r="V3" s="358"/>
      <c r="W3" s="358"/>
      <c r="X3" s="358"/>
      <c r="Y3" s="356"/>
      <c r="Z3" s="358"/>
      <c r="AA3" s="28"/>
    </row>
    <row r="4" spans="1:28" ht="22.5" x14ac:dyDescent="0.2">
      <c r="A4" s="27"/>
      <c r="B4" s="48"/>
      <c r="C4" s="48"/>
      <c r="D4" s="48"/>
      <c r="E4" s="49" t="s">
        <v>224</v>
      </c>
      <c r="F4" s="49" t="s">
        <v>225</v>
      </c>
      <c r="G4" s="112" t="s">
        <v>239</v>
      </c>
      <c r="H4" s="365"/>
      <c r="J4" s="215"/>
      <c r="K4" s="187"/>
      <c r="L4" s="50"/>
      <c r="M4" s="50"/>
      <c r="N4" s="50" t="s">
        <v>241</v>
      </c>
      <c r="O4" s="52" t="str">
        <f>_xll.RData(O5:O42,P4:Q4,"RTFEED:IDN",ReutersRtMode,,P5)</f>
        <v>Not Signed In</v>
      </c>
      <c r="P4" s="38" t="s">
        <v>134</v>
      </c>
      <c r="Q4" s="38" t="s">
        <v>133</v>
      </c>
      <c r="R4" s="38" t="s">
        <v>158</v>
      </c>
      <c r="S4" s="38" t="s">
        <v>244</v>
      </c>
      <c r="T4" s="38" t="s">
        <v>243</v>
      </c>
      <c r="U4" s="39" t="s">
        <v>242</v>
      </c>
      <c r="V4" s="358"/>
      <c r="W4" s="38" t="s">
        <v>148</v>
      </c>
      <c r="X4" s="358"/>
      <c r="Y4" s="50" t="s">
        <v>147</v>
      </c>
      <c r="Z4" s="50" t="s">
        <v>146</v>
      </c>
      <c r="AA4" s="28"/>
    </row>
    <row r="5" spans="1:28" s="161" customFormat="1" ht="11.25" customHeight="1" x14ac:dyDescent="0.25">
      <c r="A5" s="27"/>
      <c r="B5" s="128" t="str">
        <f>K5</f>
        <v>6M</v>
      </c>
      <c r="C5" s="166" t="str">
        <f>L5</f>
        <v>3L</v>
      </c>
      <c r="D5" s="167" t="s">
        <v>267</v>
      </c>
      <c r="E5" s="168" t="str">
        <f t="shared" ref="E5:E42" si="0">IF(ISBLANK(C5),"#",Currency&amp;$C5&amp;$D5&amp;$B5&amp;QuoteSuffix)</f>
        <v>USD3LFF6M_Quote</v>
      </c>
      <c r="F5" s="168" t="str">
        <f>_xll.qlSimpleQuote(E5,,RateTickValue,Permanent,Trigger,ObjectOverwrite)</f>
        <v>USD3LFF6M_Quote#0000</v>
      </c>
      <c r="G5" s="218" t="str">
        <f>_xll.ohRangeRetrieveError(F5)</f>
        <v/>
      </c>
      <c r="H5" s="365"/>
      <c r="I5" s="144"/>
      <c r="J5" s="227"/>
      <c r="K5" s="128" t="s">
        <v>14</v>
      </c>
      <c r="L5" s="128" t="s">
        <v>93</v>
      </c>
      <c r="M5" s="128" t="s">
        <v>267</v>
      </c>
      <c r="N5" s="129" t="str">
        <f t="shared" ref="N5" si="1">IF(Contributor="ICAP LN",Currency&amp;$L5&amp;$M5&amp;$K5,Currency&amp;$M5&amp;$L5&amp;$K5)</f>
        <v>USDFF3L6M</v>
      </c>
      <c r="O5" s="33" t="str">
        <f t="array" ref="O5:O42">Instruments&amp;"="&amp;VLOOKUP(Contributor,ContributorTable,2,FALSE)</f>
        <v>USDFF3L6M=SMKR</v>
      </c>
      <c r="P5" s="397">
        <v>12.25</v>
      </c>
      <c r="Q5" s="397">
        <v>16.25</v>
      </c>
      <c r="R5" s="219">
        <f>_xll.qlMidEquivalent(P5,Q5)</f>
        <v>14.25</v>
      </c>
      <c r="S5" s="229">
        <v>0.5</v>
      </c>
      <c r="T5" s="36" t="b">
        <f t="shared" ref="T5:T42" si="2">IF(ISNUMBER(R5),TRUE,FALSE)</f>
        <v>1</v>
      </c>
      <c r="U5" s="219">
        <f t="array" ref="U5:U38">_xll.qlInterpolationInterpolate(S3,S5:S42)</f>
        <v>14.25</v>
      </c>
      <c r="V5" s="140"/>
      <c r="W5" s="225">
        <v>14.25</v>
      </c>
      <c r="X5" s="140"/>
      <c r="Y5" s="226">
        <f t="array" ref="Y5:Y42">QuoteStatic</f>
        <v>14.25</v>
      </c>
      <c r="Z5" s="132">
        <f>_xll.qlSimpleQuoteSetValue(F5,Y5/10000,Trigger)</f>
        <v>4.5500000000000011E-4</v>
      </c>
      <c r="AA5" s="28"/>
      <c r="AB5" s="144"/>
    </row>
    <row r="6" spans="1:28" s="161" customFormat="1" ht="11.25" customHeight="1" x14ac:dyDescent="0.25">
      <c r="A6" s="27"/>
      <c r="B6" s="128" t="str">
        <f t="shared" ref="B6:C42" si="3">K6</f>
        <v>1Y</v>
      </c>
      <c r="C6" s="173" t="str">
        <f t="shared" si="3"/>
        <v>3L</v>
      </c>
      <c r="D6" s="174" t="s">
        <v>267</v>
      </c>
      <c r="E6" s="175" t="str">
        <f t="shared" si="0"/>
        <v>USD3LFF1Y_Quote</v>
      </c>
      <c r="F6" s="175" t="str">
        <f>_xll.qlSimpleQuote(E6,,RateTickValue,Permanent,Trigger,ObjectOverwrite)</f>
        <v>USD3LFF1Y_Quote#0000</v>
      </c>
      <c r="G6" s="221" t="str">
        <f>_xll.ohRangeRetrieveError(F6)</f>
        <v/>
      </c>
      <c r="H6" s="365"/>
      <c r="I6" s="144"/>
      <c r="J6" s="227"/>
      <c r="K6" s="128" t="s">
        <v>8</v>
      </c>
      <c r="L6" s="128" t="s">
        <v>93</v>
      </c>
      <c r="M6" s="128" t="s">
        <v>267</v>
      </c>
      <c r="N6" s="129" t="str">
        <f t="shared" ref="N6:N42" si="4">IF(Contributor="ICAP LN",Currency&amp;$L6&amp;$M6&amp;$K6,Currency&amp;$M6&amp;$L6&amp;$K6)</f>
        <v>USDFF3L1Y</v>
      </c>
      <c r="O6" s="33" t="str">
        <v>USDFF3L1Y=SMKR</v>
      </c>
      <c r="P6" s="397">
        <v>14.25</v>
      </c>
      <c r="Q6" s="397">
        <v>18.25</v>
      </c>
      <c r="R6" s="219">
        <f>_xll.qlMidEquivalent(P6,Q6)</f>
        <v>16.25</v>
      </c>
      <c r="S6" s="229">
        <v>1</v>
      </c>
      <c r="T6" s="36" t="b">
        <f t="shared" si="2"/>
        <v>1</v>
      </c>
      <c r="U6" s="219">
        <v>16.25</v>
      </c>
      <c r="V6" s="140"/>
      <c r="W6" s="225">
        <v>16.25</v>
      </c>
      <c r="X6" s="140"/>
      <c r="Y6" s="219">
        <v>16.25</v>
      </c>
      <c r="Z6" s="133">
        <f>_xll.qlSimpleQuoteSetValue(F6,Y6/10000,Trigger)</f>
        <v>6.4499999999999996E-4</v>
      </c>
      <c r="AA6" s="28"/>
      <c r="AB6" s="144"/>
    </row>
    <row r="7" spans="1:28" s="161" customFormat="1" ht="11.25" customHeight="1" x14ac:dyDescent="0.25">
      <c r="A7" s="27"/>
      <c r="B7" s="220" t="str">
        <f t="shared" si="3"/>
        <v>15M</v>
      </c>
      <c r="C7" s="173" t="str">
        <f t="shared" si="3"/>
        <v>3L</v>
      </c>
      <c r="D7" s="174" t="s">
        <v>267</v>
      </c>
      <c r="E7" s="175" t="str">
        <f t="shared" si="0"/>
        <v>USD3LFF15M_Quote</v>
      </c>
      <c r="F7" s="175" t="str">
        <f>_xll.qlSimpleQuote(E7,,RateTickValue,Permanent,Trigger,ObjectOverwrite)</f>
        <v>USD3LFF15M_Quote#0000</v>
      </c>
      <c r="G7" s="221" t="str">
        <f>_xll.ohRangeRetrieveError(F7)</f>
        <v/>
      </c>
      <c r="H7" s="365"/>
      <c r="J7" s="227"/>
      <c r="K7" s="128" t="s">
        <v>97</v>
      </c>
      <c r="L7" s="128" t="s">
        <v>93</v>
      </c>
      <c r="M7" s="128" t="s">
        <v>267</v>
      </c>
      <c r="N7" s="129" t="str">
        <f t="shared" si="4"/>
        <v>USDFF3L15M</v>
      </c>
      <c r="O7" s="33" t="str">
        <v>USDFF3L15M=SMKR</v>
      </c>
      <c r="P7" s="397" t="s">
        <v>253</v>
      </c>
      <c r="Q7" s="397" t="s">
        <v>253</v>
      </c>
      <c r="R7" s="219" t="e">
        <f>_xll.qlMidEquivalent(P7,Q7)</f>
        <v>#NUM!</v>
      </c>
      <c r="S7" s="229">
        <v>1.25</v>
      </c>
      <c r="T7" s="36" t="b">
        <f t="shared" si="2"/>
        <v>0</v>
      </c>
      <c r="U7" s="219">
        <v>17.142160375939707</v>
      </c>
      <c r="V7" s="140"/>
      <c r="W7" s="225">
        <v>17.142160375939707</v>
      </c>
      <c r="X7" s="140"/>
      <c r="Y7" s="219">
        <v>17.142160375939707</v>
      </c>
      <c r="Z7" s="133">
        <f>_xll.qlSimpleQuoteSetValue(F7,Y7/10000,Trigger)</f>
        <v>7.2562534475514298E-4</v>
      </c>
      <c r="AA7" s="28"/>
      <c r="AB7" s="144"/>
    </row>
    <row r="8" spans="1:28" ht="11.25" customHeight="1" x14ac:dyDescent="0.25">
      <c r="A8" s="27"/>
      <c r="B8" s="220" t="str">
        <f t="shared" si="3"/>
        <v>18M</v>
      </c>
      <c r="C8" s="173" t="str">
        <f t="shared" si="3"/>
        <v>3L</v>
      </c>
      <c r="D8" s="174" t="s">
        <v>267</v>
      </c>
      <c r="E8" s="175" t="str">
        <f t="shared" si="0"/>
        <v>USD3LFF18M_Quote</v>
      </c>
      <c r="F8" s="175" t="str">
        <f>_xll.qlSimpleQuote(E8,,RateTickValue,Permanent,Trigger,ObjectOverwrite)</f>
        <v>USD3LFF18M_Quote#0000</v>
      </c>
      <c r="G8" s="221" t="str">
        <f>_xll.ohRangeRetrieveError(F8)</f>
        <v/>
      </c>
      <c r="H8" s="365"/>
      <c r="I8" s="161"/>
      <c r="J8" s="228"/>
      <c r="K8" s="128" t="s">
        <v>96</v>
      </c>
      <c r="L8" s="128" t="s">
        <v>93</v>
      </c>
      <c r="M8" s="128" t="s">
        <v>267</v>
      </c>
      <c r="N8" s="129" t="str">
        <f t="shared" si="4"/>
        <v>USDFF3L18M</v>
      </c>
      <c r="O8" s="33" t="str">
        <v>USDFF3L18M=SMKR</v>
      </c>
      <c r="P8" s="397">
        <v>15.88</v>
      </c>
      <c r="Q8" s="397">
        <v>19.88</v>
      </c>
      <c r="R8" s="219">
        <f>_xll.qlMidEquivalent(P8,Q8)</f>
        <v>17.88</v>
      </c>
      <c r="S8" s="229">
        <v>1.5</v>
      </c>
      <c r="T8" s="36" t="b">
        <f t="shared" si="2"/>
        <v>1</v>
      </c>
      <c r="U8" s="219">
        <v>17.88</v>
      </c>
      <c r="V8" s="140"/>
      <c r="W8" s="225">
        <v>17.88</v>
      </c>
      <c r="X8" s="140"/>
      <c r="Y8" s="219">
        <v>17.88</v>
      </c>
      <c r="Z8" s="133">
        <f>_xll.qlSimpleQuoteSetValue(F8,Y8/10000,Trigger)</f>
        <v>7.8800611432234451E-4</v>
      </c>
      <c r="AA8" s="28"/>
    </row>
    <row r="9" spans="1:28" ht="11.25" customHeight="1" x14ac:dyDescent="0.25">
      <c r="A9" s="27"/>
      <c r="B9" s="220" t="str">
        <f t="shared" si="3"/>
        <v>21M</v>
      </c>
      <c r="C9" s="173" t="str">
        <f t="shared" si="3"/>
        <v>3L</v>
      </c>
      <c r="D9" s="174" t="s">
        <v>267</v>
      </c>
      <c r="E9" s="175" t="str">
        <f t="shared" si="0"/>
        <v>USD3LFF21M_Quote</v>
      </c>
      <c r="F9" s="175" t="str">
        <f>_xll.qlSimpleQuote(E9,,RateTickValue,Permanent,Trigger,ObjectOverwrite)</f>
        <v>USD3LFF21M_Quote#0000</v>
      </c>
      <c r="G9" s="221" t="str">
        <f>_xll.ohRangeRetrieveError(F9)</f>
        <v/>
      </c>
      <c r="H9" s="365"/>
      <c r="I9" s="161"/>
      <c r="J9" s="228"/>
      <c r="K9" s="128" t="s">
        <v>95</v>
      </c>
      <c r="L9" s="128" t="s">
        <v>93</v>
      </c>
      <c r="M9" s="128" t="s">
        <v>267</v>
      </c>
      <c r="N9" s="129" t="str">
        <f t="shared" si="4"/>
        <v>USDFF3L21M</v>
      </c>
      <c r="O9" s="33" t="str">
        <v>USDFF3L21M=SMKR</v>
      </c>
      <c r="P9" s="397" t="s">
        <v>253</v>
      </c>
      <c r="Q9" s="397" t="s">
        <v>253</v>
      </c>
      <c r="R9" s="219" t="e">
        <f>_xll.qlMidEquivalent(P9,Q9)</f>
        <v>#NUM!</v>
      </c>
      <c r="S9" s="229">
        <v>1.75</v>
      </c>
      <c r="T9" s="36" t="b">
        <f t="shared" si="2"/>
        <v>0</v>
      </c>
      <c r="U9" s="219">
        <v>18.425828621554412</v>
      </c>
      <c r="V9" s="140"/>
      <c r="W9" s="225">
        <v>18.425828621554412</v>
      </c>
      <c r="X9" s="140"/>
      <c r="Y9" s="219">
        <v>18.425828621554412</v>
      </c>
      <c r="Z9" s="133">
        <f>_xll.qlSimpleQuoteSetValue(F9,Y9/10000,Trigger)</f>
        <v>8.2868272647778577E-4</v>
      </c>
      <c r="AA9" s="28"/>
    </row>
    <row r="10" spans="1:28" ht="11.25" customHeight="1" x14ac:dyDescent="0.2">
      <c r="A10" s="27"/>
      <c r="B10" s="220" t="str">
        <f t="shared" si="3"/>
        <v>2Y</v>
      </c>
      <c r="C10" s="173" t="str">
        <f t="shared" si="3"/>
        <v>3L</v>
      </c>
      <c r="D10" s="174" t="s">
        <v>267</v>
      </c>
      <c r="E10" s="175" t="str">
        <f t="shared" si="0"/>
        <v>USD3LFF2Y_Quote</v>
      </c>
      <c r="F10" s="175" t="str">
        <f>_xll.qlSimpleQuote(E10,,RateTickValue,Permanent,Trigger,ObjectOverwrite)</f>
        <v>USD3LFF2Y_Quote#0000</v>
      </c>
      <c r="G10" s="221" t="str">
        <f>_xll.ohRangeRetrieveError(F10)</f>
        <v/>
      </c>
      <c r="H10" s="365"/>
      <c r="J10" s="228"/>
      <c r="K10" s="128" t="s">
        <v>84</v>
      </c>
      <c r="L10" s="128" t="s">
        <v>93</v>
      </c>
      <c r="M10" s="128" t="s">
        <v>267</v>
      </c>
      <c r="N10" s="129" t="str">
        <f t="shared" si="4"/>
        <v>USDFF3L2Y</v>
      </c>
      <c r="O10" s="33" t="str">
        <v>USDFF3L2Y=SMKR</v>
      </c>
      <c r="P10" s="397">
        <v>16.88</v>
      </c>
      <c r="Q10" s="397">
        <v>20.88</v>
      </c>
      <c r="R10" s="219">
        <f>_xll.qlMidEquivalent(P10,Q10)</f>
        <v>18.88</v>
      </c>
      <c r="S10" s="230">
        <v>2</v>
      </c>
      <c r="T10" s="36" t="b">
        <f t="shared" si="2"/>
        <v>1</v>
      </c>
      <c r="U10" s="219">
        <v>18.88</v>
      </c>
      <c r="V10" s="140"/>
      <c r="W10" s="225">
        <v>18.88</v>
      </c>
      <c r="X10" s="140"/>
      <c r="Y10" s="219">
        <v>18.88</v>
      </c>
      <c r="Z10" s="133">
        <f>_xll.qlSimpleQuoteSetValue(F10,Y10/10000,Trigger)</f>
        <v>8.5799999999999982E-4</v>
      </c>
      <c r="AA10" s="28"/>
    </row>
    <row r="11" spans="1:28" ht="11.25" customHeight="1" x14ac:dyDescent="0.2">
      <c r="A11" s="27"/>
      <c r="B11" s="220" t="str">
        <f t="shared" si="3"/>
        <v>3Y</v>
      </c>
      <c r="C11" s="173" t="str">
        <f t="shared" si="3"/>
        <v>3L</v>
      </c>
      <c r="D11" s="174" t="s">
        <v>267</v>
      </c>
      <c r="E11" s="175" t="str">
        <f t="shared" si="0"/>
        <v>USD3LFF3Y_Quote</v>
      </c>
      <c r="F11" s="175" t="str">
        <f>_xll.qlSimpleQuote(E11,,RateTickValue,Permanent,Trigger,ObjectOverwrite)</f>
        <v>USD3LFF3Y_Quote#0000</v>
      </c>
      <c r="G11" s="221" t="str">
        <f>_xll.ohRangeRetrieveError(F11)</f>
        <v/>
      </c>
      <c r="H11" s="365"/>
      <c r="J11" s="228"/>
      <c r="K11" s="128" t="s">
        <v>83</v>
      </c>
      <c r="L11" s="128" t="s">
        <v>93</v>
      </c>
      <c r="M11" s="128" t="s">
        <v>267</v>
      </c>
      <c r="N11" s="129" t="str">
        <f t="shared" si="4"/>
        <v>USDFF3L3Y</v>
      </c>
      <c r="O11" s="33" t="str">
        <v>USDFF3L3Y=SMKR</v>
      </c>
      <c r="P11" s="397">
        <v>18.25</v>
      </c>
      <c r="Q11" s="397">
        <v>23.25</v>
      </c>
      <c r="R11" s="219">
        <f>_xll.qlMidEquivalent(P11,Q11)</f>
        <v>20.75</v>
      </c>
      <c r="S11" s="230">
        <v>3</v>
      </c>
      <c r="T11" s="36" t="b">
        <f t="shared" si="2"/>
        <v>1</v>
      </c>
      <c r="U11" s="219">
        <v>20.75</v>
      </c>
      <c r="V11" s="140"/>
      <c r="W11" s="225">
        <v>20.75</v>
      </c>
      <c r="X11" s="140"/>
      <c r="Y11" s="219">
        <v>20.75</v>
      </c>
      <c r="Z11" s="133">
        <f>_xll.qlSimpleQuoteSetValue(F11,Y11/10000,Trigger)</f>
        <v>9.6500000000000015E-4</v>
      </c>
      <c r="AA11" s="28"/>
    </row>
    <row r="12" spans="1:28" ht="11.25" customHeight="1" x14ac:dyDescent="0.2">
      <c r="A12" s="27"/>
      <c r="B12" s="220" t="str">
        <f t="shared" si="3"/>
        <v>4Y</v>
      </c>
      <c r="C12" s="173" t="str">
        <f t="shared" si="3"/>
        <v>3L</v>
      </c>
      <c r="D12" s="174" t="s">
        <v>267</v>
      </c>
      <c r="E12" s="175" t="str">
        <f t="shared" si="0"/>
        <v>USD3LFF4Y_Quote</v>
      </c>
      <c r="F12" s="175" t="str">
        <f>_xll.qlSimpleQuote(E12,,RateTickValue,Permanent,Trigger,ObjectOverwrite)</f>
        <v>USD3LFF4Y_Quote#0000</v>
      </c>
      <c r="G12" s="221" t="str">
        <f>_xll.ohRangeRetrieveError(F12)</f>
        <v/>
      </c>
      <c r="H12" s="365"/>
      <c r="J12" s="228"/>
      <c r="K12" s="128" t="s">
        <v>82</v>
      </c>
      <c r="L12" s="128" t="s">
        <v>93</v>
      </c>
      <c r="M12" s="128" t="s">
        <v>267</v>
      </c>
      <c r="N12" s="129" t="str">
        <f t="shared" si="4"/>
        <v>USDFF3L4Y</v>
      </c>
      <c r="O12" s="33" t="str">
        <v>USDFF3L4Y=SMKR</v>
      </c>
      <c r="P12" s="397">
        <v>19.5</v>
      </c>
      <c r="Q12" s="397">
        <v>24.5</v>
      </c>
      <c r="R12" s="219">
        <f>_xll.qlMidEquivalent(P12,Q12)</f>
        <v>22</v>
      </c>
      <c r="S12" s="230">
        <v>4</v>
      </c>
      <c r="T12" s="36" t="b">
        <f t="shared" si="2"/>
        <v>1</v>
      </c>
      <c r="U12" s="219">
        <v>22</v>
      </c>
      <c r="V12" s="140"/>
      <c r="W12" s="225">
        <v>22</v>
      </c>
      <c r="X12" s="140"/>
      <c r="Y12" s="219">
        <v>22</v>
      </c>
      <c r="Z12" s="133">
        <f>_xll.qlSimpleQuoteSetValue(F12,Y12/10000,Trigger)</f>
        <v>1.01E-3</v>
      </c>
      <c r="AA12" s="28"/>
    </row>
    <row r="13" spans="1:28" ht="11.25" customHeight="1" x14ac:dyDescent="0.2">
      <c r="A13" s="27"/>
      <c r="B13" s="220" t="str">
        <f t="shared" si="3"/>
        <v>5Y</v>
      </c>
      <c r="C13" s="173" t="str">
        <f t="shared" si="3"/>
        <v>3L</v>
      </c>
      <c r="D13" s="174" t="s">
        <v>267</v>
      </c>
      <c r="E13" s="175" t="str">
        <f t="shared" si="0"/>
        <v>USD3LFF5Y_Quote</v>
      </c>
      <c r="F13" s="175" t="str">
        <f>_xll.qlSimpleQuote(E13,,RateTickValue,Permanent,Trigger,ObjectOverwrite)</f>
        <v>USD3LFF5Y_Quote#0000</v>
      </c>
      <c r="G13" s="221" t="str">
        <f>_xll.ohRangeRetrieveError(F13)</f>
        <v/>
      </c>
      <c r="H13" s="365"/>
      <c r="J13" s="228"/>
      <c r="K13" s="128" t="s">
        <v>81</v>
      </c>
      <c r="L13" s="128" t="s">
        <v>93</v>
      </c>
      <c r="M13" s="128" t="s">
        <v>267</v>
      </c>
      <c r="N13" s="129" t="str">
        <f t="shared" si="4"/>
        <v>USDFF3L5Y</v>
      </c>
      <c r="O13" s="33" t="str">
        <v>USDFF3L5Y=SMKR</v>
      </c>
      <c r="P13" s="397">
        <v>20.25</v>
      </c>
      <c r="Q13" s="397">
        <v>25.25</v>
      </c>
      <c r="R13" s="219">
        <f>_xll.qlMidEquivalent(P13,Q13)</f>
        <v>22.75</v>
      </c>
      <c r="S13" s="230">
        <v>5</v>
      </c>
      <c r="T13" s="36" t="b">
        <f t="shared" si="2"/>
        <v>1</v>
      </c>
      <c r="U13" s="219">
        <v>22.75</v>
      </c>
      <c r="V13" s="140"/>
      <c r="W13" s="225">
        <v>22.75</v>
      </c>
      <c r="X13" s="140"/>
      <c r="Y13" s="219">
        <v>22.75</v>
      </c>
      <c r="Z13" s="133">
        <f>_xll.qlSimpleQuoteSetValue(F13,Y13/10000,Trigger)</f>
        <v>1.0550000000000002E-3</v>
      </c>
      <c r="AA13" s="28"/>
    </row>
    <row r="14" spans="1:28" ht="11.25" customHeight="1" x14ac:dyDescent="0.2">
      <c r="A14" s="27"/>
      <c r="B14" s="220" t="str">
        <f t="shared" si="3"/>
        <v>6Y</v>
      </c>
      <c r="C14" s="173" t="str">
        <f t="shared" si="3"/>
        <v>3L</v>
      </c>
      <c r="D14" s="174" t="s">
        <v>267</v>
      </c>
      <c r="E14" s="175" t="str">
        <f t="shared" si="0"/>
        <v>USD3LFF6Y_Quote</v>
      </c>
      <c r="F14" s="175" t="str">
        <f>_xll.qlSimpleQuote(E14,,RateTickValue,Permanent,Trigger,ObjectOverwrite)</f>
        <v>USD3LFF6Y_Quote#0000</v>
      </c>
      <c r="G14" s="221" t="str">
        <f>_xll.ohRangeRetrieveError(F14)</f>
        <v/>
      </c>
      <c r="H14" s="365"/>
      <c r="J14" s="228"/>
      <c r="K14" s="128" t="s">
        <v>80</v>
      </c>
      <c r="L14" s="128" t="s">
        <v>93</v>
      </c>
      <c r="M14" s="128" t="s">
        <v>267</v>
      </c>
      <c r="N14" s="129" t="str">
        <f t="shared" si="4"/>
        <v>USDFF3L6Y</v>
      </c>
      <c r="O14" s="33" t="str">
        <v>USDFF3L6Y=SMKR</v>
      </c>
      <c r="P14" s="397">
        <v>20.5</v>
      </c>
      <c r="Q14" s="397">
        <v>25.5</v>
      </c>
      <c r="R14" s="219">
        <f>_xll.qlMidEquivalent(P14,Q14)</f>
        <v>23</v>
      </c>
      <c r="S14" s="230">
        <v>6</v>
      </c>
      <c r="T14" s="36" t="b">
        <f t="shared" si="2"/>
        <v>1</v>
      </c>
      <c r="U14" s="219">
        <v>23</v>
      </c>
      <c r="V14" s="140"/>
      <c r="W14" s="225">
        <v>23</v>
      </c>
      <c r="X14" s="140"/>
      <c r="Y14" s="219">
        <v>23</v>
      </c>
      <c r="Z14" s="133">
        <f>_xll.qlSimpleQuoteSetValue(F14,Y14/10000,Trigger)</f>
        <v>1.09E-3</v>
      </c>
      <c r="AA14" s="28"/>
    </row>
    <row r="15" spans="1:28" ht="11.25" customHeight="1" x14ac:dyDescent="0.2">
      <c r="A15" s="27"/>
      <c r="B15" s="220" t="str">
        <f t="shared" si="3"/>
        <v>7Y</v>
      </c>
      <c r="C15" s="173" t="str">
        <f t="shared" si="3"/>
        <v>3L</v>
      </c>
      <c r="D15" s="174" t="s">
        <v>267</v>
      </c>
      <c r="E15" s="175" t="str">
        <f t="shared" si="0"/>
        <v>USD3LFF7Y_Quote</v>
      </c>
      <c r="F15" s="175" t="str">
        <f>_xll.qlSimpleQuote(E15,,RateTickValue,Permanent,Trigger,ObjectOverwrite)</f>
        <v>USD3LFF7Y_Quote#0000</v>
      </c>
      <c r="G15" s="221" t="str">
        <f>_xll.ohRangeRetrieveError(F15)</f>
        <v/>
      </c>
      <c r="H15" s="365"/>
      <c r="J15" s="228"/>
      <c r="K15" s="128" t="s">
        <v>79</v>
      </c>
      <c r="L15" s="128" t="s">
        <v>93</v>
      </c>
      <c r="M15" s="128" t="s">
        <v>267</v>
      </c>
      <c r="N15" s="129" t="str">
        <f t="shared" si="4"/>
        <v>USDFF3L7Y</v>
      </c>
      <c r="O15" s="33" t="str">
        <v>USDFF3L7Y=SMKR</v>
      </c>
      <c r="P15" s="397">
        <v>21.13</v>
      </c>
      <c r="Q15" s="397">
        <v>26.13</v>
      </c>
      <c r="R15" s="219">
        <f>_xll.qlMidEquivalent(P15,Q15)</f>
        <v>23.63</v>
      </c>
      <c r="S15" s="230">
        <v>7</v>
      </c>
      <c r="T15" s="36" t="b">
        <f t="shared" si="2"/>
        <v>1</v>
      </c>
      <c r="U15" s="219">
        <v>23.63</v>
      </c>
      <c r="V15" s="140"/>
      <c r="W15" s="225">
        <v>23.63</v>
      </c>
      <c r="X15" s="140"/>
      <c r="Y15" s="219">
        <v>23.63</v>
      </c>
      <c r="Z15" s="133">
        <f>_xll.qlSimpleQuoteSetValue(F15,Y15/10000,Trigger)</f>
        <v>1.183E-3</v>
      </c>
      <c r="AA15" s="28"/>
    </row>
    <row r="16" spans="1:28" ht="11.25" customHeight="1" x14ac:dyDescent="0.2">
      <c r="A16" s="27"/>
      <c r="B16" s="220" t="str">
        <f t="shared" si="3"/>
        <v>8Y</v>
      </c>
      <c r="C16" s="173" t="str">
        <f t="shared" si="3"/>
        <v>3L</v>
      </c>
      <c r="D16" s="174" t="s">
        <v>267</v>
      </c>
      <c r="E16" s="175" t="str">
        <f t="shared" si="0"/>
        <v>USD3LFF8Y_Quote</v>
      </c>
      <c r="F16" s="175" t="str">
        <f>_xll.qlSimpleQuote(E16,,RateTickValue,Permanent,Trigger,ObjectOverwrite)</f>
        <v>USD3LFF8Y_Quote#0000</v>
      </c>
      <c r="G16" s="221" t="str">
        <f>_xll.ohRangeRetrieveError(F16)</f>
        <v/>
      </c>
      <c r="H16" s="365"/>
      <c r="J16" s="228"/>
      <c r="K16" s="128" t="s">
        <v>78</v>
      </c>
      <c r="L16" s="128" t="s">
        <v>93</v>
      </c>
      <c r="M16" s="128" t="s">
        <v>267</v>
      </c>
      <c r="N16" s="129" t="str">
        <f t="shared" si="4"/>
        <v>USDFF3L8Y</v>
      </c>
      <c r="O16" s="33" t="str">
        <v>USDFF3L8Y=SMKR</v>
      </c>
      <c r="P16" s="397">
        <v>21.13</v>
      </c>
      <c r="Q16" s="397">
        <v>26.13</v>
      </c>
      <c r="R16" s="219">
        <f>_xll.qlMidEquivalent(P16,Q16)</f>
        <v>23.63</v>
      </c>
      <c r="S16" s="230">
        <v>8</v>
      </c>
      <c r="T16" s="36" t="b">
        <f t="shared" si="2"/>
        <v>1</v>
      </c>
      <c r="U16" s="219">
        <v>23.63</v>
      </c>
      <c r="V16" s="140"/>
      <c r="W16" s="225">
        <v>23.63</v>
      </c>
      <c r="X16" s="140"/>
      <c r="Y16" s="219">
        <v>23.63</v>
      </c>
      <c r="Z16" s="133">
        <f>_xll.qlSimpleQuoteSetValue(F16,Y16/10000,Trigger)</f>
        <v>1.2130000000000001E-3</v>
      </c>
      <c r="AA16" s="28"/>
    </row>
    <row r="17" spans="1:27" ht="11.25" customHeight="1" x14ac:dyDescent="0.2">
      <c r="A17" s="27"/>
      <c r="B17" s="220" t="str">
        <f t="shared" si="3"/>
        <v>9Y</v>
      </c>
      <c r="C17" s="173" t="str">
        <f t="shared" si="3"/>
        <v>3L</v>
      </c>
      <c r="D17" s="174" t="s">
        <v>267</v>
      </c>
      <c r="E17" s="175" t="str">
        <f t="shared" si="0"/>
        <v>USD3LFF9Y_Quote</v>
      </c>
      <c r="F17" s="175" t="str">
        <f>_xll.qlSimpleQuote(E17,,RateTickValue,Permanent,Trigger,ObjectOverwrite)</f>
        <v>USD3LFF9Y_Quote#0000</v>
      </c>
      <c r="G17" s="221" t="str">
        <f>_xll.ohRangeRetrieveError(F17)</f>
        <v/>
      </c>
      <c r="H17" s="365"/>
      <c r="J17" s="228"/>
      <c r="K17" s="128" t="s">
        <v>77</v>
      </c>
      <c r="L17" s="128" t="s">
        <v>93</v>
      </c>
      <c r="M17" s="128" t="s">
        <v>267</v>
      </c>
      <c r="N17" s="129" t="str">
        <f t="shared" si="4"/>
        <v>USDFF3L9Y</v>
      </c>
      <c r="O17" s="33" t="str">
        <v>USDFF3L9Y=SMKR</v>
      </c>
      <c r="P17" s="397">
        <v>21.38</v>
      </c>
      <c r="Q17" s="397">
        <v>26.38</v>
      </c>
      <c r="R17" s="219">
        <f>_xll.qlMidEquivalent(P17,Q17)</f>
        <v>23.88</v>
      </c>
      <c r="S17" s="230">
        <v>9</v>
      </c>
      <c r="T17" s="36" t="b">
        <f t="shared" si="2"/>
        <v>1</v>
      </c>
      <c r="U17" s="219">
        <v>23.88</v>
      </c>
      <c r="V17" s="140"/>
      <c r="W17" s="225">
        <v>23.88</v>
      </c>
      <c r="X17" s="140"/>
      <c r="Y17" s="219">
        <v>23.88</v>
      </c>
      <c r="Z17" s="133">
        <f>_xll.qlSimpleQuoteSetValue(F17,Y17/10000,Trigger)</f>
        <v>1.268E-3</v>
      </c>
      <c r="AA17" s="28"/>
    </row>
    <row r="18" spans="1:27" ht="11.25" customHeight="1" x14ac:dyDescent="0.2">
      <c r="A18" s="27"/>
      <c r="B18" s="220" t="str">
        <f t="shared" si="3"/>
        <v>10Y</v>
      </c>
      <c r="C18" s="173" t="str">
        <f t="shared" si="3"/>
        <v>3L</v>
      </c>
      <c r="D18" s="174" t="s">
        <v>267</v>
      </c>
      <c r="E18" s="175" t="str">
        <f t="shared" si="0"/>
        <v>USD3LFF10Y_Quote</v>
      </c>
      <c r="F18" s="175" t="str">
        <f>_xll.qlSimpleQuote(E18,,RateTickValue,Permanent,Trigger,ObjectOverwrite)</f>
        <v>USD3LFF10Y_Quote#0000</v>
      </c>
      <c r="G18" s="221" t="str">
        <f>_xll.ohRangeRetrieveError(F18)</f>
        <v/>
      </c>
      <c r="H18" s="365"/>
      <c r="J18" s="228"/>
      <c r="K18" s="128" t="s">
        <v>76</v>
      </c>
      <c r="L18" s="128" t="s">
        <v>93</v>
      </c>
      <c r="M18" s="128" t="s">
        <v>267</v>
      </c>
      <c r="N18" s="129" t="str">
        <f t="shared" si="4"/>
        <v>USDFF3L10Y</v>
      </c>
      <c r="O18" s="33" t="str">
        <v>USDFF3L10Y=SMKR</v>
      </c>
      <c r="P18" s="397">
        <v>21.63</v>
      </c>
      <c r="Q18" s="397">
        <v>26.63</v>
      </c>
      <c r="R18" s="219">
        <f>_xll.qlMidEquivalent(P18,Q18)</f>
        <v>24.13</v>
      </c>
      <c r="S18" s="230">
        <v>10</v>
      </c>
      <c r="T18" s="36" t="b">
        <f t="shared" si="2"/>
        <v>1</v>
      </c>
      <c r="U18" s="219">
        <v>24.13</v>
      </c>
      <c r="V18" s="140"/>
      <c r="W18" s="225">
        <v>24.13</v>
      </c>
      <c r="X18" s="140"/>
      <c r="Y18" s="219">
        <v>24.13</v>
      </c>
      <c r="Z18" s="133">
        <f>_xll.qlSimpleQuoteSetValue(F18,Y18/10000,Trigger)</f>
        <v>1.3229999999999997E-3</v>
      </c>
      <c r="AA18" s="28"/>
    </row>
    <row r="19" spans="1:27" ht="11.25" customHeight="1" x14ac:dyDescent="0.2">
      <c r="A19" s="27"/>
      <c r="B19" s="220" t="str">
        <f t="shared" si="3"/>
        <v>11Y</v>
      </c>
      <c r="C19" s="173" t="str">
        <f t="shared" si="3"/>
        <v>3L</v>
      </c>
      <c r="D19" s="174" t="s">
        <v>267</v>
      </c>
      <c r="E19" s="175" t="str">
        <f t="shared" si="0"/>
        <v>USD3LFF11Y_Quote</v>
      </c>
      <c r="F19" s="175" t="str">
        <f>_xll.qlSimpleQuote(E19,,RateTickValue,Permanent,Trigger,ObjectOverwrite)</f>
        <v>USD3LFF11Y_Quote#0000</v>
      </c>
      <c r="G19" s="221" t="str">
        <f>_xll.ohRangeRetrieveError(F19)</f>
        <v/>
      </c>
      <c r="H19" s="365"/>
      <c r="J19" s="228"/>
      <c r="K19" s="128" t="s">
        <v>75</v>
      </c>
      <c r="L19" s="128" t="s">
        <v>93</v>
      </c>
      <c r="M19" s="128" t="s">
        <v>267</v>
      </c>
      <c r="N19" s="129" t="str">
        <f t="shared" si="4"/>
        <v>USDFF3L11Y</v>
      </c>
      <c r="O19" s="33" t="str">
        <v>USDFF3L11Y=SMKR</v>
      </c>
      <c r="P19" s="397">
        <v>21.5</v>
      </c>
      <c r="Q19" s="397">
        <v>26.5</v>
      </c>
      <c r="R19" s="219">
        <f>_xll.qlMidEquivalent(P19,Q19)</f>
        <v>24</v>
      </c>
      <c r="S19" s="230">
        <v>11</v>
      </c>
      <c r="T19" s="36" t="b">
        <f t="shared" si="2"/>
        <v>1</v>
      </c>
      <c r="U19" s="219">
        <v>24</v>
      </c>
      <c r="V19" s="140"/>
      <c r="W19" s="225">
        <v>24</v>
      </c>
      <c r="X19" s="140"/>
      <c r="Y19" s="219">
        <v>24</v>
      </c>
      <c r="Z19" s="133">
        <f>_xll.qlSimpleQuoteSetValue(F19,Y19/10000,Trigger)</f>
        <v>1.3335707997322148E-3</v>
      </c>
      <c r="AA19" s="28"/>
    </row>
    <row r="20" spans="1:27" ht="11.25" customHeight="1" x14ac:dyDescent="0.2">
      <c r="A20" s="27"/>
      <c r="B20" s="220" t="str">
        <f t="shared" si="3"/>
        <v>12Y</v>
      </c>
      <c r="C20" s="173" t="str">
        <f t="shared" si="3"/>
        <v>3L</v>
      </c>
      <c r="D20" s="174" t="s">
        <v>267</v>
      </c>
      <c r="E20" s="175" t="str">
        <f t="shared" si="0"/>
        <v>USD3LFF12Y_Quote</v>
      </c>
      <c r="F20" s="175" t="str">
        <f>_xll.qlSimpleQuote(E20,,RateTickValue,Permanent,Trigger,ObjectOverwrite)</f>
        <v>USD3LFF12Y_Quote#0000</v>
      </c>
      <c r="G20" s="221" t="str">
        <f>_xll.ohRangeRetrieveError(F20)</f>
        <v/>
      </c>
      <c r="H20" s="365"/>
      <c r="J20" s="228"/>
      <c r="K20" s="128" t="s">
        <v>74</v>
      </c>
      <c r="L20" s="128" t="s">
        <v>93</v>
      </c>
      <c r="M20" s="128" t="s">
        <v>267</v>
      </c>
      <c r="N20" s="129" t="str">
        <f t="shared" si="4"/>
        <v>USDFF3L12Y</v>
      </c>
      <c r="O20" s="33" t="str">
        <v>USDFF3L12Y=SMKR</v>
      </c>
      <c r="P20" s="397">
        <v>21.75</v>
      </c>
      <c r="Q20" s="397">
        <v>26.75</v>
      </c>
      <c r="R20" s="219">
        <f>_xll.qlMidEquivalent(P20,Q20)</f>
        <v>24.25</v>
      </c>
      <c r="S20" s="230">
        <v>12</v>
      </c>
      <c r="T20" s="36" t="b">
        <f t="shared" si="2"/>
        <v>1</v>
      </c>
      <c r="U20" s="219">
        <v>24.25</v>
      </c>
      <c r="V20" s="140"/>
      <c r="W20" s="225">
        <v>24.25</v>
      </c>
      <c r="X20" s="140"/>
      <c r="Y20" s="219">
        <v>24.25</v>
      </c>
      <c r="Z20" s="133">
        <f>_xll.qlSimpleQuoteSetValue(F20,Y20/10000,Trigger)</f>
        <v>1.3750000000000001E-3</v>
      </c>
      <c r="AA20" s="28"/>
    </row>
    <row r="21" spans="1:27" ht="11.25" customHeight="1" x14ac:dyDescent="0.2">
      <c r="A21" s="27"/>
      <c r="B21" s="220" t="str">
        <f t="shared" si="3"/>
        <v>13Y</v>
      </c>
      <c r="C21" s="173" t="str">
        <f t="shared" si="3"/>
        <v>3L</v>
      </c>
      <c r="D21" s="174" t="s">
        <v>267</v>
      </c>
      <c r="E21" s="175" t="str">
        <f t="shared" si="0"/>
        <v>USD3LFF13Y_Quote</v>
      </c>
      <c r="F21" s="175" t="str">
        <f>_xll.qlSimpleQuote(E21,,RateTickValue,Permanent,Trigger,ObjectOverwrite)</f>
        <v>USD3LFF13Y_Quote#0000</v>
      </c>
      <c r="G21" s="221" t="str">
        <f>_xll.ohRangeRetrieveError(F21)</f>
        <v/>
      </c>
      <c r="H21" s="365"/>
      <c r="J21" s="228"/>
      <c r="K21" s="128" t="s">
        <v>73</v>
      </c>
      <c r="L21" s="128" t="s">
        <v>93</v>
      </c>
      <c r="M21" s="128" t="s">
        <v>267</v>
      </c>
      <c r="N21" s="129" t="str">
        <f t="shared" si="4"/>
        <v>USDFF3L13Y</v>
      </c>
      <c r="O21" s="33" t="str">
        <v>USDFF3L13Y=SMKR</v>
      </c>
      <c r="P21" s="397" t="s">
        <v>253</v>
      </c>
      <c r="Q21" s="397" t="s">
        <v>253</v>
      </c>
      <c r="R21" s="219" t="e">
        <f>_xll.qlMidEquivalent(P21,Q21)</f>
        <v>#NUM!</v>
      </c>
      <c r="S21" s="230">
        <v>13</v>
      </c>
      <c r="T21" s="36" t="b">
        <f t="shared" si="2"/>
        <v>0</v>
      </c>
      <c r="U21" s="219">
        <v>24.34148148148148</v>
      </c>
      <c r="V21" s="140"/>
      <c r="W21" s="225">
        <v>24.34148148148148</v>
      </c>
      <c r="X21" s="140"/>
      <c r="Y21" s="219">
        <v>24.34148148148148</v>
      </c>
      <c r="Z21" s="133">
        <f>_xll.qlSimpleQuoteSetValue(F21,Y21/10000,Trigger)</f>
        <v>1.3948889489932123E-3</v>
      </c>
      <c r="AA21" s="28"/>
    </row>
    <row r="22" spans="1:27" ht="11.25" customHeight="1" x14ac:dyDescent="0.2">
      <c r="A22" s="27"/>
      <c r="B22" s="220" t="str">
        <f t="shared" si="3"/>
        <v>14Y</v>
      </c>
      <c r="C22" s="173" t="str">
        <f t="shared" si="3"/>
        <v>3L</v>
      </c>
      <c r="D22" s="174" t="s">
        <v>267</v>
      </c>
      <c r="E22" s="175" t="str">
        <f t="shared" si="0"/>
        <v>USD3LFF14Y_Quote</v>
      </c>
      <c r="F22" s="175" t="str">
        <f>_xll.qlSimpleQuote(E22,,RateTickValue,Permanent,Trigger,ObjectOverwrite)</f>
        <v>USD3LFF14Y_Quote#0000</v>
      </c>
      <c r="G22" s="221" t="str">
        <f>_xll.ohRangeRetrieveError(F22)</f>
        <v/>
      </c>
      <c r="H22" s="365"/>
      <c r="J22" s="228"/>
      <c r="K22" s="128" t="s">
        <v>72</v>
      </c>
      <c r="L22" s="128" t="s">
        <v>93</v>
      </c>
      <c r="M22" s="128" t="s">
        <v>267</v>
      </c>
      <c r="N22" s="129" t="str">
        <f t="shared" si="4"/>
        <v>USDFF3L14Y</v>
      </c>
      <c r="O22" s="33" t="str">
        <v>USDFF3L14Y=SMKR</v>
      </c>
      <c r="P22" s="397" t="s">
        <v>253</v>
      </c>
      <c r="Q22" s="397" t="s">
        <v>253</v>
      </c>
      <c r="R22" s="219" t="e">
        <f>_xll.qlMidEquivalent(P22,Q22)</f>
        <v>#NUM!</v>
      </c>
      <c r="S22" s="230">
        <v>14</v>
      </c>
      <c r="T22" s="36" t="b">
        <f t="shared" si="2"/>
        <v>0</v>
      </c>
      <c r="U22" s="219">
        <v>24.375185185185185</v>
      </c>
      <c r="V22" s="140"/>
      <c r="W22" s="225">
        <v>24.375185185185185</v>
      </c>
      <c r="X22" s="140"/>
      <c r="Y22" s="219">
        <v>24.375185185185185</v>
      </c>
      <c r="Z22" s="133">
        <f>_xll.qlSimpleQuoteSetValue(F22,Y22/10000,Trigger)</f>
        <v>1.404611141163273E-3</v>
      </c>
      <c r="AA22" s="28"/>
    </row>
    <row r="23" spans="1:27" ht="11.25" customHeight="1" x14ac:dyDescent="0.2">
      <c r="A23" s="27"/>
      <c r="B23" s="220" t="str">
        <f t="shared" si="3"/>
        <v>15Y</v>
      </c>
      <c r="C23" s="173" t="str">
        <f t="shared" si="3"/>
        <v>3L</v>
      </c>
      <c r="D23" s="174" t="s">
        <v>267</v>
      </c>
      <c r="E23" s="175" t="str">
        <f t="shared" si="0"/>
        <v>USD3LFF15Y_Quote</v>
      </c>
      <c r="F23" s="175" t="str">
        <f>_xll.qlSimpleQuote(E23,,RateTickValue,Permanent,Trigger,ObjectOverwrite)</f>
        <v>USD3LFF15Y_Quote#0000</v>
      </c>
      <c r="G23" s="221" t="str">
        <f>_xll.ohRangeRetrieveError(F23)</f>
        <v/>
      </c>
      <c r="H23" s="365"/>
      <c r="J23" s="228"/>
      <c r="K23" s="128" t="s">
        <v>71</v>
      </c>
      <c r="L23" s="128" t="s">
        <v>93</v>
      </c>
      <c r="M23" s="128" t="s">
        <v>267</v>
      </c>
      <c r="N23" s="129" t="str">
        <f t="shared" si="4"/>
        <v>USDFF3L15Y</v>
      </c>
      <c r="O23" s="33" t="str">
        <v>USDFF3L15Y=SMKR</v>
      </c>
      <c r="P23" s="397">
        <v>21.88</v>
      </c>
      <c r="Q23" s="397">
        <v>26.88</v>
      </c>
      <c r="R23" s="219">
        <f>_xll.qlMidEquivalent(P23,Q23)</f>
        <v>24.38</v>
      </c>
      <c r="S23" s="230">
        <v>15</v>
      </c>
      <c r="T23" s="36" t="b">
        <f t="shared" si="2"/>
        <v>1</v>
      </c>
      <c r="U23" s="219">
        <v>24.38</v>
      </c>
      <c r="V23" s="140"/>
      <c r="W23" s="225">
        <v>24.38</v>
      </c>
      <c r="X23" s="140"/>
      <c r="Y23" s="219">
        <v>24.38</v>
      </c>
      <c r="Z23" s="133">
        <f>_xll.qlSimpleQuoteSetValue(F23,Y23/10000,Trigger)</f>
        <v>1.408E-3</v>
      </c>
      <c r="AA23" s="28"/>
    </row>
    <row r="24" spans="1:27" ht="11.25" customHeight="1" x14ac:dyDescent="0.2">
      <c r="A24" s="27"/>
      <c r="B24" s="220" t="str">
        <f t="shared" si="3"/>
        <v>16Y</v>
      </c>
      <c r="C24" s="173" t="str">
        <f t="shared" si="3"/>
        <v>3L</v>
      </c>
      <c r="D24" s="174" t="s">
        <v>267</v>
      </c>
      <c r="E24" s="175" t="str">
        <f t="shared" si="0"/>
        <v>USD3LFF16Y_Quote</v>
      </c>
      <c r="F24" s="175" t="str">
        <f>_xll.qlSimpleQuote(E24,,RateTickValue,Permanent,Trigger,ObjectOverwrite)</f>
        <v>USD3LFF16Y_Quote#0000</v>
      </c>
      <c r="G24" s="221" t="str">
        <f>_xll.ohRangeRetrieveError(F24)</f>
        <v/>
      </c>
      <c r="H24" s="365"/>
      <c r="J24" s="228"/>
      <c r="K24" s="128" t="s">
        <v>70</v>
      </c>
      <c r="L24" s="128" t="s">
        <v>93</v>
      </c>
      <c r="M24" s="128" t="s">
        <v>267</v>
      </c>
      <c r="N24" s="129" t="str">
        <f t="shared" si="4"/>
        <v>USDFF3L16Y</v>
      </c>
      <c r="O24" s="33" t="str">
        <v>USDFF3L16Y=SMKR</v>
      </c>
      <c r="P24" s="397" t="s">
        <v>253</v>
      </c>
      <c r="Q24" s="397" t="s">
        <v>253</v>
      </c>
      <c r="R24" s="219" t="e">
        <f>_xll.qlMidEquivalent(P24,Q24)</f>
        <v>#NUM!</v>
      </c>
      <c r="S24" s="230">
        <v>16</v>
      </c>
      <c r="T24" s="36" t="b">
        <f t="shared" si="2"/>
        <v>0</v>
      </c>
      <c r="U24" s="219">
        <v>24.396304718875172</v>
      </c>
      <c r="V24" s="140"/>
      <c r="W24" s="225">
        <v>24.396304718875172</v>
      </c>
      <c r="X24" s="140"/>
      <c r="Y24" s="219">
        <v>24.396304718875172</v>
      </c>
      <c r="Z24" s="133">
        <f>_xll.qlSimpleQuoteSetValue(F24,Y24/10000,Trigger)</f>
        <v>1.4108304718875172E-3</v>
      </c>
      <c r="AA24" s="28"/>
    </row>
    <row r="25" spans="1:27" ht="11.25" customHeight="1" x14ac:dyDescent="0.2">
      <c r="A25" s="27"/>
      <c r="B25" s="220" t="str">
        <f t="shared" si="3"/>
        <v>17Y</v>
      </c>
      <c r="C25" s="173" t="str">
        <f t="shared" si="3"/>
        <v>3L</v>
      </c>
      <c r="D25" s="174" t="s">
        <v>267</v>
      </c>
      <c r="E25" s="175" t="str">
        <f t="shared" si="0"/>
        <v>USD3LFF17Y_Quote</v>
      </c>
      <c r="F25" s="175" t="str">
        <f>_xll.qlSimpleQuote(E25,,RateTickValue,Permanent,Trigger,ObjectOverwrite)</f>
        <v>USD3LFF17Y_Quote#0000</v>
      </c>
      <c r="G25" s="221" t="str">
        <f>_xll.ohRangeRetrieveError(F25)</f>
        <v/>
      </c>
      <c r="H25" s="365"/>
      <c r="J25" s="228"/>
      <c r="K25" s="128" t="s">
        <v>69</v>
      </c>
      <c r="L25" s="128" t="s">
        <v>93</v>
      </c>
      <c r="M25" s="128" t="s">
        <v>267</v>
      </c>
      <c r="N25" s="129" t="str">
        <f t="shared" si="4"/>
        <v>USDFF3L17Y</v>
      </c>
      <c r="O25" s="33" t="str">
        <v>USDFF3L17Y=SMKR</v>
      </c>
      <c r="P25" s="397" t="s">
        <v>253</v>
      </c>
      <c r="Q25" s="397" t="s">
        <v>253</v>
      </c>
      <c r="R25" s="219" t="e">
        <f>_xll.qlMidEquivalent(P25,Q25)</f>
        <v>#NUM!</v>
      </c>
      <c r="S25" s="230">
        <v>17</v>
      </c>
      <c r="T25" s="36" t="b">
        <f t="shared" si="2"/>
        <v>0</v>
      </c>
      <c r="U25" s="219">
        <v>24.438914156625522</v>
      </c>
      <c r="V25" s="140"/>
      <c r="W25" s="225">
        <v>24.438914156625522</v>
      </c>
      <c r="X25" s="140"/>
      <c r="Y25" s="219">
        <v>24.438914156625522</v>
      </c>
      <c r="Z25" s="133">
        <f>_xll.qlSimpleQuoteSetValue(F25,Y25/10000,Trigger)</f>
        <v>1.4156914156625523E-3</v>
      </c>
      <c r="AA25" s="28"/>
    </row>
    <row r="26" spans="1:27" ht="11.25" customHeight="1" x14ac:dyDescent="0.2">
      <c r="A26" s="27"/>
      <c r="B26" s="220" t="str">
        <f t="shared" si="3"/>
        <v>18Y</v>
      </c>
      <c r="C26" s="173" t="str">
        <f t="shared" si="3"/>
        <v>3L</v>
      </c>
      <c r="D26" s="174" t="s">
        <v>267</v>
      </c>
      <c r="E26" s="175" t="str">
        <f t="shared" si="0"/>
        <v>USD3LFF18Y_Quote</v>
      </c>
      <c r="F26" s="175" t="str">
        <f>_xll.qlSimpleQuote(E26,,RateTickValue,Permanent,Trigger,ObjectOverwrite)</f>
        <v>USD3LFF18Y_Quote#0000</v>
      </c>
      <c r="G26" s="221" t="str">
        <f>_xll.ohRangeRetrieveError(F26)</f>
        <v/>
      </c>
      <c r="H26" s="365"/>
      <c r="J26" s="228"/>
      <c r="K26" s="128" t="s">
        <v>68</v>
      </c>
      <c r="L26" s="128" t="s">
        <v>93</v>
      </c>
      <c r="M26" s="128" t="s">
        <v>267</v>
      </c>
      <c r="N26" s="129" t="str">
        <f t="shared" si="4"/>
        <v>USDFF3L18Y</v>
      </c>
      <c r="O26" s="33" t="str">
        <v>USDFF3L18Y=SMKR</v>
      </c>
      <c r="P26" s="397" t="s">
        <v>253</v>
      </c>
      <c r="Q26" s="397" t="s">
        <v>253</v>
      </c>
      <c r="R26" s="219" t="e">
        <f>_xll.qlMidEquivalent(P26,Q26)</f>
        <v>#NUM!</v>
      </c>
      <c r="S26" s="230">
        <v>18</v>
      </c>
      <c r="T26" s="36" t="b">
        <f t="shared" si="2"/>
        <v>0</v>
      </c>
      <c r="U26" s="219">
        <v>24.498371234938283</v>
      </c>
      <c r="V26" s="140"/>
      <c r="W26" s="225">
        <v>24.498371234938283</v>
      </c>
      <c r="X26" s="140"/>
      <c r="Y26" s="219">
        <v>24.498371234938283</v>
      </c>
      <c r="Z26" s="133">
        <f>_xll.qlSimpleQuoteSetValue(F26,Y26/10000,Trigger)</f>
        <v>1.4216371234938283E-3</v>
      </c>
      <c r="AA26" s="28"/>
    </row>
    <row r="27" spans="1:27" ht="11.25" customHeight="1" x14ac:dyDescent="0.2">
      <c r="A27" s="27"/>
      <c r="B27" s="220" t="str">
        <f t="shared" si="3"/>
        <v>19Y</v>
      </c>
      <c r="C27" s="173" t="str">
        <f t="shared" si="3"/>
        <v>3L</v>
      </c>
      <c r="D27" s="174" t="s">
        <v>267</v>
      </c>
      <c r="E27" s="175" t="str">
        <f t="shared" si="0"/>
        <v>USD3LFF19Y_Quote</v>
      </c>
      <c r="F27" s="175" t="str">
        <f>_xll.qlSimpleQuote(E27,,RateTickValue,Permanent,Trigger,ObjectOverwrite)</f>
        <v>USD3LFF19Y_Quote#0000</v>
      </c>
      <c r="G27" s="221" t="str">
        <f>_xll.ohRangeRetrieveError(F27)</f>
        <v/>
      </c>
      <c r="H27" s="365"/>
      <c r="J27" s="228"/>
      <c r="K27" s="128" t="s">
        <v>67</v>
      </c>
      <c r="L27" s="128" t="s">
        <v>93</v>
      </c>
      <c r="M27" s="128" t="s">
        <v>267</v>
      </c>
      <c r="N27" s="129" t="str">
        <f t="shared" si="4"/>
        <v>USDFF3L19Y</v>
      </c>
      <c r="O27" s="33" t="str">
        <v>USDFF3L19Y=SMKR</v>
      </c>
      <c r="P27" s="397" t="s">
        <v>253</v>
      </c>
      <c r="Q27" s="397" t="s">
        <v>253</v>
      </c>
      <c r="R27" s="219" t="e">
        <f>_xll.qlMidEquivalent(P27,Q27)</f>
        <v>#NUM!</v>
      </c>
      <c r="S27" s="230">
        <v>19</v>
      </c>
      <c r="T27" s="36" t="b">
        <f t="shared" si="2"/>
        <v>0</v>
      </c>
      <c r="U27" s="219">
        <v>24.565218875500694</v>
      </c>
      <c r="V27" s="140"/>
      <c r="W27" s="225">
        <v>24.565218875500694</v>
      </c>
      <c r="X27" s="140"/>
      <c r="Y27" s="219">
        <v>24.565218875500694</v>
      </c>
      <c r="Z27" s="133">
        <f>_xll.qlSimpleQuoteSetValue(F27,Y27/10000,Trigger)</f>
        <v>1.4277218875500695E-3</v>
      </c>
      <c r="AA27" s="28"/>
    </row>
    <row r="28" spans="1:27" ht="11.25" customHeight="1" x14ac:dyDescent="0.2">
      <c r="A28" s="27"/>
      <c r="B28" s="220" t="str">
        <f t="shared" si="3"/>
        <v>20Y</v>
      </c>
      <c r="C28" s="173" t="str">
        <f t="shared" si="3"/>
        <v>3L</v>
      </c>
      <c r="D28" s="174" t="s">
        <v>267</v>
      </c>
      <c r="E28" s="175" t="str">
        <f t="shared" si="0"/>
        <v>USD3LFF20Y_Quote</v>
      </c>
      <c r="F28" s="175" t="str">
        <f>_xll.qlSimpleQuote(E28,,RateTickValue,Permanent,Trigger,ObjectOverwrite)</f>
        <v>USD3LFF20Y_Quote#0000</v>
      </c>
      <c r="G28" s="221" t="str">
        <f>_xll.ohRangeRetrieveError(F28)</f>
        <v/>
      </c>
      <c r="H28" s="365"/>
      <c r="J28" s="228"/>
      <c r="K28" s="128" t="s">
        <v>66</v>
      </c>
      <c r="L28" s="128" t="s">
        <v>93</v>
      </c>
      <c r="M28" s="128" t="s">
        <v>267</v>
      </c>
      <c r="N28" s="129" t="str">
        <f t="shared" si="4"/>
        <v>USDFF3L20Y</v>
      </c>
      <c r="O28" s="33" t="str">
        <v>USDFF3L20Y=SMKR</v>
      </c>
      <c r="P28" s="397">
        <v>22.13</v>
      </c>
      <c r="Q28" s="397">
        <v>27.13</v>
      </c>
      <c r="R28" s="219">
        <f>_xll.qlMidEquivalent(P28,Q28)</f>
        <v>24.63</v>
      </c>
      <c r="S28" s="230">
        <v>20</v>
      </c>
      <c r="T28" s="36" t="b">
        <f t="shared" si="2"/>
        <v>1</v>
      </c>
      <c r="U28" s="219">
        <v>24.63</v>
      </c>
      <c r="V28" s="140"/>
      <c r="W28" s="225">
        <v>24.63</v>
      </c>
      <c r="X28" s="140"/>
      <c r="Y28" s="219">
        <v>24.63</v>
      </c>
      <c r="Z28" s="133">
        <f>_xll.qlSimpleQuoteSetValue(F28,Y28/10000,Trigger)</f>
        <v>1.4329999999999998E-3</v>
      </c>
      <c r="AA28" s="28"/>
    </row>
    <row r="29" spans="1:27" ht="11.25" customHeight="1" x14ac:dyDescent="0.2">
      <c r="A29" s="27"/>
      <c r="B29" s="220" t="str">
        <f t="shared" si="3"/>
        <v>21Y</v>
      </c>
      <c r="C29" s="173" t="str">
        <f t="shared" si="3"/>
        <v>3L</v>
      </c>
      <c r="D29" s="174" t="s">
        <v>267</v>
      </c>
      <c r="E29" s="175" t="str">
        <f t="shared" si="0"/>
        <v>USD3LFF21Y_Quote</v>
      </c>
      <c r="F29" s="175" t="str">
        <f>_xll.qlSimpleQuote(E29,,RateTickValue,Permanent,Trigger,ObjectOverwrite)</f>
        <v>USD3LFF21Y_Quote#0000</v>
      </c>
      <c r="G29" s="221" t="str">
        <f>_xll.ohRangeRetrieveError(F29)</f>
        <v/>
      </c>
      <c r="H29" s="365"/>
      <c r="J29" s="228"/>
      <c r="K29" s="128" t="s">
        <v>65</v>
      </c>
      <c r="L29" s="128" t="s">
        <v>93</v>
      </c>
      <c r="M29" s="128" t="s">
        <v>267</v>
      </c>
      <c r="N29" s="129" t="str">
        <f t="shared" si="4"/>
        <v>USDFF3L21Y</v>
      </c>
      <c r="O29" s="33" t="str">
        <v>USDFF3L21Y=SMKR</v>
      </c>
      <c r="P29" s="397" t="s">
        <v>253</v>
      </c>
      <c r="Q29" s="397" t="s">
        <v>253</v>
      </c>
      <c r="R29" s="219" t="e">
        <f>_xll.qlMidEquivalent(P29,Q29)</f>
        <v>#NUM!</v>
      </c>
      <c r="S29" s="230">
        <v>21</v>
      </c>
      <c r="T29" s="36" t="b">
        <f t="shared" si="2"/>
        <v>0</v>
      </c>
      <c r="U29" s="219">
        <v>24.678956919106398</v>
      </c>
      <c r="V29" s="140"/>
      <c r="W29" s="225">
        <v>24.678956919106398</v>
      </c>
      <c r="X29" s="140"/>
      <c r="Y29" s="219">
        <v>24.678956919106398</v>
      </c>
      <c r="Z29" s="133">
        <f>_xll.qlSimpleQuoteSetValue(F29,Y29/10000,Trigger)</f>
        <v>1.4358956919106399E-3</v>
      </c>
      <c r="AA29" s="28"/>
    </row>
    <row r="30" spans="1:27" ht="11.25" customHeight="1" x14ac:dyDescent="0.2">
      <c r="A30" s="27"/>
      <c r="B30" s="220" t="str">
        <f t="shared" si="3"/>
        <v>22Y</v>
      </c>
      <c r="C30" s="173" t="str">
        <f t="shared" si="3"/>
        <v>3L</v>
      </c>
      <c r="D30" s="174" t="s">
        <v>267</v>
      </c>
      <c r="E30" s="175" t="str">
        <f t="shared" si="0"/>
        <v>USD3LFF22Y_Quote</v>
      </c>
      <c r="F30" s="175" t="str">
        <f>_xll.qlSimpleQuote(E30,,RateTickValue,Permanent,Trigger,ObjectOverwrite)</f>
        <v>USD3LFF22Y_Quote#0000</v>
      </c>
      <c r="G30" s="221" t="str">
        <f>_xll.ohRangeRetrieveError(F30)</f>
        <v/>
      </c>
      <c r="H30" s="365"/>
      <c r="J30" s="228"/>
      <c r="K30" s="128" t="s">
        <v>64</v>
      </c>
      <c r="L30" s="128" t="s">
        <v>93</v>
      </c>
      <c r="M30" s="128" t="s">
        <v>267</v>
      </c>
      <c r="N30" s="129" t="str">
        <f t="shared" si="4"/>
        <v>USDFF3L22Y</v>
      </c>
      <c r="O30" s="33" t="str">
        <v>USDFF3L22Y=SMKR</v>
      </c>
      <c r="P30" s="397" t="s">
        <v>253</v>
      </c>
      <c r="Q30" s="397" t="s">
        <v>253</v>
      </c>
      <c r="R30" s="219" t="e">
        <f>_xll.qlMidEquivalent(P30,Q30)</f>
        <v>#NUM!</v>
      </c>
      <c r="S30" s="230">
        <v>22</v>
      </c>
      <c r="T30" s="36" t="b">
        <f t="shared" si="2"/>
        <v>0</v>
      </c>
      <c r="U30" s="219">
        <v>24.708956148882997</v>
      </c>
      <c r="V30" s="140"/>
      <c r="W30" s="225">
        <v>24.708956148882997</v>
      </c>
      <c r="X30" s="140"/>
      <c r="Y30" s="219">
        <v>24.708956148882997</v>
      </c>
      <c r="Z30" s="133">
        <f>_xll.qlSimpleQuoteSetValue(F30,Y30/10000,Trigger)</f>
        <v>1.4362956148882998E-3</v>
      </c>
      <c r="AA30" s="28"/>
    </row>
    <row r="31" spans="1:27" ht="11.25" customHeight="1" x14ac:dyDescent="0.2">
      <c r="A31" s="27"/>
      <c r="B31" s="220" t="str">
        <f t="shared" si="3"/>
        <v>23Y</v>
      </c>
      <c r="C31" s="173" t="str">
        <f t="shared" si="3"/>
        <v>3L</v>
      </c>
      <c r="D31" s="174" t="s">
        <v>267</v>
      </c>
      <c r="E31" s="175" t="str">
        <f t="shared" si="0"/>
        <v>USD3LFF23Y_Quote</v>
      </c>
      <c r="F31" s="175" t="str">
        <f>_xll.qlSimpleQuote(E31,,RateTickValue,Permanent,Trigger,ObjectOverwrite)</f>
        <v>USD3LFF23Y_Quote#0000</v>
      </c>
      <c r="G31" s="221" t="str">
        <f>_xll.ohRangeRetrieveError(F31)</f>
        <v/>
      </c>
      <c r="H31" s="365"/>
      <c r="J31" s="228"/>
      <c r="K31" s="128" t="s">
        <v>63</v>
      </c>
      <c r="L31" s="128" t="s">
        <v>93</v>
      </c>
      <c r="M31" s="128" t="s">
        <v>267</v>
      </c>
      <c r="N31" s="129" t="str">
        <f t="shared" si="4"/>
        <v>USDFF3L23Y</v>
      </c>
      <c r="O31" s="33" t="str">
        <v>USDFF3L23Y=SMKR</v>
      </c>
      <c r="P31" s="397" t="s">
        <v>253</v>
      </c>
      <c r="Q31" s="397" t="s">
        <v>253</v>
      </c>
      <c r="R31" s="219" t="e">
        <f>_xll.qlMidEquivalent(P31,Q31)</f>
        <v>#NUM!</v>
      </c>
      <c r="S31" s="230">
        <v>23</v>
      </c>
      <c r="T31" s="36" t="b">
        <f t="shared" si="2"/>
        <v>0</v>
      </c>
      <c r="U31" s="219">
        <v>24.726476919106396</v>
      </c>
      <c r="V31" s="140"/>
      <c r="W31" s="225">
        <v>24.726476919106396</v>
      </c>
      <c r="X31" s="140"/>
      <c r="Y31" s="219">
        <v>24.726476919106396</v>
      </c>
      <c r="Z31" s="133">
        <f>_xll.qlSimpleQuoteSetValue(F31,Y31/10000,Trigger)</f>
        <v>1.4354476919106395E-3</v>
      </c>
      <c r="AA31" s="28"/>
    </row>
    <row r="32" spans="1:27" ht="11.25" customHeight="1" x14ac:dyDescent="0.2">
      <c r="A32" s="27"/>
      <c r="B32" s="220" t="str">
        <f t="shared" si="3"/>
        <v>24Y</v>
      </c>
      <c r="C32" s="173" t="str">
        <f t="shared" si="3"/>
        <v>3L</v>
      </c>
      <c r="D32" s="174" t="s">
        <v>267</v>
      </c>
      <c r="E32" s="175" t="str">
        <f t="shared" si="0"/>
        <v>USD3LFF24Y_Quote</v>
      </c>
      <c r="F32" s="175" t="str">
        <f>_xll.qlSimpleQuote(E32,,RateTickValue,Permanent,Trigger,ObjectOverwrite)</f>
        <v>USD3LFF24Y_Quote#0000</v>
      </c>
      <c r="G32" s="221" t="str">
        <f>_xll.ohRangeRetrieveError(F32)</f>
        <v/>
      </c>
      <c r="H32" s="365"/>
      <c r="J32" s="228"/>
      <c r="K32" s="128" t="s">
        <v>62</v>
      </c>
      <c r="L32" s="128" t="s">
        <v>93</v>
      </c>
      <c r="M32" s="128" t="s">
        <v>267</v>
      </c>
      <c r="N32" s="129" t="str">
        <f t="shared" si="4"/>
        <v>USDFF3L24Y</v>
      </c>
      <c r="O32" s="33" t="str">
        <v>USDFF3L24Y=SMKR</v>
      </c>
      <c r="P32" s="397" t="s">
        <v>253</v>
      </c>
      <c r="Q32" s="397" t="s">
        <v>253</v>
      </c>
      <c r="R32" s="219" t="e">
        <f>_xll.qlMidEquivalent(P32,Q32)</f>
        <v>#NUM!</v>
      </c>
      <c r="S32" s="230">
        <v>24</v>
      </c>
      <c r="T32" s="36" t="b">
        <f t="shared" si="2"/>
        <v>0</v>
      </c>
      <c r="U32" s="219">
        <v>24.7379984595532</v>
      </c>
      <c r="V32" s="140"/>
      <c r="W32" s="225">
        <v>24.7379984595532</v>
      </c>
      <c r="X32" s="140"/>
      <c r="Y32" s="219">
        <v>24.7379984595532</v>
      </c>
      <c r="Z32" s="133">
        <f>_xll.qlSimpleQuoteSetValue(F32,Y32/10000,Trigger)</f>
        <v>1.4345998459553201E-3</v>
      </c>
      <c r="AA32" s="28"/>
    </row>
    <row r="33" spans="1:27" ht="11.25" customHeight="1" x14ac:dyDescent="0.2">
      <c r="A33" s="27"/>
      <c r="B33" s="220" t="str">
        <f t="shared" si="3"/>
        <v>25Y</v>
      </c>
      <c r="C33" s="173" t="str">
        <f t="shared" si="3"/>
        <v>3L</v>
      </c>
      <c r="D33" s="174" t="s">
        <v>267</v>
      </c>
      <c r="E33" s="175" t="str">
        <f t="shared" si="0"/>
        <v>USD3LFF25Y_Quote</v>
      </c>
      <c r="F33" s="175" t="str">
        <f>_xll.qlSimpleQuote(E33,,RateTickValue,Permanent,Trigger,ObjectOverwrite)</f>
        <v>USD3LFF25Y_Quote#0000</v>
      </c>
      <c r="G33" s="221" t="str">
        <f>_xll.ohRangeRetrieveError(F33)</f>
        <v/>
      </c>
      <c r="H33" s="365"/>
      <c r="J33" s="228"/>
      <c r="K33" s="128" t="s">
        <v>61</v>
      </c>
      <c r="L33" s="128" t="s">
        <v>93</v>
      </c>
      <c r="M33" s="128" t="s">
        <v>267</v>
      </c>
      <c r="N33" s="129" t="str">
        <f t="shared" si="4"/>
        <v>USDFF3L25Y</v>
      </c>
      <c r="O33" s="33" t="str">
        <v>USDFF3L25Y=SMKR</v>
      </c>
      <c r="P33" s="397">
        <v>22.25</v>
      </c>
      <c r="Q33" s="397">
        <v>27.25</v>
      </c>
      <c r="R33" s="219">
        <f>_xll.qlMidEquivalent(P33,Q33)</f>
        <v>24.75</v>
      </c>
      <c r="S33" s="230">
        <v>25</v>
      </c>
      <c r="T33" s="36" t="b">
        <f t="shared" si="2"/>
        <v>1</v>
      </c>
      <c r="U33" s="219">
        <v>24.75</v>
      </c>
      <c r="V33" s="140"/>
      <c r="W33" s="225">
        <v>24.75</v>
      </c>
      <c r="X33" s="140"/>
      <c r="Y33" s="219">
        <v>24.75</v>
      </c>
      <c r="Z33" s="133">
        <f>_xll.qlSimpleQuoteSetValue(F33,Y33/10000,Trigger)</f>
        <v>1.4350000000000001E-3</v>
      </c>
      <c r="AA33" s="28"/>
    </row>
    <row r="34" spans="1:27" ht="11.25" customHeight="1" x14ac:dyDescent="0.2">
      <c r="A34" s="27"/>
      <c r="B34" s="220" t="str">
        <f t="shared" si="3"/>
        <v>26Y</v>
      </c>
      <c r="C34" s="173" t="str">
        <f t="shared" si="3"/>
        <v>3L</v>
      </c>
      <c r="D34" s="174" t="s">
        <v>267</v>
      </c>
      <c r="E34" s="175" t="str">
        <f t="shared" si="0"/>
        <v>USD3LFF26Y_Quote</v>
      </c>
      <c r="F34" s="175" t="str">
        <f>_xll.qlSimpleQuote(E34,,RateTickValue,Permanent,Trigger,ObjectOverwrite)</f>
        <v>USD3LFF26Y_Quote#0000</v>
      </c>
      <c r="G34" s="221" t="str">
        <f>_xll.ohRangeRetrieveError(F34)</f>
        <v/>
      </c>
      <c r="H34" s="365"/>
      <c r="J34" s="228"/>
      <c r="K34" s="128" t="s">
        <v>60</v>
      </c>
      <c r="L34" s="128" t="s">
        <v>93</v>
      </c>
      <c r="M34" s="128" t="s">
        <v>267</v>
      </c>
      <c r="N34" s="129" t="str">
        <f t="shared" si="4"/>
        <v>USDFF3L26Y</v>
      </c>
      <c r="O34" s="33" t="str">
        <v>USDFF3L26Y=SMKR</v>
      </c>
      <c r="P34" s="397" t="s">
        <v>253</v>
      </c>
      <c r="Q34" s="397" t="s">
        <v>253</v>
      </c>
      <c r="R34" s="219" t="e">
        <f>_xll.qlMidEquivalent(P34,Q34)</f>
        <v>#NUM!</v>
      </c>
      <c r="S34" s="230">
        <v>26</v>
      </c>
      <c r="T34" s="36" t="b">
        <f t="shared" si="2"/>
        <v>0</v>
      </c>
      <c r="U34" s="219">
        <v>24.76764892426808</v>
      </c>
      <c r="V34" s="140"/>
      <c r="W34" s="225">
        <v>24.76764892426808</v>
      </c>
      <c r="X34" s="140"/>
      <c r="Y34" s="219">
        <v>24.76764892426808</v>
      </c>
      <c r="Z34" s="133">
        <f>_xll.qlSimpleQuoteSetValue(F34,Y34/10000,Trigger)</f>
        <v>1.4367648924268079E-3</v>
      </c>
      <c r="AA34" s="28"/>
    </row>
    <row r="35" spans="1:27" ht="11.25" customHeight="1" x14ac:dyDescent="0.2">
      <c r="A35" s="27"/>
      <c r="B35" s="220" t="str">
        <f t="shared" si="3"/>
        <v>27Y</v>
      </c>
      <c r="C35" s="173" t="str">
        <f t="shared" si="3"/>
        <v>3L</v>
      </c>
      <c r="D35" s="174" t="s">
        <v>267</v>
      </c>
      <c r="E35" s="175" t="str">
        <f t="shared" si="0"/>
        <v>USD3LFF27Y_Quote</v>
      </c>
      <c r="F35" s="175" t="str">
        <f>_xll.qlSimpleQuote(E35,,RateTickValue,Permanent,Trigger,ObjectOverwrite)</f>
        <v>USD3LFF27Y_Quote#0000</v>
      </c>
      <c r="G35" s="221" t="str">
        <f>_xll.ohRangeRetrieveError(F35)</f>
        <v/>
      </c>
      <c r="H35" s="365"/>
      <c r="J35" s="228"/>
      <c r="K35" s="128" t="s">
        <v>59</v>
      </c>
      <c r="L35" s="128" t="s">
        <v>93</v>
      </c>
      <c r="M35" s="128" t="s">
        <v>267</v>
      </c>
      <c r="N35" s="129" t="str">
        <f t="shared" si="4"/>
        <v>USDFF3L27Y</v>
      </c>
      <c r="O35" s="33" t="str">
        <v>USDFF3L27Y=SMKR</v>
      </c>
      <c r="P35" s="397" t="s">
        <v>253</v>
      </c>
      <c r="Q35" s="397" t="s">
        <v>253</v>
      </c>
      <c r="R35" s="219" t="e">
        <f>_xll.qlMidEquivalent(P35,Q35)</f>
        <v>#NUM!</v>
      </c>
      <c r="S35" s="230">
        <v>27</v>
      </c>
      <c r="T35" s="36" t="b">
        <f t="shared" si="2"/>
        <v>0</v>
      </c>
      <c r="U35" s="219">
        <v>24.79086523235744</v>
      </c>
      <c r="V35" s="140"/>
      <c r="W35" s="225">
        <v>24.79086523235744</v>
      </c>
      <c r="X35" s="140"/>
      <c r="Y35" s="219">
        <v>24.79086523235744</v>
      </c>
      <c r="Z35" s="133">
        <f>_xll.qlSimpleQuoteSetValue(F35,Y35/10000,Trigger)</f>
        <v>1.4390865232357438E-3</v>
      </c>
      <c r="AA35" s="28"/>
    </row>
    <row r="36" spans="1:27" ht="11.25" customHeight="1" x14ac:dyDescent="0.2">
      <c r="A36" s="27"/>
      <c r="B36" s="220" t="str">
        <f t="shared" si="3"/>
        <v>28Y</v>
      </c>
      <c r="C36" s="173" t="str">
        <f t="shared" si="3"/>
        <v>3L</v>
      </c>
      <c r="D36" s="174" t="s">
        <v>267</v>
      </c>
      <c r="E36" s="175" t="str">
        <f t="shared" si="0"/>
        <v>USD3LFF28Y_Quote</v>
      </c>
      <c r="F36" s="175" t="str">
        <f>_xll.qlSimpleQuote(E36,,RateTickValue,Permanent,Trigger,ObjectOverwrite)</f>
        <v>USD3LFF28Y_Quote#0000</v>
      </c>
      <c r="G36" s="221" t="str">
        <f>_xll.ohRangeRetrieveError(F36)</f>
        <v/>
      </c>
      <c r="H36" s="365"/>
      <c r="J36" s="228"/>
      <c r="K36" s="128" t="s">
        <v>58</v>
      </c>
      <c r="L36" s="128" t="s">
        <v>93</v>
      </c>
      <c r="M36" s="128" t="s">
        <v>267</v>
      </c>
      <c r="N36" s="129" t="str">
        <f t="shared" si="4"/>
        <v>USDFF3L28Y</v>
      </c>
      <c r="O36" s="33" t="str">
        <v>USDFF3L28Y=SMKR</v>
      </c>
      <c r="P36" s="397" t="s">
        <v>253</v>
      </c>
      <c r="Q36" s="397" t="s">
        <v>253</v>
      </c>
      <c r="R36" s="219" t="e">
        <f>_xll.qlMidEquivalent(P36,Q36)</f>
        <v>#NUM!</v>
      </c>
      <c r="S36" s="230">
        <v>28</v>
      </c>
      <c r="T36" s="36" t="b">
        <f t="shared" si="2"/>
        <v>0</v>
      </c>
      <c r="U36" s="219">
        <v>24.818257078312762</v>
      </c>
      <c r="V36" s="140"/>
      <c r="W36" s="225">
        <v>24.818257078312762</v>
      </c>
      <c r="X36" s="140"/>
      <c r="Y36" s="219">
        <v>24.818257078312762</v>
      </c>
      <c r="Z36" s="133">
        <f>_xll.qlSimpleQuoteSetValue(F36,Y36/10000,Trigger)</f>
        <v>1.4418257078312761E-3</v>
      </c>
      <c r="AA36" s="28"/>
    </row>
    <row r="37" spans="1:27" ht="11.25" customHeight="1" x14ac:dyDescent="0.2">
      <c r="A37" s="27"/>
      <c r="B37" s="220" t="str">
        <f t="shared" si="3"/>
        <v>29Y</v>
      </c>
      <c r="C37" s="173" t="str">
        <f t="shared" si="3"/>
        <v>3L</v>
      </c>
      <c r="D37" s="174" t="s">
        <v>267</v>
      </c>
      <c r="E37" s="175" t="str">
        <f t="shared" si="0"/>
        <v>USD3LFF29Y_Quote</v>
      </c>
      <c r="F37" s="175" t="str">
        <f>_xll.qlSimpleQuote(E37,,RateTickValue,Permanent,Trigger,ObjectOverwrite)</f>
        <v>USD3LFF29Y_Quote#0000</v>
      </c>
      <c r="G37" s="221" t="str">
        <f>_xll.ohRangeRetrieveError(F37)</f>
        <v/>
      </c>
      <c r="H37" s="365"/>
      <c r="J37" s="228"/>
      <c r="K37" s="128" t="s">
        <v>57</v>
      </c>
      <c r="L37" s="128" t="s">
        <v>93</v>
      </c>
      <c r="M37" s="128" t="s">
        <v>267</v>
      </c>
      <c r="N37" s="129" t="str">
        <f t="shared" si="4"/>
        <v>USDFF3L29Y</v>
      </c>
      <c r="O37" s="33" t="str">
        <v>USDFF3L29Y=SMKR</v>
      </c>
      <c r="P37" s="397" t="s">
        <v>253</v>
      </c>
      <c r="Q37" s="397" t="s">
        <v>253</v>
      </c>
      <c r="R37" s="219" t="e">
        <f>_xll.qlMidEquivalent(P37,Q37)</f>
        <v>#NUM!</v>
      </c>
      <c r="S37" s="230">
        <v>29</v>
      </c>
      <c r="T37" s="36" t="b">
        <f t="shared" si="2"/>
        <v>0</v>
      </c>
      <c r="U37" s="219">
        <v>24.848432616178719</v>
      </c>
      <c r="V37" s="140"/>
      <c r="W37" s="225">
        <v>24.848432616178719</v>
      </c>
      <c r="X37" s="140"/>
      <c r="Y37" s="219">
        <v>24.848432616178719</v>
      </c>
      <c r="Z37" s="133">
        <f>_xll.qlSimpleQuoteSetValue(F37,Y37/10000,Trigger)</f>
        <v>1.4448432616178718E-3</v>
      </c>
      <c r="AA37" s="28"/>
    </row>
    <row r="38" spans="1:27" ht="11.25" customHeight="1" x14ac:dyDescent="0.2">
      <c r="A38" s="27"/>
      <c r="B38" s="220" t="str">
        <f t="shared" si="3"/>
        <v>30Y</v>
      </c>
      <c r="C38" s="173" t="str">
        <f t="shared" si="3"/>
        <v>3L</v>
      </c>
      <c r="D38" s="174" t="s">
        <v>267</v>
      </c>
      <c r="E38" s="175" t="str">
        <f t="shared" si="0"/>
        <v>USD3LFF30Y_Quote</v>
      </c>
      <c r="F38" s="175" t="str">
        <f>_xll.qlSimpleQuote(E38,,RateTickValue,Permanent,Trigger,ObjectOverwrite)</f>
        <v>USD3LFF30Y_Quote#0000</v>
      </c>
      <c r="G38" s="221" t="str">
        <f>_xll.ohRangeRetrieveError(F38)</f>
        <v/>
      </c>
      <c r="H38" s="365"/>
      <c r="J38" s="228"/>
      <c r="K38" s="128" t="s">
        <v>56</v>
      </c>
      <c r="L38" s="128" t="s">
        <v>93</v>
      </c>
      <c r="M38" s="128" t="s">
        <v>267</v>
      </c>
      <c r="N38" s="129" t="str">
        <f t="shared" si="4"/>
        <v>USDFF3L30Y</v>
      </c>
      <c r="O38" s="33" t="str">
        <v>USDFF3L30Y=SMKR</v>
      </c>
      <c r="P38" s="397">
        <v>22.38</v>
      </c>
      <c r="Q38" s="397">
        <v>27.38</v>
      </c>
      <c r="R38" s="219">
        <f>_xll.qlMidEquivalent(P38,Q38)</f>
        <v>24.88</v>
      </c>
      <c r="S38" s="230">
        <v>30</v>
      </c>
      <c r="T38" s="36" t="b">
        <f t="shared" si="2"/>
        <v>1</v>
      </c>
      <c r="U38" s="219">
        <v>24.88</v>
      </c>
      <c r="V38" s="140"/>
      <c r="W38" s="225">
        <v>24.88</v>
      </c>
      <c r="X38" s="140"/>
      <c r="Y38" s="219">
        <v>24.88</v>
      </c>
      <c r="Z38" s="133">
        <f>_xll.qlSimpleQuoteSetValue(F38,Y38/10000,Trigger)</f>
        <v>1.4479999999999996E-3</v>
      </c>
      <c r="AA38" s="28"/>
    </row>
    <row r="39" spans="1:27" ht="11.25" customHeight="1" x14ac:dyDescent="0.2">
      <c r="A39" s="27"/>
      <c r="B39" s="220" t="str">
        <f t="shared" si="3"/>
        <v>35Y</v>
      </c>
      <c r="C39" s="173" t="str">
        <f t="shared" si="3"/>
        <v>3L</v>
      </c>
      <c r="D39" s="174" t="s">
        <v>267</v>
      </c>
      <c r="E39" s="175" t="str">
        <f t="shared" si="0"/>
        <v>USD3LFF35Y_Quote</v>
      </c>
      <c r="F39" s="175" t="str">
        <f>_xll.qlSimpleQuote(E39,,RateTickValue,Permanent,Trigger,ObjectOverwrite)</f>
        <v>USD3LFF35Y_Quote#0000</v>
      </c>
      <c r="G39" s="221" t="str">
        <f>_xll.ohRangeRetrieveError(F39)</f>
        <v/>
      </c>
      <c r="H39" s="365"/>
      <c r="J39" s="228"/>
      <c r="K39" s="128" t="s">
        <v>51</v>
      </c>
      <c r="L39" s="128" t="s">
        <v>93</v>
      </c>
      <c r="M39" s="128" t="s">
        <v>267</v>
      </c>
      <c r="N39" s="129" t="str">
        <f t="shared" si="4"/>
        <v>USDFF3L35Y</v>
      </c>
      <c r="O39" s="33" t="str">
        <v>USDFF3L35Y=SMKR</v>
      </c>
      <c r="P39" s="397" t="s">
        <v>253</v>
      </c>
      <c r="Q39" s="397" t="s">
        <v>253</v>
      </c>
      <c r="R39" s="219" t="e">
        <f>_xll.qlMidEquivalent(P39,Q39)</f>
        <v>#NUM!</v>
      </c>
      <c r="S39" s="230">
        <v>35</v>
      </c>
      <c r="T39" s="36" t="b">
        <f t="shared" si="2"/>
        <v>0</v>
      </c>
      <c r="U39" s="234">
        <f>U38</f>
        <v>24.88</v>
      </c>
      <c r="V39" s="140"/>
      <c r="W39" s="234">
        <v>24.88</v>
      </c>
      <c r="X39" s="140"/>
      <c r="Y39" s="234">
        <v>24.88</v>
      </c>
      <c r="Z39" s="133">
        <f>_xll.qlSimpleQuoteSetValue(F39,Y39/10000,Trigger)</f>
        <v>1.4479999999999996E-3</v>
      </c>
      <c r="AA39" s="28"/>
    </row>
    <row r="40" spans="1:27" ht="11.25" customHeight="1" x14ac:dyDescent="0.2">
      <c r="A40" s="27"/>
      <c r="B40" s="220" t="str">
        <f t="shared" si="3"/>
        <v>40Y</v>
      </c>
      <c r="C40" s="173" t="str">
        <f t="shared" si="3"/>
        <v>3L</v>
      </c>
      <c r="D40" s="174" t="s">
        <v>267</v>
      </c>
      <c r="E40" s="175" t="str">
        <f t="shared" si="0"/>
        <v>USD3LFF40Y_Quote</v>
      </c>
      <c r="F40" s="175" t="str">
        <f>_xll.qlSimpleQuote(E40,,RateTickValue,Permanent,Trigger,ObjectOverwrite)</f>
        <v>USD3LFF40Y_Quote#0000</v>
      </c>
      <c r="G40" s="221" t="str">
        <f>_xll.ohRangeRetrieveError(F40)</f>
        <v/>
      </c>
      <c r="H40" s="365"/>
      <c r="J40" s="228"/>
      <c r="K40" s="128" t="s">
        <v>46</v>
      </c>
      <c r="L40" s="128" t="s">
        <v>93</v>
      </c>
      <c r="M40" s="128" t="s">
        <v>267</v>
      </c>
      <c r="N40" s="129" t="str">
        <f t="shared" si="4"/>
        <v>USDFF3L40Y</v>
      </c>
      <c r="O40" s="33" t="str">
        <v>USDFF3L40Y=SMKR</v>
      </c>
      <c r="P40" s="397" t="s">
        <v>253</v>
      </c>
      <c r="Q40" s="397" t="s">
        <v>253</v>
      </c>
      <c r="R40" s="219" t="e">
        <f>_xll.qlMidEquivalent(P40,Q40)</f>
        <v>#NUM!</v>
      </c>
      <c r="S40" s="230">
        <v>40</v>
      </c>
      <c r="T40" s="36" t="b">
        <f t="shared" si="2"/>
        <v>0</v>
      </c>
      <c r="U40" s="234">
        <f>U39</f>
        <v>24.88</v>
      </c>
      <c r="V40" s="140"/>
      <c r="W40" s="234">
        <v>24.88</v>
      </c>
      <c r="X40" s="140"/>
      <c r="Y40" s="234">
        <v>24.88</v>
      </c>
      <c r="Z40" s="133">
        <f>_xll.qlSimpleQuoteSetValue(F40,Y40/10000,Trigger)</f>
        <v>1.4479999999999996E-3</v>
      </c>
      <c r="AA40" s="28"/>
    </row>
    <row r="41" spans="1:27" ht="11.25" customHeight="1" x14ac:dyDescent="0.2">
      <c r="A41" s="27"/>
      <c r="B41" s="220" t="str">
        <f t="shared" si="3"/>
        <v>50Y</v>
      </c>
      <c r="C41" s="173" t="str">
        <f t="shared" si="3"/>
        <v>3L</v>
      </c>
      <c r="D41" s="174" t="s">
        <v>267</v>
      </c>
      <c r="E41" s="175" t="str">
        <f t="shared" si="0"/>
        <v>USD3LFF50Y_Quote</v>
      </c>
      <c r="F41" s="175" t="str">
        <f>_xll.qlSimpleQuote(E41,,RateTickValue,Permanent,Trigger,ObjectOverwrite)</f>
        <v>USD3LFF50Y_Quote#0000</v>
      </c>
      <c r="G41" s="221" t="str">
        <f>_xll.ohRangeRetrieveError(F41)</f>
        <v/>
      </c>
      <c r="H41" s="365"/>
      <c r="J41" s="228"/>
      <c r="K41" s="128" t="s">
        <v>36</v>
      </c>
      <c r="L41" s="128" t="s">
        <v>93</v>
      </c>
      <c r="M41" s="128" t="s">
        <v>267</v>
      </c>
      <c r="N41" s="129" t="str">
        <f t="shared" si="4"/>
        <v>USDFF3L50Y</v>
      </c>
      <c r="O41" s="33" t="str">
        <v>USDFF3L50Y=SMKR</v>
      </c>
      <c r="P41" s="397" t="s">
        <v>253</v>
      </c>
      <c r="Q41" s="397" t="s">
        <v>253</v>
      </c>
      <c r="R41" s="219" t="e">
        <f>_xll.qlMidEquivalent(P41,Q41)</f>
        <v>#NUM!</v>
      </c>
      <c r="S41" s="230">
        <v>50</v>
      </c>
      <c r="T41" s="36" t="b">
        <f t="shared" si="2"/>
        <v>0</v>
      </c>
      <c r="U41" s="234">
        <f>U40</f>
        <v>24.88</v>
      </c>
      <c r="V41" s="140"/>
      <c r="W41" s="234">
        <v>24.88</v>
      </c>
      <c r="X41" s="140"/>
      <c r="Y41" s="234">
        <v>24.88</v>
      </c>
      <c r="Z41" s="133">
        <f>_xll.qlSimpleQuoteSetValue(F41,Y41/10000,Trigger)</f>
        <v>1.4479999999999996E-3</v>
      </c>
      <c r="AA41" s="28"/>
    </row>
    <row r="42" spans="1:27" ht="11.25" customHeight="1" x14ac:dyDescent="0.2">
      <c r="A42" s="27"/>
      <c r="B42" s="222" t="str">
        <f t="shared" si="3"/>
        <v>60Y</v>
      </c>
      <c r="C42" s="178" t="str">
        <f t="shared" si="3"/>
        <v>3L</v>
      </c>
      <c r="D42" s="179" t="s">
        <v>267</v>
      </c>
      <c r="E42" s="180" t="str">
        <f t="shared" si="0"/>
        <v>USD3LFF60Y_Quote</v>
      </c>
      <c r="F42" s="180" t="str">
        <f>_xll.qlSimpleQuote(E42,,RateTickValue,Permanent,Trigger,ObjectOverwrite)</f>
        <v>USD3LFF60Y_Quote#0000</v>
      </c>
      <c r="G42" s="223" t="str">
        <f>_xll.ohRangeRetrieveError(F42)</f>
        <v/>
      </c>
      <c r="H42" s="365"/>
      <c r="J42" s="228"/>
      <c r="K42" s="130" t="s">
        <v>26</v>
      </c>
      <c r="L42" s="130" t="s">
        <v>93</v>
      </c>
      <c r="M42" s="130" t="s">
        <v>267</v>
      </c>
      <c r="N42" s="131" t="str">
        <f t="shared" si="4"/>
        <v>USDFF3L60Y</v>
      </c>
      <c r="O42" s="34" t="str">
        <v>USDFF3L60Y=SMKR</v>
      </c>
      <c r="P42" s="398" t="s">
        <v>253</v>
      </c>
      <c r="Q42" s="398" t="s">
        <v>253</v>
      </c>
      <c r="R42" s="224" t="e">
        <f>_xll.qlMidEquivalent(P42,Q42)</f>
        <v>#NUM!</v>
      </c>
      <c r="S42" s="231">
        <v>60</v>
      </c>
      <c r="T42" s="37" t="b">
        <f t="shared" si="2"/>
        <v>0</v>
      </c>
      <c r="U42" s="235">
        <f>U41</f>
        <v>24.88</v>
      </c>
      <c r="V42" s="140"/>
      <c r="W42" s="235">
        <v>24.88</v>
      </c>
      <c r="X42" s="140"/>
      <c r="Y42" s="235">
        <v>24.88</v>
      </c>
      <c r="Z42" s="134">
        <f>_xll.qlSimpleQuoteSetValue(F42,Y42/10000,Trigger)</f>
        <v>1.4479999999999996E-3</v>
      </c>
      <c r="AA42" s="28"/>
    </row>
    <row r="43" spans="1:27" ht="11.25" customHeight="1" x14ac:dyDescent="0.2">
      <c r="A43" s="117"/>
      <c r="B43" s="366"/>
      <c r="C43" s="366"/>
      <c r="D43" s="366"/>
      <c r="E43" s="366"/>
      <c r="F43" s="119"/>
      <c r="G43" s="119"/>
      <c r="H43" s="367"/>
      <c r="J43" s="117"/>
      <c r="K43" s="366"/>
      <c r="L43" s="366"/>
      <c r="M43" s="366"/>
      <c r="N43" s="366"/>
      <c r="O43" s="366"/>
      <c r="P43" s="366"/>
      <c r="Q43" s="366"/>
      <c r="R43" s="366"/>
      <c r="S43" s="366"/>
      <c r="T43" s="366"/>
      <c r="U43" s="366"/>
      <c r="V43" s="366"/>
      <c r="W43" s="366"/>
      <c r="X43" s="366"/>
      <c r="Y43" s="366"/>
      <c r="Z43" s="366"/>
      <c r="AA43" s="184"/>
    </row>
  </sheetData>
  <conditionalFormatting sqref="Z5:Z42">
    <cfRule type="cellIs" dxfId="7" priority="1" stopIfTrue="1" operator="greaterThan">
      <formula>0</formula>
    </cfRule>
    <cfRule type="cellIs" dxfId="6" priority="2" stopIfTrue="1" operator="lessThan">
      <formula>0</formula>
    </cfRule>
  </conditionalFormatting>
  <dataValidations disablePrompts="1"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B43"/>
  <sheetViews>
    <sheetView showGridLines="0" topLeftCell="I1" workbookViewId="0">
      <selection activeCell="Z2" sqref="Z2"/>
    </sheetView>
  </sheetViews>
  <sheetFormatPr defaultRowHeight="11.25" outlineLevelCol="1" x14ac:dyDescent="0.2"/>
  <cols>
    <col min="1" max="1" width="2.7109375" style="144" hidden="1" customWidth="1" outlineLevel="1"/>
    <col min="2" max="2" width="4.7109375" style="144" hidden="1" customWidth="1" outlineLevel="1"/>
    <col min="3" max="4" width="3" style="144" hidden="1" customWidth="1" outlineLevel="1"/>
    <col min="5" max="5" width="16.7109375" style="144" hidden="1" customWidth="1" outlineLevel="1"/>
    <col min="6" max="6" width="22.7109375" style="145" hidden="1" customWidth="1" outlineLevel="1"/>
    <col min="7" max="7" width="20.7109375" style="144" hidden="1" customWidth="1" outlineLevel="1"/>
    <col min="8" max="8" width="2.7109375" style="144" hidden="1" customWidth="1" outlineLevel="1"/>
    <col min="9" max="9" width="2.7109375" style="144" customWidth="1" collapsed="1"/>
    <col min="10" max="10" width="2.7109375" style="144" customWidth="1"/>
    <col min="11" max="11" width="4.7109375" style="144" customWidth="1"/>
    <col min="12" max="13" width="3" style="144" customWidth="1"/>
    <col min="14" max="14" width="11.7109375" style="144" customWidth="1"/>
    <col min="15" max="15" width="16.7109375" style="144" customWidth="1"/>
    <col min="16" max="18" width="10.7109375" style="144" customWidth="1"/>
    <col min="19" max="20" width="10.7109375" style="144" hidden="1" customWidth="1" outlineLevel="1"/>
    <col min="21" max="21" width="10.7109375" style="144" customWidth="1" collapsed="1"/>
    <col min="22" max="22" width="2.7109375" style="144" customWidth="1"/>
    <col min="23" max="23" width="10.7109375" style="144" customWidth="1"/>
    <col min="24" max="24" width="2.7109375" style="144" customWidth="1"/>
    <col min="25" max="26" width="10.7109375" style="144" customWidth="1"/>
    <col min="27" max="28" width="2.7109375" style="144" customWidth="1"/>
    <col min="29" max="16384" width="9.140625" style="144"/>
  </cols>
  <sheetData>
    <row r="1" spans="1:28" x14ac:dyDescent="0.2">
      <c r="A1" s="88"/>
      <c r="B1" s="79"/>
      <c r="C1" s="79"/>
      <c r="D1" s="79"/>
      <c r="E1" s="79"/>
      <c r="F1" s="93"/>
      <c r="G1" s="79"/>
      <c r="H1" s="80"/>
      <c r="J1" s="88" t="s">
        <v>265</v>
      </c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114"/>
    </row>
    <row r="2" spans="1:28" x14ac:dyDescent="0.2">
      <c r="A2" s="81"/>
      <c r="B2" s="82"/>
      <c r="C2" s="82"/>
      <c r="D2" s="82"/>
      <c r="E2" s="82"/>
      <c r="F2" s="95"/>
      <c r="G2" s="82"/>
      <c r="H2" s="83"/>
      <c r="J2" s="115"/>
      <c r="K2" s="14"/>
      <c r="L2" s="14"/>
      <c r="M2" s="14"/>
      <c r="N2" s="14"/>
      <c r="O2" s="187" t="str">
        <f>VLOOKUP($J$1,AreaTable,AreaIndex,0)</f>
        <v>ICAP LN</v>
      </c>
      <c r="P2" s="14"/>
      <c r="Q2" s="14"/>
      <c r="R2" s="14"/>
      <c r="S2" s="14"/>
      <c r="T2" s="14"/>
      <c r="U2" s="3"/>
      <c r="V2" s="14"/>
      <c r="W2" s="14"/>
      <c r="X2" s="14"/>
      <c r="Y2" s="14"/>
      <c r="Z2" s="55">
        <f>_xll.ohTrigger(Z5:Z42)</f>
        <v>2</v>
      </c>
      <c r="AA2" s="116"/>
    </row>
    <row r="3" spans="1:28" x14ac:dyDescent="0.2">
      <c r="A3" s="84"/>
      <c r="B3" s="3"/>
      <c r="C3" s="3"/>
      <c r="D3" s="3"/>
      <c r="E3" s="82"/>
      <c r="F3" s="95"/>
      <c r="G3" s="82"/>
      <c r="H3" s="116"/>
      <c r="J3" s="27"/>
      <c r="K3" s="14"/>
      <c r="L3" s="3"/>
      <c r="M3" s="3"/>
      <c r="N3" s="3"/>
      <c r="O3" s="14"/>
      <c r="P3" s="3"/>
      <c r="Q3" s="3"/>
      <c r="R3" s="3"/>
      <c r="S3" s="3" t="str">
        <f>_xll.qlInterpolation(,InterpolationType,_xll.ohFilter(S5:S42,T5:T42),_xll.ohFilter(R5:R42,T5:T42))</f>
        <v>obj_00390#0297</v>
      </c>
      <c r="T3" s="3"/>
      <c r="U3" s="3"/>
      <c r="V3" s="14"/>
      <c r="W3" s="14"/>
      <c r="X3" s="14"/>
      <c r="Y3" s="3"/>
      <c r="Z3" s="14"/>
      <c r="AA3" s="28"/>
    </row>
    <row r="4" spans="1:28" ht="22.5" x14ac:dyDescent="0.2">
      <c r="A4" s="27"/>
      <c r="B4" s="48"/>
      <c r="C4" s="48"/>
      <c r="D4" s="48"/>
      <c r="E4" s="49" t="s">
        <v>224</v>
      </c>
      <c r="F4" s="49" t="s">
        <v>225</v>
      </c>
      <c r="G4" s="112" t="s">
        <v>239</v>
      </c>
      <c r="H4" s="116"/>
      <c r="J4" s="215"/>
      <c r="K4" s="187"/>
      <c r="L4" s="50"/>
      <c r="M4" s="50"/>
      <c r="N4" s="50" t="s">
        <v>241</v>
      </c>
      <c r="O4" s="52" t="str">
        <f>_xll.RData(O5:O42,P4:Q4,"RTFEED:IDN",ReutersRtMode,,P5)</f>
        <v>Not Signed In</v>
      </c>
      <c r="P4" s="38" t="s">
        <v>134</v>
      </c>
      <c r="Q4" s="38" t="s">
        <v>133</v>
      </c>
      <c r="R4" s="38" t="s">
        <v>158</v>
      </c>
      <c r="S4" s="38" t="s">
        <v>244</v>
      </c>
      <c r="T4" s="38" t="s">
        <v>243</v>
      </c>
      <c r="U4" s="39" t="s">
        <v>242</v>
      </c>
      <c r="V4" s="14"/>
      <c r="W4" s="38" t="s">
        <v>148</v>
      </c>
      <c r="X4" s="14"/>
      <c r="Y4" s="50" t="s">
        <v>147</v>
      </c>
      <c r="Z4" s="50" t="s">
        <v>146</v>
      </c>
      <c r="AA4" s="28"/>
    </row>
    <row r="5" spans="1:28" s="161" customFormat="1" ht="11.25" customHeight="1" x14ac:dyDescent="0.25">
      <c r="A5" s="27"/>
      <c r="B5" s="128" t="str">
        <f>K5</f>
        <v>6M</v>
      </c>
      <c r="C5" s="166" t="str">
        <f>L5</f>
        <v>3L</v>
      </c>
      <c r="D5" s="167" t="str">
        <f>M5</f>
        <v>1L</v>
      </c>
      <c r="E5" s="168" t="str">
        <f t="shared" ref="E5:E42" si="0">IF(ISBLANK(C5),"#",Currency&amp;$C5&amp;$D5&amp;$B5&amp;QuoteSuffix)</f>
        <v>USD3L1L6M_Quote</v>
      </c>
      <c r="F5" s="168" t="str">
        <f>_xll.qlSimpleQuote(E5,,RateTickValue,Permanent,Trigger,ObjectOverwrite)</f>
        <v>USD3L1L6M_Quote#0000</v>
      </c>
      <c r="G5" s="218" t="str">
        <f>_xll.ohRangeRetrieveError(F5)</f>
        <v/>
      </c>
      <c r="H5" s="116"/>
      <c r="I5" s="144"/>
      <c r="J5" s="227"/>
      <c r="K5" s="128" t="s">
        <v>14</v>
      </c>
      <c r="L5" s="128" t="s">
        <v>93</v>
      </c>
      <c r="M5" s="128" t="s">
        <v>92</v>
      </c>
      <c r="N5" s="129" t="str">
        <f t="shared" ref="N5:N42" si="1">IF(Contributor="ICAP LN",Currency&amp;$L5&amp;$M5&amp;$K5,Currency&amp;$M5&amp;$L5&amp;$K5)</f>
        <v>USD3L1L6M</v>
      </c>
      <c r="O5" s="33" t="str">
        <f t="array" ref="O5:O42">Instruments&amp;"="&amp;VLOOKUP(Contributor,ContributorTable,2,FALSE)</f>
        <v>USD3L1L6M=ICAP</v>
      </c>
      <c r="P5" s="397">
        <v>9.1</v>
      </c>
      <c r="Q5" s="397">
        <v>0</v>
      </c>
      <c r="R5" s="219">
        <f>_xll.qlMidEquivalent(P5,Q5)</f>
        <v>9.1</v>
      </c>
      <c r="S5" s="229">
        <v>0.5</v>
      </c>
      <c r="T5" s="36" t="b">
        <f t="shared" ref="T5:T42" si="2">IF(ISNUMBER(R5),TRUE,FALSE)</f>
        <v>1</v>
      </c>
      <c r="U5" s="219">
        <f t="array" ref="U5:U38">_xll.qlInterpolationInterpolate(S3,S5:S42)</f>
        <v>9.1</v>
      </c>
      <c r="V5" s="140"/>
      <c r="W5" s="225">
        <v>9.1</v>
      </c>
      <c r="X5" s="140"/>
      <c r="Y5" s="226">
        <f t="array" ref="Y5:Y42">QuoteStatic</f>
        <v>9.1</v>
      </c>
      <c r="Z5" s="132">
        <f>_xll.qlSimpleQuoteSetValue(F5,Y5/10000,Trigger)</f>
        <v>-5.9999999999999941E-5</v>
      </c>
      <c r="AA5" s="28"/>
      <c r="AB5" s="144"/>
    </row>
    <row r="6" spans="1:28" s="161" customFormat="1" ht="11.25" customHeight="1" x14ac:dyDescent="0.25">
      <c r="A6" s="27"/>
      <c r="B6" s="128" t="str">
        <f t="shared" ref="B6:B42" si="3">K6</f>
        <v>1Y</v>
      </c>
      <c r="C6" s="173" t="str">
        <f t="shared" ref="C6:C42" si="4">L6</f>
        <v>3L</v>
      </c>
      <c r="D6" s="174" t="str">
        <f t="shared" ref="D6:D42" si="5">M6</f>
        <v>1L</v>
      </c>
      <c r="E6" s="175" t="str">
        <f t="shared" si="0"/>
        <v>USD3L1L1Y_Quote</v>
      </c>
      <c r="F6" s="175" t="str">
        <f>_xll.qlSimpleQuote(E6,,RateTickValue,Permanent,Trigger,ObjectOverwrite)</f>
        <v>USD3L1L1Y_Quote#0000</v>
      </c>
      <c r="G6" s="221" t="str">
        <f>_xll.ohRangeRetrieveError(F6)</f>
        <v/>
      </c>
      <c r="H6" s="116"/>
      <c r="I6" s="144"/>
      <c r="J6" s="227"/>
      <c r="K6" s="128" t="s">
        <v>8</v>
      </c>
      <c r="L6" s="128" t="s">
        <v>93</v>
      </c>
      <c r="M6" s="128" t="s">
        <v>92</v>
      </c>
      <c r="N6" s="129" t="str">
        <f t="shared" si="1"/>
        <v>USD3L1L1Y</v>
      </c>
      <c r="O6" s="33" t="str">
        <v>USD3L1L1Y=ICAP</v>
      </c>
      <c r="P6" s="397">
        <v>9.6999999999999993</v>
      </c>
      <c r="Q6" s="397">
        <v>0</v>
      </c>
      <c r="R6" s="219">
        <f>_xll.qlMidEquivalent(P6,Q6)</f>
        <v>9.6999999999999993</v>
      </c>
      <c r="S6" s="229">
        <v>1</v>
      </c>
      <c r="T6" s="36" t="b">
        <f t="shared" si="2"/>
        <v>1</v>
      </c>
      <c r="U6" s="219">
        <v>9.6999999999999993</v>
      </c>
      <c r="V6" s="140"/>
      <c r="W6" s="225">
        <v>9.6999999999999993</v>
      </c>
      <c r="X6" s="140"/>
      <c r="Y6" s="219">
        <v>9.6999999999999993</v>
      </c>
      <c r="Z6" s="133">
        <f>_xll.qlSimpleQuoteSetValue(F6,Y6/10000,Trigger)</f>
        <v>-1.0000000000000026E-5</v>
      </c>
      <c r="AA6" s="28"/>
      <c r="AB6" s="144"/>
    </row>
    <row r="7" spans="1:28" s="161" customFormat="1" ht="11.25" customHeight="1" x14ac:dyDescent="0.25">
      <c r="A7" s="27"/>
      <c r="B7" s="220" t="str">
        <f t="shared" si="3"/>
        <v>15M</v>
      </c>
      <c r="C7" s="173" t="str">
        <f t="shared" si="4"/>
        <v>3L</v>
      </c>
      <c r="D7" s="174" t="str">
        <f t="shared" si="5"/>
        <v>1L</v>
      </c>
      <c r="E7" s="175" t="str">
        <f t="shared" si="0"/>
        <v>USD3L1L15M_Quote</v>
      </c>
      <c r="F7" s="175" t="str">
        <f>_xll.qlSimpleQuote(E7,,RateTickValue,Permanent,Trigger,ObjectOverwrite)</f>
        <v>USD3L1L15M_Quote#0000</v>
      </c>
      <c r="G7" s="221" t="str">
        <f>_xll.ohRangeRetrieveError(F7)</f>
        <v/>
      </c>
      <c r="H7" s="116"/>
      <c r="J7" s="227"/>
      <c r="K7" s="128" t="s">
        <v>97</v>
      </c>
      <c r="L7" s="128" t="s">
        <v>93</v>
      </c>
      <c r="M7" s="128" t="s">
        <v>92</v>
      </c>
      <c r="N7" s="129" t="str">
        <f t="shared" si="1"/>
        <v>USD3L1L15M</v>
      </c>
      <c r="O7" s="33" t="str">
        <v>USD3L1L15M=ICAP</v>
      </c>
      <c r="P7" s="397" t="s">
        <v>253</v>
      </c>
      <c r="Q7" s="397" t="s">
        <v>253</v>
      </c>
      <c r="R7" s="219" t="e">
        <f>_xll.qlMidEquivalent(P7,Q7)</f>
        <v>#NUM!</v>
      </c>
      <c r="S7" s="229">
        <v>1.25</v>
      </c>
      <c r="T7" s="36" t="b">
        <f t="shared" si="2"/>
        <v>0</v>
      </c>
      <c r="U7" s="219">
        <v>9.9487857393619485</v>
      </c>
      <c r="V7" s="140"/>
      <c r="W7" s="225">
        <v>9.9487857393619485</v>
      </c>
      <c r="X7" s="140"/>
      <c r="Y7" s="219">
        <v>9.9487857393619485</v>
      </c>
      <c r="Z7" s="133">
        <f>_xll.qlSimpleQuoteSetValue(F7,Y7/10000,Trigger)</f>
        <v>6.2878810973671616E-6</v>
      </c>
      <c r="AA7" s="28"/>
      <c r="AB7" s="144"/>
    </row>
    <row r="8" spans="1:28" ht="11.25" customHeight="1" x14ac:dyDescent="0.25">
      <c r="A8" s="27"/>
      <c r="B8" s="220" t="str">
        <f t="shared" si="3"/>
        <v>18M</v>
      </c>
      <c r="C8" s="173" t="str">
        <f t="shared" si="4"/>
        <v>3L</v>
      </c>
      <c r="D8" s="174" t="str">
        <f t="shared" si="5"/>
        <v>1L</v>
      </c>
      <c r="E8" s="175" t="str">
        <f t="shared" si="0"/>
        <v>USD3L1L18M_Quote</v>
      </c>
      <c r="F8" s="175" t="str">
        <f>_xll.qlSimpleQuote(E8,,RateTickValue,Permanent,Trigger,ObjectOverwrite)</f>
        <v>USD3L1L18M_Quote#0000</v>
      </c>
      <c r="G8" s="221" t="str">
        <f>_xll.ohRangeRetrieveError(F8)</f>
        <v/>
      </c>
      <c r="H8" s="116"/>
      <c r="I8" s="161"/>
      <c r="J8" s="228"/>
      <c r="K8" s="128" t="s">
        <v>96</v>
      </c>
      <c r="L8" s="128" t="s">
        <v>93</v>
      </c>
      <c r="M8" s="128" t="s">
        <v>92</v>
      </c>
      <c r="N8" s="129" t="str">
        <f t="shared" si="1"/>
        <v>USD3L1L18M</v>
      </c>
      <c r="O8" s="33" t="str">
        <v>USD3L1L18M=ICAP</v>
      </c>
      <c r="P8" s="397" t="s">
        <v>253</v>
      </c>
      <c r="Q8" s="397" t="s">
        <v>253</v>
      </c>
      <c r="R8" s="219" t="e">
        <f>_xll.qlMidEquivalent(P8,Q8)</f>
        <v>#NUM!</v>
      </c>
      <c r="S8" s="229">
        <v>1.5</v>
      </c>
      <c r="T8" s="36" t="b">
        <f t="shared" si="2"/>
        <v>0</v>
      </c>
      <c r="U8" s="219">
        <v>10.169446478723897</v>
      </c>
      <c r="V8" s="140"/>
      <c r="W8" s="225">
        <v>10.169446478723897</v>
      </c>
      <c r="X8" s="140"/>
      <c r="Y8" s="219">
        <v>10.169446478723897</v>
      </c>
      <c r="Z8" s="133">
        <f>_xll.qlSimpleQuoteSetValue(F8,Y8/10000,Trigger)</f>
        <v>1.6950762194734362E-5</v>
      </c>
      <c r="AA8" s="28"/>
    </row>
    <row r="9" spans="1:28" ht="11.25" customHeight="1" x14ac:dyDescent="0.25">
      <c r="A9" s="27"/>
      <c r="B9" s="220" t="str">
        <f t="shared" si="3"/>
        <v>21M</v>
      </c>
      <c r="C9" s="173" t="str">
        <f t="shared" si="4"/>
        <v>3L</v>
      </c>
      <c r="D9" s="174" t="str">
        <f t="shared" si="5"/>
        <v>1L</v>
      </c>
      <c r="E9" s="175" t="str">
        <f t="shared" si="0"/>
        <v>USD3L1L21M_Quote</v>
      </c>
      <c r="F9" s="175" t="str">
        <f>_xll.qlSimpleQuote(E9,,RateTickValue,Permanent,Trigger,ObjectOverwrite)</f>
        <v>USD3L1L21M_Quote#0000</v>
      </c>
      <c r="G9" s="221" t="str">
        <f>_xll.ohRangeRetrieveError(F9)</f>
        <v/>
      </c>
      <c r="H9" s="116"/>
      <c r="I9" s="161"/>
      <c r="J9" s="228"/>
      <c r="K9" s="128" t="s">
        <v>95</v>
      </c>
      <c r="L9" s="128" t="s">
        <v>93</v>
      </c>
      <c r="M9" s="128" t="s">
        <v>92</v>
      </c>
      <c r="N9" s="129" t="str">
        <f t="shared" si="1"/>
        <v>USD3L1L21M</v>
      </c>
      <c r="O9" s="33" t="str">
        <v>USD3L1L21M=ICAP</v>
      </c>
      <c r="P9" s="397" t="s">
        <v>253</v>
      </c>
      <c r="Q9" s="397" t="s">
        <v>253</v>
      </c>
      <c r="R9" s="219" t="e">
        <f>_xll.qlMidEquivalent(P9,Q9)</f>
        <v>#NUM!</v>
      </c>
      <c r="S9" s="229">
        <v>1.75</v>
      </c>
      <c r="T9" s="36" t="b">
        <f t="shared" si="2"/>
        <v>0</v>
      </c>
      <c r="U9" s="219">
        <v>10.380383978723897</v>
      </c>
      <c r="V9" s="140"/>
      <c r="W9" s="225">
        <v>10.380383978723897</v>
      </c>
      <c r="X9" s="140"/>
      <c r="Y9" s="219">
        <v>10.380383978723897</v>
      </c>
      <c r="Z9" s="133">
        <f>_xll.qlSimpleQuoteSetValue(F9,Y9/10000,Trigger)</f>
        <v>2.4138262194734177E-5</v>
      </c>
      <c r="AA9" s="28"/>
    </row>
    <row r="10" spans="1:28" ht="11.25" customHeight="1" x14ac:dyDescent="0.2">
      <c r="A10" s="27"/>
      <c r="B10" s="220" t="str">
        <f t="shared" si="3"/>
        <v>2Y</v>
      </c>
      <c r="C10" s="173" t="str">
        <f t="shared" si="4"/>
        <v>3L</v>
      </c>
      <c r="D10" s="174" t="str">
        <f t="shared" si="5"/>
        <v>1L</v>
      </c>
      <c r="E10" s="175" t="str">
        <f t="shared" si="0"/>
        <v>USD3L1L2Y_Quote</v>
      </c>
      <c r="F10" s="175" t="str">
        <f>_xll.qlSimpleQuote(E10,,RateTickValue,Permanent,Trigger,ObjectOverwrite)</f>
        <v>USD3L1L2Y_Quote#0000</v>
      </c>
      <c r="G10" s="221" t="str">
        <f>_xll.ohRangeRetrieveError(F10)</f>
        <v/>
      </c>
      <c r="H10" s="116"/>
      <c r="J10" s="228"/>
      <c r="K10" s="128" t="s">
        <v>84</v>
      </c>
      <c r="L10" s="128" t="s">
        <v>93</v>
      </c>
      <c r="M10" s="128" t="s">
        <v>92</v>
      </c>
      <c r="N10" s="129" t="str">
        <f t="shared" si="1"/>
        <v>USD3L1L2Y</v>
      </c>
      <c r="O10" s="33" t="str">
        <v>USD3L1L2Y=ICAP</v>
      </c>
      <c r="P10" s="397">
        <v>10.6</v>
      </c>
      <c r="Q10" s="397">
        <v>0</v>
      </c>
      <c r="R10" s="219">
        <f>_xll.qlMidEquivalent(P10,Q10)</f>
        <v>10.6</v>
      </c>
      <c r="S10" s="230">
        <v>2</v>
      </c>
      <c r="T10" s="36" t="b">
        <f t="shared" si="2"/>
        <v>1</v>
      </c>
      <c r="U10" s="219">
        <v>10.6</v>
      </c>
      <c r="V10" s="140"/>
      <c r="W10" s="225">
        <v>10.6</v>
      </c>
      <c r="X10" s="140"/>
      <c r="Y10" s="219">
        <v>10.6</v>
      </c>
      <c r="Z10" s="133">
        <f>_xll.qlSimpleQuoteSetValue(F10,Y10/10000,Trigger)</f>
        <v>2.9999999999999862E-5</v>
      </c>
      <c r="AA10" s="28"/>
    </row>
    <row r="11" spans="1:28" ht="11.25" customHeight="1" x14ac:dyDescent="0.2">
      <c r="A11" s="27"/>
      <c r="B11" s="220" t="str">
        <f t="shared" si="3"/>
        <v>3Y</v>
      </c>
      <c r="C11" s="173" t="str">
        <f t="shared" si="4"/>
        <v>3L</v>
      </c>
      <c r="D11" s="174" t="str">
        <f t="shared" si="5"/>
        <v>1L</v>
      </c>
      <c r="E11" s="175" t="str">
        <f t="shared" si="0"/>
        <v>USD3L1L3Y_Quote</v>
      </c>
      <c r="F11" s="175" t="str">
        <f>_xll.qlSimpleQuote(E11,,RateTickValue,Permanent,Trigger,ObjectOverwrite)</f>
        <v>USD3L1L3Y_Quote#0000</v>
      </c>
      <c r="G11" s="221" t="str">
        <f>_xll.ohRangeRetrieveError(F11)</f>
        <v/>
      </c>
      <c r="H11" s="116"/>
      <c r="J11" s="228"/>
      <c r="K11" s="128" t="s">
        <v>83</v>
      </c>
      <c r="L11" s="128" t="s">
        <v>93</v>
      </c>
      <c r="M11" s="128" t="s">
        <v>92</v>
      </c>
      <c r="N11" s="129" t="str">
        <f t="shared" si="1"/>
        <v>USD3L1L3Y</v>
      </c>
      <c r="O11" s="33" t="str">
        <v>USD3L1L3Y=ICAP</v>
      </c>
      <c r="P11" s="397">
        <v>11.6</v>
      </c>
      <c r="Q11" s="397">
        <v>0</v>
      </c>
      <c r="R11" s="219">
        <f>_xll.qlMidEquivalent(P11,Q11)</f>
        <v>11.6</v>
      </c>
      <c r="S11" s="230">
        <v>3</v>
      </c>
      <c r="T11" s="36" t="b">
        <f t="shared" si="2"/>
        <v>1</v>
      </c>
      <c r="U11" s="219">
        <v>11.6</v>
      </c>
      <c r="V11" s="140"/>
      <c r="W11" s="225">
        <v>11.6</v>
      </c>
      <c r="X11" s="140"/>
      <c r="Y11" s="219">
        <v>11.6</v>
      </c>
      <c r="Z11" s="133">
        <f>_xll.qlSimpleQuoteSetValue(F11,Y11/10000,Trigger)</f>
        <v>5.0000000000000131E-5</v>
      </c>
      <c r="AA11" s="28"/>
    </row>
    <row r="12" spans="1:28" ht="11.25" customHeight="1" x14ac:dyDescent="0.2">
      <c r="A12" s="27"/>
      <c r="B12" s="220" t="str">
        <f t="shared" si="3"/>
        <v>4Y</v>
      </c>
      <c r="C12" s="173" t="str">
        <f t="shared" si="4"/>
        <v>3L</v>
      </c>
      <c r="D12" s="174" t="str">
        <f t="shared" si="5"/>
        <v>1L</v>
      </c>
      <c r="E12" s="175" t="str">
        <f t="shared" si="0"/>
        <v>USD3L1L4Y_Quote</v>
      </c>
      <c r="F12" s="175" t="str">
        <f>_xll.qlSimpleQuote(E12,,RateTickValue,Permanent,Trigger,ObjectOverwrite)</f>
        <v>USD3L1L4Y_Quote#0000</v>
      </c>
      <c r="G12" s="221" t="str">
        <f>_xll.ohRangeRetrieveError(F12)</f>
        <v/>
      </c>
      <c r="H12" s="116"/>
      <c r="J12" s="228"/>
      <c r="K12" s="128" t="s">
        <v>82</v>
      </c>
      <c r="L12" s="128" t="s">
        <v>93</v>
      </c>
      <c r="M12" s="128" t="s">
        <v>92</v>
      </c>
      <c r="N12" s="129" t="str">
        <f t="shared" si="1"/>
        <v>USD3L1L4Y</v>
      </c>
      <c r="O12" s="33" t="str">
        <v>USD3L1L4Y=ICAP</v>
      </c>
      <c r="P12" s="397">
        <v>12.4</v>
      </c>
      <c r="Q12" s="397">
        <v>0</v>
      </c>
      <c r="R12" s="219">
        <f>_xll.qlMidEquivalent(P12,Q12)</f>
        <v>12.4</v>
      </c>
      <c r="S12" s="230">
        <v>4</v>
      </c>
      <c r="T12" s="36" t="b">
        <f t="shared" si="2"/>
        <v>1</v>
      </c>
      <c r="U12" s="219">
        <v>12.4</v>
      </c>
      <c r="V12" s="140"/>
      <c r="W12" s="225">
        <v>12.4</v>
      </c>
      <c r="X12" s="140"/>
      <c r="Y12" s="219">
        <v>12.4</v>
      </c>
      <c r="Z12" s="133">
        <f>_xll.qlSimpleQuoteSetValue(F12,Y12/10000,Trigger)</f>
        <v>4.9999999999999914E-5</v>
      </c>
      <c r="AA12" s="28"/>
    </row>
    <row r="13" spans="1:28" ht="11.25" customHeight="1" x14ac:dyDescent="0.2">
      <c r="A13" s="27"/>
      <c r="B13" s="220" t="str">
        <f t="shared" si="3"/>
        <v>5Y</v>
      </c>
      <c r="C13" s="173" t="str">
        <f t="shared" si="4"/>
        <v>3L</v>
      </c>
      <c r="D13" s="174" t="str">
        <f t="shared" si="5"/>
        <v>1L</v>
      </c>
      <c r="E13" s="175" t="str">
        <f t="shared" si="0"/>
        <v>USD3L1L5Y_Quote</v>
      </c>
      <c r="F13" s="175" t="str">
        <f>_xll.qlSimpleQuote(E13,,RateTickValue,Permanent,Trigger,ObjectOverwrite)</f>
        <v>USD3L1L5Y_Quote#0000</v>
      </c>
      <c r="G13" s="221" t="str">
        <f>_xll.ohRangeRetrieveError(F13)</f>
        <v/>
      </c>
      <c r="H13" s="116"/>
      <c r="J13" s="228"/>
      <c r="K13" s="128" t="s">
        <v>81</v>
      </c>
      <c r="L13" s="128" t="s">
        <v>93</v>
      </c>
      <c r="M13" s="128" t="s">
        <v>92</v>
      </c>
      <c r="N13" s="129" t="str">
        <f t="shared" si="1"/>
        <v>USD3L1L5Y</v>
      </c>
      <c r="O13" s="33" t="str">
        <v>USD3L1L5Y=ICAP</v>
      </c>
      <c r="P13" s="397">
        <v>12.9</v>
      </c>
      <c r="Q13" s="397">
        <v>0</v>
      </c>
      <c r="R13" s="219">
        <f>_xll.qlMidEquivalent(P13,Q13)</f>
        <v>12.9</v>
      </c>
      <c r="S13" s="230">
        <v>5</v>
      </c>
      <c r="T13" s="36" t="b">
        <f t="shared" si="2"/>
        <v>1</v>
      </c>
      <c r="U13" s="219">
        <v>12.9</v>
      </c>
      <c r="V13" s="140"/>
      <c r="W13" s="225">
        <v>12.9</v>
      </c>
      <c r="X13" s="140"/>
      <c r="Y13" s="219">
        <v>12.9</v>
      </c>
      <c r="Z13" s="133">
        <f>_xll.qlSimpleQuoteSetValue(F13,Y13/10000,Trigger)</f>
        <v>7.0000000000000184E-5</v>
      </c>
      <c r="AA13" s="28"/>
    </row>
    <row r="14" spans="1:28" ht="11.25" customHeight="1" x14ac:dyDescent="0.2">
      <c r="A14" s="27"/>
      <c r="B14" s="220" t="str">
        <f t="shared" si="3"/>
        <v>6Y</v>
      </c>
      <c r="C14" s="173" t="str">
        <f t="shared" si="4"/>
        <v>3L</v>
      </c>
      <c r="D14" s="174" t="str">
        <f t="shared" si="5"/>
        <v>1L</v>
      </c>
      <c r="E14" s="175" t="str">
        <f t="shared" si="0"/>
        <v>USD3L1L6Y_Quote</v>
      </c>
      <c r="F14" s="175" t="str">
        <f>_xll.qlSimpleQuote(E14,,RateTickValue,Permanent,Trigger,ObjectOverwrite)</f>
        <v>USD3L1L6Y_Quote#0000</v>
      </c>
      <c r="G14" s="221" t="str">
        <f>_xll.ohRangeRetrieveError(F14)</f>
        <v/>
      </c>
      <c r="H14" s="116"/>
      <c r="J14" s="228"/>
      <c r="K14" s="128" t="s">
        <v>80</v>
      </c>
      <c r="L14" s="128" t="s">
        <v>93</v>
      </c>
      <c r="M14" s="128" t="s">
        <v>92</v>
      </c>
      <c r="N14" s="129" t="str">
        <f t="shared" si="1"/>
        <v>USD3L1L6Y</v>
      </c>
      <c r="O14" s="33" t="str">
        <v>USD3L1L6Y=ICAP</v>
      </c>
      <c r="P14" s="397">
        <v>12.7</v>
      </c>
      <c r="Q14" s="397">
        <v>0</v>
      </c>
      <c r="R14" s="219">
        <f>_xll.qlMidEquivalent(P14,Q14)</f>
        <v>12.7</v>
      </c>
      <c r="S14" s="230">
        <v>6</v>
      </c>
      <c r="T14" s="36" t="b">
        <f t="shared" si="2"/>
        <v>1</v>
      </c>
      <c r="U14" s="219">
        <v>12.7</v>
      </c>
      <c r="V14" s="140"/>
      <c r="W14" s="225">
        <v>12.7</v>
      </c>
      <c r="X14" s="140"/>
      <c r="Y14" s="219">
        <v>12.7</v>
      </c>
      <c r="Z14" s="133">
        <f>_xll.qlSimpleQuoteSetValue(F14,Y14/10000,Trigger)</f>
        <v>5.9999999999999941E-5</v>
      </c>
      <c r="AA14" s="28"/>
    </row>
    <row r="15" spans="1:28" ht="11.25" customHeight="1" x14ac:dyDescent="0.2">
      <c r="A15" s="27"/>
      <c r="B15" s="220" t="str">
        <f t="shared" si="3"/>
        <v>7Y</v>
      </c>
      <c r="C15" s="173" t="str">
        <f t="shared" si="4"/>
        <v>3L</v>
      </c>
      <c r="D15" s="174" t="str">
        <f t="shared" si="5"/>
        <v>1L</v>
      </c>
      <c r="E15" s="175" t="str">
        <f t="shared" si="0"/>
        <v>USD3L1L7Y_Quote</v>
      </c>
      <c r="F15" s="175" t="str">
        <f>_xll.qlSimpleQuote(E15,,RateTickValue,Permanent,Trigger,ObjectOverwrite)</f>
        <v>USD3L1L7Y_Quote#0000</v>
      </c>
      <c r="G15" s="221" t="str">
        <f>_xll.ohRangeRetrieveError(F15)</f>
        <v/>
      </c>
      <c r="H15" s="116"/>
      <c r="J15" s="228"/>
      <c r="K15" s="128" t="s">
        <v>79</v>
      </c>
      <c r="L15" s="128" t="s">
        <v>93</v>
      </c>
      <c r="M15" s="128" t="s">
        <v>92</v>
      </c>
      <c r="N15" s="129" t="str">
        <f t="shared" si="1"/>
        <v>USD3L1L7Y</v>
      </c>
      <c r="O15" s="33" t="str">
        <v>USD3L1L7Y=ICAP</v>
      </c>
      <c r="P15" s="397">
        <v>12.5</v>
      </c>
      <c r="Q15" s="397">
        <v>0</v>
      </c>
      <c r="R15" s="219">
        <f>_xll.qlMidEquivalent(P15,Q15)</f>
        <v>12.5</v>
      </c>
      <c r="S15" s="230">
        <v>7</v>
      </c>
      <c r="T15" s="36" t="b">
        <f t="shared" si="2"/>
        <v>1</v>
      </c>
      <c r="U15" s="219">
        <v>12.5</v>
      </c>
      <c r="V15" s="140"/>
      <c r="W15" s="225">
        <v>12.5</v>
      </c>
      <c r="X15" s="140"/>
      <c r="Y15" s="219">
        <v>12.5</v>
      </c>
      <c r="Z15" s="133">
        <f>_xll.qlSimpleQuoteSetValue(F15,Y15/10000,Trigger)</f>
        <v>6.9999999999999967E-5</v>
      </c>
      <c r="AA15" s="28"/>
    </row>
    <row r="16" spans="1:28" ht="11.25" customHeight="1" x14ac:dyDescent="0.2">
      <c r="A16" s="27"/>
      <c r="B16" s="220" t="str">
        <f t="shared" si="3"/>
        <v>8Y</v>
      </c>
      <c r="C16" s="173" t="str">
        <f t="shared" si="4"/>
        <v>3L</v>
      </c>
      <c r="D16" s="174" t="str">
        <f t="shared" si="5"/>
        <v>1L</v>
      </c>
      <c r="E16" s="175" t="str">
        <f t="shared" si="0"/>
        <v>USD3L1L8Y_Quote</v>
      </c>
      <c r="F16" s="175" t="str">
        <f>_xll.qlSimpleQuote(E16,,RateTickValue,Permanent,Trigger,ObjectOverwrite)</f>
        <v>USD3L1L8Y_Quote#0000</v>
      </c>
      <c r="G16" s="221" t="str">
        <f>_xll.ohRangeRetrieveError(F16)</f>
        <v/>
      </c>
      <c r="H16" s="116"/>
      <c r="J16" s="228"/>
      <c r="K16" s="128" t="s">
        <v>78</v>
      </c>
      <c r="L16" s="128" t="s">
        <v>93</v>
      </c>
      <c r="M16" s="128" t="s">
        <v>92</v>
      </c>
      <c r="N16" s="129" t="str">
        <f t="shared" si="1"/>
        <v>USD3L1L8Y</v>
      </c>
      <c r="O16" s="33" t="str">
        <v>USD3L1L8Y=ICAP</v>
      </c>
      <c r="P16" s="397">
        <v>12.3</v>
      </c>
      <c r="Q16" s="397">
        <v>0</v>
      </c>
      <c r="R16" s="219">
        <f>_xll.qlMidEquivalent(P16,Q16)</f>
        <v>12.3</v>
      </c>
      <c r="S16" s="230">
        <v>8</v>
      </c>
      <c r="T16" s="36" t="b">
        <f t="shared" si="2"/>
        <v>1</v>
      </c>
      <c r="U16" s="219">
        <v>12.3</v>
      </c>
      <c r="V16" s="140"/>
      <c r="W16" s="225">
        <v>12.3</v>
      </c>
      <c r="X16" s="140"/>
      <c r="Y16" s="219">
        <v>12.3</v>
      </c>
      <c r="Z16" s="133">
        <f>_xll.qlSimpleQuoteSetValue(F16,Y16/10000,Trigger)</f>
        <v>7.9999999999999993E-5</v>
      </c>
      <c r="AA16" s="28"/>
    </row>
    <row r="17" spans="1:27" ht="11.25" customHeight="1" x14ac:dyDescent="0.2">
      <c r="A17" s="27"/>
      <c r="B17" s="220" t="str">
        <f t="shared" si="3"/>
        <v>9Y</v>
      </c>
      <c r="C17" s="173" t="str">
        <f t="shared" si="4"/>
        <v>3L</v>
      </c>
      <c r="D17" s="174" t="str">
        <f t="shared" si="5"/>
        <v>1L</v>
      </c>
      <c r="E17" s="175" t="str">
        <f t="shared" si="0"/>
        <v>USD3L1L9Y_Quote</v>
      </c>
      <c r="F17" s="175" t="str">
        <f>_xll.qlSimpleQuote(E17,,RateTickValue,Permanent,Trigger,ObjectOverwrite)</f>
        <v>USD3L1L9Y_Quote#0000</v>
      </c>
      <c r="G17" s="221" t="str">
        <f>_xll.ohRangeRetrieveError(F17)</f>
        <v/>
      </c>
      <c r="H17" s="116"/>
      <c r="J17" s="228"/>
      <c r="K17" s="128" t="s">
        <v>77</v>
      </c>
      <c r="L17" s="128" t="s">
        <v>93</v>
      </c>
      <c r="M17" s="128" t="s">
        <v>92</v>
      </c>
      <c r="N17" s="129" t="str">
        <f t="shared" si="1"/>
        <v>USD3L1L9Y</v>
      </c>
      <c r="O17" s="33" t="str">
        <v>USD3L1L9Y=ICAP</v>
      </c>
      <c r="P17" s="397">
        <v>11.9</v>
      </c>
      <c r="Q17" s="397">
        <v>0</v>
      </c>
      <c r="R17" s="219">
        <f>_xll.qlMidEquivalent(P17,Q17)</f>
        <v>11.9</v>
      </c>
      <c r="S17" s="230">
        <v>9</v>
      </c>
      <c r="T17" s="36" t="b">
        <f t="shared" si="2"/>
        <v>1</v>
      </c>
      <c r="U17" s="219">
        <v>11.9</v>
      </c>
      <c r="V17" s="140"/>
      <c r="W17" s="225">
        <v>11.9</v>
      </c>
      <c r="X17" s="140"/>
      <c r="Y17" s="219">
        <v>11.9</v>
      </c>
      <c r="Z17" s="133">
        <f>_xll.qlSimpleQuoteSetValue(F17,Y17/10000,Trigger)</f>
        <v>7.0000000000000184E-5</v>
      </c>
      <c r="AA17" s="28"/>
    </row>
    <row r="18" spans="1:27" ht="11.25" customHeight="1" x14ac:dyDescent="0.2">
      <c r="A18" s="27"/>
      <c r="B18" s="220" t="str">
        <f t="shared" si="3"/>
        <v>10Y</v>
      </c>
      <c r="C18" s="173" t="str">
        <f t="shared" si="4"/>
        <v>3L</v>
      </c>
      <c r="D18" s="174" t="str">
        <f t="shared" si="5"/>
        <v>1L</v>
      </c>
      <c r="E18" s="175" t="str">
        <f t="shared" si="0"/>
        <v>USD3L1L10Y_Quote</v>
      </c>
      <c r="F18" s="175" t="str">
        <f>_xll.qlSimpleQuote(E18,,RateTickValue,Permanent,Trigger,ObjectOverwrite)</f>
        <v>USD3L1L10Y_Quote#0000</v>
      </c>
      <c r="G18" s="221" t="str">
        <f>_xll.ohRangeRetrieveError(F18)</f>
        <v/>
      </c>
      <c r="H18" s="116"/>
      <c r="J18" s="228"/>
      <c r="K18" s="128" t="s">
        <v>76</v>
      </c>
      <c r="L18" s="128" t="s">
        <v>93</v>
      </c>
      <c r="M18" s="128" t="s">
        <v>92</v>
      </c>
      <c r="N18" s="129" t="str">
        <f t="shared" si="1"/>
        <v>USD3L1L10Y</v>
      </c>
      <c r="O18" s="33" t="str">
        <v>USD3L1L10Y=ICAP</v>
      </c>
      <c r="P18" s="397">
        <v>11.6</v>
      </c>
      <c r="Q18" s="397">
        <v>0</v>
      </c>
      <c r="R18" s="219">
        <f>_xll.qlMidEquivalent(P18,Q18)</f>
        <v>11.6</v>
      </c>
      <c r="S18" s="230">
        <v>10</v>
      </c>
      <c r="T18" s="36" t="b">
        <f t="shared" si="2"/>
        <v>1</v>
      </c>
      <c r="U18" s="219">
        <v>11.6</v>
      </c>
      <c r="V18" s="140"/>
      <c r="W18" s="225">
        <v>11.6</v>
      </c>
      <c r="X18" s="140"/>
      <c r="Y18" s="219">
        <v>11.6</v>
      </c>
      <c r="Z18" s="133">
        <f>_xll.qlSimpleQuoteSetValue(F18,Y18/10000,Trigger)</f>
        <v>6.9999999999999967E-5</v>
      </c>
      <c r="AA18" s="28"/>
    </row>
    <row r="19" spans="1:27" ht="11.25" customHeight="1" x14ac:dyDescent="0.2">
      <c r="A19" s="27"/>
      <c r="B19" s="220" t="str">
        <f t="shared" si="3"/>
        <v>11Y</v>
      </c>
      <c r="C19" s="173" t="str">
        <f t="shared" si="4"/>
        <v>3L</v>
      </c>
      <c r="D19" s="174" t="str">
        <f t="shared" si="5"/>
        <v>1L</v>
      </c>
      <c r="E19" s="175" t="str">
        <f t="shared" si="0"/>
        <v>USD3L1L11Y_Quote</v>
      </c>
      <c r="F19" s="175" t="str">
        <f>_xll.qlSimpleQuote(E19,,RateTickValue,Permanent,Trigger,ObjectOverwrite)</f>
        <v>USD3L1L11Y_Quote#0000</v>
      </c>
      <c r="G19" s="221" t="str">
        <f>_xll.ohRangeRetrieveError(F19)</f>
        <v/>
      </c>
      <c r="H19" s="116"/>
      <c r="J19" s="228"/>
      <c r="K19" s="128" t="s">
        <v>75</v>
      </c>
      <c r="L19" s="128" t="s">
        <v>93</v>
      </c>
      <c r="M19" s="128" t="s">
        <v>92</v>
      </c>
      <c r="N19" s="129" t="str">
        <f t="shared" si="1"/>
        <v>USD3L1L11Y</v>
      </c>
      <c r="O19" s="33" t="str">
        <v>USD3L1L11Y=ICAP</v>
      </c>
      <c r="P19" s="397" t="s">
        <v>253</v>
      </c>
      <c r="Q19" s="397" t="s">
        <v>253</v>
      </c>
      <c r="R19" s="219" t="e">
        <f>_xll.qlMidEquivalent(P19,Q19)</f>
        <v>#NUM!</v>
      </c>
      <c r="S19" s="230">
        <v>11</v>
      </c>
      <c r="T19" s="36" t="b">
        <f t="shared" si="2"/>
        <v>0</v>
      </c>
      <c r="U19" s="219">
        <v>11.379856104519948</v>
      </c>
      <c r="V19" s="140"/>
      <c r="W19" s="225">
        <v>11.379856104519948</v>
      </c>
      <c r="X19" s="140"/>
      <c r="Y19" s="219">
        <v>11.379856104519948</v>
      </c>
      <c r="Z19" s="133">
        <f>_xll.qlSimpleQuoteSetValue(F19,Y19/10000,Trigger)</f>
        <v>7.1556410184209912E-5</v>
      </c>
      <c r="AA19" s="28"/>
    </row>
    <row r="20" spans="1:27" ht="11.25" customHeight="1" x14ac:dyDescent="0.2">
      <c r="A20" s="27"/>
      <c r="B20" s="220" t="str">
        <f t="shared" si="3"/>
        <v>12Y</v>
      </c>
      <c r="C20" s="173" t="str">
        <f t="shared" si="4"/>
        <v>3L</v>
      </c>
      <c r="D20" s="174" t="str">
        <f t="shared" si="5"/>
        <v>1L</v>
      </c>
      <c r="E20" s="175" t="str">
        <f t="shared" si="0"/>
        <v>USD3L1L12Y_Quote</v>
      </c>
      <c r="F20" s="175" t="str">
        <f>_xll.qlSimpleQuote(E20,,RateTickValue,Permanent,Trigger,ObjectOverwrite)</f>
        <v>USD3L1L12Y_Quote#0000</v>
      </c>
      <c r="G20" s="221" t="str">
        <f>_xll.ohRangeRetrieveError(F20)</f>
        <v/>
      </c>
      <c r="H20" s="116"/>
      <c r="J20" s="228"/>
      <c r="K20" s="128" t="s">
        <v>74</v>
      </c>
      <c r="L20" s="128" t="s">
        <v>93</v>
      </c>
      <c r="M20" s="128" t="s">
        <v>92</v>
      </c>
      <c r="N20" s="129" t="str">
        <f t="shared" si="1"/>
        <v>USD3L1L12Y</v>
      </c>
      <c r="O20" s="33" t="str">
        <v>USD3L1L12Y=ICAP</v>
      </c>
      <c r="P20" s="397">
        <v>11.2</v>
      </c>
      <c r="Q20" s="397">
        <v>0</v>
      </c>
      <c r="R20" s="219">
        <f>_xll.qlMidEquivalent(P20,Q20)</f>
        <v>11.2</v>
      </c>
      <c r="S20" s="230">
        <v>12</v>
      </c>
      <c r="T20" s="36" t="b">
        <f t="shared" si="2"/>
        <v>1</v>
      </c>
      <c r="U20" s="219">
        <v>11.2</v>
      </c>
      <c r="V20" s="140"/>
      <c r="W20" s="225">
        <v>11.2</v>
      </c>
      <c r="X20" s="140"/>
      <c r="Y20" s="219">
        <v>11.2</v>
      </c>
      <c r="Z20" s="133">
        <f>_xll.qlSimpleQuoteSetValue(F20,Y20/10000,Trigger)</f>
        <v>6.9999999999999967E-5</v>
      </c>
      <c r="AA20" s="28"/>
    </row>
    <row r="21" spans="1:27" ht="11.25" customHeight="1" x14ac:dyDescent="0.2">
      <c r="A21" s="27"/>
      <c r="B21" s="220" t="str">
        <f t="shared" si="3"/>
        <v>13Y</v>
      </c>
      <c r="C21" s="173" t="str">
        <f t="shared" si="4"/>
        <v>3L</v>
      </c>
      <c r="D21" s="174" t="str">
        <f t="shared" si="5"/>
        <v>1L</v>
      </c>
      <c r="E21" s="175" t="str">
        <f t="shared" si="0"/>
        <v>USD3L1L13Y_Quote</v>
      </c>
      <c r="F21" s="175" t="str">
        <f>_xll.qlSimpleQuote(E21,,RateTickValue,Permanent,Trigger,ObjectOverwrite)</f>
        <v>USD3L1L13Y_Quote#0000</v>
      </c>
      <c r="G21" s="221" t="str">
        <f>_xll.ohRangeRetrieveError(F21)</f>
        <v/>
      </c>
      <c r="H21" s="116"/>
      <c r="J21" s="228"/>
      <c r="K21" s="128" t="s">
        <v>73</v>
      </c>
      <c r="L21" s="128" t="s">
        <v>93</v>
      </c>
      <c r="M21" s="128" t="s">
        <v>92</v>
      </c>
      <c r="N21" s="129" t="str">
        <f t="shared" si="1"/>
        <v>USD3L1L13Y</v>
      </c>
      <c r="O21" s="33" t="str">
        <v>USD3L1L13Y=ICAP</v>
      </c>
      <c r="P21" s="397" t="s">
        <v>253</v>
      </c>
      <c r="Q21" s="397" t="s">
        <v>253</v>
      </c>
      <c r="R21" s="219" t="e">
        <f>_xll.qlMidEquivalent(P21,Q21)</f>
        <v>#NUM!</v>
      </c>
      <c r="S21" s="230">
        <v>13</v>
      </c>
      <c r="T21" s="36" t="b">
        <f t="shared" si="2"/>
        <v>0</v>
      </c>
      <c r="U21" s="219">
        <v>11.052447115947567</v>
      </c>
      <c r="V21" s="140"/>
      <c r="W21" s="225">
        <v>11.052447115947567</v>
      </c>
      <c r="X21" s="140"/>
      <c r="Y21" s="219">
        <v>11.052447115947567</v>
      </c>
      <c r="Z21" s="133">
        <f>_xll.qlSimpleQuoteSetValue(F21,Y21/10000,Trigger)</f>
        <v>6.5985512439821004E-5</v>
      </c>
      <c r="AA21" s="28"/>
    </row>
    <row r="22" spans="1:27" ht="11.25" customHeight="1" x14ac:dyDescent="0.2">
      <c r="A22" s="27"/>
      <c r="B22" s="220" t="str">
        <f t="shared" si="3"/>
        <v>14Y</v>
      </c>
      <c r="C22" s="173" t="str">
        <f t="shared" si="4"/>
        <v>3L</v>
      </c>
      <c r="D22" s="174" t="str">
        <f t="shared" si="5"/>
        <v>1L</v>
      </c>
      <c r="E22" s="175" t="str">
        <f t="shared" si="0"/>
        <v>USD3L1L14Y_Quote</v>
      </c>
      <c r="F22" s="175" t="str">
        <f>_xll.qlSimpleQuote(E22,,RateTickValue,Permanent,Trigger,ObjectOverwrite)</f>
        <v>USD3L1L14Y_Quote#0000</v>
      </c>
      <c r="G22" s="221" t="str">
        <f>_xll.ohRangeRetrieveError(F22)</f>
        <v/>
      </c>
      <c r="H22" s="116"/>
      <c r="J22" s="228"/>
      <c r="K22" s="128" t="s">
        <v>72</v>
      </c>
      <c r="L22" s="128" t="s">
        <v>93</v>
      </c>
      <c r="M22" s="128" t="s">
        <v>92</v>
      </c>
      <c r="N22" s="129" t="str">
        <f t="shared" si="1"/>
        <v>USD3L1L14Y</v>
      </c>
      <c r="O22" s="33" t="str">
        <v>USD3L1L14Y=ICAP</v>
      </c>
      <c r="P22" s="397" t="s">
        <v>253</v>
      </c>
      <c r="Q22" s="397" t="s">
        <v>253</v>
      </c>
      <c r="R22" s="219" t="e">
        <f>_xll.qlMidEquivalent(P22,Q22)</f>
        <v>#NUM!</v>
      </c>
      <c r="S22" s="230">
        <v>14</v>
      </c>
      <c r="T22" s="36" t="b">
        <f t="shared" si="2"/>
        <v>0</v>
      </c>
      <c r="U22" s="219">
        <v>10.947492240158322</v>
      </c>
      <c r="V22" s="140"/>
      <c r="W22" s="225">
        <v>10.947492240158322</v>
      </c>
      <c r="X22" s="140"/>
      <c r="Y22" s="219">
        <v>10.947492240158322</v>
      </c>
      <c r="Z22" s="133">
        <f>_xll.qlSimpleQuoteSetValue(F22,Y22/10000,Trigger)</f>
        <v>6.1841846660586671E-5</v>
      </c>
      <c r="AA22" s="28"/>
    </row>
    <row r="23" spans="1:27" ht="11.25" customHeight="1" x14ac:dyDescent="0.2">
      <c r="A23" s="27"/>
      <c r="B23" s="220" t="str">
        <f t="shared" si="3"/>
        <v>15Y</v>
      </c>
      <c r="C23" s="173" t="str">
        <f t="shared" si="4"/>
        <v>3L</v>
      </c>
      <c r="D23" s="174" t="str">
        <f t="shared" si="5"/>
        <v>1L</v>
      </c>
      <c r="E23" s="175" t="str">
        <f t="shared" si="0"/>
        <v>USD3L1L15Y_Quote</v>
      </c>
      <c r="F23" s="175" t="str">
        <f>_xll.qlSimpleQuote(E23,,RateTickValue,Permanent,Trigger,ObjectOverwrite)</f>
        <v>USD3L1L15Y_Quote#0000</v>
      </c>
      <c r="G23" s="221" t="str">
        <f>_xll.ohRangeRetrieveError(F23)</f>
        <v/>
      </c>
      <c r="H23" s="116"/>
      <c r="J23" s="228"/>
      <c r="K23" s="128" t="s">
        <v>71</v>
      </c>
      <c r="L23" s="128" t="s">
        <v>93</v>
      </c>
      <c r="M23" s="128" t="s">
        <v>92</v>
      </c>
      <c r="N23" s="129" t="str">
        <f t="shared" si="1"/>
        <v>USD3L1L15Y</v>
      </c>
      <c r="O23" s="33" t="str">
        <v>USD3L1L15Y=ICAP</v>
      </c>
      <c r="P23" s="397">
        <v>10.9</v>
      </c>
      <c r="Q23" s="397">
        <v>0</v>
      </c>
      <c r="R23" s="219">
        <f>_xll.qlMidEquivalent(P23,Q23)</f>
        <v>10.9</v>
      </c>
      <c r="S23" s="230">
        <v>15</v>
      </c>
      <c r="T23" s="36" t="b">
        <f t="shared" si="2"/>
        <v>1</v>
      </c>
      <c r="U23" s="219">
        <v>10.9</v>
      </c>
      <c r="V23" s="140"/>
      <c r="W23" s="225">
        <v>10.9</v>
      </c>
      <c r="X23" s="140"/>
      <c r="Y23" s="219">
        <v>10.9</v>
      </c>
      <c r="Z23" s="133">
        <f>_xll.qlSimpleQuoteSetValue(F23,Y23/10000,Trigger)</f>
        <v>5.9999999999999941E-5</v>
      </c>
      <c r="AA23" s="28"/>
    </row>
    <row r="24" spans="1:27" ht="11.25" customHeight="1" x14ac:dyDescent="0.2">
      <c r="A24" s="27"/>
      <c r="B24" s="220" t="str">
        <f t="shared" si="3"/>
        <v>16Y</v>
      </c>
      <c r="C24" s="173" t="str">
        <f t="shared" si="4"/>
        <v>3L</v>
      </c>
      <c r="D24" s="174" t="str">
        <f t="shared" si="5"/>
        <v>1L</v>
      </c>
      <c r="E24" s="175" t="str">
        <f t="shared" si="0"/>
        <v>USD3L1L16Y_Quote</v>
      </c>
      <c r="F24" s="175" t="str">
        <f>_xll.qlSimpleQuote(E24,,RateTickValue,Permanent,Trigger,ObjectOverwrite)</f>
        <v>USD3L1L16Y_Quote#0000</v>
      </c>
      <c r="G24" s="221" t="str">
        <f>_xll.ohRangeRetrieveError(F24)</f>
        <v/>
      </c>
      <c r="H24" s="116"/>
      <c r="J24" s="228"/>
      <c r="K24" s="128" t="s">
        <v>70</v>
      </c>
      <c r="L24" s="128" t="s">
        <v>93</v>
      </c>
      <c r="M24" s="128" t="s">
        <v>92</v>
      </c>
      <c r="N24" s="129" t="str">
        <f t="shared" si="1"/>
        <v>USD3L1L16Y</v>
      </c>
      <c r="O24" s="33" t="str">
        <v>USD3L1L16Y=ICAP</v>
      </c>
      <c r="P24" s="397" t="s">
        <v>253</v>
      </c>
      <c r="Q24" s="397" t="s">
        <v>253</v>
      </c>
      <c r="R24" s="219" t="e">
        <f>_xll.qlMidEquivalent(P24,Q24)</f>
        <v>#NUM!</v>
      </c>
      <c r="S24" s="230">
        <v>16</v>
      </c>
      <c r="T24" s="36" t="b">
        <f t="shared" si="2"/>
        <v>0</v>
      </c>
      <c r="U24" s="219">
        <v>10.918877100507991</v>
      </c>
      <c r="V24" s="140"/>
      <c r="W24" s="225">
        <v>10.918877100507991</v>
      </c>
      <c r="X24" s="140"/>
      <c r="Y24" s="219">
        <v>10.918877100507991</v>
      </c>
      <c r="Z24" s="133">
        <f>_xll.qlSimpleQuoteSetValue(F24,Y24/10000,Trigger)</f>
        <v>6.3087710050799056E-5</v>
      </c>
      <c r="AA24" s="28"/>
    </row>
    <row r="25" spans="1:27" ht="11.25" customHeight="1" x14ac:dyDescent="0.2">
      <c r="A25" s="27"/>
      <c r="B25" s="220" t="str">
        <f t="shared" si="3"/>
        <v>17Y</v>
      </c>
      <c r="C25" s="173" t="str">
        <f t="shared" si="4"/>
        <v>3L</v>
      </c>
      <c r="D25" s="174" t="str">
        <f t="shared" si="5"/>
        <v>1L</v>
      </c>
      <c r="E25" s="175" t="str">
        <f t="shared" si="0"/>
        <v>USD3L1L17Y_Quote</v>
      </c>
      <c r="F25" s="175" t="str">
        <f>_xll.qlSimpleQuote(E25,,RateTickValue,Permanent,Trigger,ObjectOverwrite)</f>
        <v>USD3L1L17Y_Quote#0000</v>
      </c>
      <c r="G25" s="221" t="str">
        <f>_xll.ohRangeRetrieveError(F25)</f>
        <v/>
      </c>
      <c r="H25" s="116"/>
      <c r="J25" s="228"/>
      <c r="K25" s="128" t="s">
        <v>69</v>
      </c>
      <c r="L25" s="128" t="s">
        <v>93</v>
      </c>
      <c r="M25" s="128" t="s">
        <v>92</v>
      </c>
      <c r="N25" s="129" t="str">
        <f t="shared" si="1"/>
        <v>USD3L1L17Y</v>
      </c>
      <c r="O25" s="33" t="str">
        <v>USD3L1L17Y=ICAP</v>
      </c>
      <c r="P25" s="397" t="s">
        <v>253</v>
      </c>
      <c r="Q25" s="397" t="s">
        <v>253</v>
      </c>
      <c r="R25" s="219" t="e">
        <f>_xll.qlMidEquivalent(P25,Q25)</f>
        <v>#NUM!</v>
      </c>
      <c r="S25" s="230">
        <v>17</v>
      </c>
      <c r="T25" s="36" t="b">
        <f t="shared" si="2"/>
        <v>0</v>
      </c>
      <c r="U25" s="219">
        <v>10.989198557388315</v>
      </c>
      <c r="V25" s="140"/>
      <c r="W25" s="225">
        <v>10.989198557388315</v>
      </c>
      <c r="X25" s="140"/>
      <c r="Y25" s="219">
        <v>10.989198557388315</v>
      </c>
      <c r="Z25" s="133">
        <f>_xll.qlSimpleQuoteSetValue(F25,Y25/10000,Trigger)</f>
        <v>7.0719855738831479E-5</v>
      </c>
      <c r="AA25" s="28"/>
    </row>
    <row r="26" spans="1:27" ht="11.25" customHeight="1" x14ac:dyDescent="0.2">
      <c r="A26" s="27"/>
      <c r="B26" s="220" t="str">
        <f t="shared" si="3"/>
        <v>18Y</v>
      </c>
      <c r="C26" s="173" t="str">
        <f t="shared" si="4"/>
        <v>3L</v>
      </c>
      <c r="D26" s="174" t="str">
        <f t="shared" si="5"/>
        <v>1L</v>
      </c>
      <c r="E26" s="175" t="str">
        <f t="shared" si="0"/>
        <v>USD3L1L18Y_Quote</v>
      </c>
      <c r="F26" s="175" t="str">
        <f>_xll.qlSimpleQuote(E26,,RateTickValue,Permanent,Trigger,ObjectOverwrite)</f>
        <v>USD3L1L18Y_Quote#0000</v>
      </c>
      <c r="G26" s="221" t="str">
        <f>_xll.ohRangeRetrieveError(F26)</f>
        <v/>
      </c>
      <c r="H26" s="116"/>
      <c r="J26" s="228"/>
      <c r="K26" s="128" t="s">
        <v>68</v>
      </c>
      <c r="L26" s="128" t="s">
        <v>93</v>
      </c>
      <c r="M26" s="128" t="s">
        <v>92</v>
      </c>
      <c r="N26" s="129" t="str">
        <f t="shared" si="1"/>
        <v>USD3L1L18Y</v>
      </c>
      <c r="O26" s="33" t="str">
        <v>USD3L1L18Y=ICAP</v>
      </c>
      <c r="P26" s="397" t="s">
        <v>253</v>
      </c>
      <c r="Q26" s="397" t="s">
        <v>253</v>
      </c>
      <c r="R26" s="219" t="e">
        <f>_xll.qlMidEquivalent(P26,Q26)</f>
        <v>#NUM!</v>
      </c>
      <c r="S26" s="230">
        <v>18</v>
      </c>
      <c r="T26" s="36" t="b">
        <f t="shared" si="2"/>
        <v>0</v>
      </c>
      <c r="U26" s="219">
        <v>11.090081464014641</v>
      </c>
      <c r="V26" s="140"/>
      <c r="W26" s="225">
        <v>11.090081464014641</v>
      </c>
      <c r="X26" s="140"/>
      <c r="Y26" s="219">
        <v>11.090081464014641</v>
      </c>
      <c r="Z26" s="133">
        <f>_xll.qlSimpleQuoteSetValue(F26,Y26/10000,Trigger)</f>
        <v>8.0808146401464224E-5</v>
      </c>
      <c r="AA26" s="28"/>
    </row>
    <row r="27" spans="1:27" ht="11.25" customHeight="1" x14ac:dyDescent="0.2">
      <c r="A27" s="27"/>
      <c r="B27" s="220" t="str">
        <f t="shared" si="3"/>
        <v>19Y</v>
      </c>
      <c r="C27" s="173" t="str">
        <f t="shared" si="4"/>
        <v>3L</v>
      </c>
      <c r="D27" s="174" t="str">
        <f t="shared" si="5"/>
        <v>1L</v>
      </c>
      <c r="E27" s="175" t="str">
        <f t="shared" si="0"/>
        <v>USD3L1L19Y_Quote</v>
      </c>
      <c r="F27" s="175" t="str">
        <f>_xll.qlSimpleQuote(E27,,RateTickValue,Permanent,Trigger,ObjectOverwrite)</f>
        <v>USD3L1L19Y_Quote#0000</v>
      </c>
      <c r="G27" s="221" t="str">
        <f>_xll.ohRangeRetrieveError(F27)</f>
        <v/>
      </c>
      <c r="H27" s="116"/>
      <c r="J27" s="228"/>
      <c r="K27" s="128" t="s">
        <v>67</v>
      </c>
      <c r="L27" s="128" t="s">
        <v>93</v>
      </c>
      <c r="M27" s="128" t="s">
        <v>92</v>
      </c>
      <c r="N27" s="129" t="str">
        <f t="shared" si="1"/>
        <v>USD3L1L19Y</v>
      </c>
      <c r="O27" s="33" t="str">
        <v>USD3L1L19Y=ICAP</v>
      </c>
      <c r="P27" s="397" t="s">
        <v>253</v>
      </c>
      <c r="Q27" s="397" t="s">
        <v>253</v>
      </c>
      <c r="R27" s="219" t="e">
        <f>_xll.qlMidEquivalent(P27,Q27)</f>
        <v>#NUM!</v>
      </c>
      <c r="S27" s="230">
        <v>19</v>
      </c>
      <c r="T27" s="36" t="b">
        <f t="shared" si="2"/>
        <v>0</v>
      </c>
      <c r="U27" s="219">
        <v>11.200642913760646</v>
      </c>
      <c r="V27" s="140"/>
      <c r="W27" s="225">
        <v>11.200642913760646</v>
      </c>
      <c r="X27" s="140"/>
      <c r="Y27" s="219">
        <v>11.200642913760646</v>
      </c>
      <c r="Z27" s="133">
        <f>_xll.qlSimpleQuoteSetValue(F27,Y27/10000,Trigger)</f>
        <v>9.1264291376064524E-5</v>
      </c>
      <c r="AA27" s="28"/>
    </row>
    <row r="28" spans="1:27" ht="11.25" customHeight="1" x14ac:dyDescent="0.2">
      <c r="A28" s="27"/>
      <c r="B28" s="220" t="str">
        <f t="shared" si="3"/>
        <v>20Y</v>
      </c>
      <c r="C28" s="173" t="str">
        <f t="shared" si="4"/>
        <v>3L</v>
      </c>
      <c r="D28" s="174" t="str">
        <f t="shared" si="5"/>
        <v>1L</v>
      </c>
      <c r="E28" s="175" t="str">
        <f t="shared" si="0"/>
        <v>USD3L1L20Y_Quote</v>
      </c>
      <c r="F28" s="175" t="str">
        <f>_xll.qlSimpleQuote(E28,,RateTickValue,Permanent,Trigger,ObjectOverwrite)</f>
        <v>USD3L1L20Y_Quote#0000</v>
      </c>
      <c r="G28" s="221" t="str">
        <f>_xll.ohRangeRetrieveError(F28)</f>
        <v/>
      </c>
      <c r="H28" s="116"/>
      <c r="J28" s="228"/>
      <c r="K28" s="128" t="s">
        <v>66</v>
      </c>
      <c r="L28" s="128" t="s">
        <v>93</v>
      </c>
      <c r="M28" s="128" t="s">
        <v>92</v>
      </c>
      <c r="N28" s="129" t="str">
        <f t="shared" si="1"/>
        <v>USD3L1L20Y</v>
      </c>
      <c r="O28" s="33" t="str">
        <v>USD3L1L20Y=ICAP</v>
      </c>
      <c r="P28" s="397">
        <v>11.3</v>
      </c>
      <c r="Q28" s="397">
        <v>0</v>
      </c>
      <c r="R28" s="219">
        <f>_xll.qlMidEquivalent(P28,Q28)</f>
        <v>11.3</v>
      </c>
      <c r="S28" s="230">
        <v>20</v>
      </c>
      <c r="T28" s="36" t="b">
        <f t="shared" si="2"/>
        <v>1</v>
      </c>
      <c r="U28" s="219">
        <v>11.3</v>
      </c>
      <c r="V28" s="140"/>
      <c r="W28" s="225">
        <v>11.3</v>
      </c>
      <c r="X28" s="140"/>
      <c r="Y28" s="219">
        <v>11.3</v>
      </c>
      <c r="Z28" s="133">
        <f>_xll.qlSimpleQuoteSetValue(F28,Y28/10000,Trigger)</f>
        <v>1.0000000000000005E-4</v>
      </c>
      <c r="AA28" s="28"/>
    </row>
    <row r="29" spans="1:27" ht="11.25" customHeight="1" x14ac:dyDescent="0.2">
      <c r="A29" s="27"/>
      <c r="B29" s="220" t="str">
        <f t="shared" si="3"/>
        <v>21Y</v>
      </c>
      <c r="C29" s="173" t="str">
        <f t="shared" si="4"/>
        <v>3L</v>
      </c>
      <c r="D29" s="174" t="str">
        <f t="shared" si="5"/>
        <v>1L</v>
      </c>
      <c r="E29" s="175" t="str">
        <f t="shared" si="0"/>
        <v>USD3L1L21Y_Quote</v>
      </c>
      <c r="F29" s="175" t="str">
        <f>_xll.qlSimpleQuote(E29,,RateTickValue,Permanent,Trigger,ObjectOverwrite)</f>
        <v>USD3L1L21Y_Quote#0000</v>
      </c>
      <c r="G29" s="221" t="str">
        <f>_xll.ohRangeRetrieveError(F29)</f>
        <v/>
      </c>
      <c r="H29" s="116"/>
      <c r="J29" s="228"/>
      <c r="K29" s="128" t="s">
        <v>65</v>
      </c>
      <c r="L29" s="128" t="s">
        <v>93</v>
      </c>
      <c r="M29" s="128" t="s">
        <v>92</v>
      </c>
      <c r="N29" s="129" t="str">
        <f t="shared" si="1"/>
        <v>USD3L1L21Y</v>
      </c>
      <c r="O29" s="33" t="str">
        <v>USD3L1L21Y=ICAP</v>
      </c>
      <c r="P29" s="397" t="s">
        <v>253</v>
      </c>
      <c r="Q29" s="397" t="s">
        <v>253</v>
      </c>
      <c r="R29" s="219" t="e">
        <f>_xll.qlMidEquivalent(P29,Q29)</f>
        <v>#NUM!</v>
      </c>
      <c r="S29" s="230">
        <v>21</v>
      </c>
      <c r="T29" s="36" t="b">
        <f t="shared" si="2"/>
        <v>0</v>
      </c>
      <c r="U29" s="219">
        <v>11.372087270132976</v>
      </c>
      <c r="V29" s="140"/>
      <c r="W29" s="225">
        <v>11.372087270132976</v>
      </c>
      <c r="X29" s="140"/>
      <c r="Y29" s="219">
        <v>11.372087270132976</v>
      </c>
      <c r="Z29" s="133">
        <f>_xll.qlSimpleQuoteSetValue(F29,Y29/10000,Trigger)</f>
        <v>1.0520872701329773E-4</v>
      </c>
      <c r="AA29" s="28"/>
    </row>
    <row r="30" spans="1:27" ht="11.25" customHeight="1" x14ac:dyDescent="0.2">
      <c r="A30" s="27"/>
      <c r="B30" s="220" t="str">
        <f t="shared" si="3"/>
        <v>22Y</v>
      </c>
      <c r="C30" s="173" t="str">
        <f t="shared" si="4"/>
        <v>3L</v>
      </c>
      <c r="D30" s="174" t="str">
        <f t="shared" si="5"/>
        <v>1L</v>
      </c>
      <c r="E30" s="175" t="str">
        <f t="shared" si="0"/>
        <v>USD3L1L22Y_Quote</v>
      </c>
      <c r="F30" s="175" t="str">
        <f>_xll.qlSimpleQuote(E30,,RateTickValue,Permanent,Trigger,ObjectOverwrite)</f>
        <v>USD3L1L22Y_Quote#0000</v>
      </c>
      <c r="G30" s="221" t="str">
        <f>_xll.ohRangeRetrieveError(F30)</f>
        <v/>
      </c>
      <c r="H30" s="116"/>
      <c r="J30" s="228"/>
      <c r="K30" s="128" t="s">
        <v>64</v>
      </c>
      <c r="L30" s="128" t="s">
        <v>93</v>
      </c>
      <c r="M30" s="128" t="s">
        <v>92</v>
      </c>
      <c r="N30" s="129" t="str">
        <f t="shared" si="1"/>
        <v>USD3L1L22Y</v>
      </c>
      <c r="O30" s="33" t="str">
        <v>USD3L1L22Y=ICAP</v>
      </c>
      <c r="P30" s="397" t="s">
        <v>253</v>
      </c>
      <c r="Q30" s="397" t="s">
        <v>253</v>
      </c>
      <c r="R30" s="219" t="e">
        <f>_xll.qlMidEquivalent(P30,Q30)</f>
        <v>#NUM!</v>
      </c>
      <c r="S30" s="230">
        <v>22</v>
      </c>
      <c r="T30" s="36" t="b">
        <f t="shared" si="2"/>
        <v>0</v>
      </c>
      <c r="U30" s="219">
        <v>11.420109087666219</v>
      </c>
      <c r="V30" s="140"/>
      <c r="W30" s="225">
        <v>11.420109087666219</v>
      </c>
      <c r="X30" s="140"/>
      <c r="Y30" s="219">
        <v>11.420109087666219</v>
      </c>
      <c r="Z30" s="133">
        <f>_xll.qlSimpleQuoteSetValue(F30,Y30/10000,Trigger)</f>
        <v>1.0741090876662191E-4</v>
      </c>
      <c r="AA30" s="28"/>
    </row>
    <row r="31" spans="1:27" ht="11.25" customHeight="1" x14ac:dyDescent="0.2">
      <c r="A31" s="27"/>
      <c r="B31" s="220" t="str">
        <f t="shared" si="3"/>
        <v>23Y</v>
      </c>
      <c r="C31" s="173" t="str">
        <f t="shared" si="4"/>
        <v>3L</v>
      </c>
      <c r="D31" s="174" t="str">
        <f t="shared" si="5"/>
        <v>1L</v>
      </c>
      <c r="E31" s="175" t="str">
        <f t="shared" si="0"/>
        <v>USD3L1L23Y_Quote</v>
      </c>
      <c r="F31" s="175" t="str">
        <f>_xll.qlSimpleQuote(E31,,RateTickValue,Permanent,Trigger,ObjectOverwrite)</f>
        <v>USD3L1L23Y_Quote#0000</v>
      </c>
      <c r="G31" s="221" t="str">
        <f>_xll.ohRangeRetrieveError(F31)</f>
        <v/>
      </c>
      <c r="H31" s="116"/>
      <c r="J31" s="228"/>
      <c r="K31" s="128" t="s">
        <v>63</v>
      </c>
      <c r="L31" s="128" t="s">
        <v>93</v>
      </c>
      <c r="M31" s="128" t="s">
        <v>92</v>
      </c>
      <c r="N31" s="129" t="str">
        <f t="shared" si="1"/>
        <v>USD3L1L23Y</v>
      </c>
      <c r="O31" s="33" t="str">
        <v>USD3L1L23Y=ICAP</v>
      </c>
      <c r="P31" s="397" t="s">
        <v>253</v>
      </c>
      <c r="Q31" s="397" t="s">
        <v>253</v>
      </c>
      <c r="R31" s="219" t="e">
        <f>_xll.qlMidEquivalent(P31,Q31)</f>
        <v>#NUM!</v>
      </c>
      <c r="S31" s="230">
        <v>23</v>
      </c>
      <c r="T31" s="36" t="b">
        <f t="shared" si="2"/>
        <v>0</v>
      </c>
      <c r="U31" s="219">
        <v>11.452087270132976</v>
      </c>
      <c r="V31" s="140"/>
      <c r="W31" s="225">
        <v>11.452087270132976</v>
      </c>
      <c r="X31" s="140"/>
      <c r="Y31" s="219">
        <v>11.452087270132976</v>
      </c>
      <c r="Z31" s="133">
        <f>_xll.qlSimpleQuoteSetValue(F31,Y31/10000,Trigger)</f>
        <v>1.0800872701329759E-4</v>
      </c>
      <c r="AA31" s="28"/>
    </row>
    <row r="32" spans="1:27" ht="11.25" customHeight="1" x14ac:dyDescent="0.2">
      <c r="A32" s="27"/>
      <c r="B32" s="220" t="str">
        <f t="shared" si="3"/>
        <v>24Y</v>
      </c>
      <c r="C32" s="173" t="str">
        <f t="shared" si="4"/>
        <v>3L</v>
      </c>
      <c r="D32" s="174" t="str">
        <f t="shared" si="5"/>
        <v>1L</v>
      </c>
      <c r="E32" s="175" t="str">
        <f t="shared" si="0"/>
        <v>USD3L1L24Y_Quote</v>
      </c>
      <c r="F32" s="175" t="str">
        <f>_xll.qlSimpleQuote(E32,,RateTickValue,Permanent,Trigger,ObjectOverwrite)</f>
        <v>USD3L1L24Y_Quote#0000</v>
      </c>
      <c r="G32" s="221" t="str">
        <f>_xll.ohRangeRetrieveError(F32)</f>
        <v/>
      </c>
      <c r="H32" s="116"/>
      <c r="J32" s="228"/>
      <c r="K32" s="128" t="s">
        <v>62</v>
      </c>
      <c r="L32" s="128" t="s">
        <v>93</v>
      </c>
      <c r="M32" s="128" t="s">
        <v>92</v>
      </c>
      <c r="N32" s="129" t="str">
        <f t="shared" si="1"/>
        <v>USD3L1L24Y</v>
      </c>
      <c r="O32" s="33" t="str">
        <v>USD3L1L24Y=ICAP</v>
      </c>
      <c r="P32" s="397" t="s">
        <v>253</v>
      </c>
      <c r="Q32" s="397" t="s">
        <v>253</v>
      </c>
      <c r="R32" s="219" t="e">
        <f>_xll.qlMidEquivalent(P32,Q32)</f>
        <v>#NUM!</v>
      </c>
      <c r="S32" s="230">
        <v>24</v>
      </c>
      <c r="T32" s="36" t="b">
        <f t="shared" si="2"/>
        <v>0</v>
      </c>
      <c r="U32" s="219">
        <v>11.476043635066487</v>
      </c>
      <c r="V32" s="140"/>
      <c r="W32" s="225">
        <v>11.476043635066487</v>
      </c>
      <c r="X32" s="140"/>
      <c r="Y32" s="219">
        <v>11.476043635066487</v>
      </c>
      <c r="Z32" s="133">
        <f>_xll.qlSimpleQuoteSetValue(F32,Y32/10000,Trigger)</f>
        <v>1.0840436350664871E-4</v>
      </c>
      <c r="AA32" s="28"/>
    </row>
    <row r="33" spans="1:27" ht="11.25" customHeight="1" x14ac:dyDescent="0.2">
      <c r="A33" s="27"/>
      <c r="B33" s="220" t="str">
        <f t="shared" si="3"/>
        <v>25Y</v>
      </c>
      <c r="C33" s="173" t="str">
        <f t="shared" si="4"/>
        <v>3L</v>
      </c>
      <c r="D33" s="174" t="str">
        <f t="shared" si="5"/>
        <v>1L</v>
      </c>
      <c r="E33" s="175" t="str">
        <f t="shared" si="0"/>
        <v>USD3L1L25Y_Quote</v>
      </c>
      <c r="F33" s="175" t="str">
        <f>_xll.qlSimpleQuote(E33,,RateTickValue,Permanent,Trigger,ObjectOverwrite)</f>
        <v>USD3L1L25Y_Quote#0000</v>
      </c>
      <c r="G33" s="221" t="str">
        <f>_xll.ohRangeRetrieveError(F33)</f>
        <v/>
      </c>
      <c r="H33" s="116"/>
      <c r="J33" s="228"/>
      <c r="K33" s="128" t="s">
        <v>61</v>
      </c>
      <c r="L33" s="128" t="s">
        <v>93</v>
      </c>
      <c r="M33" s="128" t="s">
        <v>92</v>
      </c>
      <c r="N33" s="129" t="str">
        <f t="shared" si="1"/>
        <v>USD3L1L25Y</v>
      </c>
      <c r="O33" s="33" t="str">
        <v>USD3L1L25Y=ICAP</v>
      </c>
      <c r="P33" s="397">
        <v>11.5</v>
      </c>
      <c r="Q33" s="397">
        <v>0</v>
      </c>
      <c r="R33" s="219">
        <f>_xll.qlMidEquivalent(P33,Q33)</f>
        <v>11.5</v>
      </c>
      <c r="S33" s="230">
        <v>25</v>
      </c>
      <c r="T33" s="36" t="b">
        <f t="shared" si="2"/>
        <v>1</v>
      </c>
      <c r="U33" s="219">
        <v>11.5</v>
      </c>
      <c r="V33" s="140"/>
      <c r="W33" s="225">
        <v>11.5</v>
      </c>
      <c r="X33" s="140"/>
      <c r="Y33" s="219">
        <v>11.5</v>
      </c>
      <c r="Z33" s="133">
        <f>_xll.qlSimpleQuoteSetValue(F33,Y33/10000,Trigger)</f>
        <v>1.0999999999999985E-4</v>
      </c>
      <c r="AA33" s="28"/>
    </row>
    <row r="34" spans="1:27" ht="11.25" customHeight="1" x14ac:dyDescent="0.2">
      <c r="A34" s="27"/>
      <c r="B34" s="220" t="str">
        <f t="shared" si="3"/>
        <v>26Y</v>
      </c>
      <c r="C34" s="173" t="str">
        <f t="shared" si="4"/>
        <v>3L</v>
      </c>
      <c r="D34" s="174" t="str">
        <f t="shared" si="5"/>
        <v>1L</v>
      </c>
      <c r="E34" s="175" t="str">
        <f t="shared" si="0"/>
        <v>USD3L1L26Y_Quote</v>
      </c>
      <c r="F34" s="175" t="str">
        <f>_xll.qlSimpleQuote(E34,,RateTickValue,Permanent,Trigger,ObjectOverwrite)</f>
        <v>USD3L1L26Y_Quote#0000</v>
      </c>
      <c r="G34" s="221" t="str">
        <f>_xll.ohRangeRetrieveError(F34)</f>
        <v/>
      </c>
      <c r="H34" s="116"/>
      <c r="J34" s="228"/>
      <c r="K34" s="128" t="s">
        <v>60</v>
      </c>
      <c r="L34" s="128" t="s">
        <v>93</v>
      </c>
      <c r="M34" s="128" t="s">
        <v>92</v>
      </c>
      <c r="N34" s="129" t="str">
        <f t="shared" si="1"/>
        <v>USD3L1L26Y</v>
      </c>
      <c r="O34" s="33" t="str">
        <v>USD3L1L26Y=ICAP</v>
      </c>
      <c r="P34" s="397" t="s">
        <v>253</v>
      </c>
      <c r="Q34" s="397" t="s">
        <v>253</v>
      </c>
      <c r="R34" s="219" t="e">
        <f>_xll.qlMidEquivalent(P34,Q34)</f>
        <v>#NUM!</v>
      </c>
      <c r="S34" s="230">
        <v>26</v>
      </c>
      <c r="T34" s="36" t="b">
        <f t="shared" si="2"/>
        <v>0</v>
      </c>
      <c r="U34" s="219">
        <v>11.530373818960108</v>
      </c>
      <c r="V34" s="140"/>
      <c r="W34" s="225">
        <v>11.530373818960108</v>
      </c>
      <c r="X34" s="140"/>
      <c r="Y34" s="219">
        <v>11.530373818960108</v>
      </c>
      <c r="Z34" s="133">
        <f>_xll.qlSimpleQuoteSetValue(F34,Y34/10000,Trigger)</f>
        <v>1.1303738189601055E-4</v>
      </c>
      <c r="AA34" s="28"/>
    </row>
    <row r="35" spans="1:27" ht="11.25" customHeight="1" x14ac:dyDescent="0.2">
      <c r="A35" s="27"/>
      <c r="B35" s="220" t="str">
        <f t="shared" si="3"/>
        <v>27Y</v>
      </c>
      <c r="C35" s="173" t="str">
        <f t="shared" si="4"/>
        <v>3L</v>
      </c>
      <c r="D35" s="174" t="str">
        <f t="shared" si="5"/>
        <v>1L</v>
      </c>
      <c r="E35" s="175" t="str">
        <f t="shared" si="0"/>
        <v>USD3L1L27Y_Quote</v>
      </c>
      <c r="F35" s="175" t="str">
        <f>_xll.qlSimpleQuote(E35,,RateTickValue,Permanent,Trigger,ObjectOverwrite)</f>
        <v>USD3L1L27Y_Quote#0000</v>
      </c>
      <c r="G35" s="221" t="str">
        <f>_xll.ohRangeRetrieveError(F35)</f>
        <v/>
      </c>
      <c r="H35" s="116"/>
      <c r="J35" s="228"/>
      <c r="K35" s="128" t="s">
        <v>59</v>
      </c>
      <c r="L35" s="128" t="s">
        <v>93</v>
      </c>
      <c r="M35" s="128" t="s">
        <v>92</v>
      </c>
      <c r="N35" s="129" t="str">
        <f t="shared" si="1"/>
        <v>USD3L1L27Y</v>
      </c>
      <c r="O35" s="33" t="str">
        <v>USD3L1L27Y=ICAP</v>
      </c>
      <c r="P35" s="397" t="s">
        <v>253</v>
      </c>
      <c r="Q35" s="397" t="s">
        <v>253</v>
      </c>
      <c r="R35" s="219" t="e">
        <f>_xll.qlMidEquivalent(P35,Q35)</f>
        <v>#NUM!</v>
      </c>
      <c r="S35" s="230">
        <v>27</v>
      </c>
      <c r="T35" s="36" t="b">
        <f t="shared" si="2"/>
        <v>0</v>
      </c>
      <c r="U35" s="219">
        <v>11.56716509194681</v>
      </c>
      <c r="V35" s="140"/>
      <c r="W35" s="225">
        <v>11.56716509194681</v>
      </c>
      <c r="X35" s="140"/>
      <c r="Y35" s="219">
        <v>11.56716509194681</v>
      </c>
      <c r="Z35" s="133">
        <f>_xll.qlSimpleQuoteSetValue(F35,Y35/10000,Trigger)</f>
        <v>1.1671650919468099E-4</v>
      </c>
      <c r="AA35" s="28"/>
    </row>
    <row r="36" spans="1:27" ht="11.25" customHeight="1" x14ac:dyDescent="0.2">
      <c r="A36" s="27"/>
      <c r="B36" s="220" t="str">
        <f t="shared" si="3"/>
        <v>28Y</v>
      </c>
      <c r="C36" s="173" t="str">
        <f t="shared" si="4"/>
        <v>3L</v>
      </c>
      <c r="D36" s="174" t="str">
        <f t="shared" si="5"/>
        <v>1L</v>
      </c>
      <c r="E36" s="175" t="str">
        <f t="shared" si="0"/>
        <v>USD3L1L28Y_Quote</v>
      </c>
      <c r="F36" s="175" t="str">
        <f>_xll.qlSimpleQuote(E36,,RateTickValue,Permanent,Trigger,ObjectOverwrite)</f>
        <v>USD3L1L28Y_Quote#0000</v>
      </c>
      <c r="G36" s="221" t="str">
        <f>_xll.ohRangeRetrieveError(F36)</f>
        <v/>
      </c>
      <c r="H36" s="116"/>
      <c r="J36" s="228"/>
      <c r="K36" s="128" t="s">
        <v>58</v>
      </c>
      <c r="L36" s="128" t="s">
        <v>93</v>
      </c>
      <c r="M36" s="128" t="s">
        <v>92</v>
      </c>
      <c r="N36" s="129" t="str">
        <f t="shared" si="1"/>
        <v>USD3L1L28Y</v>
      </c>
      <c r="O36" s="33" t="str">
        <v>USD3L1L28Y=ICAP</v>
      </c>
      <c r="P36" s="397" t="s">
        <v>253</v>
      </c>
      <c r="Q36" s="397" t="s">
        <v>253</v>
      </c>
      <c r="R36" s="219" t="e">
        <f>_xll.qlMidEquivalent(P36,Q36)</f>
        <v>#NUM!</v>
      </c>
      <c r="S36" s="230">
        <v>28</v>
      </c>
      <c r="T36" s="36" t="b">
        <f t="shared" si="2"/>
        <v>0</v>
      </c>
      <c r="U36" s="219">
        <v>11.608769455453459</v>
      </c>
      <c r="V36" s="140"/>
      <c r="W36" s="225">
        <v>11.608769455453459</v>
      </c>
      <c r="X36" s="140"/>
      <c r="Y36" s="219">
        <v>11.608769455453459</v>
      </c>
      <c r="Z36" s="133">
        <f>_xll.qlSimpleQuoteSetValue(F36,Y36/10000,Trigger)</f>
        <v>1.2087694554534581E-4</v>
      </c>
      <c r="AA36" s="28"/>
    </row>
    <row r="37" spans="1:27" ht="11.25" customHeight="1" x14ac:dyDescent="0.2">
      <c r="A37" s="27"/>
      <c r="B37" s="220" t="str">
        <f t="shared" si="3"/>
        <v>29Y</v>
      </c>
      <c r="C37" s="173" t="str">
        <f t="shared" si="4"/>
        <v>3L</v>
      </c>
      <c r="D37" s="174" t="str">
        <f t="shared" si="5"/>
        <v>1L</v>
      </c>
      <c r="E37" s="175" t="str">
        <f t="shared" si="0"/>
        <v>USD3L1L29Y_Quote</v>
      </c>
      <c r="F37" s="175" t="str">
        <f>_xll.qlSimpleQuote(E37,,RateTickValue,Permanent,Trigger,ObjectOverwrite)</f>
        <v>USD3L1L29Y_Quote#0000</v>
      </c>
      <c r="G37" s="221" t="str">
        <f>_xll.ohRangeRetrieveError(F37)</f>
        <v/>
      </c>
      <c r="H37" s="116"/>
      <c r="J37" s="228"/>
      <c r="K37" s="128" t="s">
        <v>57</v>
      </c>
      <c r="L37" s="128" t="s">
        <v>93</v>
      </c>
      <c r="M37" s="128" t="s">
        <v>92</v>
      </c>
      <c r="N37" s="129" t="str">
        <f t="shared" si="1"/>
        <v>USD3L1L29Y</v>
      </c>
      <c r="O37" s="33" t="str">
        <v>USD3L1L29Y=ICAP</v>
      </c>
      <c r="P37" s="397" t="s">
        <v>253</v>
      </c>
      <c r="Q37" s="397" t="s">
        <v>253</v>
      </c>
      <c r="R37" s="219" t="e">
        <f>_xll.qlMidEquivalent(P37,Q37)</f>
        <v>#NUM!</v>
      </c>
      <c r="S37" s="230">
        <v>29</v>
      </c>
      <c r="T37" s="36" t="b">
        <f t="shared" si="2"/>
        <v>0</v>
      </c>
      <c r="U37" s="219">
        <v>11.653582545973403</v>
      </c>
      <c r="V37" s="140"/>
      <c r="W37" s="225">
        <v>11.653582545973403</v>
      </c>
      <c r="X37" s="140"/>
      <c r="Y37" s="219">
        <v>11.653582545973403</v>
      </c>
      <c r="Z37" s="133">
        <f>_xll.qlSimpleQuoteSetValue(F37,Y37/10000,Trigger)</f>
        <v>1.2535825459734028E-4</v>
      </c>
      <c r="AA37" s="28"/>
    </row>
    <row r="38" spans="1:27" ht="11.25" customHeight="1" x14ac:dyDescent="0.2">
      <c r="A38" s="27"/>
      <c r="B38" s="220" t="str">
        <f t="shared" si="3"/>
        <v>30Y</v>
      </c>
      <c r="C38" s="173" t="str">
        <f t="shared" si="4"/>
        <v>3L</v>
      </c>
      <c r="D38" s="174" t="str">
        <f t="shared" si="5"/>
        <v>1L</v>
      </c>
      <c r="E38" s="175" t="str">
        <f t="shared" si="0"/>
        <v>USD3L1L30Y_Quote</v>
      </c>
      <c r="F38" s="175" t="str">
        <f>_xll.qlSimpleQuote(E38,,RateTickValue,Permanent,Trigger,ObjectOverwrite)</f>
        <v>USD3L1L30Y_Quote#0000</v>
      </c>
      <c r="G38" s="221" t="str">
        <f>_xll.ohRangeRetrieveError(F38)</f>
        <v/>
      </c>
      <c r="H38" s="116"/>
      <c r="J38" s="228"/>
      <c r="K38" s="128" t="s">
        <v>56</v>
      </c>
      <c r="L38" s="128" t="s">
        <v>93</v>
      </c>
      <c r="M38" s="128" t="s">
        <v>92</v>
      </c>
      <c r="N38" s="129" t="str">
        <f t="shared" si="1"/>
        <v>USD3L1L30Y</v>
      </c>
      <c r="O38" s="33" t="str">
        <v>USD3L1L30Y=ICAP</v>
      </c>
      <c r="P38" s="397">
        <v>11.7</v>
      </c>
      <c r="Q38" s="397">
        <v>0</v>
      </c>
      <c r="R38" s="219">
        <f>_xll.qlMidEquivalent(P38,Q38)</f>
        <v>11.7</v>
      </c>
      <c r="S38" s="230">
        <v>30</v>
      </c>
      <c r="T38" s="36" t="b">
        <f t="shared" si="2"/>
        <v>1</v>
      </c>
      <c r="U38" s="219">
        <v>11.7</v>
      </c>
      <c r="V38" s="140"/>
      <c r="W38" s="225">
        <v>11.7</v>
      </c>
      <c r="X38" s="140"/>
      <c r="Y38" s="219">
        <v>11.7</v>
      </c>
      <c r="Z38" s="133">
        <f>_xll.qlSimpleQuoteSetValue(F38,Y38/10000,Trigger)</f>
        <v>1.2999999999999991E-4</v>
      </c>
      <c r="AA38" s="28"/>
    </row>
    <row r="39" spans="1:27" ht="11.25" customHeight="1" x14ac:dyDescent="0.2">
      <c r="A39" s="27"/>
      <c r="B39" s="220" t="str">
        <f t="shared" si="3"/>
        <v>35Y</v>
      </c>
      <c r="C39" s="173" t="str">
        <f t="shared" si="4"/>
        <v>3L</v>
      </c>
      <c r="D39" s="174" t="str">
        <f t="shared" si="5"/>
        <v>1L</v>
      </c>
      <c r="E39" s="175" t="str">
        <f t="shared" si="0"/>
        <v>USD3L1L35Y_Quote</v>
      </c>
      <c r="F39" s="175" t="str">
        <f>_xll.qlSimpleQuote(E39,,RateTickValue,Permanent,Trigger,ObjectOverwrite)</f>
        <v>USD3L1L35Y_Quote#0000</v>
      </c>
      <c r="G39" s="221" t="str">
        <f>_xll.ohRangeRetrieveError(F39)</f>
        <v/>
      </c>
      <c r="H39" s="116"/>
      <c r="J39" s="228"/>
      <c r="K39" s="128" t="s">
        <v>51</v>
      </c>
      <c r="L39" s="128" t="s">
        <v>93</v>
      </c>
      <c r="M39" s="128" t="s">
        <v>92</v>
      </c>
      <c r="N39" s="129" t="str">
        <f t="shared" si="1"/>
        <v>USD3L1L35Y</v>
      </c>
      <c r="O39" s="33" t="str">
        <v>USD3L1L35Y=ICAP</v>
      </c>
      <c r="P39" s="397" t="s">
        <v>253</v>
      </c>
      <c r="Q39" s="397" t="s">
        <v>253</v>
      </c>
      <c r="R39" s="219" t="e">
        <f>_xll.qlMidEquivalent(P39,Q39)</f>
        <v>#NUM!</v>
      </c>
      <c r="S39" s="230">
        <v>35</v>
      </c>
      <c r="T39" s="36" t="b">
        <f t="shared" si="2"/>
        <v>0</v>
      </c>
      <c r="U39" s="234">
        <f>U38</f>
        <v>11.7</v>
      </c>
      <c r="V39" s="140"/>
      <c r="W39" s="234">
        <v>11.7</v>
      </c>
      <c r="X39" s="140"/>
      <c r="Y39" s="234">
        <v>11.7</v>
      </c>
      <c r="Z39" s="133">
        <f>_xll.qlSimpleQuoteSetValue(F39,Y39/10000,Trigger)</f>
        <v>1.2999999999999991E-4</v>
      </c>
      <c r="AA39" s="28"/>
    </row>
    <row r="40" spans="1:27" ht="11.25" customHeight="1" x14ac:dyDescent="0.2">
      <c r="A40" s="27"/>
      <c r="B40" s="220" t="str">
        <f t="shared" si="3"/>
        <v>40Y</v>
      </c>
      <c r="C40" s="173" t="str">
        <f t="shared" si="4"/>
        <v>3L</v>
      </c>
      <c r="D40" s="174" t="str">
        <f t="shared" si="5"/>
        <v>1L</v>
      </c>
      <c r="E40" s="175" t="str">
        <f t="shared" si="0"/>
        <v>USD3L1L40Y_Quote</v>
      </c>
      <c r="F40" s="175" t="str">
        <f>_xll.qlSimpleQuote(E40,,RateTickValue,Permanent,Trigger,ObjectOverwrite)</f>
        <v>USD3L1L40Y_Quote#0000</v>
      </c>
      <c r="G40" s="221" t="str">
        <f>_xll.ohRangeRetrieveError(F40)</f>
        <v/>
      </c>
      <c r="H40" s="116"/>
      <c r="J40" s="228"/>
      <c r="K40" s="128" t="s">
        <v>46</v>
      </c>
      <c r="L40" s="128" t="s">
        <v>93</v>
      </c>
      <c r="M40" s="128" t="s">
        <v>92</v>
      </c>
      <c r="N40" s="129" t="str">
        <f t="shared" si="1"/>
        <v>USD3L1L40Y</v>
      </c>
      <c r="O40" s="33" t="str">
        <v>USD3L1L40Y=ICAP</v>
      </c>
      <c r="P40" s="397" t="s">
        <v>253</v>
      </c>
      <c r="Q40" s="397" t="s">
        <v>253</v>
      </c>
      <c r="R40" s="219" t="e">
        <f>_xll.qlMidEquivalent(P40,Q40)</f>
        <v>#NUM!</v>
      </c>
      <c r="S40" s="230">
        <v>40</v>
      </c>
      <c r="T40" s="36" t="b">
        <f t="shared" si="2"/>
        <v>0</v>
      </c>
      <c r="U40" s="234">
        <f>U39</f>
        <v>11.7</v>
      </c>
      <c r="V40" s="140"/>
      <c r="W40" s="234">
        <v>11.7</v>
      </c>
      <c r="X40" s="140"/>
      <c r="Y40" s="234">
        <v>11.7</v>
      </c>
      <c r="Z40" s="133">
        <f>_xll.qlSimpleQuoteSetValue(F40,Y40/10000,Trigger)</f>
        <v>1.2999999999999991E-4</v>
      </c>
      <c r="AA40" s="28"/>
    </row>
    <row r="41" spans="1:27" ht="11.25" customHeight="1" x14ac:dyDescent="0.2">
      <c r="A41" s="27"/>
      <c r="B41" s="220" t="str">
        <f t="shared" si="3"/>
        <v>50Y</v>
      </c>
      <c r="C41" s="173" t="str">
        <f t="shared" si="4"/>
        <v>3L</v>
      </c>
      <c r="D41" s="174" t="str">
        <f t="shared" si="5"/>
        <v>1L</v>
      </c>
      <c r="E41" s="175" t="str">
        <f t="shared" si="0"/>
        <v>USD3L1L50Y_Quote</v>
      </c>
      <c r="F41" s="175" t="str">
        <f>_xll.qlSimpleQuote(E41,,RateTickValue,Permanent,Trigger,ObjectOverwrite)</f>
        <v>USD3L1L50Y_Quote#0000</v>
      </c>
      <c r="G41" s="221" t="str">
        <f>_xll.ohRangeRetrieveError(F41)</f>
        <v/>
      </c>
      <c r="H41" s="116"/>
      <c r="J41" s="228"/>
      <c r="K41" s="128" t="s">
        <v>36</v>
      </c>
      <c r="L41" s="128" t="s">
        <v>93</v>
      </c>
      <c r="M41" s="128" t="s">
        <v>92</v>
      </c>
      <c r="N41" s="129" t="str">
        <f t="shared" si="1"/>
        <v>USD3L1L50Y</v>
      </c>
      <c r="O41" s="33" t="str">
        <v>USD3L1L50Y=ICAP</v>
      </c>
      <c r="P41" s="397" t="s">
        <v>253</v>
      </c>
      <c r="Q41" s="397" t="s">
        <v>253</v>
      </c>
      <c r="R41" s="219" t="e">
        <f>_xll.qlMidEquivalent(P41,Q41)</f>
        <v>#NUM!</v>
      </c>
      <c r="S41" s="230">
        <v>50</v>
      </c>
      <c r="T41" s="36" t="b">
        <f t="shared" si="2"/>
        <v>0</v>
      </c>
      <c r="U41" s="234">
        <f>U40</f>
        <v>11.7</v>
      </c>
      <c r="V41" s="140"/>
      <c r="W41" s="234">
        <v>11.7</v>
      </c>
      <c r="X41" s="140"/>
      <c r="Y41" s="234">
        <v>11.7</v>
      </c>
      <c r="Z41" s="133">
        <f>_xll.qlSimpleQuoteSetValue(F41,Y41/10000,Trigger)</f>
        <v>1.2999999999999991E-4</v>
      </c>
      <c r="AA41" s="28"/>
    </row>
    <row r="42" spans="1:27" ht="11.25" customHeight="1" x14ac:dyDescent="0.2">
      <c r="A42" s="27"/>
      <c r="B42" s="222" t="str">
        <f t="shared" si="3"/>
        <v>60Y</v>
      </c>
      <c r="C42" s="178" t="str">
        <f t="shared" si="4"/>
        <v>3L</v>
      </c>
      <c r="D42" s="179" t="str">
        <f t="shared" si="5"/>
        <v>1L</v>
      </c>
      <c r="E42" s="180" t="str">
        <f t="shared" si="0"/>
        <v>USD3L1L60Y_Quote</v>
      </c>
      <c r="F42" s="180" t="str">
        <f>_xll.qlSimpleQuote(E42,,RateTickValue,Permanent,Trigger,ObjectOverwrite)</f>
        <v>USD3L1L60Y_Quote#0000</v>
      </c>
      <c r="G42" s="223" t="str">
        <f>_xll.ohRangeRetrieveError(F42)</f>
        <v/>
      </c>
      <c r="H42" s="116"/>
      <c r="J42" s="228"/>
      <c r="K42" s="130" t="s">
        <v>26</v>
      </c>
      <c r="L42" s="130" t="s">
        <v>93</v>
      </c>
      <c r="M42" s="130" t="s">
        <v>92</v>
      </c>
      <c r="N42" s="131" t="str">
        <f t="shared" si="1"/>
        <v>USD3L1L60Y</v>
      </c>
      <c r="O42" s="34" t="str">
        <v>USD3L1L60Y=ICAP</v>
      </c>
      <c r="P42" s="398" t="s">
        <v>253</v>
      </c>
      <c r="Q42" s="398" t="s">
        <v>253</v>
      </c>
      <c r="R42" s="224" t="e">
        <f>_xll.qlMidEquivalent(P42,Q42)</f>
        <v>#NUM!</v>
      </c>
      <c r="S42" s="231">
        <v>60</v>
      </c>
      <c r="T42" s="37" t="b">
        <f t="shared" si="2"/>
        <v>0</v>
      </c>
      <c r="U42" s="235">
        <f>U41</f>
        <v>11.7</v>
      </c>
      <c r="V42" s="140"/>
      <c r="W42" s="235">
        <v>11.7</v>
      </c>
      <c r="X42" s="140"/>
      <c r="Y42" s="235">
        <v>11.7</v>
      </c>
      <c r="Z42" s="134">
        <f>_xll.qlSimpleQuoteSetValue(F42,Y42/10000,Trigger)</f>
        <v>1.2999999999999991E-4</v>
      </c>
      <c r="AA42" s="28"/>
    </row>
    <row r="43" spans="1:27" ht="11.25" customHeight="1" x14ac:dyDescent="0.2">
      <c r="A43" s="117"/>
      <c r="B43" s="118"/>
      <c r="C43" s="118"/>
      <c r="D43" s="118"/>
      <c r="E43" s="118"/>
      <c r="F43" s="119"/>
      <c r="G43" s="119"/>
      <c r="H43" s="120"/>
      <c r="J43" s="117"/>
      <c r="K43" s="118"/>
      <c r="L43" s="118"/>
      <c r="M43" s="118"/>
      <c r="N43" s="118"/>
      <c r="O43" s="118"/>
      <c r="P43" s="118"/>
      <c r="Q43" s="118"/>
      <c r="R43" s="118"/>
      <c r="S43" s="118"/>
      <c r="T43" s="118"/>
      <c r="U43" s="118"/>
      <c r="V43" s="118"/>
      <c r="W43" s="118"/>
      <c r="X43" s="118"/>
      <c r="Y43" s="118"/>
      <c r="Z43" s="118"/>
      <c r="AA43" s="184"/>
    </row>
  </sheetData>
  <conditionalFormatting sqref="Z5:Z42">
    <cfRule type="cellIs" dxfId="5" priority="1" stopIfTrue="1" operator="greaterThan">
      <formula>0</formula>
    </cfRule>
    <cfRule type="cellIs" dxfId="4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B43"/>
  <sheetViews>
    <sheetView showGridLines="0" topLeftCell="I1" workbookViewId="0">
      <selection activeCell="Z2" sqref="Z2"/>
    </sheetView>
  </sheetViews>
  <sheetFormatPr defaultRowHeight="11.25" outlineLevelCol="1" x14ac:dyDescent="0.2"/>
  <cols>
    <col min="1" max="1" width="2.7109375" style="144" hidden="1" customWidth="1" outlineLevel="1"/>
    <col min="2" max="2" width="4.7109375" style="144" hidden="1" customWidth="1" outlineLevel="1"/>
    <col min="3" max="4" width="3" style="144" hidden="1" customWidth="1" outlineLevel="1"/>
    <col min="5" max="5" width="16.7109375" style="144" hidden="1" customWidth="1" outlineLevel="1"/>
    <col min="6" max="6" width="22.7109375" style="145" hidden="1" customWidth="1" outlineLevel="1"/>
    <col min="7" max="7" width="20.7109375" style="144" hidden="1" customWidth="1" outlineLevel="1"/>
    <col min="8" max="8" width="2.7109375" style="144" hidden="1" customWidth="1" outlineLevel="1"/>
    <col min="9" max="9" width="2.7109375" style="144" customWidth="1" collapsed="1"/>
    <col min="10" max="10" width="2.7109375" style="144" customWidth="1"/>
    <col min="11" max="11" width="4.7109375" style="144" customWidth="1"/>
    <col min="12" max="13" width="3" style="144" customWidth="1"/>
    <col min="14" max="14" width="11.7109375" style="144" customWidth="1"/>
    <col min="15" max="15" width="16.7109375" style="144" customWidth="1"/>
    <col min="16" max="18" width="10.7109375" style="144" customWidth="1"/>
    <col min="19" max="20" width="10.7109375" style="144" hidden="1" customWidth="1" outlineLevel="1"/>
    <col min="21" max="21" width="10.7109375" style="144" customWidth="1" collapsed="1"/>
    <col min="22" max="22" width="2.7109375" style="144" customWidth="1"/>
    <col min="23" max="23" width="10.7109375" style="144" customWidth="1"/>
    <col min="24" max="24" width="2.7109375" style="144" customWidth="1"/>
    <col min="25" max="26" width="10.7109375" style="144" customWidth="1"/>
    <col min="27" max="28" width="2.7109375" style="144" customWidth="1"/>
    <col min="29" max="16384" width="9.140625" style="144"/>
  </cols>
  <sheetData>
    <row r="1" spans="1:28" x14ac:dyDescent="0.2">
      <c r="A1" s="88"/>
      <c r="B1" s="79"/>
      <c r="C1" s="79"/>
      <c r="D1" s="79"/>
      <c r="E1" s="79"/>
      <c r="F1" s="93"/>
      <c r="G1" s="79"/>
      <c r="H1" s="80"/>
      <c r="J1" s="88" t="s">
        <v>235</v>
      </c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114"/>
    </row>
    <row r="2" spans="1:28" x14ac:dyDescent="0.2">
      <c r="A2" s="81"/>
      <c r="B2" s="82"/>
      <c r="C2" s="82"/>
      <c r="D2" s="82"/>
      <c r="E2" s="82"/>
      <c r="F2" s="95"/>
      <c r="G2" s="82"/>
      <c r="H2" s="83"/>
      <c r="J2" s="115"/>
      <c r="K2" s="14"/>
      <c r="L2" s="14"/>
      <c r="M2" s="14"/>
      <c r="N2" s="14"/>
      <c r="O2" s="187" t="str">
        <f>VLOOKUP($J$1,AreaTable,AreaIndex,0)</f>
        <v>ICAP LN</v>
      </c>
      <c r="P2" s="14"/>
      <c r="Q2" s="14"/>
      <c r="R2" s="14"/>
      <c r="S2" s="14"/>
      <c r="T2" s="14"/>
      <c r="U2" s="3"/>
      <c r="V2" s="14"/>
      <c r="W2" s="14"/>
      <c r="X2" s="14"/>
      <c r="Y2" s="14"/>
      <c r="Z2" s="232">
        <f>_xll.ohTrigger(Z5:Z42)</f>
        <v>2</v>
      </c>
      <c r="AA2" s="116"/>
    </row>
    <row r="3" spans="1:28" x14ac:dyDescent="0.2">
      <c r="A3" s="84"/>
      <c r="B3" s="3"/>
      <c r="C3" s="3"/>
      <c r="D3" s="3"/>
      <c r="E3" s="82"/>
      <c r="F3" s="95"/>
      <c r="G3" s="82"/>
      <c r="H3" s="116"/>
      <c r="J3" s="27"/>
      <c r="K3" s="14"/>
      <c r="L3" s="3"/>
      <c r="M3" s="3"/>
      <c r="N3" s="3"/>
      <c r="O3" s="14"/>
      <c r="P3" s="3"/>
      <c r="Q3" s="3"/>
      <c r="R3" s="3"/>
      <c r="S3" s="3" t="str">
        <f>_xll.qlInterpolation(,InterpolationType,_xll.ohFilter(S5:S42,T5:T42),_xll.ohFilter(R5:R42,T5:T42))</f>
        <v>obj_0038e#0222</v>
      </c>
      <c r="T3" s="3"/>
      <c r="U3" s="3"/>
      <c r="V3" s="14"/>
      <c r="W3" s="14"/>
      <c r="X3" s="14"/>
      <c r="Y3" s="3"/>
      <c r="Z3" s="3"/>
      <c r="AA3" s="28"/>
    </row>
    <row r="4" spans="1:28" ht="22.5" customHeight="1" x14ac:dyDescent="0.2">
      <c r="A4" s="27"/>
      <c r="B4" s="48"/>
      <c r="C4" s="48"/>
      <c r="D4" s="48"/>
      <c r="E4" s="49" t="s">
        <v>224</v>
      </c>
      <c r="F4" s="49" t="s">
        <v>225</v>
      </c>
      <c r="G4" s="112" t="s">
        <v>239</v>
      </c>
      <c r="H4" s="116"/>
      <c r="J4" s="215"/>
      <c r="K4" s="187"/>
      <c r="L4" s="50"/>
      <c r="M4" s="50"/>
      <c r="N4" s="50" t="s">
        <v>241</v>
      </c>
      <c r="O4" s="52" t="str">
        <f>_xll.RData(O5:O42,P4:Q4,"RTFEED:IDN",ReutersRtMode,,P5)</f>
        <v>Not Signed In</v>
      </c>
      <c r="P4" s="38" t="s">
        <v>134</v>
      </c>
      <c r="Q4" s="38" t="s">
        <v>133</v>
      </c>
      <c r="R4" s="38" t="s">
        <v>158</v>
      </c>
      <c r="S4" s="38" t="s">
        <v>244</v>
      </c>
      <c r="T4" s="38" t="s">
        <v>243</v>
      </c>
      <c r="U4" s="39" t="s">
        <v>242</v>
      </c>
      <c r="V4" s="14"/>
      <c r="W4" s="38" t="s">
        <v>148</v>
      </c>
      <c r="X4" s="14"/>
      <c r="Y4" s="50" t="s">
        <v>147</v>
      </c>
      <c r="Z4" s="50" t="s">
        <v>146</v>
      </c>
      <c r="AA4" s="28"/>
    </row>
    <row r="5" spans="1:28" s="161" customFormat="1" ht="11.25" customHeight="1" x14ac:dyDescent="0.25">
      <c r="A5" s="27"/>
      <c r="B5" s="126" t="str">
        <f>K5</f>
        <v>6M</v>
      </c>
      <c r="C5" s="166" t="str">
        <f>L5</f>
        <v>6L</v>
      </c>
      <c r="D5" s="167" t="str">
        <f>M5</f>
        <v>3L</v>
      </c>
      <c r="E5" s="168" t="str">
        <f t="shared" ref="E5:E42" si="0">IF(ISBLANK(C5),"#",Currency&amp;$C5&amp;$D5&amp;$B5&amp;QuoteSuffix)</f>
        <v>USD6L3L6M_Quote</v>
      </c>
      <c r="F5" s="168" t="str">
        <f>_xll.qlSimpleQuote(E5,,RateTickValue,Permanent,Trigger,ObjectOverwrite)</f>
        <v>USD6L3L6M_Quote#0000</v>
      </c>
      <c r="G5" s="218" t="str">
        <f>_xll.ohRangeRetrieveError(F5)</f>
        <v/>
      </c>
      <c r="H5" s="116"/>
      <c r="I5" s="144"/>
      <c r="J5" s="227"/>
      <c r="K5" s="128" t="s">
        <v>14</v>
      </c>
      <c r="L5" s="128" t="s">
        <v>94</v>
      </c>
      <c r="M5" s="128" t="s">
        <v>93</v>
      </c>
      <c r="N5" s="129" t="str">
        <f t="shared" ref="N5:N42" si="1">IF(Contributor="ICAP LN",Currency&amp;$L5&amp;$M5&amp;$K5,Currency&amp;$M5&amp;$L5&amp;$K5)</f>
        <v>USD6L3L6M</v>
      </c>
      <c r="O5" s="33" t="str">
        <f t="array" ref="O5:O42">Instrments&amp;"="&amp;VLOOKUP(Contributor,ContributorTable,2,FALSE)</f>
        <v>USD6L3L6M=ICAP</v>
      </c>
      <c r="P5" s="397">
        <v>14.3</v>
      </c>
      <c r="Q5" s="397">
        <v>0</v>
      </c>
      <c r="R5" s="219">
        <f>_xll.qlMidEquivalent(P5,Q5)</f>
        <v>14.3</v>
      </c>
      <c r="S5" s="229">
        <v>0.5</v>
      </c>
      <c r="T5" s="36" t="b">
        <f t="shared" ref="T5:T42" si="2">IF(ISNUMBER(R5),TRUE,FALSE)</f>
        <v>1</v>
      </c>
      <c r="U5" s="219">
        <f t="array" ref="U5:U38">_xll.qlInterpolationInterpolate(S3,S5:S42)</f>
        <v>14.3</v>
      </c>
      <c r="V5" s="140"/>
      <c r="W5" s="225">
        <v>14.3</v>
      </c>
      <c r="X5" s="140"/>
      <c r="Y5" s="226">
        <f t="array" ref="Y5:Y42">QuoteStatic</f>
        <v>14.3</v>
      </c>
      <c r="Z5" s="132">
        <f>_xll.qlSimpleQuoteSetValue(F5,Y5/10000,Trigger)</f>
        <v>-1.8999999999999985E-4</v>
      </c>
      <c r="AA5" s="28"/>
      <c r="AB5" s="144"/>
    </row>
    <row r="6" spans="1:28" s="161" customFormat="1" ht="11.25" customHeight="1" x14ac:dyDescent="0.25">
      <c r="A6" s="27"/>
      <c r="B6" s="128" t="str">
        <f t="shared" ref="B6:B42" si="3">K6</f>
        <v>1Y</v>
      </c>
      <c r="C6" s="173" t="str">
        <f t="shared" ref="C6:C42" si="4">L6</f>
        <v>6L</v>
      </c>
      <c r="D6" s="174" t="str">
        <f t="shared" ref="D6:D42" si="5">M6</f>
        <v>3L</v>
      </c>
      <c r="E6" s="175" t="str">
        <f t="shared" si="0"/>
        <v>USD6L3L1Y_Quote</v>
      </c>
      <c r="F6" s="175" t="str">
        <f>_xll.qlSimpleQuote(E6,,RateTickValue,Permanent,Trigger,ObjectOverwrite)</f>
        <v>USD6L3L1Y_Quote#0000</v>
      </c>
      <c r="G6" s="221" t="str">
        <f>_xll.ohRangeRetrieveError(F6)</f>
        <v/>
      </c>
      <c r="H6" s="116"/>
      <c r="I6" s="144"/>
      <c r="J6" s="227"/>
      <c r="K6" s="128" t="s">
        <v>8</v>
      </c>
      <c r="L6" s="128" t="s">
        <v>94</v>
      </c>
      <c r="M6" s="128" t="s">
        <v>93</v>
      </c>
      <c r="N6" s="129" t="str">
        <f t="shared" si="1"/>
        <v>USD6L3L1Y</v>
      </c>
      <c r="O6" s="33" t="str">
        <v>USD6L3L1Y=ICAP</v>
      </c>
      <c r="P6" s="397">
        <v>13</v>
      </c>
      <c r="Q6" s="397">
        <v>0</v>
      </c>
      <c r="R6" s="219">
        <f>_xll.qlMidEquivalent(P6,Q6)</f>
        <v>13</v>
      </c>
      <c r="S6" s="229">
        <v>1</v>
      </c>
      <c r="T6" s="36" t="b">
        <f t="shared" si="2"/>
        <v>1</v>
      </c>
      <c r="U6" s="219">
        <v>13</v>
      </c>
      <c r="V6" s="140"/>
      <c r="W6" s="225">
        <v>13</v>
      </c>
      <c r="X6" s="140"/>
      <c r="Y6" s="219">
        <v>13</v>
      </c>
      <c r="Z6" s="133">
        <f>_xll.qlSimpleQuoteSetValue(F6,Y6/10000,Trigger)</f>
        <v>-9.0000000000000019E-5</v>
      </c>
      <c r="AA6" s="28"/>
      <c r="AB6" s="144"/>
    </row>
    <row r="7" spans="1:28" s="161" customFormat="1" ht="11.25" customHeight="1" x14ac:dyDescent="0.25">
      <c r="A7" s="27"/>
      <c r="B7" s="128" t="str">
        <f t="shared" si="3"/>
        <v>15M</v>
      </c>
      <c r="C7" s="173" t="str">
        <f t="shared" si="4"/>
        <v>6L</v>
      </c>
      <c r="D7" s="174" t="str">
        <f t="shared" si="5"/>
        <v>3L</v>
      </c>
      <c r="E7" s="175" t="str">
        <f t="shared" si="0"/>
        <v>USD6L3L15M_Quote</v>
      </c>
      <c r="F7" s="175" t="str">
        <f>_xll.qlSimpleQuote(E7,,RateTickValue,Permanent,Trigger,ObjectOverwrite)</f>
        <v>USD6L3L15M_Quote#0000</v>
      </c>
      <c r="G7" s="221" t="str">
        <f>_xll.ohRangeRetrieveError(F7)</f>
        <v/>
      </c>
      <c r="H7" s="116"/>
      <c r="J7" s="227"/>
      <c r="K7" s="128" t="s">
        <v>97</v>
      </c>
      <c r="L7" s="128" t="s">
        <v>94</v>
      </c>
      <c r="M7" s="128" t="s">
        <v>93</v>
      </c>
      <c r="N7" s="129" t="str">
        <f t="shared" si="1"/>
        <v>USD6L3L15M</v>
      </c>
      <c r="O7" s="33" t="str">
        <v>USD6L3L15M=ICAP</v>
      </c>
      <c r="P7" s="397" t="s">
        <v>253</v>
      </c>
      <c r="Q7" s="397" t="s">
        <v>253</v>
      </c>
      <c r="R7" s="219" t="e">
        <f>_xll.qlMidEquivalent(P7,Q7)</f>
        <v>#NUM!</v>
      </c>
      <c r="S7" s="229">
        <v>1.25</v>
      </c>
      <c r="T7" s="36" t="b">
        <f t="shared" si="2"/>
        <v>0</v>
      </c>
      <c r="U7" s="219">
        <v>12.50672536990267</v>
      </c>
      <c r="V7" s="140"/>
      <c r="W7" s="225">
        <v>12.50672536990267</v>
      </c>
      <c r="X7" s="140"/>
      <c r="Y7" s="219">
        <v>12.50672536990267</v>
      </c>
      <c r="Z7" s="133">
        <f>_xll.qlSimpleQuoteSetValue(F7,Y7/10000,Trigger)</f>
        <v>-6.394430566893268E-5</v>
      </c>
      <c r="AA7" s="28"/>
      <c r="AB7" s="144"/>
    </row>
    <row r="8" spans="1:28" ht="11.25" customHeight="1" x14ac:dyDescent="0.25">
      <c r="A8" s="27"/>
      <c r="B8" s="128" t="str">
        <f t="shared" si="3"/>
        <v>18M</v>
      </c>
      <c r="C8" s="173" t="str">
        <f t="shared" si="4"/>
        <v>6L</v>
      </c>
      <c r="D8" s="174" t="str">
        <f t="shared" si="5"/>
        <v>3L</v>
      </c>
      <c r="E8" s="175" t="str">
        <f t="shared" si="0"/>
        <v>USD6L3L18M_Quote</v>
      </c>
      <c r="F8" s="175" t="str">
        <f>_xll.qlSimpleQuote(E8,,RateTickValue,Permanent,Trigger,ObjectOverwrite)</f>
        <v>USD6L3L18M_Quote#0000</v>
      </c>
      <c r="G8" s="221" t="str">
        <f>_xll.ohRangeRetrieveError(F8)</f>
        <v/>
      </c>
      <c r="H8" s="116"/>
      <c r="I8" s="161"/>
      <c r="J8" s="228"/>
      <c r="K8" s="128" t="s">
        <v>96</v>
      </c>
      <c r="L8" s="128" t="s">
        <v>94</v>
      </c>
      <c r="M8" s="128" t="s">
        <v>93</v>
      </c>
      <c r="N8" s="129" t="str">
        <f t="shared" si="1"/>
        <v>USD6L3L18M</v>
      </c>
      <c r="O8" s="33" t="str">
        <v>USD6L3L18M=ICAP</v>
      </c>
      <c r="P8" s="397" t="s">
        <v>253</v>
      </c>
      <c r="Q8" s="397" t="s">
        <v>253</v>
      </c>
      <c r="R8" s="219" t="e">
        <f>_xll.qlMidEquivalent(P8,Q8)</f>
        <v>#NUM!</v>
      </c>
      <c r="S8" s="229">
        <v>1.5</v>
      </c>
      <c r="T8" s="36" t="b">
        <f t="shared" si="2"/>
        <v>0</v>
      </c>
      <c r="U8" s="219">
        <v>12.116575739805342</v>
      </c>
      <c r="V8" s="140"/>
      <c r="W8" s="225">
        <v>12.116575739805342</v>
      </c>
      <c r="X8" s="140"/>
      <c r="Y8" s="219">
        <v>12.116575739805342</v>
      </c>
      <c r="Z8" s="133">
        <f>_xll.qlSimpleQuoteSetValue(F8,Y8/10000,Trigger)</f>
        <v>-5.288861133786473E-5</v>
      </c>
      <c r="AA8" s="28"/>
    </row>
    <row r="9" spans="1:28" ht="11.25" customHeight="1" x14ac:dyDescent="0.25">
      <c r="A9" s="27"/>
      <c r="B9" s="128" t="str">
        <f t="shared" si="3"/>
        <v>21M</v>
      </c>
      <c r="C9" s="173" t="str">
        <f t="shared" si="4"/>
        <v>6L</v>
      </c>
      <c r="D9" s="174" t="str">
        <f t="shared" si="5"/>
        <v>3L</v>
      </c>
      <c r="E9" s="175" t="str">
        <f t="shared" si="0"/>
        <v>USD6L3L21M_Quote</v>
      </c>
      <c r="F9" s="175" t="str">
        <f>_xll.qlSimpleQuote(E9,,RateTickValue,Permanent,Trigger,ObjectOverwrite)</f>
        <v>USD6L3L21M_Quote#0000</v>
      </c>
      <c r="G9" s="221" t="str">
        <f>_xll.ohRangeRetrieveError(F9)</f>
        <v/>
      </c>
      <c r="H9" s="116"/>
      <c r="I9" s="161"/>
      <c r="J9" s="228"/>
      <c r="K9" s="128" t="s">
        <v>95</v>
      </c>
      <c r="L9" s="128" t="s">
        <v>94</v>
      </c>
      <c r="M9" s="128" t="s">
        <v>93</v>
      </c>
      <c r="N9" s="129" t="str">
        <f t="shared" si="1"/>
        <v>USD6L3L21M</v>
      </c>
      <c r="O9" s="33" t="str">
        <v>USD6L3L21M=ICAP</v>
      </c>
      <c r="P9" s="397" t="s">
        <v>253</v>
      </c>
      <c r="Q9" s="397" t="s">
        <v>253</v>
      </c>
      <c r="R9" s="219" t="e">
        <f>_xll.qlMidEquivalent(P9,Q9)</f>
        <v>#NUM!</v>
      </c>
      <c r="S9" s="229">
        <v>1.75</v>
      </c>
      <c r="T9" s="36" t="b">
        <f t="shared" si="2"/>
        <v>0</v>
      </c>
      <c r="U9" s="219">
        <v>11.793138239805341</v>
      </c>
      <c r="V9" s="140"/>
      <c r="W9" s="225">
        <v>11.793138239805341</v>
      </c>
      <c r="X9" s="140"/>
      <c r="Y9" s="219">
        <v>11.793138239805341</v>
      </c>
      <c r="Z9" s="133">
        <f>_xll.qlSimpleQuoteSetValue(F9,Y9/10000,Trigger)</f>
        <v>-5.0388611337864615E-5</v>
      </c>
      <c r="AA9" s="28"/>
    </row>
    <row r="10" spans="1:28" ht="11.25" customHeight="1" x14ac:dyDescent="0.2">
      <c r="A10" s="27"/>
      <c r="B10" s="128" t="str">
        <f t="shared" si="3"/>
        <v>2Y</v>
      </c>
      <c r="C10" s="173" t="str">
        <f t="shared" si="4"/>
        <v>6L</v>
      </c>
      <c r="D10" s="174" t="str">
        <f t="shared" si="5"/>
        <v>3L</v>
      </c>
      <c r="E10" s="175" t="str">
        <f t="shared" si="0"/>
        <v>USD6L3L2Y_Quote</v>
      </c>
      <c r="F10" s="175" t="str">
        <f>_xll.qlSimpleQuote(E10,,RateTickValue,Permanent,Trigger,ObjectOverwrite)</f>
        <v>USD6L3L2Y_Quote#0000</v>
      </c>
      <c r="G10" s="221" t="str">
        <f>_xll.ohRangeRetrieveError(F10)</f>
        <v/>
      </c>
      <c r="H10" s="116"/>
      <c r="J10" s="228"/>
      <c r="K10" s="128" t="s">
        <v>84</v>
      </c>
      <c r="L10" s="128" t="s">
        <v>94</v>
      </c>
      <c r="M10" s="128" t="s">
        <v>93</v>
      </c>
      <c r="N10" s="129" t="str">
        <f t="shared" si="1"/>
        <v>USD6L3L2Y</v>
      </c>
      <c r="O10" s="33" t="str">
        <v>USD6L3L2Y=ICAP</v>
      </c>
      <c r="P10" s="397">
        <v>11.5</v>
      </c>
      <c r="Q10" s="397">
        <v>0</v>
      </c>
      <c r="R10" s="219">
        <f>_xll.qlMidEquivalent(P10,Q10)</f>
        <v>11.5</v>
      </c>
      <c r="S10" s="230">
        <v>2</v>
      </c>
      <c r="T10" s="36" t="b">
        <f t="shared" si="2"/>
        <v>1</v>
      </c>
      <c r="U10" s="219">
        <v>11.5</v>
      </c>
      <c r="V10" s="140"/>
      <c r="W10" s="225">
        <v>11.5</v>
      </c>
      <c r="X10" s="140"/>
      <c r="Y10" s="219">
        <v>11.5</v>
      </c>
      <c r="Z10" s="133">
        <f>_xll.qlSimpleQuoteSetValue(F10,Y10/10000,Trigger)</f>
        <v>-4.9999999999999914E-5</v>
      </c>
      <c r="AA10" s="28"/>
    </row>
    <row r="11" spans="1:28" ht="11.25" customHeight="1" x14ac:dyDescent="0.2">
      <c r="A11" s="27"/>
      <c r="B11" s="128" t="str">
        <f t="shared" si="3"/>
        <v>3Y</v>
      </c>
      <c r="C11" s="173" t="str">
        <f t="shared" si="4"/>
        <v>6L</v>
      </c>
      <c r="D11" s="174" t="str">
        <f t="shared" si="5"/>
        <v>3L</v>
      </c>
      <c r="E11" s="175" t="str">
        <f t="shared" si="0"/>
        <v>USD6L3L3Y_Quote</v>
      </c>
      <c r="F11" s="175" t="str">
        <f>_xll.qlSimpleQuote(E11,,RateTickValue,Permanent,Trigger,ObjectOverwrite)</f>
        <v>USD6L3L3Y_Quote#0000</v>
      </c>
      <c r="G11" s="221" t="str">
        <f>_xll.ohRangeRetrieveError(F11)</f>
        <v/>
      </c>
      <c r="H11" s="116"/>
      <c r="J11" s="228"/>
      <c r="K11" s="128" t="s">
        <v>83</v>
      </c>
      <c r="L11" s="128" t="s">
        <v>94</v>
      </c>
      <c r="M11" s="128" t="s">
        <v>93</v>
      </c>
      <c r="N11" s="129" t="str">
        <f t="shared" si="1"/>
        <v>USD6L3L3Y</v>
      </c>
      <c r="O11" s="33" t="str">
        <v>USD6L3L3Y=ICAP</v>
      </c>
      <c r="P11" s="397">
        <v>10.4</v>
      </c>
      <c r="Q11" s="397">
        <v>0</v>
      </c>
      <c r="R11" s="219">
        <f>_xll.qlMidEquivalent(P11,Q11)</f>
        <v>10.4</v>
      </c>
      <c r="S11" s="230">
        <v>3</v>
      </c>
      <c r="T11" s="36" t="b">
        <f t="shared" si="2"/>
        <v>1</v>
      </c>
      <c r="U11" s="219">
        <v>10.4</v>
      </c>
      <c r="V11" s="140"/>
      <c r="W11" s="225">
        <v>10.4</v>
      </c>
      <c r="X11" s="140"/>
      <c r="Y11" s="219">
        <v>10.4</v>
      </c>
      <c r="Z11" s="133">
        <f>_xll.qlSimpleQuoteSetValue(F11,Y11/10000,Trigger)</f>
        <v>-2.9999999999999862E-5</v>
      </c>
      <c r="AA11" s="28"/>
    </row>
    <row r="12" spans="1:28" ht="11.25" customHeight="1" x14ac:dyDescent="0.2">
      <c r="A12" s="27"/>
      <c r="B12" s="128" t="str">
        <f t="shared" si="3"/>
        <v>4Y</v>
      </c>
      <c r="C12" s="173" t="str">
        <f t="shared" si="4"/>
        <v>6L</v>
      </c>
      <c r="D12" s="174" t="str">
        <f t="shared" si="5"/>
        <v>3L</v>
      </c>
      <c r="E12" s="175" t="str">
        <f t="shared" si="0"/>
        <v>USD6L3L4Y_Quote</v>
      </c>
      <c r="F12" s="175" t="str">
        <f>_xll.qlSimpleQuote(E12,,RateTickValue,Permanent,Trigger,ObjectOverwrite)</f>
        <v>USD6L3L4Y_Quote#0000</v>
      </c>
      <c r="G12" s="221" t="str">
        <f>_xll.ohRangeRetrieveError(F12)</f>
        <v/>
      </c>
      <c r="H12" s="116"/>
      <c r="J12" s="228"/>
      <c r="K12" s="128" t="s">
        <v>82</v>
      </c>
      <c r="L12" s="128" t="s">
        <v>94</v>
      </c>
      <c r="M12" s="128" t="s">
        <v>93</v>
      </c>
      <c r="N12" s="129" t="str">
        <f t="shared" si="1"/>
        <v>USD6L3L4Y</v>
      </c>
      <c r="O12" s="33" t="str">
        <v>USD6L3L4Y=ICAP</v>
      </c>
      <c r="P12" s="397">
        <v>9.6999999999999993</v>
      </c>
      <c r="Q12" s="397">
        <v>0</v>
      </c>
      <c r="R12" s="219">
        <f>_xll.qlMidEquivalent(P12,Q12)</f>
        <v>9.6999999999999993</v>
      </c>
      <c r="S12" s="230">
        <v>4</v>
      </c>
      <c r="T12" s="36" t="b">
        <f t="shared" si="2"/>
        <v>1</v>
      </c>
      <c r="U12" s="219">
        <v>9.6999999999999993</v>
      </c>
      <c r="V12" s="140"/>
      <c r="W12" s="225">
        <v>9.6999999999999993</v>
      </c>
      <c r="X12" s="140"/>
      <c r="Y12" s="219">
        <v>9.6999999999999993</v>
      </c>
      <c r="Z12" s="133">
        <f>_xll.qlSimpleQuoteSetValue(F12,Y12/10000,Trigger)</f>
        <v>-3.0000000000000079E-5</v>
      </c>
      <c r="AA12" s="28"/>
    </row>
    <row r="13" spans="1:28" ht="11.25" customHeight="1" x14ac:dyDescent="0.2">
      <c r="A13" s="27"/>
      <c r="B13" s="128" t="str">
        <f t="shared" si="3"/>
        <v>5Y</v>
      </c>
      <c r="C13" s="173" t="str">
        <f t="shared" si="4"/>
        <v>6L</v>
      </c>
      <c r="D13" s="174" t="str">
        <f t="shared" si="5"/>
        <v>3L</v>
      </c>
      <c r="E13" s="175" t="str">
        <f t="shared" si="0"/>
        <v>USD6L3L5Y_Quote</v>
      </c>
      <c r="F13" s="175" t="str">
        <f>_xll.qlSimpleQuote(E13,,RateTickValue,Permanent,Trigger,ObjectOverwrite)</f>
        <v>USD6L3L5Y_Quote#0000</v>
      </c>
      <c r="G13" s="221" t="str">
        <f>_xll.ohRangeRetrieveError(F13)</f>
        <v/>
      </c>
      <c r="H13" s="116"/>
      <c r="J13" s="228"/>
      <c r="K13" s="128" t="s">
        <v>81</v>
      </c>
      <c r="L13" s="128" t="s">
        <v>94</v>
      </c>
      <c r="M13" s="128" t="s">
        <v>93</v>
      </c>
      <c r="N13" s="129" t="str">
        <f t="shared" si="1"/>
        <v>USD6L3L5Y</v>
      </c>
      <c r="O13" s="33" t="str">
        <v>USD6L3L5Y=ICAP</v>
      </c>
      <c r="P13" s="397">
        <v>9.3000000000000007</v>
      </c>
      <c r="Q13" s="397">
        <v>0</v>
      </c>
      <c r="R13" s="219">
        <f>_xll.qlMidEquivalent(P13,Q13)</f>
        <v>9.3000000000000007</v>
      </c>
      <c r="S13" s="230">
        <v>5</v>
      </c>
      <c r="T13" s="36" t="b">
        <f t="shared" si="2"/>
        <v>1</v>
      </c>
      <c r="U13" s="219">
        <v>9.3000000000000007</v>
      </c>
      <c r="V13" s="140"/>
      <c r="W13" s="225">
        <v>9.3000000000000007</v>
      </c>
      <c r="X13" s="140"/>
      <c r="Y13" s="219">
        <v>9.3000000000000007</v>
      </c>
      <c r="Z13" s="133">
        <f>_xll.qlSimpleQuoteSetValue(F13,Y13/10000,Trigger)</f>
        <v>-1.9999999999999944E-5</v>
      </c>
      <c r="AA13" s="28"/>
    </row>
    <row r="14" spans="1:28" ht="11.25" customHeight="1" x14ac:dyDescent="0.2">
      <c r="A14" s="27"/>
      <c r="B14" s="128" t="str">
        <f t="shared" si="3"/>
        <v>6Y</v>
      </c>
      <c r="C14" s="173" t="str">
        <f t="shared" si="4"/>
        <v>6L</v>
      </c>
      <c r="D14" s="174" t="str">
        <f t="shared" si="5"/>
        <v>3L</v>
      </c>
      <c r="E14" s="175" t="str">
        <f t="shared" si="0"/>
        <v>USD6L3L6Y_Quote</v>
      </c>
      <c r="F14" s="175" t="str">
        <f>_xll.qlSimpleQuote(E14,,RateTickValue,Permanent,Trigger,ObjectOverwrite)</f>
        <v>USD6L3L6Y_Quote#0000</v>
      </c>
      <c r="G14" s="221" t="str">
        <f>_xll.ohRangeRetrieveError(F14)</f>
        <v/>
      </c>
      <c r="H14" s="116"/>
      <c r="J14" s="228"/>
      <c r="K14" s="128" t="s">
        <v>80</v>
      </c>
      <c r="L14" s="128" t="s">
        <v>94</v>
      </c>
      <c r="M14" s="128" t="s">
        <v>93</v>
      </c>
      <c r="N14" s="129" t="str">
        <f t="shared" si="1"/>
        <v>USD6L3L6Y</v>
      </c>
      <c r="O14" s="33" t="str">
        <v>USD6L3L6Y=ICAP</v>
      </c>
      <c r="P14" s="397">
        <v>9.1</v>
      </c>
      <c r="Q14" s="397">
        <v>0</v>
      </c>
      <c r="R14" s="219">
        <f>_xll.qlMidEquivalent(P14,Q14)</f>
        <v>9.1</v>
      </c>
      <c r="S14" s="230">
        <v>6</v>
      </c>
      <c r="T14" s="36" t="b">
        <f t="shared" si="2"/>
        <v>1</v>
      </c>
      <c r="U14" s="219">
        <v>9.1</v>
      </c>
      <c r="V14" s="140"/>
      <c r="W14" s="225">
        <v>9.1</v>
      </c>
      <c r="X14" s="140"/>
      <c r="Y14" s="219">
        <v>9.1</v>
      </c>
      <c r="Z14" s="133">
        <f>_xll.qlSimpleQuoteSetValue(F14,Y14/10000,Trigger)</f>
        <v>-9.9999999999999178E-6</v>
      </c>
      <c r="AA14" s="28"/>
    </row>
    <row r="15" spans="1:28" ht="11.25" customHeight="1" x14ac:dyDescent="0.2">
      <c r="A15" s="27"/>
      <c r="B15" s="128" t="str">
        <f t="shared" si="3"/>
        <v>7Y</v>
      </c>
      <c r="C15" s="173" t="str">
        <f t="shared" si="4"/>
        <v>6L</v>
      </c>
      <c r="D15" s="174" t="str">
        <f t="shared" si="5"/>
        <v>3L</v>
      </c>
      <c r="E15" s="175" t="str">
        <f t="shared" si="0"/>
        <v>USD6L3L7Y_Quote</v>
      </c>
      <c r="F15" s="175" t="str">
        <f>_xll.qlSimpleQuote(E15,,RateTickValue,Permanent,Trigger,ObjectOverwrite)</f>
        <v>USD6L3L7Y_Quote#0000</v>
      </c>
      <c r="G15" s="221" t="str">
        <f>_xll.ohRangeRetrieveError(F15)</f>
        <v/>
      </c>
      <c r="H15" s="116"/>
      <c r="J15" s="228"/>
      <c r="K15" s="128" t="s">
        <v>79</v>
      </c>
      <c r="L15" s="128" t="s">
        <v>94</v>
      </c>
      <c r="M15" s="128" t="s">
        <v>93</v>
      </c>
      <c r="N15" s="129" t="str">
        <f t="shared" si="1"/>
        <v>USD6L3L7Y</v>
      </c>
      <c r="O15" s="33" t="str">
        <v>USD6L3L7Y=ICAP</v>
      </c>
      <c r="P15" s="397">
        <v>9.1</v>
      </c>
      <c r="Q15" s="397">
        <v>0</v>
      </c>
      <c r="R15" s="219">
        <f>_xll.qlMidEquivalent(P15,Q15)</f>
        <v>9.1</v>
      </c>
      <c r="S15" s="230">
        <v>7</v>
      </c>
      <c r="T15" s="36" t="b">
        <f t="shared" si="2"/>
        <v>1</v>
      </c>
      <c r="U15" s="219">
        <v>9.1</v>
      </c>
      <c r="V15" s="140"/>
      <c r="W15" s="225">
        <v>9.1</v>
      </c>
      <c r="X15" s="140"/>
      <c r="Y15" s="219">
        <v>9.1</v>
      </c>
      <c r="Z15" s="133">
        <f>_xll.qlSimpleQuoteSetValue(F15,Y15/10000,Trigger)</f>
        <v>-2.0000000000000052E-5</v>
      </c>
      <c r="AA15" s="28"/>
    </row>
    <row r="16" spans="1:28" ht="11.25" customHeight="1" x14ac:dyDescent="0.2">
      <c r="A16" s="27"/>
      <c r="B16" s="128" t="str">
        <f t="shared" si="3"/>
        <v>8Y</v>
      </c>
      <c r="C16" s="173" t="str">
        <f t="shared" si="4"/>
        <v>6L</v>
      </c>
      <c r="D16" s="174" t="str">
        <f t="shared" si="5"/>
        <v>3L</v>
      </c>
      <c r="E16" s="175" t="str">
        <f t="shared" si="0"/>
        <v>USD6L3L8Y_Quote</v>
      </c>
      <c r="F16" s="175" t="str">
        <f>_xll.qlSimpleQuote(E16,,RateTickValue,Permanent,Trigger,ObjectOverwrite)</f>
        <v>USD6L3L8Y_Quote#0000</v>
      </c>
      <c r="G16" s="221" t="str">
        <f>_xll.ohRangeRetrieveError(F16)</f>
        <v/>
      </c>
      <c r="H16" s="116"/>
      <c r="J16" s="228"/>
      <c r="K16" s="128" t="s">
        <v>78</v>
      </c>
      <c r="L16" s="128" t="s">
        <v>94</v>
      </c>
      <c r="M16" s="128" t="s">
        <v>93</v>
      </c>
      <c r="N16" s="129" t="str">
        <f t="shared" si="1"/>
        <v>USD6L3L8Y</v>
      </c>
      <c r="O16" s="33" t="str">
        <v>USD6L3L8Y=ICAP</v>
      </c>
      <c r="P16" s="397">
        <v>9.3000000000000007</v>
      </c>
      <c r="Q16" s="397">
        <v>0</v>
      </c>
      <c r="R16" s="219">
        <f>_xll.qlMidEquivalent(P16,Q16)</f>
        <v>9.3000000000000007</v>
      </c>
      <c r="S16" s="230">
        <v>8</v>
      </c>
      <c r="T16" s="36" t="b">
        <f t="shared" si="2"/>
        <v>1</v>
      </c>
      <c r="U16" s="219">
        <v>9.3000000000000007</v>
      </c>
      <c r="V16" s="140"/>
      <c r="W16" s="225">
        <v>9.3000000000000007</v>
      </c>
      <c r="X16" s="140"/>
      <c r="Y16" s="219">
        <v>9.3000000000000007</v>
      </c>
      <c r="Z16" s="133">
        <f>_xll.qlSimpleQuoteSetValue(F16,Y16/10000,Trigger)</f>
        <v>-1.0000000000000026E-5</v>
      </c>
      <c r="AA16" s="28"/>
    </row>
    <row r="17" spans="1:27" ht="11.25" customHeight="1" x14ac:dyDescent="0.2">
      <c r="A17" s="27"/>
      <c r="B17" s="128" t="str">
        <f t="shared" si="3"/>
        <v>9Y</v>
      </c>
      <c r="C17" s="173" t="str">
        <f t="shared" si="4"/>
        <v>6L</v>
      </c>
      <c r="D17" s="174" t="str">
        <f t="shared" si="5"/>
        <v>3L</v>
      </c>
      <c r="E17" s="175" t="str">
        <f t="shared" si="0"/>
        <v>USD6L3L9Y_Quote</v>
      </c>
      <c r="F17" s="175" t="str">
        <f>_xll.qlSimpleQuote(E17,,RateTickValue,Permanent,Trigger,ObjectOverwrite)</f>
        <v>USD6L3L9Y_Quote#0000</v>
      </c>
      <c r="G17" s="221" t="str">
        <f>_xll.ohRangeRetrieveError(F17)</f>
        <v/>
      </c>
      <c r="H17" s="116"/>
      <c r="J17" s="228"/>
      <c r="K17" s="128" t="s">
        <v>77</v>
      </c>
      <c r="L17" s="128" t="s">
        <v>94</v>
      </c>
      <c r="M17" s="128" t="s">
        <v>93</v>
      </c>
      <c r="N17" s="129" t="str">
        <f t="shared" si="1"/>
        <v>USD6L3L9Y</v>
      </c>
      <c r="O17" s="33" t="str">
        <v>USD6L3L9Y=ICAP</v>
      </c>
      <c r="P17" s="397">
        <v>9.5</v>
      </c>
      <c r="Q17" s="397">
        <v>0</v>
      </c>
      <c r="R17" s="219">
        <f>_xll.qlMidEquivalent(P17,Q17)</f>
        <v>9.5</v>
      </c>
      <c r="S17" s="230">
        <v>9</v>
      </c>
      <c r="T17" s="36" t="b">
        <f t="shared" si="2"/>
        <v>1</v>
      </c>
      <c r="U17" s="219">
        <v>9.5</v>
      </c>
      <c r="V17" s="140"/>
      <c r="W17" s="225">
        <v>9.5</v>
      </c>
      <c r="X17" s="140"/>
      <c r="Y17" s="219">
        <v>9.5</v>
      </c>
      <c r="Z17" s="133">
        <f>_xll.qlSimpleQuoteSetValue(F17,Y17/10000,Trigger)</f>
        <v>-1.9999999999999944E-5</v>
      </c>
      <c r="AA17" s="28"/>
    </row>
    <row r="18" spans="1:27" ht="11.25" customHeight="1" x14ac:dyDescent="0.2">
      <c r="A18" s="27"/>
      <c r="B18" s="128" t="str">
        <f t="shared" si="3"/>
        <v>10Y</v>
      </c>
      <c r="C18" s="173" t="str">
        <f t="shared" si="4"/>
        <v>6L</v>
      </c>
      <c r="D18" s="174" t="str">
        <f t="shared" si="5"/>
        <v>3L</v>
      </c>
      <c r="E18" s="175" t="str">
        <f t="shared" si="0"/>
        <v>USD6L3L10Y_Quote</v>
      </c>
      <c r="F18" s="175" t="str">
        <f>_xll.qlSimpleQuote(E18,,RateTickValue,Permanent,Trigger,ObjectOverwrite)</f>
        <v>USD6L3L10Y_Quote#0000</v>
      </c>
      <c r="G18" s="221" t="str">
        <f>_xll.ohRangeRetrieveError(F18)</f>
        <v/>
      </c>
      <c r="H18" s="116"/>
      <c r="J18" s="228"/>
      <c r="K18" s="128" t="s">
        <v>76</v>
      </c>
      <c r="L18" s="128" t="s">
        <v>94</v>
      </c>
      <c r="M18" s="128" t="s">
        <v>93</v>
      </c>
      <c r="N18" s="129" t="str">
        <f t="shared" si="1"/>
        <v>USD6L3L10Y</v>
      </c>
      <c r="O18" s="33" t="str">
        <v>USD6L3L10Y=ICAP</v>
      </c>
      <c r="P18" s="397">
        <v>9.8000000000000007</v>
      </c>
      <c r="Q18" s="397">
        <v>0</v>
      </c>
      <c r="R18" s="219">
        <f>_xll.qlMidEquivalent(P18,Q18)</f>
        <v>9.8000000000000007</v>
      </c>
      <c r="S18" s="230">
        <v>10</v>
      </c>
      <c r="T18" s="36" t="b">
        <f t="shared" si="2"/>
        <v>1</v>
      </c>
      <c r="U18" s="219">
        <v>9.8000000000000007</v>
      </c>
      <c r="V18" s="140"/>
      <c r="W18" s="225">
        <v>9.8000000000000007</v>
      </c>
      <c r="X18" s="140"/>
      <c r="Y18" s="219">
        <v>9.8000000000000007</v>
      </c>
      <c r="Z18" s="133">
        <f>_xll.qlSimpleQuoteSetValue(F18,Y18/10000,Trigger)</f>
        <v>-1.0000000000000026E-5</v>
      </c>
      <c r="AA18" s="28"/>
    </row>
    <row r="19" spans="1:27" ht="11.25" customHeight="1" x14ac:dyDescent="0.2">
      <c r="A19" s="27"/>
      <c r="B19" s="128" t="str">
        <f t="shared" si="3"/>
        <v>11Y</v>
      </c>
      <c r="C19" s="173" t="str">
        <f t="shared" si="4"/>
        <v>6L</v>
      </c>
      <c r="D19" s="174" t="str">
        <f t="shared" si="5"/>
        <v>3L</v>
      </c>
      <c r="E19" s="175" t="str">
        <f t="shared" si="0"/>
        <v>USD6L3L11Y_Quote</v>
      </c>
      <c r="F19" s="175" t="str">
        <f>_xll.qlSimpleQuote(E19,,RateTickValue,Permanent,Trigger,ObjectOverwrite)</f>
        <v>USD6L3L11Y_Quote#0000</v>
      </c>
      <c r="G19" s="221" t="str">
        <f>_xll.ohRangeRetrieveError(F19)</f>
        <v/>
      </c>
      <c r="H19" s="116"/>
      <c r="J19" s="228"/>
      <c r="K19" s="128" t="s">
        <v>75</v>
      </c>
      <c r="L19" s="128" t="s">
        <v>94</v>
      </c>
      <c r="M19" s="128" t="s">
        <v>93</v>
      </c>
      <c r="N19" s="129" t="str">
        <f t="shared" si="1"/>
        <v>USD6L3L11Y</v>
      </c>
      <c r="O19" s="33" t="str">
        <v>USD6L3L11Y=ICAP</v>
      </c>
      <c r="P19" s="397" t="s">
        <v>253</v>
      </c>
      <c r="Q19" s="397" t="s">
        <v>253</v>
      </c>
      <c r="R19" s="219" t="e">
        <f>_xll.qlMidEquivalent(P19,Q19)</f>
        <v>#NUM!</v>
      </c>
      <c r="S19" s="230">
        <v>11</v>
      </c>
      <c r="T19" s="36" t="b">
        <f t="shared" si="2"/>
        <v>0</v>
      </c>
      <c r="U19" s="219">
        <v>10.12693725261172</v>
      </c>
      <c r="V19" s="140"/>
      <c r="W19" s="225">
        <v>10.12693725261172</v>
      </c>
      <c r="X19" s="140"/>
      <c r="Y19" s="219">
        <v>10.12693725261172</v>
      </c>
      <c r="Z19" s="133">
        <f>_xll.qlSimpleQuoteSetValue(F19,Y19/10000,Trigger)</f>
        <v>3.0929072740656666E-6</v>
      </c>
      <c r="AA19" s="28"/>
    </row>
    <row r="20" spans="1:27" ht="11.25" customHeight="1" x14ac:dyDescent="0.2">
      <c r="A20" s="27"/>
      <c r="B20" s="128" t="str">
        <f t="shared" si="3"/>
        <v>12Y</v>
      </c>
      <c r="C20" s="173" t="str">
        <f t="shared" si="4"/>
        <v>6L</v>
      </c>
      <c r="D20" s="174" t="str">
        <f t="shared" si="5"/>
        <v>3L</v>
      </c>
      <c r="E20" s="175" t="str">
        <f t="shared" si="0"/>
        <v>USD6L3L12Y_Quote</v>
      </c>
      <c r="F20" s="175" t="str">
        <f>_xll.qlSimpleQuote(E20,,RateTickValue,Permanent,Trigger,ObjectOverwrite)</f>
        <v>USD6L3L12Y_Quote#0000</v>
      </c>
      <c r="G20" s="221" t="str">
        <f>_xll.ohRangeRetrieveError(F20)</f>
        <v/>
      </c>
      <c r="H20" s="116"/>
      <c r="J20" s="228"/>
      <c r="K20" s="128" t="s">
        <v>74</v>
      </c>
      <c r="L20" s="128" t="s">
        <v>94</v>
      </c>
      <c r="M20" s="128" t="s">
        <v>93</v>
      </c>
      <c r="N20" s="129" t="str">
        <f t="shared" si="1"/>
        <v>USD6L3L12Y</v>
      </c>
      <c r="O20" s="33" t="str">
        <v>USD6L3L12Y=ICAP</v>
      </c>
      <c r="P20" s="397">
        <v>10.4</v>
      </c>
      <c r="Q20" s="397">
        <v>0</v>
      </c>
      <c r="R20" s="219">
        <f>_xll.qlMidEquivalent(P20,Q20)</f>
        <v>10.4</v>
      </c>
      <c r="S20" s="230">
        <v>12</v>
      </c>
      <c r="T20" s="36" t="b">
        <f t="shared" si="2"/>
        <v>1</v>
      </c>
      <c r="U20" s="219">
        <v>10.4</v>
      </c>
      <c r="V20" s="140"/>
      <c r="W20" s="225">
        <v>10.4</v>
      </c>
      <c r="X20" s="140"/>
      <c r="Y20" s="219">
        <v>10.4</v>
      </c>
      <c r="Z20" s="133">
        <f>_xll.qlSimpleQuoteSetValue(F20,Y20/10000,Trigger)</f>
        <v>1.0000000000000026E-5</v>
      </c>
      <c r="AA20" s="28"/>
    </row>
    <row r="21" spans="1:27" ht="11.25" customHeight="1" x14ac:dyDescent="0.2">
      <c r="A21" s="27"/>
      <c r="B21" s="128" t="str">
        <f t="shared" si="3"/>
        <v>13Y</v>
      </c>
      <c r="C21" s="173" t="str">
        <f t="shared" si="4"/>
        <v>6L</v>
      </c>
      <c r="D21" s="174" t="str">
        <f t="shared" si="5"/>
        <v>3L</v>
      </c>
      <c r="E21" s="175" t="str">
        <f t="shared" si="0"/>
        <v>USD6L3L13Y_Quote</v>
      </c>
      <c r="F21" s="175" t="str">
        <f>_xll.qlSimpleQuote(E21,,RateTickValue,Permanent,Trigger,ObjectOverwrite)</f>
        <v>USD6L3L13Y_Quote#0000</v>
      </c>
      <c r="G21" s="221" t="str">
        <f>_xll.ohRangeRetrieveError(F21)</f>
        <v/>
      </c>
      <c r="H21" s="116"/>
      <c r="J21" s="228"/>
      <c r="K21" s="128" t="s">
        <v>73</v>
      </c>
      <c r="L21" s="128" t="s">
        <v>94</v>
      </c>
      <c r="M21" s="128" t="s">
        <v>93</v>
      </c>
      <c r="N21" s="129" t="str">
        <f t="shared" si="1"/>
        <v>USD6L3L13Y</v>
      </c>
      <c r="O21" s="33" t="str">
        <v>USD6L3L13Y=ICAP</v>
      </c>
      <c r="P21" s="397" t="s">
        <v>253</v>
      </c>
      <c r="Q21" s="397" t="s">
        <v>253</v>
      </c>
      <c r="R21" s="219" t="e">
        <f>_xll.qlMidEquivalent(P21,Q21)</f>
        <v>#NUM!</v>
      </c>
      <c r="S21" s="230">
        <v>13</v>
      </c>
      <c r="T21" s="36" t="b">
        <f t="shared" si="2"/>
        <v>0</v>
      </c>
      <c r="U21" s="219">
        <v>10.574399081264543</v>
      </c>
      <c r="V21" s="140"/>
      <c r="W21" s="225">
        <v>10.574399081264543</v>
      </c>
      <c r="X21" s="140"/>
      <c r="Y21" s="219">
        <v>10.574399081264543</v>
      </c>
      <c r="Z21" s="133">
        <f>_xll.qlSimpleQuoteSetValue(F21,Y21/10000,Trigger)</f>
        <v>1.0510678751076644E-5</v>
      </c>
      <c r="AA21" s="28"/>
    </row>
    <row r="22" spans="1:27" ht="11.25" customHeight="1" x14ac:dyDescent="0.2">
      <c r="A22" s="27"/>
      <c r="B22" s="128" t="str">
        <f t="shared" si="3"/>
        <v>14Y</v>
      </c>
      <c r="C22" s="173" t="str">
        <f t="shared" si="4"/>
        <v>6L</v>
      </c>
      <c r="D22" s="174" t="str">
        <f t="shared" si="5"/>
        <v>3L</v>
      </c>
      <c r="E22" s="175" t="str">
        <f t="shared" si="0"/>
        <v>USD6L3L14Y_Quote</v>
      </c>
      <c r="F22" s="175" t="str">
        <f>_xll.qlSimpleQuote(E22,,RateTickValue,Permanent,Trigger,ObjectOverwrite)</f>
        <v>USD6L3L14Y_Quote#0000</v>
      </c>
      <c r="G22" s="221" t="str">
        <f>_xll.ohRangeRetrieveError(F22)</f>
        <v/>
      </c>
      <c r="H22" s="116"/>
      <c r="J22" s="228"/>
      <c r="K22" s="128" t="s">
        <v>72</v>
      </c>
      <c r="L22" s="128" t="s">
        <v>94</v>
      </c>
      <c r="M22" s="128" t="s">
        <v>93</v>
      </c>
      <c r="N22" s="129" t="str">
        <f t="shared" si="1"/>
        <v>USD6L3L14Y</v>
      </c>
      <c r="O22" s="33" t="str">
        <v>USD6L3L14Y=ICAP</v>
      </c>
      <c r="P22" s="397" t="s">
        <v>253</v>
      </c>
      <c r="Q22" s="397" t="s">
        <v>253</v>
      </c>
      <c r="R22" s="219" t="e">
        <f>_xll.qlMidEquivalent(P22,Q22)</f>
        <v>#NUM!</v>
      </c>
      <c r="S22" s="230">
        <v>14</v>
      </c>
      <c r="T22" s="36" t="b">
        <f t="shared" si="2"/>
        <v>0</v>
      </c>
      <c r="U22" s="219">
        <v>10.665532873965605</v>
      </c>
      <c r="V22" s="140"/>
      <c r="W22" s="225">
        <v>10.665532873965605</v>
      </c>
      <c r="X22" s="140"/>
      <c r="Y22" s="219">
        <v>10.665532873965605</v>
      </c>
      <c r="Z22" s="133">
        <f>_xll.qlSimpleQuoteSetValue(F22,Y22/10000,Trigger)</f>
        <v>6.5047599608295675E-6</v>
      </c>
      <c r="AA22" s="28"/>
    </row>
    <row r="23" spans="1:27" ht="11.25" customHeight="1" x14ac:dyDescent="0.2">
      <c r="A23" s="27"/>
      <c r="B23" s="128" t="str">
        <f t="shared" si="3"/>
        <v>15Y</v>
      </c>
      <c r="C23" s="173" t="str">
        <f t="shared" si="4"/>
        <v>6L</v>
      </c>
      <c r="D23" s="174" t="str">
        <f t="shared" si="5"/>
        <v>3L</v>
      </c>
      <c r="E23" s="175" t="str">
        <f t="shared" si="0"/>
        <v>USD6L3L15Y_Quote</v>
      </c>
      <c r="F23" s="175" t="str">
        <f>_xll.qlSimpleQuote(E23,,RateTickValue,Permanent,Trigger,ObjectOverwrite)</f>
        <v>USD6L3L15Y_Quote#0000</v>
      </c>
      <c r="G23" s="221" t="str">
        <f>_xll.ohRangeRetrieveError(F23)</f>
        <v/>
      </c>
      <c r="H23" s="116"/>
      <c r="J23" s="228"/>
      <c r="K23" s="128" t="s">
        <v>71</v>
      </c>
      <c r="L23" s="128" t="s">
        <v>94</v>
      </c>
      <c r="M23" s="128" t="s">
        <v>93</v>
      </c>
      <c r="N23" s="129" t="str">
        <f t="shared" si="1"/>
        <v>USD6L3L15Y</v>
      </c>
      <c r="O23" s="33" t="str">
        <v>USD6L3L15Y=ICAP</v>
      </c>
      <c r="P23" s="397">
        <v>10.7</v>
      </c>
      <c r="Q23" s="397">
        <v>0</v>
      </c>
      <c r="R23" s="219">
        <f>_xll.qlMidEquivalent(P23,Q23)</f>
        <v>10.7</v>
      </c>
      <c r="S23" s="230">
        <v>15</v>
      </c>
      <c r="T23" s="36" t="b">
        <f t="shared" si="2"/>
        <v>1</v>
      </c>
      <c r="U23" s="219">
        <v>10.7</v>
      </c>
      <c r="V23" s="140"/>
      <c r="W23" s="225">
        <v>10.7</v>
      </c>
      <c r="X23" s="140"/>
      <c r="Y23" s="219">
        <v>10.7</v>
      </c>
      <c r="Z23" s="133">
        <f>_xll.qlSimpleQuoteSetValue(F23,Y23/10000,Trigger)</f>
        <v>0</v>
      </c>
      <c r="AA23" s="28"/>
    </row>
    <row r="24" spans="1:27" ht="11.25" customHeight="1" x14ac:dyDescent="0.2">
      <c r="A24" s="27"/>
      <c r="B24" s="128" t="str">
        <f t="shared" si="3"/>
        <v>16Y</v>
      </c>
      <c r="C24" s="173" t="str">
        <f t="shared" si="4"/>
        <v>6L</v>
      </c>
      <c r="D24" s="174" t="str">
        <f t="shared" si="5"/>
        <v>3L</v>
      </c>
      <c r="E24" s="175" t="str">
        <f t="shared" si="0"/>
        <v>USD6L3L16Y_Quote</v>
      </c>
      <c r="F24" s="175" t="str">
        <f>_xll.qlSimpleQuote(E24,,RateTickValue,Permanent,Trigger,ObjectOverwrite)</f>
        <v>USD6L3L16Y_Quote#0000</v>
      </c>
      <c r="G24" s="221" t="str">
        <f>_xll.ohRangeRetrieveError(F24)</f>
        <v/>
      </c>
      <c r="H24" s="116"/>
      <c r="J24" s="228"/>
      <c r="K24" s="128" t="s">
        <v>70</v>
      </c>
      <c r="L24" s="128" t="s">
        <v>94</v>
      </c>
      <c r="M24" s="128" t="s">
        <v>93</v>
      </c>
      <c r="N24" s="129" t="str">
        <f t="shared" si="1"/>
        <v>USD6L3L16Y</v>
      </c>
      <c r="O24" s="33" t="str">
        <v>USD6L3L16Y=ICAP</v>
      </c>
      <c r="P24" s="397" t="s">
        <v>253</v>
      </c>
      <c r="Q24" s="397" t="s">
        <v>253</v>
      </c>
      <c r="R24" s="219" t="e">
        <f>_xll.qlMidEquivalent(P24,Q24)</f>
        <v>#NUM!</v>
      </c>
      <c r="S24" s="230">
        <v>16</v>
      </c>
      <c r="T24" s="36" t="b">
        <f t="shared" si="2"/>
        <v>0</v>
      </c>
      <c r="U24" s="219">
        <v>10.712</v>
      </c>
      <c r="V24" s="140"/>
      <c r="W24" s="225">
        <v>10.712</v>
      </c>
      <c r="X24" s="140"/>
      <c r="Y24" s="219">
        <v>10.712</v>
      </c>
      <c r="Z24" s="133">
        <f>_xll.qlSimpleQuoteSetValue(F24,Y24/10000,Trigger)</f>
        <v>-6.1880434147813888E-6</v>
      </c>
      <c r="AA24" s="28"/>
    </row>
    <row r="25" spans="1:27" ht="11.25" customHeight="1" x14ac:dyDescent="0.2">
      <c r="A25" s="27"/>
      <c r="B25" s="128" t="str">
        <f t="shared" si="3"/>
        <v>17Y</v>
      </c>
      <c r="C25" s="173" t="str">
        <f t="shared" si="4"/>
        <v>6L</v>
      </c>
      <c r="D25" s="174" t="str">
        <f t="shared" si="5"/>
        <v>3L</v>
      </c>
      <c r="E25" s="175" t="str">
        <f t="shared" si="0"/>
        <v>USD6L3L17Y_Quote</v>
      </c>
      <c r="F25" s="175" t="str">
        <f>_xll.qlSimpleQuote(E25,,RateTickValue,Permanent,Trigger,ObjectOverwrite)</f>
        <v>USD6L3L17Y_Quote#0000</v>
      </c>
      <c r="G25" s="221" t="str">
        <f>_xll.ohRangeRetrieveError(F25)</f>
        <v/>
      </c>
      <c r="H25" s="116"/>
      <c r="J25" s="228"/>
      <c r="K25" s="128" t="s">
        <v>69</v>
      </c>
      <c r="L25" s="128" t="s">
        <v>94</v>
      </c>
      <c r="M25" s="128" t="s">
        <v>93</v>
      </c>
      <c r="N25" s="129" t="str">
        <f t="shared" si="1"/>
        <v>USD6L3L17Y</v>
      </c>
      <c r="O25" s="33" t="str">
        <v>USD6L3L17Y=ICAP</v>
      </c>
      <c r="P25" s="397" t="s">
        <v>253</v>
      </c>
      <c r="Q25" s="397" t="s">
        <v>253</v>
      </c>
      <c r="R25" s="219" t="e">
        <f>_xll.qlMidEquivalent(P25,Q25)</f>
        <v>#NUM!</v>
      </c>
      <c r="S25" s="230">
        <v>17</v>
      </c>
      <c r="T25" s="36" t="b">
        <f t="shared" si="2"/>
        <v>0</v>
      </c>
      <c r="U25" s="219">
        <v>10.718</v>
      </c>
      <c r="V25" s="140"/>
      <c r="W25" s="225">
        <v>10.718</v>
      </c>
      <c r="X25" s="140"/>
      <c r="Y25" s="219">
        <v>10.718</v>
      </c>
      <c r="Z25" s="133">
        <f>_xll.qlSimpleQuoteSetValue(F25,Y25/10000,Trigger)</f>
        <v>-1.0866216137295995E-5</v>
      </c>
      <c r="AA25" s="28"/>
    </row>
    <row r="26" spans="1:27" ht="11.25" customHeight="1" x14ac:dyDescent="0.2">
      <c r="A26" s="27"/>
      <c r="B26" s="128" t="str">
        <f t="shared" si="3"/>
        <v>18Y</v>
      </c>
      <c r="C26" s="173" t="str">
        <f t="shared" si="4"/>
        <v>6L</v>
      </c>
      <c r="D26" s="174" t="str">
        <f t="shared" si="5"/>
        <v>3L</v>
      </c>
      <c r="E26" s="175" t="str">
        <f t="shared" si="0"/>
        <v>USD6L3L18Y_Quote</v>
      </c>
      <c r="F26" s="175" t="str">
        <f>_xll.qlSimpleQuote(E26,,RateTickValue,Permanent,Trigger,ObjectOverwrite)</f>
        <v>USD6L3L18Y_Quote#0000</v>
      </c>
      <c r="G26" s="221" t="str">
        <f>_xll.ohRangeRetrieveError(F26)</f>
        <v/>
      </c>
      <c r="H26" s="116"/>
      <c r="J26" s="228"/>
      <c r="K26" s="128" t="s">
        <v>68</v>
      </c>
      <c r="L26" s="128" t="s">
        <v>94</v>
      </c>
      <c r="M26" s="128" t="s">
        <v>93</v>
      </c>
      <c r="N26" s="129" t="str">
        <f t="shared" si="1"/>
        <v>USD6L3L18Y</v>
      </c>
      <c r="O26" s="33" t="str">
        <v>USD6L3L18Y=ICAP</v>
      </c>
      <c r="P26" s="397" t="s">
        <v>253</v>
      </c>
      <c r="Q26" s="397" t="s">
        <v>253</v>
      </c>
      <c r="R26" s="219" t="e">
        <f>_xll.qlMidEquivalent(P26,Q26)</f>
        <v>#NUM!</v>
      </c>
      <c r="S26" s="230">
        <v>18</v>
      </c>
      <c r="T26" s="36" t="b">
        <f t="shared" si="2"/>
        <v>0</v>
      </c>
      <c r="U26" s="219">
        <v>10.718</v>
      </c>
      <c r="V26" s="140"/>
      <c r="W26" s="225">
        <v>10.718</v>
      </c>
      <c r="X26" s="140"/>
      <c r="Y26" s="219">
        <v>10.718</v>
      </c>
      <c r="Z26" s="133">
        <f>_xll.qlSimpleQuoteSetValue(F26,Y26/10000,Trigger)</f>
        <v>-1.4450367152419631E-5</v>
      </c>
      <c r="AA26" s="28"/>
    </row>
    <row r="27" spans="1:27" ht="11.25" customHeight="1" x14ac:dyDescent="0.2">
      <c r="A27" s="27"/>
      <c r="B27" s="128" t="str">
        <f t="shared" si="3"/>
        <v>19Y</v>
      </c>
      <c r="C27" s="173" t="str">
        <f t="shared" si="4"/>
        <v>6L</v>
      </c>
      <c r="D27" s="174" t="str">
        <f t="shared" si="5"/>
        <v>3L</v>
      </c>
      <c r="E27" s="175" t="str">
        <f t="shared" si="0"/>
        <v>USD6L3L19Y_Quote</v>
      </c>
      <c r="F27" s="175" t="str">
        <f>_xll.qlSimpleQuote(E27,,RateTickValue,Permanent,Trigger,ObjectOverwrite)</f>
        <v>USD6L3L19Y_Quote#0000</v>
      </c>
      <c r="G27" s="221" t="str">
        <f>_xll.ohRangeRetrieveError(F27)</f>
        <v/>
      </c>
      <c r="H27" s="116"/>
      <c r="J27" s="228"/>
      <c r="K27" s="128" t="s">
        <v>67</v>
      </c>
      <c r="L27" s="128" t="s">
        <v>94</v>
      </c>
      <c r="M27" s="128" t="s">
        <v>93</v>
      </c>
      <c r="N27" s="129" t="str">
        <f t="shared" si="1"/>
        <v>USD6L3L19Y</v>
      </c>
      <c r="O27" s="33" t="str">
        <v>USD6L3L19Y=ICAP</v>
      </c>
      <c r="P27" s="397" t="s">
        <v>253</v>
      </c>
      <c r="Q27" s="397" t="s">
        <v>253</v>
      </c>
      <c r="R27" s="219" t="e">
        <f>_xll.qlMidEquivalent(P27,Q27)</f>
        <v>#NUM!</v>
      </c>
      <c r="S27" s="230">
        <v>19</v>
      </c>
      <c r="T27" s="36" t="b">
        <f t="shared" si="2"/>
        <v>0</v>
      </c>
      <c r="U27" s="219">
        <v>10.712</v>
      </c>
      <c r="V27" s="140"/>
      <c r="W27" s="225">
        <v>10.712</v>
      </c>
      <c r="X27" s="140"/>
      <c r="Y27" s="219">
        <v>10.712</v>
      </c>
      <c r="Z27" s="133">
        <f>_xll.qlSimpleQuoteSetValue(F27,Y27/10000,Trigger)</f>
        <v>-1.7356345445028757E-5</v>
      </c>
      <c r="AA27" s="28"/>
    </row>
    <row r="28" spans="1:27" ht="11.25" customHeight="1" x14ac:dyDescent="0.2">
      <c r="A28" s="27"/>
      <c r="B28" s="128" t="str">
        <f t="shared" si="3"/>
        <v>20Y</v>
      </c>
      <c r="C28" s="173" t="str">
        <f t="shared" si="4"/>
        <v>6L</v>
      </c>
      <c r="D28" s="174" t="str">
        <f t="shared" si="5"/>
        <v>3L</v>
      </c>
      <c r="E28" s="175" t="str">
        <f t="shared" si="0"/>
        <v>USD6L3L20Y_Quote</v>
      </c>
      <c r="F28" s="175" t="str">
        <f>_xll.qlSimpleQuote(E28,,RateTickValue,Permanent,Trigger,ObjectOverwrite)</f>
        <v>USD6L3L20Y_Quote#0000</v>
      </c>
      <c r="G28" s="221" t="str">
        <f>_xll.ohRangeRetrieveError(F28)</f>
        <v/>
      </c>
      <c r="H28" s="116"/>
      <c r="J28" s="228"/>
      <c r="K28" s="128" t="s">
        <v>66</v>
      </c>
      <c r="L28" s="128" t="s">
        <v>94</v>
      </c>
      <c r="M28" s="128" t="s">
        <v>93</v>
      </c>
      <c r="N28" s="129" t="str">
        <f t="shared" si="1"/>
        <v>USD6L3L20Y</v>
      </c>
      <c r="O28" s="33" t="str">
        <v>USD6L3L20Y=ICAP</v>
      </c>
      <c r="P28" s="397">
        <v>10.7</v>
      </c>
      <c r="Q28" s="397">
        <v>0</v>
      </c>
      <c r="R28" s="219">
        <f>_xll.qlMidEquivalent(P28,Q28)</f>
        <v>10.7</v>
      </c>
      <c r="S28" s="230">
        <v>20</v>
      </c>
      <c r="T28" s="36" t="b">
        <f t="shared" si="2"/>
        <v>1</v>
      </c>
      <c r="U28" s="219">
        <v>10.7</v>
      </c>
      <c r="V28" s="140"/>
      <c r="W28" s="225">
        <v>10.7</v>
      </c>
      <c r="X28" s="140"/>
      <c r="Y28" s="219">
        <v>10.7</v>
      </c>
      <c r="Z28" s="133">
        <f>_xll.qlSimpleQuoteSetValue(F28,Y28/10000,Trigger)</f>
        <v>-2.0000000000000052E-5</v>
      </c>
      <c r="AA28" s="28"/>
    </row>
    <row r="29" spans="1:27" ht="11.25" customHeight="1" x14ac:dyDescent="0.2">
      <c r="A29" s="27"/>
      <c r="B29" s="128" t="str">
        <f t="shared" si="3"/>
        <v>21Y</v>
      </c>
      <c r="C29" s="173" t="str">
        <f t="shared" si="4"/>
        <v>6L</v>
      </c>
      <c r="D29" s="174" t="str">
        <f t="shared" si="5"/>
        <v>3L</v>
      </c>
      <c r="E29" s="175" t="str">
        <f t="shared" si="0"/>
        <v>USD6L3L21Y_Quote</v>
      </c>
      <c r="F29" s="175" t="str">
        <f>_xll.qlSimpleQuote(E29,,RateTickValue,Permanent,Trigger,ObjectOverwrite)</f>
        <v>USD6L3L21Y_Quote#0000</v>
      </c>
      <c r="G29" s="221" t="str">
        <f>_xll.ohRangeRetrieveError(F29)</f>
        <v/>
      </c>
      <c r="H29" s="116"/>
      <c r="J29" s="228"/>
      <c r="K29" s="128" t="s">
        <v>65</v>
      </c>
      <c r="L29" s="128" t="s">
        <v>94</v>
      </c>
      <c r="M29" s="128" t="s">
        <v>93</v>
      </c>
      <c r="N29" s="129" t="str">
        <f t="shared" si="1"/>
        <v>USD6L3L21Y</v>
      </c>
      <c r="O29" s="33" t="str">
        <v>USD6L3L21Y=ICAP</v>
      </c>
      <c r="P29" s="397" t="s">
        <v>253</v>
      </c>
      <c r="Q29" s="397" t="s">
        <v>253</v>
      </c>
      <c r="R29" s="219" t="e">
        <f>_xll.qlMidEquivalent(P29,Q29)</f>
        <v>#NUM!</v>
      </c>
      <c r="S29" s="230">
        <v>21</v>
      </c>
      <c r="T29" s="36" t="b">
        <f t="shared" si="2"/>
        <v>0</v>
      </c>
      <c r="U29" s="219">
        <v>10.68336566251279</v>
      </c>
      <c r="V29" s="140"/>
      <c r="W29" s="225">
        <v>10.68336566251279</v>
      </c>
      <c r="X29" s="140"/>
      <c r="Y29" s="219">
        <v>10.68336566251279</v>
      </c>
      <c r="Z29" s="133">
        <f>_xll.qlSimpleQuoteSetValue(F29,Y29/10000,Trigger)</f>
        <v>-2.2589908501482753E-5</v>
      </c>
      <c r="AA29" s="28"/>
    </row>
    <row r="30" spans="1:27" ht="11.25" customHeight="1" x14ac:dyDescent="0.2">
      <c r="A30" s="27"/>
      <c r="B30" s="128" t="str">
        <f t="shared" si="3"/>
        <v>22Y</v>
      </c>
      <c r="C30" s="173" t="str">
        <f t="shared" si="4"/>
        <v>6L</v>
      </c>
      <c r="D30" s="174" t="str">
        <f t="shared" si="5"/>
        <v>3L</v>
      </c>
      <c r="E30" s="175" t="str">
        <f t="shared" si="0"/>
        <v>USD6L3L22Y_Quote</v>
      </c>
      <c r="F30" s="175" t="str">
        <f>_xll.qlSimpleQuote(E30,,RateTickValue,Permanent,Trigger,ObjectOverwrite)</f>
        <v>USD6L3L22Y_Quote#0000</v>
      </c>
      <c r="G30" s="221" t="str">
        <f>_xll.ohRangeRetrieveError(F30)</f>
        <v/>
      </c>
      <c r="H30" s="116"/>
      <c r="J30" s="228"/>
      <c r="K30" s="128" t="s">
        <v>64</v>
      </c>
      <c r="L30" s="128" t="s">
        <v>94</v>
      </c>
      <c r="M30" s="128" t="s">
        <v>93</v>
      </c>
      <c r="N30" s="129" t="str">
        <f t="shared" si="1"/>
        <v>USD6L3L22Y</v>
      </c>
      <c r="O30" s="33" t="str">
        <v>USD6L3L22Y=ICAP</v>
      </c>
      <c r="P30" s="397" t="s">
        <v>253</v>
      </c>
      <c r="Q30" s="397" t="s">
        <v>253</v>
      </c>
      <c r="R30" s="219" t="e">
        <f>_xll.qlMidEquivalent(P30,Q30)</f>
        <v>#NUM!</v>
      </c>
      <c r="S30" s="230">
        <v>22</v>
      </c>
      <c r="T30" s="36" t="b">
        <f t="shared" si="2"/>
        <v>0</v>
      </c>
      <c r="U30" s="219">
        <v>10.664096987538372</v>
      </c>
      <c r="V30" s="140"/>
      <c r="W30" s="225">
        <v>10.664096987538372</v>
      </c>
      <c r="X30" s="140"/>
      <c r="Y30" s="219">
        <v>10.664096987538372</v>
      </c>
      <c r="Z30" s="133">
        <f>_xll.qlSimpleQuoteSetValue(F30,Y30/10000,Trigger)</f>
        <v>-2.4988394687114899E-5</v>
      </c>
      <c r="AA30" s="28"/>
    </row>
    <row r="31" spans="1:27" ht="11.25" customHeight="1" x14ac:dyDescent="0.2">
      <c r="A31" s="27"/>
      <c r="B31" s="128" t="str">
        <f t="shared" si="3"/>
        <v>23Y</v>
      </c>
      <c r="C31" s="173" t="str">
        <f t="shared" si="4"/>
        <v>6L</v>
      </c>
      <c r="D31" s="174" t="str">
        <f t="shared" si="5"/>
        <v>3L</v>
      </c>
      <c r="E31" s="175" t="str">
        <f t="shared" si="0"/>
        <v>USD6L3L23Y_Quote</v>
      </c>
      <c r="F31" s="175" t="str">
        <f>_xll.qlSimpleQuote(E31,,RateTickValue,Permanent,Trigger,ObjectOverwrite)</f>
        <v>USD6L3L23Y_Quote#0000</v>
      </c>
      <c r="G31" s="221" t="str">
        <f>_xll.ohRangeRetrieveError(F31)</f>
        <v/>
      </c>
      <c r="H31" s="116"/>
      <c r="J31" s="228"/>
      <c r="K31" s="128" t="s">
        <v>63</v>
      </c>
      <c r="L31" s="128" t="s">
        <v>94</v>
      </c>
      <c r="M31" s="128" t="s">
        <v>93</v>
      </c>
      <c r="N31" s="129" t="str">
        <f t="shared" si="1"/>
        <v>USD6L3L23Y</v>
      </c>
      <c r="O31" s="33" t="str">
        <v>USD6L3L23Y=ICAP</v>
      </c>
      <c r="P31" s="397" t="s">
        <v>253</v>
      </c>
      <c r="Q31" s="397" t="s">
        <v>253</v>
      </c>
      <c r="R31" s="219" t="e">
        <f>_xll.qlMidEquivalent(P31,Q31)</f>
        <v>#NUM!</v>
      </c>
      <c r="S31" s="230">
        <v>23</v>
      </c>
      <c r="T31" s="36" t="b">
        <f t="shared" si="2"/>
        <v>0</v>
      </c>
      <c r="U31" s="219">
        <v>10.643145481307558</v>
      </c>
      <c r="V31" s="140"/>
      <c r="W31" s="225">
        <v>10.643145481307558</v>
      </c>
      <c r="X31" s="140"/>
      <c r="Y31" s="219">
        <v>10.643145481307558</v>
      </c>
      <c r="Z31" s="133">
        <f>_xll.qlSimpleQuoteSetValue(F31,Y31/10000,Trigger)</f>
        <v>-2.7091926622006043E-5</v>
      </c>
      <c r="AA31" s="28"/>
    </row>
    <row r="32" spans="1:27" ht="11.25" customHeight="1" x14ac:dyDescent="0.2">
      <c r="A32" s="27"/>
      <c r="B32" s="128" t="str">
        <f t="shared" si="3"/>
        <v>24Y</v>
      </c>
      <c r="C32" s="173" t="str">
        <f t="shared" si="4"/>
        <v>6L</v>
      </c>
      <c r="D32" s="174" t="str">
        <f t="shared" si="5"/>
        <v>3L</v>
      </c>
      <c r="E32" s="175" t="str">
        <f t="shared" si="0"/>
        <v>USD6L3L24Y_Quote</v>
      </c>
      <c r="F32" s="175" t="str">
        <f>_xll.qlSimpleQuote(E32,,RateTickValue,Permanent,Trigger,ObjectOverwrite)</f>
        <v>USD6L3L24Y_Quote#0000</v>
      </c>
      <c r="G32" s="221" t="str">
        <f>_xll.ohRangeRetrieveError(F32)</f>
        <v/>
      </c>
      <c r="H32" s="116"/>
      <c r="J32" s="228"/>
      <c r="K32" s="128" t="s">
        <v>62</v>
      </c>
      <c r="L32" s="128" t="s">
        <v>94</v>
      </c>
      <c r="M32" s="128" t="s">
        <v>93</v>
      </c>
      <c r="N32" s="129" t="str">
        <f t="shared" si="1"/>
        <v>USD6L3L24Y</v>
      </c>
      <c r="O32" s="33" t="str">
        <v>USD6L3L24Y=ICAP</v>
      </c>
      <c r="P32" s="397" t="s">
        <v>253</v>
      </c>
      <c r="Q32" s="397" t="s">
        <v>253</v>
      </c>
      <c r="R32" s="219" t="e">
        <f>_xll.qlMidEquivalent(P32,Q32)</f>
        <v>#NUM!</v>
      </c>
      <c r="S32" s="230">
        <v>24</v>
      </c>
      <c r="T32" s="36" t="b">
        <f t="shared" si="2"/>
        <v>0</v>
      </c>
      <c r="U32" s="219">
        <v>10.621462650051162</v>
      </c>
      <c r="V32" s="140"/>
      <c r="W32" s="225">
        <v>10.621462650051162</v>
      </c>
      <c r="X32" s="140"/>
      <c r="Y32" s="219">
        <v>10.621462650051162</v>
      </c>
      <c r="Z32" s="133">
        <f>_xll.qlSimpleQuoteSetValue(F32,Y32/10000,Trigger)</f>
        <v>-2.8796972371264657E-5</v>
      </c>
      <c r="AA32" s="28"/>
    </row>
    <row r="33" spans="1:27" ht="11.25" customHeight="1" x14ac:dyDescent="0.2">
      <c r="A33" s="27"/>
      <c r="B33" s="128" t="str">
        <f t="shared" si="3"/>
        <v>25Y</v>
      </c>
      <c r="C33" s="173" t="str">
        <f t="shared" si="4"/>
        <v>6L</v>
      </c>
      <c r="D33" s="174" t="str">
        <f t="shared" si="5"/>
        <v>3L</v>
      </c>
      <c r="E33" s="175" t="str">
        <f t="shared" si="0"/>
        <v>USD6L3L25Y_Quote</v>
      </c>
      <c r="F33" s="175" t="str">
        <f>_xll.qlSimpleQuote(E33,,RateTickValue,Permanent,Trigger,ObjectOverwrite)</f>
        <v>USD6L3L25Y_Quote#0000</v>
      </c>
      <c r="G33" s="221" t="str">
        <f>_xll.ohRangeRetrieveError(F33)</f>
        <v/>
      </c>
      <c r="H33" s="116"/>
      <c r="J33" s="228"/>
      <c r="K33" s="128" t="s">
        <v>61</v>
      </c>
      <c r="L33" s="128" t="s">
        <v>94</v>
      </c>
      <c r="M33" s="128" t="s">
        <v>93</v>
      </c>
      <c r="N33" s="129" t="str">
        <f t="shared" si="1"/>
        <v>USD6L3L25Y</v>
      </c>
      <c r="O33" s="33" t="str">
        <v>USD6L3L25Y=ICAP</v>
      </c>
      <c r="P33" s="397">
        <v>10.6</v>
      </c>
      <c r="Q33" s="397">
        <v>0</v>
      </c>
      <c r="R33" s="219">
        <f>_xll.qlMidEquivalent(P33,Q33)</f>
        <v>10.6</v>
      </c>
      <c r="S33" s="230">
        <v>25</v>
      </c>
      <c r="T33" s="36" t="b">
        <f t="shared" si="2"/>
        <v>1</v>
      </c>
      <c r="U33" s="219">
        <v>10.6</v>
      </c>
      <c r="V33" s="140"/>
      <c r="W33" s="225">
        <v>10.6</v>
      </c>
      <c r="X33" s="140"/>
      <c r="Y33" s="219">
        <v>10.6</v>
      </c>
      <c r="Z33" s="133">
        <f>_xll.qlSimpleQuoteSetValue(F33,Y33/10000,Trigger)</f>
        <v>-3.0000000000000079E-5</v>
      </c>
      <c r="AA33" s="28"/>
    </row>
    <row r="34" spans="1:27" ht="11.25" customHeight="1" x14ac:dyDescent="0.2">
      <c r="A34" s="27"/>
      <c r="B34" s="128" t="str">
        <f t="shared" si="3"/>
        <v>26Y</v>
      </c>
      <c r="C34" s="173" t="str">
        <f t="shared" si="4"/>
        <v>6L</v>
      </c>
      <c r="D34" s="174" t="str">
        <f t="shared" si="5"/>
        <v>3L</v>
      </c>
      <c r="E34" s="175" t="str">
        <f t="shared" si="0"/>
        <v>USD6L3L26Y_Quote</v>
      </c>
      <c r="F34" s="175" t="str">
        <f>_xll.qlSimpleQuote(E34,,RateTickValue,Permanent,Trigger,ObjectOverwrite)</f>
        <v>USD6L3L26Y_Quote#0000</v>
      </c>
      <c r="G34" s="221" t="str">
        <f>_xll.ohRangeRetrieveError(F34)</f>
        <v/>
      </c>
      <c r="H34" s="116"/>
      <c r="J34" s="228"/>
      <c r="K34" s="128" t="s">
        <v>60</v>
      </c>
      <c r="L34" s="128" t="s">
        <v>94</v>
      </c>
      <c r="M34" s="128" t="s">
        <v>93</v>
      </c>
      <c r="N34" s="129" t="str">
        <f t="shared" si="1"/>
        <v>USD6L3L26Y</v>
      </c>
      <c r="O34" s="33" t="str">
        <v>USD6L3L26Y=ICAP</v>
      </c>
      <c r="P34" s="397" t="s">
        <v>253</v>
      </c>
      <c r="Q34" s="397" t="s">
        <v>253</v>
      </c>
      <c r="R34" s="219" t="e">
        <f>_xll.qlMidEquivalent(P34,Q34)</f>
        <v>#NUM!</v>
      </c>
      <c r="S34" s="230">
        <v>26</v>
      </c>
      <c r="T34" s="36" t="b">
        <f t="shared" si="2"/>
        <v>0</v>
      </c>
      <c r="U34" s="219">
        <v>10.579254518692441</v>
      </c>
      <c r="V34" s="140"/>
      <c r="W34" s="225">
        <v>10.579254518692441</v>
      </c>
      <c r="X34" s="140"/>
      <c r="Y34" s="219">
        <v>10.579254518692441</v>
      </c>
      <c r="Z34" s="133">
        <f>_xll.qlSimpleQuoteSetValue(F34,Y34/10000,Trigger)</f>
        <v>-3.0660605704927466E-5</v>
      </c>
      <c r="AA34" s="28"/>
    </row>
    <row r="35" spans="1:27" ht="11.25" customHeight="1" x14ac:dyDescent="0.2">
      <c r="A35" s="27"/>
      <c r="B35" s="128" t="str">
        <f t="shared" si="3"/>
        <v>27Y</v>
      </c>
      <c r="C35" s="173" t="str">
        <f t="shared" si="4"/>
        <v>6L</v>
      </c>
      <c r="D35" s="174" t="str">
        <f t="shared" si="5"/>
        <v>3L</v>
      </c>
      <c r="E35" s="175" t="str">
        <f t="shared" si="0"/>
        <v>USD6L3L27Y_Quote</v>
      </c>
      <c r="F35" s="175" t="str">
        <f>_xll.qlSimpleQuote(E35,,RateTickValue,Permanent,Trigger,ObjectOverwrite)</f>
        <v>USD6L3L27Y_Quote#0000</v>
      </c>
      <c r="G35" s="221" t="str">
        <f>_xll.ohRangeRetrieveError(F35)</f>
        <v/>
      </c>
      <c r="H35" s="116"/>
      <c r="J35" s="228"/>
      <c r="K35" s="128" t="s">
        <v>59</v>
      </c>
      <c r="L35" s="128" t="s">
        <v>94</v>
      </c>
      <c r="M35" s="128" t="s">
        <v>93</v>
      </c>
      <c r="N35" s="129" t="str">
        <f t="shared" si="1"/>
        <v>USD6L3L27Y</v>
      </c>
      <c r="O35" s="33" t="str">
        <v>USD6L3L27Y=ICAP</v>
      </c>
      <c r="P35" s="397" t="s">
        <v>253</v>
      </c>
      <c r="Q35" s="397" t="s">
        <v>253</v>
      </c>
      <c r="R35" s="219" t="e">
        <f>_xll.qlMidEquivalent(P35,Q35)</f>
        <v>#NUM!</v>
      </c>
      <c r="S35" s="230">
        <v>27</v>
      </c>
      <c r="T35" s="36" t="b">
        <f t="shared" si="2"/>
        <v>0</v>
      </c>
      <c r="U35" s="219">
        <v>10.559006024923255</v>
      </c>
      <c r="V35" s="140"/>
      <c r="W35" s="225">
        <v>10.559006024923255</v>
      </c>
      <c r="X35" s="140"/>
      <c r="Y35" s="219">
        <v>10.559006024923255</v>
      </c>
      <c r="Z35" s="133">
        <f>_xll.qlSimpleQuoteSetValue(F35,Y35/10000,Trigger)</f>
        <v>-3.0880807606570001E-5</v>
      </c>
      <c r="AA35" s="28"/>
    </row>
    <row r="36" spans="1:27" ht="11.25" customHeight="1" x14ac:dyDescent="0.2">
      <c r="A36" s="27"/>
      <c r="B36" s="128" t="str">
        <f t="shared" si="3"/>
        <v>28Y</v>
      </c>
      <c r="C36" s="173" t="str">
        <f t="shared" si="4"/>
        <v>6L</v>
      </c>
      <c r="D36" s="174" t="str">
        <f t="shared" si="5"/>
        <v>3L</v>
      </c>
      <c r="E36" s="175" t="str">
        <f t="shared" si="0"/>
        <v>USD6L3L28Y_Quote</v>
      </c>
      <c r="F36" s="175" t="str">
        <f>_xll.qlSimpleQuote(E36,,RateTickValue,Permanent,Trigger,ObjectOverwrite)</f>
        <v>USD6L3L28Y_Quote#0000</v>
      </c>
      <c r="G36" s="221" t="str">
        <f>_xll.ohRangeRetrieveError(F36)</f>
        <v/>
      </c>
      <c r="H36" s="116"/>
      <c r="J36" s="228"/>
      <c r="K36" s="128" t="s">
        <v>58</v>
      </c>
      <c r="L36" s="128" t="s">
        <v>94</v>
      </c>
      <c r="M36" s="128" t="s">
        <v>93</v>
      </c>
      <c r="N36" s="129" t="str">
        <f t="shared" si="1"/>
        <v>USD6L3L28Y</v>
      </c>
      <c r="O36" s="33" t="str">
        <v>USD6L3L28Y=ICAP</v>
      </c>
      <c r="P36" s="397" t="s">
        <v>253</v>
      </c>
      <c r="Q36" s="397" t="s">
        <v>253</v>
      </c>
      <c r="R36" s="219" t="e">
        <f>_xll.qlMidEquivalent(P36,Q36)</f>
        <v>#NUM!</v>
      </c>
      <c r="S36" s="230">
        <v>28</v>
      </c>
      <c r="T36" s="36" t="b">
        <f t="shared" si="2"/>
        <v>0</v>
      </c>
      <c r="U36" s="219">
        <v>10.539130271807847</v>
      </c>
      <c r="V36" s="140"/>
      <c r="W36" s="225">
        <v>10.539130271807847</v>
      </c>
      <c r="X36" s="140"/>
      <c r="Y36" s="219">
        <v>10.539130271807847</v>
      </c>
      <c r="Z36" s="133">
        <f>_xll.qlSimpleQuoteSetValue(F36,Y36/10000,Trigger)</f>
        <v>-3.0770706655748733E-5</v>
      </c>
      <c r="AA36" s="28"/>
    </row>
    <row r="37" spans="1:27" ht="11.25" customHeight="1" x14ac:dyDescent="0.2">
      <c r="A37" s="27"/>
      <c r="B37" s="128" t="str">
        <f t="shared" si="3"/>
        <v>29Y</v>
      </c>
      <c r="C37" s="173" t="str">
        <f t="shared" si="4"/>
        <v>6L</v>
      </c>
      <c r="D37" s="174" t="str">
        <f t="shared" si="5"/>
        <v>3L</v>
      </c>
      <c r="E37" s="175" t="str">
        <f t="shared" si="0"/>
        <v>USD6L3L29Y_Quote</v>
      </c>
      <c r="F37" s="175" t="str">
        <f>_xll.qlSimpleQuote(E37,,RateTickValue,Permanent,Trigger,ObjectOverwrite)</f>
        <v>USD6L3L29Y_Quote#0000</v>
      </c>
      <c r="G37" s="221" t="str">
        <f>_xll.ohRangeRetrieveError(F37)</f>
        <v/>
      </c>
      <c r="H37" s="116"/>
      <c r="J37" s="228"/>
      <c r="K37" s="128" t="s">
        <v>57</v>
      </c>
      <c r="L37" s="128" t="s">
        <v>94</v>
      </c>
      <c r="M37" s="128" t="s">
        <v>93</v>
      </c>
      <c r="N37" s="129" t="str">
        <f t="shared" si="1"/>
        <v>USD6L3L29Y</v>
      </c>
      <c r="O37" s="33" t="str">
        <v>USD6L3L29Y=ICAP</v>
      </c>
      <c r="P37" s="397" t="s">
        <v>253</v>
      </c>
      <c r="Q37" s="397" t="s">
        <v>253</v>
      </c>
      <c r="R37" s="219" t="e">
        <f>_xll.qlMidEquivalent(P37,Q37)</f>
        <v>#NUM!</v>
      </c>
      <c r="S37" s="230">
        <v>29</v>
      </c>
      <c r="T37" s="36" t="b">
        <f t="shared" si="2"/>
        <v>0</v>
      </c>
      <c r="U37" s="219">
        <v>10.519503012461628</v>
      </c>
      <c r="V37" s="140"/>
      <c r="W37" s="225">
        <v>10.519503012461628</v>
      </c>
      <c r="X37" s="140"/>
      <c r="Y37" s="219">
        <v>10.519503012461628</v>
      </c>
      <c r="Z37" s="133">
        <f>_xll.qlSimpleQuoteSetValue(F37,Y37/10000,Trigger)</f>
        <v>-3.0440403803284714E-5</v>
      </c>
      <c r="AA37" s="28"/>
    </row>
    <row r="38" spans="1:27" ht="11.25" customHeight="1" x14ac:dyDescent="0.2">
      <c r="A38" s="27"/>
      <c r="B38" s="128" t="str">
        <f t="shared" si="3"/>
        <v>30Y</v>
      </c>
      <c r="C38" s="173" t="str">
        <f t="shared" si="4"/>
        <v>6L</v>
      </c>
      <c r="D38" s="174" t="str">
        <f t="shared" si="5"/>
        <v>3L</v>
      </c>
      <c r="E38" s="175" t="str">
        <f t="shared" si="0"/>
        <v>USD6L3L30Y_Quote</v>
      </c>
      <c r="F38" s="175" t="str">
        <f>_xll.qlSimpleQuote(E38,,RateTickValue,Permanent,Trigger,ObjectOverwrite)</f>
        <v>USD6L3L30Y_Quote#0000</v>
      </c>
      <c r="G38" s="221" t="str">
        <f>_xll.ohRangeRetrieveError(F38)</f>
        <v/>
      </c>
      <c r="H38" s="116"/>
      <c r="J38" s="228"/>
      <c r="K38" s="128" t="s">
        <v>56</v>
      </c>
      <c r="L38" s="128" t="s">
        <v>94</v>
      </c>
      <c r="M38" s="128" t="s">
        <v>93</v>
      </c>
      <c r="N38" s="129" t="str">
        <f t="shared" si="1"/>
        <v>USD6L3L30Y</v>
      </c>
      <c r="O38" s="33" t="str">
        <v>USD6L3L30Y=ICAP</v>
      </c>
      <c r="P38" s="397">
        <v>10.5</v>
      </c>
      <c r="Q38" s="397">
        <v>0</v>
      </c>
      <c r="R38" s="219">
        <f>_xll.qlMidEquivalent(P38,Q38)</f>
        <v>10.5</v>
      </c>
      <c r="S38" s="230">
        <v>30</v>
      </c>
      <c r="T38" s="36" t="b">
        <f t="shared" si="2"/>
        <v>1</v>
      </c>
      <c r="U38" s="219">
        <v>10.5</v>
      </c>
      <c r="V38" s="140"/>
      <c r="W38" s="225">
        <v>10.5</v>
      </c>
      <c r="X38" s="140"/>
      <c r="Y38" s="219">
        <v>10.5</v>
      </c>
      <c r="Z38" s="133">
        <f>_xll.qlSimpleQuoteSetValue(F38,Y38/10000,Trigger)</f>
        <v>-3.0000000000000079E-5</v>
      </c>
      <c r="AA38" s="28"/>
    </row>
    <row r="39" spans="1:27" ht="11.25" customHeight="1" x14ac:dyDescent="0.2">
      <c r="A39" s="27"/>
      <c r="B39" s="128" t="str">
        <f t="shared" si="3"/>
        <v>35Y</v>
      </c>
      <c r="C39" s="173" t="str">
        <f t="shared" si="4"/>
        <v>6L</v>
      </c>
      <c r="D39" s="174" t="str">
        <f t="shared" si="5"/>
        <v>3L</v>
      </c>
      <c r="E39" s="175" t="str">
        <f t="shared" si="0"/>
        <v>USD6L3L35Y_Quote</v>
      </c>
      <c r="F39" s="175" t="str">
        <f>_xll.qlSimpleQuote(E39,,RateTickValue,Permanent,Trigger,ObjectOverwrite)</f>
        <v>USD6L3L35Y_Quote#0000</v>
      </c>
      <c r="G39" s="221" t="str">
        <f>_xll.ohRangeRetrieveError(F39)</f>
        <v/>
      </c>
      <c r="H39" s="116"/>
      <c r="J39" s="228"/>
      <c r="K39" s="128" t="s">
        <v>51</v>
      </c>
      <c r="L39" s="128" t="s">
        <v>94</v>
      </c>
      <c r="M39" s="128" t="s">
        <v>93</v>
      </c>
      <c r="N39" s="129" t="str">
        <f t="shared" si="1"/>
        <v>USD6L3L35Y</v>
      </c>
      <c r="O39" s="33" t="str">
        <v>USD6L3L35Y=ICAP</v>
      </c>
      <c r="P39" s="397" t="s">
        <v>253</v>
      </c>
      <c r="Q39" s="397" t="s">
        <v>253</v>
      </c>
      <c r="R39" s="219" t="e">
        <f>_xll.qlMidEquivalent(P39,Q39)</f>
        <v>#NUM!</v>
      </c>
      <c r="S39" s="230">
        <v>35</v>
      </c>
      <c r="T39" s="36" t="b">
        <f t="shared" si="2"/>
        <v>0</v>
      </c>
      <c r="U39" s="234">
        <f>U38</f>
        <v>10.5</v>
      </c>
      <c r="V39" s="140"/>
      <c r="W39" s="234">
        <v>10.5</v>
      </c>
      <c r="X39" s="140"/>
      <c r="Y39" s="234">
        <v>10.5</v>
      </c>
      <c r="Z39" s="133">
        <f>_xll.qlSimpleQuoteSetValue(F39,Y39/10000,Trigger)</f>
        <v>-3.0000000000000079E-5</v>
      </c>
      <c r="AA39" s="28"/>
    </row>
    <row r="40" spans="1:27" ht="11.25" customHeight="1" x14ac:dyDescent="0.2">
      <c r="A40" s="27"/>
      <c r="B40" s="128" t="str">
        <f t="shared" si="3"/>
        <v>40Y</v>
      </c>
      <c r="C40" s="173" t="str">
        <f t="shared" si="4"/>
        <v>6L</v>
      </c>
      <c r="D40" s="174" t="str">
        <f t="shared" si="5"/>
        <v>3L</v>
      </c>
      <c r="E40" s="175" t="str">
        <f t="shared" si="0"/>
        <v>USD6L3L40Y_Quote</v>
      </c>
      <c r="F40" s="175" t="str">
        <f>_xll.qlSimpleQuote(E40,,RateTickValue,Permanent,Trigger,ObjectOverwrite)</f>
        <v>USD6L3L40Y_Quote#0000</v>
      </c>
      <c r="G40" s="221" t="str">
        <f>_xll.ohRangeRetrieveError(F40)</f>
        <v/>
      </c>
      <c r="H40" s="116"/>
      <c r="J40" s="228"/>
      <c r="K40" s="128" t="s">
        <v>46</v>
      </c>
      <c r="L40" s="128" t="s">
        <v>94</v>
      </c>
      <c r="M40" s="128" t="s">
        <v>93</v>
      </c>
      <c r="N40" s="129" t="str">
        <f t="shared" si="1"/>
        <v>USD6L3L40Y</v>
      </c>
      <c r="O40" s="33" t="str">
        <v>USD6L3L40Y=ICAP</v>
      </c>
      <c r="P40" s="397" t="s">
        <v>253</v>
      </c>
      <c r="Q40" s="397" t="s">
        <v>253</v>
      </c>
      <c r="R40" s="219" t="e">
        <f>_xll.qlMidEquivalent(P40,Q40)</f>
        <v>#NUM!</v>
      </c>
      <c r="S40" s="230">
        <v>40</v>
      </c>
      <c r="T40" s="36" t="b">
        <f t="shared" si="2"/>
        <v>0</v>
      </c>
      <c r="U40" s="234">
        <f>U39</f>
        <v>10.5</v>
      </c>
      <c r="V40" s="140"/>
      <c r="W40" s="234">
        <v>10.5</v>
      </c>
      <c r="X40" s="140"/>
      <c r="Y40" s="234">
        <v>10.5</v>
      </c>
      <c r="Z40" s="133">
        <f>_xll.qlSimpleQuoteSetValue(F40,Y40/10000,Trigger)</f>
        <v>-3.0000000000000079E-5</v>
      </c>
      <c r="AA40" s="28"/>
    </row>
    <row r="41" spans="1:27" ht="11.25" customHeight="1" x14ac:dyDescent="0.2">
      <c r="A41" s="27"/>
      <c r="B41" s="128" t="str">
        <f t="shared" si="3"/>
        <v>50Y</v>
      </c>
      <c r="C41" s="173" t="str">
        <f t="shared" si="4"/>
        <v>6L</v>
      </c>
      <c r="D41" s="174" t="str">
        <f t="shared" si="5"/>
        <v>3L</v>
      </c>
      <c r="E41" s="175" t="str">
        <f t="shared" si="0"/>
        <v>USD6L3L50Y_Quote</v>
      </c>
      <c r="F41" s="175" t="str">
        <f>_xll.qlSimpleQuote(E41,,RateTickValue,Permanent,Trigger,ObjectOverwrite)</f>
        <v>USD6L3L50Y_Quote#0000</v>
      </c>
      <c r="G41" s="221" t="str">
        <f>_xll.ohRangeRetrieveError(F41)</f>
        <v/>
      </c>
      <c r="H41" s="116"/>
      <c r="J41" s="228"/>
      <c r="K41" s="128" t="s">
        <v>36</v>
      </c>
      <c r="L41" s="128" t="s">
        <v>94</v>
      </c>
      <c r="M41" s="128" t="s">
        <v>93</v>
      </c>
      <c r="N41" s="129" t="str">
        <f t="shared" si="1"/>
        <v>USD6L3L50Y</v>
      </c>
      <c r="O41" s="33" t="str">
        <v>USD6L3L50Y=ICAP</v>
      </c>
      <c r="P41" s="397" t="s">
        <v>253</v>
      </c>
      <c r="Q41" s="397" t="s">
        <v>253</v>
      </c>
      <c r="R41" s="219" t="e">
        <f>_xll.qlMidEquivalent(P41,Q41)</f>
        <v>#NUM!</v>
      </c>
      <c r="S41" s="230">
        <v>50</v>
      </c>
      <c r="T41" s="36" t="b">
        <f t="shared" si="2"/>
        <v>0</v>
      </c>
      <c r="U41" s="234">
        <f>U40</f>
        <v>10.5</v>
      </c>
      <c r="V41" s="140"/>
      <c r="W41" s="234">
        <v>10.5</v>
      </c>
      <c r="X41" s="140"/>
      <c r="Y41" s="234">
        <v>10.5</v>
      </c>
      <c r="Z41" s="133">
        <f>_xll.qlSimpleQuoteSetValue(F41,Y41/10000,Trigger)</f>
        <v>-3.0000000000000079E-5</v>
      </c>
      <c r="AA41" s="28"/>
    </row>
    <row r="42" spans="1:27" ht="11.25" customHeight="1" x14ac:dyDescent="0.2">
      <c r="A42" s="27"/>
      <c r="B42" s="130" t="str">
        <f t="shared" si="3"/>
        <v>60Y</v>
      </c>
      <c r="C42" s="178" t="str">
        <f t="shared" si="4"/>
        <v>6L</v>
      </c>
      <c r="D42" s="179" t="str">
        <f t="shared" si="5"/>
        <v>3L</v>
      </c>
      <c r="E42" s="180" t="str">
        <f t="shared" si="0"/>
        <v>USD6L3L60Y_Quote</v>
      </c>
      <c r="F42" s="180" t="str">
        <f>_xll.qlSimpleQuote(E42,,RateTickValue,Permanent,Trigger,ObjectOverwrite)</f>
        <v>USD6L3L60Y_Quote#0000</v>
      </c>
      <c r="G42" s="223" t="str">
        <f>_xll.ohRangeRetrieveError(F42)</f>
        <v/>
      </c>
      <c r="H42" s="116"/>
      <c r="J42" s="228"/>
      <c r="K42" s="130" t="s">
        <v>26</v>
      </c>
      <c r="L42" s="130" t="s">
        <v>94</v>
      </c>
      <c r="M42" s="130" t="s">
        <v>93</v>
      </c>
      <c r="N42" s="131" t="str">
        <f t="shared" si="1"/>
        <v>USD6L3L60Y</v>
      </c>
      <c r="O42" s="34" t="str">
        <v>USD6L3L60Y=ICAP</v>
      </c>
      <c r="P42" s="398" t="s">
        <v>253</v>
      </c>
      <c r="Q42" s="398" t="s">
        <v>253</v>
      </c>
      <c r="R42" s="224" t="e">
        <f>_xll.qlMidEquivalent(P42,Q42)</f>
        <v>#NUM!</v>
      </c>
      <c r="S42" s="231">
        <v>60</v>
      </c>
      <c r="T42" s="37" t="b">
        <f t="shared" si="2"/>
        <v>0</v>
      </c>
      <c r="U42" s="235">
        <f>U41</f>
        <v>10.5</v>
      </c>
      <c r="V42" s="140"/>
      <c r="W42" s="235">
        <v>10.5</v>
      </c>
      <c r="X42" s="140"/>
      <c r="Y42" s="235">
        <v>10.5</v>
      </c>
      <c r="Z42" s="134">
        <f>_xll.qlSimpleQuoteSetValue(F42,Y42/10000,Trigger)</f>
        <v>-3.0000000000000079E-5</v>
      </c>
      <c r="AA42" s="28"/>
    </row>
    <row r="43" spans="1:27" ht="11.25" customHeight="1" x14ac:dyDescent="0.2">
      <c r="A43" s="117"/>
      <c r="B43" s="118"/>
      <c r="C43" s="118"/>
      <c r="D43" s="118"/>
      <c r="E43" s="118"/>
      <c r="F43" s="119"/>
      <c r="G43" s="119"/>
      <c r="H43" s="120"/>
      <c r="J43" s="117"/>
      <c r="K43" s="118"/>
      <c r="L43" s="118"/>
      <c r="M43" s="118"/>
      <c r="N43" s="118"/>
      <c r="O43" s="118"/>
      <c r="P43" s="118"/>
      <c r="Q43" s="118"/>
      <c r="R43" s="118"/>
      <c r="S43" s="118"/>
      <c r="T43" s="118"/>
      <c r="U43" s="118"/>
      <c r="V43" s="118"/>
      <c r="W43" s="118"/>
      <c r="X43" s="118"/>
      <c r="Y43" s="118"/>
      <c r="Z43" s="118"/>
      <c r="AA43" s="184"/>
    </row>
  </sheetData>
  <conditionalFormatting sqref="Z5:Z42">
    <cfRule type="cellIs" dxfId="3" priority="1" stopIfTrue="1" operator="greaterThan">
      <formula>0</formula>
    </cfRule>
    <cfRule type="cellIs" dxfId="2" priority="2" stopIfTrue="1" operator="lessThan">
      <formula>0</formula>
    </cfRule>
  </conditionalFormatting>
  <dataValidations count="2">
    <dataValidation type="list" allowBlank="1" showInputMessage="1" showErrorMessage="1" sqref="O43">
      <formula1>"FirstDerivative,SecondDerivative,Lagrange,NotAKnot,Periodic"</formula1>
    </dataValidation>
    <dataValidation type="list" showInputMessage="1" showErrorMessage="1" sqref="O2">
      <formula1>Contributors</formula1>
    </dataValidation>
  </dataValidations>
  <pageMargins left="0.75" right="0.75" top="1" bottom="1" header="0.5" footer="0.5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B43"/>
  <sheetViews>
    <sheetView showGridLines="0" topLeftCell="I1" workbookViewId="0">
      <selection activeCell="Z2" sqref="Z2"/>
    </sheetView>
  </sheetViews>
  <sheetFormatPr defaultRowHeight="11.25" outlineLevelCol="1" x14ac:dyDescent="0.2"/>
  <cols>
    <col min="1" max="1" width="2.7109375" style="144" hidden="1" customWidth="1" outlineLevel="1"/>
    <col min="2" max="2" width="4.7109375" style="144" hidden="1" customWidth="1" outlineLevel="1"/>
    <col min="3" max="4" width="3" style="144" hidden="1" customWidth="1" outlineLevel="1"/>
    <col min="5" max="5" width="16.7109375" style="144" hidden="1" customWidth="1" outlineLevel="1"/>
    <col min="6" max="6" width="22.7109375" style="145" hidden="1" customWidth="1" outlineLevel="1"/>
    <col min="7" max="7" width="20.7109375" style="144" hidden="1" customWidth="1" outlineLevel="1"/>
    <col min="8" max="8" width="2.7109375" style="144" hidden="1" customWidth="1" outlineLevel="1"/>
    <col min="9" max="9" width="2.7109375" style="144" customWidth="1" collapsed="1"/>
    <col min="10" max="10" width="2.7109375" style="144" customWidth="1"/>
    <col min="11" max="11" width="4.7109375" style="144" customWidth="1"/>
    <col min="12" max="13" width="3" style="144" customWidth="1"/>
    <col min="14" max="14" width="11.7109375" style="144" customWidth="1"/>
    <col min="15" max="15" width="16.7109375" style="144" customWidth="1"/>
    <col min="16" max="18" width="10.7109375" style="144" customWidth="1"/>
    <col min="19" max="20" width="10.7109375" style="144" hidden="1" customWidth="1" outlineLevel="1"/>
    <col min="21" max="21" width="10.7109375" style="144" customWidth="1" collapsed="1"/>
    <col min="22" max="22" width="2.7109375" style="144" customWidth="1"/>
    <col min="23" max="23" width="10.7109375" style="144" customWidth="1"/>
    <col min="24" max="24" width="2.7109375" style="144" customWidth="1"/>
    <col min="25" max="26" width="10.7109375" style="144" customWidth="1"/>
    <col min="27" max="28" width="2.7109375" style="144" customWidth="1"/>
    <col min="29" max="16384" width="9.140625" style="144"/>
  </cols>
  <sheetData>
    <row r="1" spans="1:28" x14ac:dyDescent="0.2">
      <c r="A1" s="88"/>
      <c r="B1" s="79"/>
      <c r="C1" s="79"/>
      <c r="D1" s="79"/>
      <c r="E1" s="79"/>
      <c r="F1" s="93"/>
      <c r="G1" s="79"/>
      <c r="H1" s="80"/>
      <c r="J1" s="88" t="s">
        <v>266</v>
      </c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114"/>
    </row>
    <row r="2" spans="1:28" x14ac:dyDescent="0.2">
      <c r="A2" s="81"/>
      <c r="B2" s="82"/>
      <c r="C2" s="82"/>
      <c r="D2" s="82"/>
      <c r="E2" s="82"/>
      <c r="F2" s="95"/>
      <c r="G2" s="82"/>
      <c r="H2" s="83"/>
      <c r="J2" s="115"/>
      <c r="K2" s="14"/>
      <c r="L2" s="14"/>
      <c r="M2" s="14"/>
      <c r="N2" s="14"/>
      <c r="O2" s="187" t="str">
        <f>VLOOKUP($J$1,AreaTable,AreaIndex,0)</f>
        <v>Tullet Prebon LN</v>
      </c>
      <c r="P2" s="14"/>
      <c r="Q2" s="14"/>
      <c r="R2" s="14"/>
      <c r="S2" s="14"/>
      <c r="T2" s="14"/>
      <c r="U2" s="3"/>
      <c r="V2" s="14"/>
      <c r="W2" s="14"/>
      <c r="X2" s="14"/>
      <c r="Y2" s="14"/>
      <c r="Z2" s="233">
        <f>_xll.ohTrigger(Z5:Z42)</f>
        <v>2</v>
      </c>
      <c r="AA2" s="116"/>
    </row>
    <row r="3" spans="1:28" x14ac:dyDescent="0.2">
      <c r="A3" s="84"/>
      <c r="B3" s="3"/>
      <c r="C3" s="3"/>
      <c r="D3" s="3"/>
      <c r="E3" s="82"/>
      <c r="F3" s="95"/>
      <c r="G3" s="82"/>
      <c r="H3" s="116"/>
      <c r="J3" s="27"/>
      <c r="K3" s="14"/>
      <c r="L3" s="3"/>
      <c r="M3" s="3"/>
      <c r="N3" s="3"/>
      <c r="O3" s="14"/>
      <c r="P3" s="3"/>
      <c r="Q3" s="3"/>
      <c r="R3" s="3"/>
      <c r="S3" s="3" t="str">
        <f>_xll.qlInterpolation(,InterpolationType,_xll.ohFilter(S5:S42,T5:T42),_xll.ohFilter(R5:R42,T5:T42))</f>
        <v>obj_0038f#0709</v>
      </c>
      <c r="T3" s="3"/>
      <c r="U3" s="3"/>
      <c r="V3" s="14"/>
      <c r="W3" s="14"/>
      <c r="X3" s="14"/>
      <c r="Y3" s="3"/>
      <c r="Z3" s="9"/>
      <c r="AA3" s="28"/>
    </row>
    <row r="4" spans="1:28" ht="22.5" customHeight="1" x14ac:dyDescent="0.2">
      <c r="A4" s="27"/>
      <c r="B4" s="48"/>
      <c r="C4" s="48"/>
      <c r="D4" s="48"/>
      <c r="E4" s="49" t="s">
        <v>224</v>
      </c>
      <c r="F4" s="49" t="s">
        <v>225</v>
      </c>
      <c r="G4" s="112" t="s">
        <v>239</v>
      </c>
      <c r="H4" s="116"/>
      <c r="J4" s="215"/>
      <c r="K4" s="187"/>
      <c r="L4" s="50"/>
      <c r="M4" s="50"/>
      <c r="N4" s="50" t="s">
        <v>241</v>
      </c>
      <c r="O4" s="52" t="str">
        <f>_xll.RData(O5:O42,P4:Q4,"RTFEED:IDN",ReutersRtMode,,P5)</f>
        <v>Not Signed In</v>
      </c>
      <c r="P4" s="38" t="s">
        <v>134</v>
      </c>
      <c r="Q4" s="38" t="s">
        <v>133</v>
      </c>
      <c r="R4" s="38" t="s">
        <v>158</v>
      </c>
      <c r="S4" s="38" t="s">
        <v>244</v>
      </c>
      <c r="T4" s="38" t="s">
        <v>243</v>
      </c>
      <c r="U4" s="39" t="s">
        <v>242</v>
      </c>
      <c r="V4" s="14"/>
      <c r="W4" s="38" t="s">
        <v>148</v>
      </c>
      <c r="X4" s="14"/>
      <c r="Y4" s="50" t="s">
        <v>147</v>
      </c>
      <c r="Z4" s="50" t="s">
        <v>146</v>
      </c>
      <c r="AA4" s="28"/>
    </row>
    <row r="5" spans="1:28" s="161" customFormat="1" ht="11.25" customHeight="1" x14ac:dyDescent="0.25">
      <c r="A5" s="27"/>
      <c r="B5" s="126" t="str">
        <f>K5</f>
        <v>6M</v>
      </c>
      <c r="C5" s="166" t="str">
        <f>L5</f>
        <v>12L</v>
      </c>
      <c r="D5" s="167" t="str">
        <f>M5</f>
        <v>3L</v>
      </c>
      <c r="E5" s="168" t="str">
        <f t="shared" ref="E5:E42" si="0">IF(ISBLANK(C5),"#",Currency&amp;$C5&amp;$D5&amp;$B5&amp;QuoteSuffix)</f>
        <v>USD12L3L6M_Quote</v>
      </c>
      <c r="F5" s="168" t="str">
        <f>_xll.qlSimpleQuote(E5,,RateTickValue,Permanent,Trigger,ObjectOverwrite)</f>
        <v>USD12L3L6M_Quote#0000</v>
      </c>
      <c r="G5" s="218" t="str">
        <f>_xll.ohRangeRetrieveError(F5)</f>
        <v/>
      </c>
      <c r="H5" s="116"/>
      <c r="I5" s="144"/>
      <c r="J5" s="227"/>
      <c r="K5" s="128" t="s">
        <v>14</v>
      </c>
      <c r="L5" s="128" t="s">
        <v>98</v>
      </c>
      <c r="M5" s="128" t="s">
        <v>93</v>
      </c>
      <c r="N5" s="129" t="str">
        <f t="shared" ref="N5:N42" si="1">Currency&amp;$M5&amp;$L5&amp;$K5</f>
        <v>USD3L12L6M</v>
      </c>
      <c r="O5" s="33" t="str">
        <f t="array" ref="O5:O42">Instruments&amp;"="&amp;VLOOKUP(Contributor,ContributorTable,2,FALSE)</f>
        <v>USD3L12L6M=SMKR</v>
      </c>
      <c r="P5" s="397" t="s">
        <v>253</v>
      </c>
      <c r="Q5" s="397" t="s">
        <v>253</v>
      </c>
      <c r="R5" s="219" t="e">
        <f>_xll.qlMidEquivalent(P5,Q5)</f>
        <v>#NUM!</v>
      </c>
      <c r="S5" s="229">
        <v>0.5</v>
      </c>
      <c r="T5" s="36" t="b">
        <f t="shared" ref="T5:T42" si="2">IF(ISNUMBER(R5),TRUE,FALSE)</f>
        <v>0</v>
      </c>
      <c r="U5" s="219" t="e">
        <f t="array" ref="U5:U38">_xll.qlInterpolationInterpolate(S3,S5:S42)</f>
        <v>#NUM!</v>
      </c>
      <c r="V5" s="140"/>
      <c r="W5" s="225" t="e">
        <v>#NUM!</v>
      </c>
      <c r="X5" s="140"/>
      <c r="Y5" s="226" t="e">
        <f t="array" ref="Y5:Y42">QuoteStatic</f>
        <v>#NUM!</v>
      </c>
      <c r="Z5" s="132">
        <f>_xll.qlSimpleQuoteSetValue(F5,Y5/10000,Trigger)</f>
        <v>0</v>
      </c>
      <c r="AA5" s="28"/>
      <c r="AB5" s="144"/>
    </row>
    <row r="6" spans="1:28" s="161" customFormat="1" ht="11.25" customHeight="1" x14ac:dyDescent="0.25">
      <c r="A6" s="27"/>
      <c r="B6" s="128" t="str">
        <f t="shared" ref="B6:B42" si="3">K6</f>
        <v>1Y</v>
      </c>
      <c r="C6" s="173" t="str">
        <f t="shared" ref="C6:C42" si="4">L6</f>
        <v>12L</v>
      </c>
      <c r="D6" s="174" t="str">
        <f t="shared" ref="D6:D42" si="5">M6</f>
        <v>3L</v>
      </c>
      <c r="E6" s="175" t="str">
        <f t="shared" si="0"/>
        <v>USD12L3L1Y_Quote</v>
      </c>
      <c r="F6" s="175" t="str">
        <f>_xll.qlSimpleQuote(E6,,RateTickValue,Permanent,Trigger,ObjectOverwrite)</f>
        <v>USD12L3L1Y_Quote#0000</v>
      </c>
      <c r="G6" s="221" t="str">
        <f>_xll.ohRangeRetrieveError(F6)</f>
        <v/>
      </c>
      <c r="H6" s="116"/>
      <c r="I6" s="144"/>
      <c r="J6" s="227"/>
      <c r="K6" s="128" t="s">
        <v>8</v>
      </c>
      <c r="L6" s="128" t="s">
        <v>98</v>
      </c>
      <c r="M6" s="128" t="s">
        <v>93</v>
      </c>
      <c r="N6" s="129" t="str">
        <f t="shared" si="1"/>
        <v>USD3L12L1Y</v>
      </c>
      <c r="O6" s="33" t="str">
        <v>USD3L12L1Y=SMKR</v>
      </c>
      <c r="P6" s="397">
        <v>27</v>
      </c>
      <c r="Q6" s="397">
        <v>37</v>
      </c>
      <c r="R6" s="219">
        <f>_xll.qlMidEquivalent(P6,Q6)</f>
        <v>32</v>
      </c>
      <c r="S6" s="229">
        <v>1</v>
      </c>
      <c r="T6" s="36" t="b">
        <f t="shared" si="2"/>
        <v>1</v>
      </c>
      <c r="U6" s="219">
        <v>32</v>
      </c>
      <c r="V6" s="140"/>
      <c r="W6" s="225">
        <v>32</v>
      </c>
      <c r="X6" s="140"/>
      <c r="Y6" s="219">
        <v>32</v>
      </c>
      <c r="Z6" s="133">
        <f>_xll.qlSimpleQuoteSetValue(F6,Y6/10000,Trigger)</f>
        <v>-4.1249999999999967E-4</v>
      </c>
      <c r="AA6" s="28"/>
      <c r="AB6" s="144"/>
    </row>
    <row r="7" spans="1:28" s="161" customFormat="1" ht="11.25" customHeight="1" x14ac:dyDescent="0.25">
      <c r="A7" s="27"/>
      <c r="B7" s="128" t="str">
        <f t="shared" si="3"/>
        <v>15M</v>
      </c>
      <c r="C7" s="173" t="str">
        <f t="shared" si="4"/>
        <v>12L</v>
      </c>
      <c r="D7" s="174" t="str">
        <f t="shared" si="5"/>
        <v>3L</v>
      </c>
      <c r="E7" s="175" t="str">
        <f t="shared" si="0"/>
        <v>USD12L3L15M_Quote</v>
      </c>
      <c r="F7" s="175" t="str">
        <f>_xll.qlSimpleQuote(E7,,RateTickValue,Permanent,Trigger,ObjectOverwrite)</f>
        <v>USD12L3L15M_Quote#0000</v>
      </c>
      <c r="G7" s="221" t="str">
        <f>_xll.ohRangeRetrieveError(F7)</f>
        <v/>
      </c>
      <c r="H7" s="116"/>
      <c r="J7" s="227"/>
      <c r="K7" s="128" t="s">
        <v>97</v>
      </c>
      <c r="L7" s="128" t="s">
        <v>98</v>
      </c>
      <c r="M7" s="128" t="s">
        <v>93</v>
      </c>
      <c r="N7" s="129" t="str">
        <f t="shared" si="1"/>
        <v>USD3L12L15M</v>
      </c>
      <c r="O7" s="33" t="str">
        <v>USD3L12L15M=SMKR</v>
      </c>
      <c r="P7" s="397" t="s">
        <v>253</v>
      </c>
      <c r="Q7" s="397" t="s">
        <v>253</v>
      </c>
      <c r="R7" s="219" t="e">
        <f>_xll.qlMidEquivalent(P7,Q7)</f>
        <v>#NUM!</v>
      </c>
      <c r="S7" s="229">
        <v>1.25</v>
      </c>
      <c r="T7" s="36" t="b">
        <f t="shared" si="2"/>
        <v>0</v>
      </c>
      <c r="U7" s="219">
        <v>31.471127139289084</v>
      </c>
      <c r="V7" s="140"/>
      <c r="W7" s="225">
        <v>31.471127139289084</v>
      </c>
      <c r="X7" s="140"/>
      <c r="Y7" s="219">
        <v>31.471127139289084</v>
      </c>
      <c r="Z7" s="133">
        <f>_xll.qlSimpleQuoteSetValue(F7,Y7/10000,Trigger)</f>
        <v>-3.4876619591769735E-4</v>
      </c>
      <c r="AA7" s="28"/>
      <c r="AB7" s="144"/>
    </row>
    <row r="8" spans="1:28" ht="11.25" customHeight="1" x14ac:dyDescent="0.25">
      <c r="A8" s="27"/>
      <c r="B8" s="128" t="str">
        <f t="shared" si="3"/>
        <v>18M</v>
      </c>
      <c r="C8" s="173" t="str">
        <f t="shared" si="4"/>
        <v>12L</v>
      </c>
      <c r="D8" s="174" t="str">
        <f t="shared" si="5"/>
        <v>3L</v>
      </c>
      <c r="E8" s="175" t="str">
        <f t="shared" si="0"/>
        <v>USD12L3L18M_Quote</v>
      </c>
      <c r="F8" s="175" t="str">
        <f>_xll.qlSimpleQuote(E8,,RateTickValue,Permanent,Trigger,ObjectOverwrite)</f>
        <v>USD12L3L18M_Quote#0000</v>
      </c>
      <c r="G8" s="221" t="str">
        <f>_xll.ohRangeRetrieveError(F8)</f>
        <v/>
      </c>
      <c r="H8" s="116"/>
      <c r="I8" s="161"/>
      <c r="J8" s="228"/>
      <c r="K8" s="128" t="s">
        <v>96</v>
      </c>
      <c r="L8" s="128" t="s">
        <v>98</v>
      </c>
      <c r="M8" s="128" t="s">
        <v>93</v>
      </c>
      <c r="N8" s="129" t="str">
        <f t="shared" si="1"/>
        <v>USD3L12L18M</v>
      </c>
      <c r="O8" s="33" t="str">
        <v>USD3L12L18M=SMKR</v>
      </c>
      <c r="P8" s="397" t="s">
        <v>253</v>
      </c>
      <c r="Q8" s="397" t="s">
        <v>253</v>
      </c>
      <c r="R8" s="219" t="e">
        <f>_xll.qlMidEquivalent(P8,Q8)</f>
        <v>#NUM!</v>
      </c>
      <c r="S8" s="229">
        <v>1.5</v>
      </c>
      <c r="T8" s="36" t="b">
        <f t="shared" si="2"/>
        <v>0</v>
      </c>
      <c r="U8" s="219">
        <v>30.941303422862536</v>
      </c>
      <c r="V8" s="140"/>
      <c r="W8" s="225">
        <v>30.941303422862536</v>
      </c>
      <c r="X8" s="140"/>
      <c r="Y8" s="219">
        <v>30.941303422862536</v>
      </c>
      <c r="Z8" s="133">
        <f>_xll.qlSimpleQuoteSetValue(F8,Y8/10000,Trigger)</f>
        <v>-2.9052591346831512E-4</v>
      </c>
      <c r="AA8" s="28"/>
    </row>
    <row r="9" spans="1:28" ht="11.25" customHeight="1" x14ac:dyDescent="0.25">
      <c r="A9" s="27"/>
      <c r="B9" s="128" t="str">
        <f t="shared" si="3"/>
        <v>21M</v>
      </c>
      <c r="C9" s="173" t="str">
        <f t="shared" si="4"/>
        <v>12L</v>
      </c>
      <c r="D9" s="174" t="str">
        <f t="shared" si="5"/>
        <v>3L</v>
      </c>
      <c r="E9" s="175" t="str">
        <f t="shared" si="0"/>
        <v>USD12L3L21M_Quote</v>
      </c>
      <c r="F9" s="175" t="str">
        <f>_xll.qlSimpleQuote(E9,,RateTickValue,Permanent,Trigger,ObjectOverwrite)</f>
        <v>USD12L3L21M_Quote#0000</v>
      </c>
      <c r="G9" s="221" t="str">
        <f>_xll.ohRangeRetrieveError(F9)</f>
        <v/>
      </c>
      <c r="H9" s="116"/>
      <c r="I9" s="161"/>
      <c r="J9" s="228"/>
      <c r="K9" s="128" t="s">
        <v>95</v>
      </c>
      <c r="L9" s="128" t="s">
        <v>98</v>
      </c>
      <c r="M9" s="128" t="s">
        <v>93</v>
      </c>
      <c r="N9" s="129" t="str">
        <f t="shared" si="1"/>
        <v>USD3L12L21M</v>
      </c>
      <c r="O9" s="33" t="str">
        <v>USD3L12L21M=SMKR</v>
      </c>
      <c r="P9" s="397" t="s">
        <v>253</v>
      </c>
      <c r="Q9" s="397" t="s">
        <v>253</v>
      </c>
      <c r="R9" s="219" t="e">
        <f>_xll.qlMidEquivalent(P9,Q9)</f>
        <v>#NUM!</v>
      </c>
      <c r="S9" s="229">
        <v>1.75</v>
      </c>
      <c r="T9" s="36" t="b">
        <f t="shared" si="2"/>
        <v>0</v>
      </c>
      <c r="U9" s="219">
        <v>30.409577995004717</v>
      </c>
      <c r="V9" s="140"/>
      <c r="W9" s="225">
        <v>30.409577995004717</v>
      </c>
      <c r="X9" s="140"/>
      <c r="Y9" s="219">
        <v>30.409577995004717</v>
      </c>
      <c r="Z9" s="133">
        <f>_xll.qlSimpleQuoteSetValue(F9,Y9/10000,Trigger)</f>
        <v>-2.4327267428477526E-4</v>
      </c>
      <c r="AA9" s="28"/>
    </row>
    <row r="10" spans="1:28" ht="11.25" customHeight="1" x14ac:dyDescent="0.2">
      <c r="A10" s="27"/>
      <c r="B10" s="128" t="str">
        <f t="shared" si="3"/>
        <v>2Y</v>
      </c>
      <c r="C10" s="173" t="str">
        <f t="shared" si="4"/>
        <v>12L</v>
      </c>
      <c r="D10" s="174" t="str">
        <f t="shared" si="5"/>
        <v>3L</v>
      </c>
      <c r="E10" s="175" t="str">
        <f t="shared" si="0"/>
        <v>USD12L3L2Y_Quote</v>
      </c>
      <c r="F10" s="175" t="str">
        <f>_xll.qlSimpleQuote(E10,,RateTickValue,Permanent,Trigger,ObjectOverwrite)</f>
        <v>USD12L3L2Y_Quote#0000</v>
      </c>
      <c r="G10" s="221" t="str">
        <f>_xll.ohRangeRetrieveError(F10)</f>
        <v/>
      </c>
      <c r="H10" s="116"/>
      <c r="J10" s="228"/>
      <c r="K10" s="128" t="s">
        <v>84</v>
      </c>
      <c r="L10" s="128" t="s">
        <v>98</v>
      </c>
      <c r="M10" s="128" t="s">
        <v>93</v>
      </c>
      <c r="N10" s="129" t="str">
        <f t="shared" si="1"/>
        <v>USD3L12L2Y</v>
      </c>
      <c r="O10" s="33" t="str">
        <v>USD3L12L2Y=SMKR</v>
      </c>
      <c r="P10" s="397">
        <v>24.875</v>
      </c>
      <c r="Q10" s="397">
        <v>34.875</v>
      </c>
      <c r="R10" s="219">
        <f>_xll.qlMidEquivalent(P10,Q10)</f>
        <v>29.875</v>
      </c>
      <c r="S10" s="230">
        <v>2</v>
      </c>
      <c r="T10" s="36" t="b">
        <f t="shared" si="2"/>
        <v>1</v>
      </c>
      <c r="U10" s="219">
        <v>29.875</v>
      </c>
      <c r="V10" s="140"/>
      <c r="W10" s="225">
        <v>29.875</v>
      </c>
      <c r="X10" s="140"/>
      <c r="Y10" s="219">
        <v>29.875</v>
      </c>
      <c r="Z10" s="133">
        <f>_xll.qlSimpleQuoteSetValue(F10,Y10/10000,Trigger)</f>
        <v>-2.1250000000000002E-4</v>
      </c>
      <c r="AA10" s="28"/>
    </row>
    <row r="11" spans="1:28" ht="11.25" customHeight="1" x14ac:dyDescent="0.2">
      <c r="A11" s="27"/>
      <c r="B11" s="128" t="str">
        <f t="shared" si="3"/>
        <v>3Y</v>
      </c>
      <c r="C11" s="173" t="str">
        <f t="shared" si="4"/>
        <v>12L</v>
      </c>
      <c r="D11" s="174" t="str">
        <f t="shared" si="5"/>
        <v>3L</v>
      </c>
      <c r="E11" s="175" t="str">
        <f t="shared" si="0"/>
        <v>USD12L3L3Y_Quote</v>
      </c>
      <c r="F11" s="175" t="str">
        <f>_xll.qlSimpleQuote(E11,,RateTickValue,Permanent,Trigger,ObjectOverwrite)</f>
        <v>USD12L3L3Y_Quote#0000</v>
      </c>
      <c r="G11" s="221" t="str">
        <f>_xll.ohRangeRetrieveError(F11)</f>
        <v/>
      </c>
      <c r="H11" s="116"/>
      <c r="J11" s="228"/>
      <c r="K11" s="128" t="s">
        <v>83</v>
      </c>
      <c r="L11" s="128" t="s">
        <v>98</v>
      </c>
      <c r="M11" s="128" t="s">
        <v>93</v>
      </c>
      <c r="N11" s="129" t="str">
        <f t="shared" si="1"/>
        <v>USD3L12L3Y</v>
      </c>
      <c r="O11" s="33" t="str">
        <v>USD3L12L3Y=SMKR</v>
      </c>
      <c r="P11" s="397">
        <v>23.25</v>
      </c>
      <c r="Q11" s="397">
        <v>33.25</v>
      </c>
      <c r="R11" s="219">
        <f>_xll.qlMidEquivalent(P11,Q11)</f>
        <v>28.25</v>
      </c>
      <c r="S11" s="230">
        <v>3</v>
      </c>
      <c r="T11" s="36" t="b">
        <f t="shared" si="2"/>
        <v>1</v>
      </c>
      <c r="U11" s="219">
        <v>28.25</v>
      </c>
      <c r="V11" s="140"/>
      <c r="W11" s="225">
        <v>28.25</v>
      </c>
      <c r="X11" s="140"/>
      <c r="Y11" s="219">
        <v>28.25</v>
      </c>
      <c r="Z11" s="133">
        <f>_xll.qlSimpleQuoteSetValue(F11,Y11/10000,Trigger)</f>
        <v>-2.0000000000000009E-4</v>
      </c>
      <c r="AA11" s="28"/>
    </row>
    <row r="12" spans="1:28" ht="11.25" customHeight="1" x14ac:dyDescent="0.2">
      <c r="A12" s="27"/>
      <c r="B12" s="128" t="str">
        <f t="shared" si="3"/>
        <v>4Y</v>
      </c>
      <c r="C12" s="173" t="str">
        <f t="shared" si="4"/>
        <v>12L</v>
      </c>
      <c r="D12" s="174" t="str">
        <f t="shared" si="5"/>
        <v>3L</v>
      </c>
      <c r="E12" s="175" t="str">
        <f t="shared" si="0"/>
        <v>USD12L3L4Y_Quote</v>
      </c>
      <c r="F12" s="175" t="str">
        <f>_xll.qlSimpleQuote(E12,,RateTickValue,Permanent,Trigger,ObjectOverwrite)</f>
        <v>USD12L3L4Y_Quote#0000</v>
      </c>
      <c r="G12" s="221" t="str">
        <f>_xll.ohRangeRetrieveError(F12)</f>
        <v/>
      </c>
      <c r="H12" s="116"/>
      <c r="J12" s="228"/>
      <c r="K12" s="128" t="s">
        <v>82</v>
      </c>
      <c r="L12" s="128" t="s">
        <v>98</v>
      </c>
      <c r="M12" s="128" t="s">
        <v>93</v>
      </c>
      <c r="N12" s="129" t="str">
        <f t="shared" si="1"/>
        <v>USD3L12L4Y</v>
      </c>
      <c r="O12" s="33" t="str">
        <v>USD3L12L4Y=SMKR</v>
      </c>
      <c r="P12" s="397">
        <v>23.375</v>
      </c>
      <c r="Q12" s="397">
        <v>33.375</v>
      </c>
      <c r="R12" s="219">
        <f>_xll.qlMidEquivalent(P12,Q12)</f>
        <v>28.375</v>
      </c>
      <c r="S12" s="230">
        <v>4</v>
      </c>
      <c r="T12" s="36" t="b">
        <f t="shared" si="2"/>
        <v>1</v>
      </c>
      <c r="U12" s="219">
        <v>28.375</v>
      </c>
      <c r="V12" s="140"/>
      <c r="W12" s="225">
        <v>28.375</v>
      </c>
      <c r="X12" s="140"/>
      <c r="Y12" s="219">
        <v>28.375</v>
      </c>
      <c r="Z12" s="133">
        <f>_xll.qlSimpleQuoteSetValue(F12,Y12/10000,Trigger)</f>
        <v>-9.9999999999999829E-5</v>
      </c>
      <c r="AA12" s="28"/>
    </row>
    <row r="13" spans="1:28" ht="11.25" customHeight="1" x14ac:dyDescent="0.2">
      <c r="A13" s="27"/>
      <c r="B13" s="128" t="str">
        <f t="shared" si="3"/>
        <v>5Y</v>
      </c>
      <c r="C13" s="173" t="str">
        <f t="shared" si="4"/>
        <v>12L</v>
      </c>
      <c r="D13" s="174" t="str">
        <f t="shared" si="5"/>
        <v>3L</v>
      </c>
      <c r="E13" s="175" t="str">
        <f t="shared" si="0"/>
        <v>USD12L3L5Y_Quote</v>
      </c>
      <c r="F13" s="175" t="str">
        <f>_xll.qlSimpleQuote(E13,,RateTickValue,Permanent,Trigger,ObjectOverwrite)</f>
        <v>USD12L3L5Y_Quote#0000</v>
      </c>
      <c r="G13" s="221" t="str">
        <f>_xll.ohRangeRetrieveError(F13)</f>
        <v/>
      </c>
      <c r="H13" s="116"/>
      <c r="J13" s="228"/>
      <c r="K13" s="128" t="s">
        <v>81</v>
      </c>
      <c r="L13" s="128" t="s">
        <v>98</v>
      </c>
      <c r="M13" s="128" t="s">
        <v>93</v>
      </c>
      <c r="N13" s="129" t="str">
        <f t="shared" si="1"/>
        <v>USD3L12L5Y</v>
      </c>
      <c r="O13" s="33" t="str">
        <v>USD3L12L5Y=SMKR</v>
      </c>
      <c r="P13" s="397">
        <v>22.625</v>
      </c>
      <c r="Q13" s="397">
        <v>32.625</v>
      </c>
      <c r="R13" s="219">
        <f>_xll.qlMidEquivalent(P13,Q13)</f>
        <v>27.625</v>
      </c>
      <c r="S13" s="230">
        <v>5</v>
      </c>
      <c r="T13" s="36" t="b">
        <f t="shared" si="2"/>
        <v>1</v>
      </c>
      <c r="U13" s="219">
        <v>27.625</v>
      </c>
      <c r="V13" s="140"/>
      <c r="W13" s="225">
        <v>27.625</v>
      </c>
      <c r="X13" s="140"/>
      <c r="Y13" s="219">
        <v>27.625</v>
      </c>
      <c r="Z13" s="133">
        <f>_xll.qlSimpleQuoteSetValue(F13,Y13/10000,Trigger)</f>
        <v>-9.9999999999999829E-5</v>
      </c>
      <c r="AA13" s="28"/>
    </row>
    <row r="14" spans="1:28" ht="11.25" customHeight="1" x14ac:dyDescent="0.2">
      <c r="A14" s="27"/>
      <c r="B14" s="128" t="str">
        <f t="shared" si="3"/>
        <v>6Y</v>
      </c>
      <c r="C14" s="173" t="str">
        <f t="shared" si="4"/>
        <v>12L</v>
      </c>
      <c r="D14" s="174" t="str">
        <f t="shared" si="5"/>
        <v>3L</v>
      </c>
      <c r="E14" s="175" t="str">
        <f t="shared" si="0"/>
        <v>USD12L3L6Y_Quote</v>
      </c>
      <c r="F14" s="175" t="str">
        <f>_xll.qlSimpleQuote(E14,,RateTickValue,Permanent,Trigger,ObjectOverwrite)</f>
        <v>USD12L3L6Y_Quote#0000</v>
      </c>
      <c r="G14" s="221" t="str">
        <f>_xll.ohRangeRetrieveError(F14)</f>
        <v/>
      </c>
      <c r="H14" s="116"/>
      <c r="J14" s="228"/>
      <c r="K14" s="128" t="s">
        <v>80</v>
      </c>
      <c r="L14" s="128" t="s">
        <v>98</v>
      </c>
      <c r="M14" s="128" t="s">
        <v>93</v>
      </c>
      <c r="N14" s="129" t="str">
        <f t="shared" si="1"/>
        <v>USD3L12L6Y</v>
      </c>
      <c r="O14" s="33" t="str">
        <v>USD3L12L6Y=SMKR</v>
      </c>
      <c r="P14" s="397">
        <v>22.125</v>
      </c>
      <c r="Q14" s="397">
        <v>32.125</v>
      </c>
      <c r="R14" s="219">
        <f>_xll.qlMidEquivalent(P14,Q14)</f>
        <v>27.125</v>
      </c>
      <c r="S14" s="230">
        <v>6</v>
      </c>
      <c r="T14" s="36" t="b">
        <f t="shared" si="2"/>
        <v>1</v>
      </c>
      <c r="U14" s="219">
        <v>27.125</v>
      </c>
      <c r="V14" s="140"/>
      <c r="W14" s="225">
        <v>27.125</v>
      </c>
      <c r="X14" s="140"/>
      <c r="Y14" s="219">
        <v>27.125</v>
      </c>
      <c r="Z14" s="133">
        <f>_xll.qlSimpleQuoteSetValue(F14,Y14/10000,Trigger)</f>
        <v>-7.499999999999998E-5</v>
      </c>
      <c r="AA14" s="28"/>
    </row>
    <row r="15" spans="1:28" ht="11.25" customHeight="1" x14ac:dyDescent="0.2">
      <c r="A15" s="27"/>
      <c r="B15" s="128" t="str">
        <f t="shared" si="3"/>
        <v>7Y</v>
      </c>
      <c r="C15" s="173" t="str">
        <f t="shared" si="4"/>
        <v>12L</v>
      </c>
      <c r="D15" s="174" t="str">
        <f t="shared" si="5"/>
        <v>3L</v>
      </c>
      <c r="E15" s="175" t="str">
        <f t="shared" si="0"/>
        <v>USD12L3L7Y_Quote</v>
      </c>
      <c r="F15" s="175" t="str">
        <f>_xll.qlSimpleQuote(E15,,RateTickValue,Permanent,Trigger,ObjectOverwrite)</f>
        <v>USD12L3L7Y_Quote#0000</v>
      </c>
      <c r="G15" s="221" t="str">
        <f>_xll.ohRangeRetrieveError(F15)</f>
        <v/>
      </c>
      <c r="H15" s="116"/>
      <c r="J15" s="228"/>
      <c r="K15" s="128" t="s">
        <v>79</v>
      </c>
      <c r="L15" s="128" t="s">
        <v>98</v>
      </c>
      <c r="M15" s="128" t="s">
        <v>93</v>
      </c>
      <c r="N15" s="129" t="str">
        <f t="shared" si="1"/>
        <v>USD3L12L7Y</v>
      </c>
      <c r="O15" s="33" t="str">
        <v>USD3L12L7Y=SMKR</v>
      </c>
      <c r="P15" s="397">
        <v>21.5</v>
      </c>
      <c r="Q15" s="397">
        <v>31.5</v>
      </c>
      <c r="R15" s="219">
        <f>_xll.qlMidEquivalent(P15,Q15)</f>
        <v>26.5</v>
      </c>
      <c r="S15" s="230">
        <v>7</v>
      </c>
      <c r="T15" s="36" t="b">
        <f t="shared" si="2"/>
        <v>1</v>
      </c>
      <c r="U15" s="219">
        <v>26.5</v>
      </c>
      <c r="V15" s="140"/>
      <c r="W15" s="225">
        <v>26.5</v>
      </c>
      <c r="X15" s="140"/>
      <c r="Y15" s="219">
        <v>26.5</v>
      </c>
      <c r="Z15" s="133">
        <f>_xll.qlSimpleQuoteSetValue(F15,Y15/10000,Trigger)</f>
        <v>-6.2500000000000056E-5</v>
      </c>
      <c r="AA15" s="28"/>
    </row>
    <row r="16" spans="1:28" ht="11.25" customHeight="1" x14ac:dyDescent="0.2">
      <c r="A16" s="27"/>
      <c r="B16" s="128" t="str">
        <f t="shared" si="3"/>
        <v>8Y</v>
      </c>
      <c r="C16" s="173" t="str">
        <f t="shared" si="4"/>
        <v>12L</v>
      </c>
      <c r="D16" s="174" t="str">
        <f t="shared" si="5"/>
        <v>3L</v>
      </c>
      <c r="E16" s="175" t="str">
        <f t="shared" si="0"/>
        <v>USD12L3L8Y_Quote</v>
      </c>
      <c r="F16" s="175" t="str">
        <f>_xll.qlSimpleQuote(E16,,RateTickValue,Permanent,Trigger,ObjectOverwrite)</f>
        <v>USD12L3L8Y_Quote#0000</v>
      </c>
      <c r="G16" s="221" t="str">
        <f>_xll.ohRangeRetrieveError(F16)</f>
        <v/>
      </c>
      <c r="H16" s="116"/>
      <c r="J16" s="228"/>
      <c r="K16" s="128" t="s">
        <v>78</v>
      </c>
      <c r="L16" s="128" t="s">
        <v>98</v>
      </c>
      <c r="M16" s="128" t="s">
        <v>93</v>
      </c>
      <c r="N16" s="129" t="str">
        <f t="shared" si="1"/>
        <v>USD3L12L8Y</v>
      </c>
      <c r="O16" s="33" t="str">
        <v>USD3L12L8Y=SMKR</v>
      </c>
      <c r="P16" s="397">
        <v>21.375</v>
      </c>
      <c r="Q16" s="397">
        <v>31.375</v>
      </c>
      <c r="R16" s="219">
        <f>_xll.qlMidEquivalent(P16,Q16)</f>
        <v>26.375</v>
      </c>
      <c r="S16" s="230">
        <v>8</v>
      </c>
      <c r="T16" s="36" t="b">
        <f t="shared" si="2"/>
        <v>1</v>
      </c>
      <c r="U16" s="219">
        <v>26.375</v>
      </c>
      <c r="V16" s="140"/>
      <c r="W16" s="225">
        <v>26.375</v>
      </c>
      <c r="X16" s="140"/>
      <c r="Y16" s="219">
        <v>26.375</v>
      </c>
      <c r="Z16" s="133">
        <f>_xll.qlSimpleQuoteSetValue(F16,Y16/10000,Trigger)</f>
        <v>-3.7499999999999773E-5</v>
      </c>
      <c r="AA16" s="28"/>
    </row>
    <row r="17" spans="1:27" ht="11.25" customHeight="1" x14ac:dyDescent="0.2">
      <c r="A17" s="27"/>
      <c r="B17" s="128" t="str">
        <f t="shared" si="3"/>
        <v>9Y</v>
      </c>
      <c r="C17" s="173" t="str">
        <f t="shared" si="4"/>
        <v>12L</v>
      </c>
      <c r="D17" s="174" t="str">
        <f t="shared" si="5"/>
        <v>3L</v>
      </c>
      <c r="E17" s="175" t="str">
        <f t="shared" si="0"/>
        <v>USD12L3L9Y_Quote</v>
      </c>
      <c r="F17" s="175" t="str">
        <f>_xll.qlSimpleQuote(E17,,RateTickValue,Permanent,Trigger,ObjectOverwrite)</f>
        <v>USD12L3L9Y_Quote#0000</v>
      </c>
      <c r="G17" s="221" t="str">
        <f>_xll.ohRangeRetrieveError(F17)</f>
        <v/>
      </c>
      <c r="H17" s="116"/>
      <c r="J17" s="228"/>
      <c r="K17" s="128" t="s">
        <v>77</v>
      </c>
      <c r="L17" s="128" t="s">
        <v>98</v>
      </c>
      <c r="M17" s="128" t="s">
        <v>93</v>
      </c>
      <c r="N17" s="129" t="str">
        <f t="shared" si="1"/>
        <v>USD3L12L9Y</v>
      </c>
      <c r="O17" s="33" t="str">
        <v>USD3L12L9Y=SMKR</v>
      </c>
      <c r="P17" s="397">
        <v>21.375</v>
      </c>
      <c r="Q17" s="397">
        <v>31.375</v>
      </c>
      <c r="R17" s="219">
        <f>_xll.qlMidEquivalent(P17,Q17)</f>
        <v>26.375</v>
      </c>
      <c r="S17" s="230">
        <v>9</v>
      </c>
      <c r="T17" s="36" t="b">
        <f t="shared" si="2"/>
        <v>1</v>
      </c>
      <c r="U17" s="219">
        <v>26.375</v>
      </c>
      <c r="V17" s="140"/>
      <c r="W17" s="225">
        <v>26.375</v>
      </c>
      <c r="X17" s="140"/>
      <c r="Y17" s="219">
        <v>26.375</v>
      </c>
      <c r="Z17" s="133">
        <f>_xll.qlSimpleQuoteSetValue(F17,Y17/10000,Trigger)</f>
        <v>-1.2499999999999924E-5</v>
      </c>
      <c r="AA17" s="28"/>
    </row>
    <row r="18" spans="1:27" ht="11.25" customHeight="1" x14ac:dyDescent="0.2">
      <c r="A18" s="27"/>
      <c r="B18" s="128" t="str">
        <f t="shared" si="3"/>
        <v>10Y</v>
      </c>
      <c r="C18" s="173" t="str">
        <f t="shared" si="4"/>
        <v>12L</v>
      </c>
      <c r="D18" s="174" t="str">
        <f t="shared" si="5"/>
        <v>3L</v>
      </c>
      <c r="E18" s="175" t="str">
        <f t="shared" si="0"/>
        <v>USD12L3L10Y_Quote</v>
      </c>
      <c r="F18" s="175" t="str">
        <f>_xll.qlSimpleQuote(E18,,RateTickValue,Permanent,Trigger,ObjectOverwrite)</f>
        <v>USD12L3L10Y_Quote#0000</v>
      </c>
      <c r="G18" s="221" t="str">
        <f>_xll.ohRangeRetrieveError(F18)</f>
        <v/>
      </c>
      <c r="H18" s="116"/>
      <c r="J18" s="228"/>
      <c r="K18" s="128" t="s">
        <v>76</v>
      </c>
      <c r="L18" s="128" t="s">
        <v>98</v>
      </c>
      <c r="M18" s="128" t="s">
        <v>93</v>
      </c>
      <c r="N18" s="129" t="str">
        <f t="shared" si="1"/>
        <v>USD3L12L10Y</v>
      </c>
      <c r="O18" s="33" t="str">
        <v>USD3L12L10Y=SMKR</v>
      </c>
      <c r="P18" s="397">
        <v>21.5</v>
      </c>
      <c r="Q18" s="397">
        <v>31.5</v>
      </c>
      <c r="R18" s="219">
        <f>_xll.qlMidEquivalent(P18,Q18)</f>
        <v>26.5</v>
      </c>
      <c r="S18" s="230">
        <v>10</v>
      </c>
      <c r="T18" s="36" t="b">
        <f t="shared" si="2"/>
        <v>1</v>
      </c>
      <c r="U18" s="219">
        <v>26.5</v>
      </c>
      <c r="V18" s="140"/>
      <c r="W18" s="225">
        <v>26.5</v>
      </c>
      <c r="X18" s="140"/>
      <c r="Y18" s="219">
        <v>26.5</v>
      </c>
      <c r="Z18" s="133">
        <f>_xll.qlSimpleQuoteSetValue(F18,Y18/10000,Trigger)</f>
        <v>1.2499999999999924E-5</v>
      </c>
      <c r="AA18" s="28"/>
    </row>
    <row r="19" spans="1:27" ht="11.25" customHeight="1" x14ac:dyDescent="0.2">
      <c r="A19" s="27"/>
      <c r="B19" s="128" t="str">
        <f t="shared" si="3"/>
        <v>11Y</v>
      </c>
      <c r="C19" s="173" t="str">
        <f t="shared" si="4"/>
        <v>12L</v>
      </c>
      <c r="D19" s="174" t="str">
        <f t="shared" si="5"/>
        <v>3L</v>
      </c>
      <c r="E19" s="175" t="str">
        <f t="shared" si="0"/>
        <v>USD12L3L11Y_Quote</v>
      </c>
      <c r="F19" s="175" t="str">
        <f>_xll.qlSimpleQuote(E19,,RateTickValue,Permanent,Trigger,ObjectOverwrite)</f>
        <v>USD12L3L11Y_Quote#0000</v>
      </c>
      <c r="G19" s="221" t="str">
        <f>_xll.ohRangeRetrieveError(F19)</f>
        <v/>
      </c>
      <c r="H19" s="116"/>
      <c r="J19" s="228"/>
      <c r="K19" s="128" t="s">
        <v>75</v>
      </c>
      <c r="L19" s="128" t="s">
        <v>98</v>
      </c>
      <c r="M19" s="128" t="s">
        <v>93</v>
      </c>
      <c r="N19" s="129" t="str">
        <f t="shared" si="1"/>
        <v>USD3L12L11Y</v>
      </c>
      <c r="O19" s="33" t="str">
        <v>USD3L12L11Y=SMKR</v>
      </c>
      <c r="P19" s="397">
        <v>21.375</v>
      </c>
      <c r="Q19" s="397">
        <v>31.375</v>
      </c>
      <c r="R19" s="219">
        <f>_xll.qlMidEquivalent(P19,Q19)</f>
        <v>26.375</v>
      </c>
      <c r="S19" s="230">
        <v>11</v>
      </c>
      <c r="T19" s="36" t="b">
        <f t="shared" si="2"/>
        <v>1</v>
      </c>
      <c r="U19" s="219">
        <v>26.375</v>
      </c>
      <c r="V19" s="140"/>
      <c r="W19" s="225">
        <v>26.375</v>
      </c>
      <c r="X19" s="140"/>
      <c r="Y19" s="219">
        <v>26.375</v>
      </c>
      <c r="Z19" s="133">
        <f>_xll.qlSimpleQuoteSetValue(F19,Y19/10000,Trigger)</f>
        <v>0</v>
      </c>
      <c r="AA19" s="28"/>
    </row>
    <row r="20" spans="1:27" ht="11.25" customHeight="1" x14ac:dyDescent="0.2">
      <c r="A20" s="27"/>
      <c r="B20" s="128" t="str">
        <f t="shared" si="3"/>
        <v>12Y</v>
      </c>
      <c r="C20" s="173" t="str">
        <f t="shared" si="4"/>
        <v>12L</v>
      </c>
      <c r="D20" s="174" t="str">
        <f t="shared" si="5"/>
        <v>3L</v>
      </c>
      <c r="E20" s="175" t="str">
        <f t="shared" si="0"/>
        <v>USD12L3L12Y_Quote</v>
      </c>
      <c r="F20" s="175" t="str">
        <f>_xll.qlSimpleQuote(E20,,RateTickValue,Permanent,Trigger,ObjectOverwrite)</f>
        <v>USD12L3L12Y_Quote#0000</v>
      </c>
      <c r="G20" s="221" t="str">
        <f>_xll.ohRangeRetrieveError(F20)</f>
        <v/>
      </c>
      <c r="H20" s="116"/>
      <c r="J20" s="228"/>
      <c r="K20" s="128" t="s">
        <v>74</v>
      </c>
      <c r="L20" s="128" t="s">
        <v>98</v>
      </c>
      <c r="M20" s="128" t="s">
        <v>93</v>
      </c>
      <c r="N20" s="129" t="str">
        <f t="shared" si="1"/>
        <v>USD3L12L12Y</v>
      </c>
      <c r="O20" s="33" t="str">
        <v>USD3L12L12Y=SMKR</v>
      </c>
      <c r="P20" s="397">
        <v>21.5</v>
      </c>
      <c r="Q20" s="397">
        <v>31.5</v>
      </c>
      <c r="R20" s="219">
        <f>_xll.qlMidEquivalent(P20,Q20)</f>
        <v>26.5</v>
      </c>
      <c r="S20" s="230">
        <v>12</v>
      </c>
      <c r="T20" s="36" t="b">
        <f t="shared" si="2"/>
        <v>1</v>
      </c>
      <c r="U20" s="219">
        <v>26.5</v>
      </c>
      <c r="V20" s="140"/>
      <c r="W20" s="225">
        <v>26.5</v>
      </c>
      <c r="X20" s="140"/>
      <c r="Y20" s="219">
        <v>26.5</v>
      </c>
      <c r="Z20" s="133">
        <f>_xll.qlSimpleQuoteSetValue(F20,Y20/10000,Trigger)</f>
        <v>1.2499999999999924E-5</v>
      </c>
      <c r="AA20" s="28"/>
    </row>
    <row r="21" spans="1:27" ht="11.25" customHeight="1" x14ac:dyDescent="0.2">
      <c r="A21" s="27"/>
      <c r="B21" s="128" t="str">
        <f t="shared" si="3"/>
        <v>13Y</v>
      </c>
      <c r="C21" s="173" t="str">
        <f t="shared" si="4"/>
        <v>12L</v>
      </c>
      <c r="D21" s="174" t="str">
        <f t="shared" si="5"/>
        <v>3L</v>
      </c>
      <c r="E21" s="175" t="str">
        <f t="shared" si="0"/>
        <v>USD12L3L13Y_Quote</v>
      </c>
      <c r="F21" s="175" t="str">
        <f>_xll.qlSimpleQuote(E21,,RateTickValue,Permanent,Trigger,ObjectOverwrite)</f>
        <v>USD12L3L13Y_Quote#0000</v>
      </c>
      <c r="G21" s="221" t="str">
        <f>_xll.ohRangeRetrieveError(F21)</f>
        <v/>
      </c>
      <c r="H21" s="116"/>
      <c r="J21" s="228"/>
      <c r="K21" s="128" t="s">
        <v>73</v>
      </c>
      <c r="L21" s="128" t="s">
        <v>98</v>
      </c>
      <c r="M21" s="128" t="s">
        <v>93</v>
      </c>
      <c r="N21" s="129" t="str">
        <f t="shared" si="1"/>
        <v>USD3L12L13Y</v>
      </c>
      <c r="O21" s="33" t="str">
        <v>USD3L12L13Y=SMKR</v>
      </c>
      <c r="P21" s="397" t="s">
        <v>253</v>
      </c>
      <c r="Q21" s="397" t="s">
        <v>253</v>
      </c>
      <c r="R21" s="219" t="e">
        <f>_xll.qlMidEquivalent(P21,Q21)</f>
        <v>#NUM!</v>
      </c>
      <c r="S21" s="230">
        <v>13</v>
      </c>
      <c r="T21" s="36" t="b">
        <f t="shared" si="2"/>
        <v>0</v>
      </c>
      <c r="U21" s="219">
        <v>26.643580343831012</v>
      </c>
      <c r="V21" s="140"/>
      <c r="W21" s="225">
        <v>26.643580343831012</v>
      </c>
      <c r="X21" s="140"/>
      <c r="Y21" s="219">
        <v>26.643580343831012</v>
      </c>
      <c r="Z21" s="133">
        <f>_xll.qlSimpleQuoteSetValue(F21,Y21/10000,Trigger)</f>
        <v>6.6016006107011069E-6</v>
      </c>
      <c r="AA21" s="28"/>
    </row>
    <row r="22" spans="1:27" ht="11.25" customHeight="1" x14ac:dyDescent="0.2">
      <c r="A22" s="27"/>
      <c r="B22" s="128" t="str">
        <f t="shared" si="3"/>
        <v>14Y</v>
      </c>
      <c r="C22" s="173" t="str">
        <f t="shared" si="4"/>
        <v>12L</v>
      </c>
      <c r="D22" s="174" t="str">
        <f t="shared" si="5"/>
        <v>3L</v>
      </c>
      <c r="E22" s="175" t="str">
        <f t="shared" si="0"/>
        <v>USD12L3L14Y_Quote</v>
      </c>
      <c r="F22" s="175" t="str">
        <f>_xll.qlSimpleQuote(E22,,RateTickValue,Permanent,Trigger,ObjectOverwrite)</f>
        <v>USD12L3L14Y_Quote#0000</v>
      </c>
      <c r="G22" s="221" t="str">
        <f>_xll.ohRangeRetrieveError(F22)</f>
        <v/>
      </c>
      <c r="H22" s="116"/>
      <c r="J22" s="228"/>
      <c r="K22" s="128" t="s">
        <v>72</v>
      </c>
      <c r="L22" s="128" t="s">
        <v>98</v>
      </c>
      <c r="M22" s="128" t="s">
        <v>93</v>
      </c>
      <c r="N22" s="129" t="str">
        <f t="shared" si="1"/>
        <v>USD3L12L14Y</v>
      </c>
      <c r="O22" s="33" t="str">
        <v>USD3L12L14Y=SMKR</v>
      </c>
      <c r="P22" s="397" t="s">
        <v>253</v>
      </c>
      <c r="Q22" s="397" t="s">
        <v>253</v>
      </c>
      <c r="R22" s="219" t="e">
        <f>_xll.qlMidEquivalent(P22,Q22)</f>
        <v>#NUM!</v>
      </c>
      <c r="S22" s="230">
        <v>14</v>
      </c>
      <c r="T22" s="36" t="b">
        <f t="shared" si="2"/>
        <v>0</v>
      </c>
      <c r="U22" s="219">
        <v>26.718853396966644</v>
      </c>
      <c r="V22" s="140"/>
      <c r="W22" s="225">
        <v>26.718853396966644</v>
      </c>
      <c r="X22" s="140"/>
      <c r="Y22" s="219">
        <v>26.718853396966644</v>
      </c>
      <c r="Z22" s="133">
        <f>_xll.qlSimpleQuoteSetValue(F22,Y22/10000,Trigger)</f>
        <v>-2.5571972292580489E-5</v>
      </c>
      <c r="AA22" s="28"/>
    </row>
    <row r="23" spans="1:27" ht="11.25" customHeight="1" x14ac:dyDescent="0.2">
      <c r="A23" s="27"/>
      <c r="B23" s="128" t="str">
        <f t="shared" si="3"/>
        <v>15Y</v>
      </c>
      <c r="C23" s="173" t="str">
        <f t="shared" si="4"/>
        <v>12L</v>
      </c>
      <c r="D23" s="174" t="str">
        <f t="shared" si="5"/>
        <v>3L</v>
      </c>
      <c r="E23" s="175" t="str">
        <f t="shared" si="0"/>
        <v>USD12L3L15Y_Quote</v>
      </c>
      <c r="F23" s="175" t="str">
        <f>_xll.qlSimpleQuote(E23,,RateTickValue,Permanent,Trigger,ObjectOverwrite)</f>
        <v>USD12L3L15Y_Quote#0000</v>
      </c>
      <c r="G23" s="221" t="str">
        <f>_xll.ohRangeRetrieveError(F23)</f>
        <v/>
      </c>
      <c r="H23" s="116"/>
      <c r="J23" s="228"/>
      <c r="K23" s="128" t="s">
        <v>71</v>
      </c>
      <c r="L23" s="128" t="s">
        <v>98</v>
      </c>
      <c r="M23" s="128" t="s">
        <v>93</v>
      </c>
      <c r="N23" s="129" t="str">
        <f t="shared" si="1"/>
        <v>USD3L12L15Y</v>
      </c>
      <c r="O23" s="33" t="str">
        <v>USD3L12L15Y=SMKR</v>
      </c>
      <c r="P23" s="397">
        <v>21.75</v>
      </c>
      <c r="Q23" s="397">
        <v>31.75</v>
      </c>
      <c r="R23" s="219">
        <f>_xll.qlMidEquivalent(P23,Q23)</f>
        <v>26.75</v>
      </c>
      <c r="S23" s="230">
        <v>15</v>
      </c>
      <c r="T23" s="36" t="b">
        <f t="shared" si="2"/>
        <v>1</v>
      </c>
      <c r="U23" s="219">
        <v>26.75</v>
      </c>
      <c r="V23" s="140"/>
      <c r="W23" s="225">
        <v>26.75</v>
      </c>
      <c r="X23" s="140"/>
      <c r="Y23" s="219">
        <v>26.75</v>
      </c>
      <c r="Z23" s="133">
        <f>_xll.qlSimpleQuoteSetValue(F23,Y23/10000,Trigger)</f>
        <v>-5.0000000000000131E-5</v>
      </c>
      <c r="AA23" s="28"/>
    </row>
    <row r="24" spans="1:27" ht="11.25" customHeight="1" x14ac:dyDescent="0.2">
      <c r="A24" s="27"/>
      <c r="B24" s="128" t="str">
        <f t="shared" si="3"/>
        <v>16Y</v>
      </c>
      <c r="C24" s="173" t="str">
        <f t="shared" si="4"/>
        <v>12L</v>
      </c>
      <c r="D24" s="174" t="str">
        <f t="shared" si="5"/>
        <v>3L</v>
      </c>
      <c r="E24" s="175" t="str">
        <f t="shared" si="0"/>
        <v>USD12L3L16Y_Quote</v>
      </c>
      <c r="F24" s="175" t="str">
        <f>_xll.qlSimpleQuote(E24,,RateTickValue,Permanent,Trigger,ObjectOverwrite)</f>
        <v>USD12L3L16Y_Quote#0000</v>
      </c>
      <c r="G24" s="221" t="str">
        <f>_xll.ohRangeRetrieveError(F24)</f>
        <v/>
      </c>
      <c r="H24" s="116"/>
      <c r="J24" s="228"/>
      <c r="K24" s="128" t="s">
        <v>70</v>
      </c>
      <c r="L24" s="128" t="s">
        <v>98</v>
      </c>
      <c r="M24" s="128" t="s">
        <v>93</v>
      </c>
      <c r="N24" s="129" t="str">
        <f t="shared" si="1"/>
        <v>USD3L12L16Y</v>
      </c>
      <c r="O24" s="33" t="str">
        <v>USD3L12L16Y=SMKR</v>
      </c>
      <c r="P24" s="397" t="s">
        <v>253</v>
      </c>
      <c r="Q24" s="397" t="s">
        <v>253</v>
      </c>
      <c r="R24" s="219" t="e">
        <f>_xll.qlMidEquivalent(P24,Q24)</f>
        <v>#NUM!</v>
      </c>
      <c r="S24" s="230">
        <v>16</v>
      </c>
      <c r="T24" s="36" t="b">
        <f t="shared" si="2"/>
        <v>0</v>
      </c>
      <c r="U24" s="219">
        <v>26.757479668049051</v>
      </c>
      <c r="V24" s="140"/>
      <c r="W24" s="225">
        <v>26.757479668049051</v>
      </c>
      <c r="X24" s="140"/>
      <c r="Y24" s="219">
        <v>26.757479668049051</v>
      </c>
      <c r="Z24" s="133">
        <f>_xll.qlSimpleQuoteSetValue(F24,Y24/10000,Trigger)</f>
        <v>-4.0446837263916156E-5</v>
      </c>
      <c r="AA24" s="28"/>
    </row>
    <row r="25" spans="1:27" ht="11.25" customHeight="1" x14ac:dyDescent="0.2">
      <c r="A25" s="27"/>
      <c r="B25" s="128" t="str">
        <f t="shared" si="3"/>
        <v>17Y</v>
      </c>
      <c r="C25" s="173" t="str">
        <f t="shared" si="4"/>
        <v>12L</v>
      </c>
      <c r="D25" s="174" t="str">
        <f t="shared" si="5"/>
        <v>3L</v>
      </c>
      <c r="E25" s="175" t="str">
        <f t="shared" si="0"/>
        <v>USD12L3L17Y_Quote</v>
      </c>
      <c r="F25" s="175" t="str">
        <f>_xll.qlSimpleQuote(E25,,RateTickValue,Permanent,Trigger,ObjectOverwrite)</f>
        <v>USD12L3L17Y_Quote#0000</v>
      </c>
      <c r="G25" s="221" t="str">
        <f>_xll.ohRangeRetrieveError(F25)</f>
        <v/>
      </c>
      <c r="H25" s="116"/>
      <c r="J25" s="228"/>
      <c r="K25" s="128" t="s">
        <v>69</v>
      </c>
      <c r="L25" s="128" t="s">
        <v>98</v>
      </c>
      <c r="M25" s="128" t="s">
        <v>93</v>
      </c>
      <c r="N25" s="129" t="str">
        <f t="shared" si="1"/>
        <v>USD3L12L17Y</v>
      </c>
      <c r="O25" s="33" t="str">
        <v>USD3L12L17Y=SMKR</v>
      </c>
      <c r="P25" s="397" t="s">
        <v>253</v>
      </c>
      <c r="Q25" s="397" t="s">
        <v>253</v>
      </c>
      <c r="R25" s="219" t="e">
        <f>_xll.qlMidEquivalent(P25,Q25)</f>
        <v>#NUM!</v>
      </c>
      <c r="S25" s="230">
        <v>17</v>
      </c>
      <c r="T25" s="36" t="b">
        <f t="shared" si="2"/>
        <v>0</v>
      </c>
      <c r="U25" s="219">
        <v>26.746866614331253</v>
      </c>
      <c r="V25" s="140"/>
      <c r="W25" s="225">
        <v>26.746866614331253</v>
      </c>
      <c r="X25" s="140"/>
      <c r="Y25" s="219">
        <v>26.746866614331253</v>
      </c>
      <c r="Z25" s="133">
        <f>_xll.qlSimpleQuoteSetValue(F25,Y25/10000,Trigger)</f>
        <v>-3.7824931442983177E-6</v>
      </c>
      <c r="AA25" s="28"/>
    </row>
    <row r="26" spans="1:27" ht="11.25" customHeight="1" x14ac:dyDescent="0.2">
      <c r="A26" s="27"/>
      <c r="B26" s="128" t="str">
        <f t="shared" si="3"/>
        <v>18Y</v>
      </c>
      <c r="C26" s="173" t="str">
        <f t="shared" si="4"/>
        <v>12L</v>
      </c>
      <c r="D26" s="174" t="str">
        <f t="shared" si="5"/>
        <v>3L</v>
      </c>
      <c r="E26" s="175" t="str">
        <f t="shared" si="0"/>
        <v>USD12L3L18Y_Quote</v>
      </c>
      <c r="F26" s="175" t="str">
        <f>_xll.qlSimpleQuote(E26,,RateTickValue,Permanent,Trigger,ObjectOverwrite)</f>
        <v>USD12L3L18Y_Quote#0000</v>
      </c>
      <c r="G26" s="221" t="str">
        <f>_xll.ohRangeRetrieveError(F26)</f>
        <v/>
      </c>
      <c r="H26" s="116"/>
      <c r="J26" s="228"/>
      <c r="K26" s="128" t="s">
        <v>68</v>
      </c>
      <c r="L26" s="128" t="s">
        <v>98</v>
      </c>
      <c r="M26" s="128" t="s">
        <v>93</v>
      </c>
      <c r="N26" s="129" t="str">
        <f t="shared" si="1"/>
        <v>USD3L12L18Y</v>
      </c>
      <c r="O26" s="33" t="str">
        <v>USD3L12L18Y=SMKR</v>
      </c>
      <c r="P26" s="397" t="s">
        <v>253</v>
      </c>
      <c r="Q26" s="397" t="s">
        <v>253</v>
      </c>
      <c r="R26" s="219" t="e">
        <f>_xll.qlMidEquivalent(P26,Q26)</f>
        <v>#NUM!</v>
      </c>
      <c r="S26" s="230">
        <v>18</v>
      </c>
      <c r="T26" s="36" t="b">
        <f t="shared" si="2"/>
        <v>0</v>
      </c>
      <c r="U26" s="219">
        <v>26.720013726588927</v>
      </c>
      <c r="V26" s="140"/>
      <c r="W26" s="225">
        <v>26.720013726588927</v>
      </c>
      <c r="X26" s="140"/>
      <c r="Y26" s="219">
        <v>26.720013726588927</v>
      </c>
      <c r="Z26" s="133">
        <f>_xll.qlSimpleQuoteSetValue(F26,Y26/10000,Trigger)</f>
        <v>4.435526960727687E-5</v>
      </c>
      <c r="AA26" s="28"/>
    </row>
    <row r="27" spans="1:27" ht="11.25" customHeight="1" x14ac:dyDescent="0.2">
      <c r="A27" s="27"/>
      <c r="B27" s="128" t="str">
        <f t="shared" si="3"/>
        <v>19Y</v>
      </c>
      <c r="C27" s="173" t="str">
        <f t="shared" si="4"/>
        <v>12L</v>
      </c>
      <c r="D27" s="174" t="str">
        <f t="shared" si="5"/>
        <v>3L</v>
      </c>
      <c r="E27" s="175" t="str">
        <f t="shared" si="0"/>
        <v>USD12L3L19Y_Quote</v>
      </c>
      <c r="F27" s="175" t="str">
        <f>_xll.qlSimpleQuote(E27,,RateTickValue,Permanent,Trigger,ObjectOverwrite)</f>
        <v>USD12L3L19Y_Quote#0000</v>
      </c>
      <c r="G27" s="221" t="str">
        <f>_xll.ohRangeRetrieveError(F27)</f>
        <v/>
      </c>
      <c r="H27" s="116"/>
      <c r="J27" s="228"/>
      <c r="K27" s="128" t="s">
        <v>67</v>
      </c>
      <c r="L27" s="128" t="s">
        <v>98</v>
      </c>
      <c r="M27" s="128" t="s">
        <v>93</v>
      </c>
      <c r="N27" s="129" t="str">
        <f t="shared" si="1"/>
        <v>USD3L12L19Y</v>
      </c>
      <c r="O27" s="33" t="str">
        <v>USD3L12L19Y=SMKR</v>
      </c>
      <c r="P27" s="397" t="s">
        <v>253</v>
      </c>
      <c r="Q27" s="397" t="s">
        <v>253</v>
      </c>
      <c r="R27" s="219" t="e">
        <f>_xll.qlMidEquivalent(P27,Q27)</f>
        <v>#NUM!</v>
      </c>
      <c r="S27" s="230">
        <v>19</v>
      </c>
      <c r="T27" s="36" t="b">
        <f t="shared" si="2"/>
        <v>0</v>
      </c>
      <c r="U27" s="219">
        <v>26.678773892564404</v>
      </c>
      <c r="V27" s="140"/>
      <c r="W27" s="225">
        <v>26.678773892564404</v>
      </c>
      <c r="X27" s="140"/>
      <c r="Y27" s="219">
        <v>26.678773892564404</v>
      </c>
      <c r="Z27" s="133">
        <f>_xll.qlSimpleQuoteSetValue(F27,Y27/10000,Trigger)</f>
        <v>8.8328688239235065E-5</v>
      </c>
      <c r="AA27" s="28"/>
    </row>
    <row r="28" spans="1:27" ht="11.25" customHeight="1" x14ac:dyDescent="0.2">
      <c r="A28" s="27"/>
      <c r="B28" s="128" t="str">
        <f t="shared" si="3"/>
        <v>20Y</v>
      </c>
      <c r="C28" s="173" t="str">
        <f t="shared" si="4"/>
        <v>12L</v>
      </c>
      <c r="D28" s="174" t="str">
        <f t="shared" si="5"/>
        <v>3L</v>
      </c>
      <c r="E28" s="175" t="str">
        <f t="shared" si="0"/>
        <v>USD12L3L20Y_Quote</v>
      </c>
      <c r="F28" s="175" t="str">
        <f>_xll.qlSimpleQuote(E28,,RateTickValue,Permanent,Trigger,ObjectOverwrite)</f>
        <v>USD12L3L20Y_Quote#0000</v>
      </c>
      <c r="G28" s="221" t="str">
        <f>_xll.ohRangeRetrieveError(F28)</f>
        <v/>
      </c>
      <c r="H28" s="116"/>
      <c r="J28" s="228"/>
      <c r="K28" s="128" t="s">
        <v>66</v>
      </c>
      <c r="L28" s="128" t="s">
        <v>98</v>
      </c>
      <c r="M28" s="128" t="s">
        <v>93</v>
      </c>
      <c r="N28" s="129" t="str">
        <f t="shared" si="1"/>
        <v>USD3L12L20Y</v>
      </c>
      <c r="O28" s="33" t="str">
        <v>USD3L12L20Y=SMKR</v>
      </c>
      <c r="P28" s="397">
        <v>21.625</v>
      </c>
      <c r="Q28" s="397">
        <v>31.625</v>
      </c>
      <c r="R28" s="219">
        <f>_xll.qlMidEquivalent(P28,Q28)</f>
        <v>26.625</v>
      </c>
      <c r="S28" s="230">
        <v>20</v>
      </c>
      <c r="T28" s="36" t="b">
        <f t="shared" si="2"/>
        <v>1</v>
      </c>
      <c r="U28" s="219">
        <v>26.625</v>
      </c>
      <c r="V28" s="140"/>
      <c r="W28" s="225">
        <v>26.625</v>
      </c>
      <c r="X28" s="140"/>
      <c r="Y28" s="219">
        <v>26.625</v>
      </c>
      <c r="Z28" s="133">
        <f>_xll.qlSimpleQuoteSetValue(F28,Y28/10000,Trigger)</f>
        <v>1.1249999999999975E-4</v>
      </c>
      <c r="AA28" s="28"/>
    </row>
    <row r="29" spans="1:27" ht="11.25" customHeight="1" x14ac:dyDescent="0.2">
      <c r="A29" s="27"/>
      <c r="B29" s="128" t="str">
        <f t="shared" si="3"/>
        <v>21Y</v>
      </c>
      <c r="C29" s="173" t="str">
        <f t="shared" si="4"/>
        <v>12L</v>
      </c>
      <c r="D29" s="174" t="str">
        <f t="shared" si="5"/>
        <v>3L</v>
      </c>
      <c r="E29" s="175" t="str">
        <f t="shared" si="0"/>
        <v>USD12L3L21Y_Quote</v>
      </c>
      <c r="F29" s="175" t="str">
        <f>_xll.qlSimpleQuote(E29,,RateTickValue,Permanent,Trigger,ObjectOverwrite)</f>
        <v>USD12L3L21Y_Quote#0000</v>
      </c>
      <c r="G29" s="221" t="str">
        <f>_xll.ohRangeRetrieveError(F29)</f>
        <v/>
      </c>
      <c r="H29" s="116"/>
      <c r="J29" s="228"/>
      <c r="K29" s="128" t="s">
        <v>65</v>
      </c>
      <c r="L29" s="128" t="s">
        <v>98</v>
      </c>
      <c r="M29" s="128" t="s">
        <v>93</v>
      </c>
      <c r="N29" s="129" t="str">
        <f t="shared" si="1"/>
        <v>USD3L12L21Y</v>
      </c>
      <c r="O29" s="33" t="str">
        <v>USD3L12L21Y=SMKR</v>
      </c>
      <c r="P29" s="397" t="s">
        <v>253</v>
      </c>
      <c r="Q29" s="397" t="s">
        <v>253</v>
      </c>
      <c r="R29" s="219" t="e">
        <f>_xll.qlMidEquivalent(P29,Q29)</f>
        <v>#NUM!</v>
      </c>
      <c r="S29" s="230">
        <v>21</v>
      </c>
      <c r="T29" s="36" t="b">
        <f t="shared" si="2"/>
        <v>0</v>
      </c>
      <c r="U29" s="219">
        <v>26.560681170797555</v>
      </c>
      <c r="V29" s="140"/>
      <c r="W29" s="225">
        <v>26.560681170797555</v>
      </c>
      <c r="X29" s="140"/>
      <c r="Y29" s="219">
        <v>26.560681170797555</v>
      </c>
      <c r="Z29" s="133">
        <f>_xll.qlSimpleQuoteSetValue(F29,Y29/10000,Trigger)</f>
        <v>1.1826811707975511E-4</v>
      </c>
      <c r="AA29" s="28"/>
    </row>
    <row r="30" spans="1:27" ht="11.25" customHeight="1" x14ac:dyDescent="0.2">
      <c r="A30" s="27"/>
      <c r="B30" s="128" t="str">
        <f t="shared" si="3"/>
        <v>22Y</v>
      </c>
      <c r="C30" s="173" t="str">
        <f t="shared" si="4"/>
        <v>12L</v>
      </c>
      <c r="D30" s="174" t="str">
        <f t="shared" si="5"/>
        <v>3L</v>
      </c>
      <c r="E30" s="175" t="str">
        <f t="shared" si="0"/>
        <v>USD12L3L22Y_Quote</v>
      </c>
      <c r="F30" s="175" t="str">
        <f>_xll.qlSimpleQuote(E30,,RateTickValue,Permanent,Trigger,ObjectOverwrite)</f>
        <v>USD12L3L22Y_Quote#0000</v>
      </c>
      <c r="G30" s="221" t="str">
        <f>_xll.ohRangeRetrieveError(F30)</f>
        <v/>
      </c>
      <c r="H30" s="116"/>
      <c r="J30" s="228"/>
      <c r="K30" s="128" t="s">
        <v>64</v>
      </c>
      <c r="L30" s="128" t="s">
        <v>98</v>
      </c>
      <c r="M30" s="128" t="s">
        <v>93</v>
      </c>
      <c r="N30" s="129" t="str">
        <f t="shared" si="1"/>
        <v>USD3L12L22Y</v>
      </c>
      <c r="O30" s="33" t="str">
        <v>USD3L12L22Y=SMKR</v>
      </c>
      <c r="P30" s="397" t="s">
        <v>253</v>
      </c>
      <c r="Q30" s="397" t="s">
        <v>253</v>
      </c>
      <c r="R30" s="219" t="e">
        <f>_xll.qlMidEquivalent(P30,Q30)</f>
        <v>#NUM!</v>
      </c>
      <c r="S30" s="230">
        <v>22</v>
      </c>
      <c r="T30" s="36" t="b">
        <f t="shared" si="2"/>
        <v>0</v>
      </c>
      <c r="U30" s="219">
        <v>26.488351463496944</v>
      </c>
      <c r="V30" s="140"/>
      <c r="W30" s="225">
        <v>26.488351463496944</v>
      </c>
      <c r="X30" s="140"/>
      <c r="Y30" s="219">
        <v>26.488351463496944</v>
      </c>
      <c r="Z30" s="133">
        <f>_xll.qlSimpleQuoteSetValue(F30,Y30/10000,Trigger)</f>
        <v>1.1843514634969458E-4</v>
      </c>
      <c r="AA30" s="28"/>
    </row>
    <row r="31" spans="1:27" ht="11.25" customHeight="1" x14ac:dyDescent="0.2">
      <c r="A31" s="27"/>
      <c r="B31" s="128" t="str">
        <f t="shared" si="3"/>
        <v>23Y</v>
      </c>
      <c r="C31" s="173" t="str">
        <f t="shared" si="4"/>
        <v>12L</v>
      </c>
      <c r="D31" s="174" t="str">
        <f t="shared" si="5"/>
        <v>3L</v>
      </c>
      <c r="E31" s="175" t="str">
        <f t="shared" si="0"/>
        <v>USD12L3L23Y_Quote</v>
      </c>
      <c r="F31" s="175" t="str">
        <f>_xll.qlSimpleQuote(E31,,RateTickValue,Permanent,Trigger,ObjectOverwrite)</f>
        <v>USD12L3L23Y_Quote#0000</v>
      </c>
      <c r="G31" s="221" t="str">
        <f>_xll.ohRangeRetrieveError(F31)</f>
        <v/>
      </c>
      <c r="H31" s="116"/>
      <c r="J31" s="228"/>
      <c r="K31" s="128" t="s">
        <v>63</v>
      </c>
      <c r="L31" s="128" t="s">
        <v>98</v>
      </c>
      <c r="M31" s="128" t="s">
        <v>93</v>
      </c>
      <c r="N31" s="129" t="str">
        <f t="shared" si="1"/>
        <v>USD3L12L23Y</v>
      </c>
      <c r="O31" s="33" t="str">
        <v>USD3L12L23Y=SMKR</v>
      </c>
      <c r="P31" s="397" t="s">
        <v>253</v>
      </c>
      <c r="Q31" s="397" t="s">
        <v>253</v>
      </c>
      <c r="R31" s="219" t="e">
        <f>_xll.qlMidEquivalent(P31,Q31)</f>
        <v>#NUM!</v>
      </c>
      <c r="S31" s="230">
        <v>23</v>
      </c>
      <c r="T31" s="36" t="b">
        <f t="shared" si="2"/>
        <v>0</v>
      </c>
      <c r="U31" s="219">
        <v>26.410681170797552</v>
      </c>
      <c r="V31" s="140"/>
      <c r="W31" s="225">
        <v>26.410681170797552</v>
      </c>
      <c r="X31" s="140"/>
      <c r="Y31" s="219">
        <v>26.410681170797552</v>
      </c>
      <c r="Z31" s="133">
        <f>_xll.qlSimpleQuoteSetValue(F31,Y31/10000,Trigger)</f>
        <v>1.1446811707975513E-4</v>
      </c>
      <c r="AA31" s="28"/>
    </row>
    <row r="32" spans="1:27" ht="11.25" customHeight="1" x14ac:dyDescent="0.2">
      <c r="A32" s="27"/>
      <c r="B32" s="128" t="str">
        <f t="shared" si="3"/>
        <v>24Y</v>
      </c>
      <c r="C32" s="173" t="str">
        <f t="shared" si="4"/>
        <v>12L</v>
      </c>
      <c r="D32" s="174" t="str">
        <f t="shared" si="5"/>
        <v>3L</v>
      </c>
      <c r="E32" s="175" t="str">
        <f t="shared" si="0"/>
        <v>USD12L3L24Y_Quote</v>
      </c>
      <c r="F32" s="175" t="str">
        <f>_xll.qlSimpleQuote(E32,,RateTickValue,Permanent,Trigger,ObjectOverwrite)</f>
        <v>USD12L3L24Y_Quote#0000</v>
      </c>
      <c r="G32" s="221" t="str">
        <f>_xll.ohRangeRetrieveError(F32)</f>
        <v/>
      </c>
      <c r="H32" s="116"/>
      <c r="J32" s="228"/>
      <c r="K32" s="128" t="s">
        <v>62</v>
      </c>
      <c r="L32" s="128" t="s">
        <v>98</v>
      </c>
      <c r="M32" s="128" t="s">
        <v>93</v>
      </c>
      <c r="N32" s="129" t="str">
        <f t="shared" si="1"/>
        <v>USD3L12L24Y</v>
      </c>
      <c r="O32" s="33" t="str">
        <v>USD3L12L24Y=SMKR</v>
      </c>
      <c r="P32" s="397" t="s">
        <v>253</v>
      </c>
      <c r="Q32" s="397" t="s">
        <v>253</v>
      </c>
      <c r="R32" s="219" t="e">
        <f>_xll.qlMidEquivalent(P32,Q32)</f>
        <v>#NUM!</v>
      </c>
      <c r="S32" s="230">
        <v>24</v>
      </c>
      <c r="T32" s="36" t="b">
        <f t="shared" si="2"/>
        <v>0</v>
      </c>
      <c r="U32" s="219">
        <v>26.330340585398776</v>
      </c>
      <c r="V32" s="140"/>
      <c r="W32" s="225">
        <v>26.330340585398776</v>
      </c>
      <c r="X32" s="140"/>
      <c r="Y32" s="219">
        <v>26.330340585398776</v>
      </c>
      <c r="Z32" s="133">
        <f>_xll.qlSimpleQuoteSetValue(F32,Y32/10000,Trigger)</f>
        <v>1.078340585398776E-4</v>
      </c>
      <c r="AA32" s="28"/>
    </row>
    <row r="33" spans="1:27" ht="11.25" customHeight="1" x14ac:dyDescent="0.2">
      <c r="A33" s="27"/>
      <c r="B33" s="128" t="str">
        <f t="shared" si="3"/>
        <v>25Y</v>
      </c>
      <c r="C33" s="173" t="str">
        <f t="shared" si="4"/>
        <v>12L</v>
      </c>
      <c r="D33" s="174" t="str">
        <f t="shared" si="5"/>
        <v>3L</v>
      </c>
      <c r="E33" s="175" t="str">
        <f t="shared" si="0"/>
        <v>USD12L3L25Y_Quote</v>
      </c>
      <c r="F33" s="175" t="str">
        <f>_xll.qlSimpleQuote(E33,,RateTickValue,Permanent,Trigger,ObjectOverwrite)</f>
        <v>USD12L3L25Y_Quote#0000</v>
      </c>
      <c r="G33" s="221" t="str">
        <f>_xll.ohRangeRetrieveError(F33)</f>
        <v/>
      </c>
      <c r="H33" s="116"/>
      <c r="J33" s="228"/>
      <c r="K33" s="128" t="s">
        <v>61</v>
      </c>
      <c r="L33" s="128" t="s">
        <v>98</v>
      </c>
      <c r="M33" s="128" t="s">
        <v>93</v>
      </c>
      <c r="N33" s="129" t="str">
        <f t="shared" si="1"/>
        <v>USD3L12L25Y</v>
      </c>
      <c r="O33" s="33" t="str">
        <v>USD3L12L25Y=SMKR</v>
      </c>
      <c r="P33" s="397">
        <v>21.25</v>
      </c>
      <c r="Q33" s="397">
        <v>31.25</v>
      </c>
      <c r="R33" s="219">
        <f>_xll.qlMidEquivalent(P33,Q33)</f>
        <v>26.25</v>
      </c>
      <c r="S33" s="230">
        <v>25</v>
      </c>
      <c r="T33" s="36" t="b">
        <f t="shared" si="2"/>
        <v>1</v>
      </c>
      <c r="U33" s="219">
        <v>26.25</v>
      </c>
      <c r="V33" s="140"/>
      <c r="W33" s="225">
        <v>26.25</v>
      </c>
      <c r="X33" s="140"/>
      <c r="Y33" s="219">
        <v>26.25</v>
      </c>
      <c r="Z33" s="133">
        <f>_xll.qlSimpleQuoteSetValue(F33,Y33/10000,Trigger)</f>
        <v>1.0000000000000026E-4</v>
      </c>
      <c r="AA33" s="28"/>
    </row>
    <row r="34" spans="1:27" ht="11.25" customHeight="1" x14ac:dyDescent="0.2">
      <c r="A34" s="27"/>
      <c r="B34" s="128" t="str">
        <f t="shared" si="3"/>
        <v>26Y</v>
      </c>
      <c r="C34" s="173" t="str">
        <f t="shared" si="4"/>
        <v>12L</v>
      </c>
      <c r="D34" s="174" t="str">
        <f t="shared" si="5"/>
        <v>3L</v>
      </c>
      <c r="E34" s="175" t="str">
        <f t="shared" si="0"/>
        <v>USD12L3L26Y_Quote</v>
      </c>
      <c r="F34" s="175" t="str">
        <f>_xll.qlSimpleQuote(E34,,RateTickValue,Permanent,Trigger,ObjectOverwrite)</f>
        <v>USD12L3L26Y_Quote#0000</v>
      </c>
      <c r="G34" s="221" t="str">
        <f>_xll.ohRangeRetrieveError(F34)</f>
        <v/>
      </c>
      <c r="H34" s="116"/>
      <c r="J34" s="228"/>
      <c r="K34" s="128" t="s">
        <v>60</v>
      </c>
      <c r="L34" s="128" t="s">
        <v>98</v>
      </c>
      <c r="M34" s="128" t="s">
        <v>93</v>
      </c>
      <c r="N34" s="129" t="str">
        <f t="shared" si="1"/>
        <v>USD3L12L26Y</v>
      </c>
      <c r="O34" s="33" t="str">
        <v>USD3L12L26Y=SMKR</v>
      </c>
      <c r="P34" s="397" t="s">
        <v>253</v>
      </c>
      <c r="Q34" s="397" t="s">
        <v>253</v>
      </c>
      <c r="R34" s="219" t="e">
        <f>_xll.qlMidEquivalent(P34,Q34)</f>
        <v>#NUM!</v>
      </c>
      <c r="S34" s="230">
        <v>26</v>
      </c>
      <c r="T34" s="36" t="b">
        <f t="shared" si="2"/>
        <v>0</v>
      </c>
      <c r="U34" s="219">
        <v>26.171795648760735</v>
      </c>
      <c r="V34" s="140"/>
      <c r="W34" s="225">
        <v>26.171795648760735</v>
      </c>
      <c r="X34" s="140"/>
      <c r="Y34" s="219">
        <v>26.171795648760735</v>
      </c>
      <c r="Z34" s="133">
        <f>_xll.qlSimpleQuoteSetValue(F34,Y34/10000,Trigger)</f>
        <v>9.095076868310438E-5</v>
      </c>
      <c r="AA34" s="28"/>
    </row>
    <row r="35" spans="1:27" ht="11.25" customHeight="1" x14ac:dyDescent="0.2">
      <c r="A35" s="27"/>
      <c r="B35" s="128" t="str">
        <f t="shared" si="3"/>
        <v>27Y</v>
      </c>
      <c r="C35" s="173" t="str">
        <f t="shared" si="4"/>
        <v>12L</v>
      </c>
      <c r="D35" s="174" t="str">
        <f t="shared" si="5"/>
        <v>3L</v>
      </c>
      <c r="E35" s="175" t="str">
        <f t="shared" si="0"/>
        <v>USD12L3L27Y_Quote</v>
      </c>
      <c r="F35" s="175" t="str">
        <f>_xll.qlSimpleQuote(E35,,RateTickValue,Permanent,Trigger,ObjectOverwrite)</f>
        <v>USD12L3L27Y_Quote#0000</v>
      </c>
      <c r="G35" s="221" t="str">
        <f>_xll.ohRangeRetrieveError(F35)</f>
        <v/>
      </c>
      <c r="H35" s="116"/>
      <c r="J35" s="228"/>
      <c r="K35" s="128" t="s">
        <v>59</v>
      </c>
      <c r="L35" s="128" t="s">
        <v>98</v>
      </c>
      <c r="M35" s="128" t="s">
        <v>93</v>
      </c>
      <c r="N35" s="129" t="str">
        <f t="shared" si="1"/>
        <v>USD3L12L27Y</v>
      </c>
      <c r="O35" s="33" t="str">
        <v>USD3L12L27Y=SMKR</v>
      </c>
      <c r="P35" s="397" t="s">
        <v>253</v>
      </c>
      <c r="Q35" s="397" t="s">
        <v>253</v>
      </c>
      <c r="R35" s="219" t="e">
        <f>_xll.qlMidEquivalent(P35,Q35)</f>
        <v>#NUM!</v>
      </c>
      <c r="S35" s="230">
        <v>27</v>
      </c>
      <c r="T35" s="36" t="b">
        <f t="shared" si="2"/>
        <v>0</v>
      </c>
      <c r="U35" s="219">
        <v>26.095727531680978</v>
      </c>
      <c r="V35" s="140"/>
      <c r="W35" s="225">
        <v>26.095727531680978</v>
      </c>
      <c r="X35" s="140"/>
      <c r="Y35" s="219">
        <v>26.095727531680978</v>
      </c>
      <c r="Z35" s="133">
        <f>_xll.qlSimpleQuoteSetValue(F35,Y35/10000,Trigger)</f>
        <v>8.0386364589189567E-5</v>
      </c>
      <c r="AA35" s="28"/>
    </row>
    <row r="36" spans="1:27" ht="11.25" customHeight="1" x14ac:dyDescent="0.2">
      <c r="A36" s="27"/>
      <c r="B36" s="128" t="str">
        <f t="shared" si="3"/>
        <v>28Y</v>
      </c>
      <c r="C36" s="173" t="str">
        <f t="shared" si="4"/>
        <v>12L</v>
      </c>
      <c r="D36" s="174" t="str">
        <f t="shared" si="5"/>
        <v>3L</v>
      </c>
      <c r="E36" s="175" t="str">
        <f t="shared" si="0"/>
        <v>USD12L3L28Y_Quote</v>
      </c>
      <c r="F36" s="175" t="str">
        <f>_xll.qlSimpleQuote(E36,,RateTickValue,Permanent,Trigger,ObjectOverwrite)</f>
        <v>USD12L3L28Y_Quote#0000</v>
      </c>
      <c r="G36" s="221" t="str">
        <f>_xll.ohRangeRetrieveError(F36)</f>
        <v/>
      </c>
      <c r="H36" s="116"/>
      <c r="J36" s="228"/>
      <c r="K36" s="128" t="s">
        <v>58</v>
      </c>
      <c r="L36" s="128" t="s">
        <v>98</v>
      </c>
      <c r="M36" s="128" t="s">
        <v>93</v>
      </c>
      <c r="N36" s="129" t="str">
        <f t="shared" si="1"/>
        <v>USD3L12L28Y</v>
      </c>
      <c r="O36" s="33" t="str">
        <v>USD3L12L28Y=SMKR</v>
      </c>
      <c r="P36" s="397" t="s">
        <v>253</v>
      </c>
      <c r="Q36" s="397" t="s">
        <v>253</v>
      </c>
      <c r="R36" s="219" t="e">
        <f>_xll.qlMidEquivalent(P36,Q36)</f>
        <v>#NUM!</v>
      </c>
      <c r="S36" s="230">
        <v>28</v>
      </c>
      <c r="T36" s="36" t="b">
        <f t="shared" si="2"/>
        <v>0</v>
      </c>
      <c r="U36" s="219">
        <v>26.021261590220856</v>
      </c>
      <c r="V36" s="140"/>
      <c r="W36" s="225">
        <v>26.021261590220856</v>
      </c>
      <c r="X36" s="140"/>
      <c r="Y36" s="219">
        <v>26.021261590220856</v>
      </c>
      <c r="Z36" s="133">
        <f>_xll.qlSimpleQuoteSetValue(F36,Y36/10000,Trigger)</f>
        <v>6.9346576153723333E-5</v>
      </c>
      <c r="AA36" s="28"/>
    </row>
    <row r="37" spans="1:27" ht="11.25" customHeight="1" x14ac:dyDescent="0.2">
      <c r="A37" s="27"/>
      <c r="B37" s="128" t="str">
        <f t="shared" si="3"/>
        <v>29Y</v>
      </c>
      <c r="C37" s="173" t="str">
        <f t="shared" si="4"/>
        <v>12L</v>
      </c>
      <c r="D37" s="174" t="str">
        <f t="shared" si="5"/>
        <v>3L</v>
      </c>
      <c r="E37" s="175" t="str">
        <f t="shared" si="0"/>
        <v>USD12L3L29Y_Quote</v>
      </c>
      <c r="F37" s="175" t="str">
        <f>_xll.qlSimpleQuote(E37,,RateTickValue,Permanent,Trigger,ObjectOverwrite)</f>
        <v>USD12L3L29Y_Quote#0000</v>
      </c>
      <c r="G37" s="221" t="str">
        <f>_xll.ohRangeRetrieveError(F37)</f>
        <v/>
      </c>
      <c r="H37" s="116"/>
      <c r="J37" s="228"/>
      <c r="K37" s="128" t="s">
        <v>57</v>
      </c>
      <c r="L37" s="128" t="s">
        <v>98</v>
      </c>
      <c r="M37" s="128" t="s">
        <v>93</v>
      </c>
      <c r="N37" s="129" t="str">
        <f t="shared" si="1"/>
        <v>USD3L12L29Y</v>
      </c>
      <c r="O37" s="33" t="str">
        <v>USD3L12L29Y=SMKR</v>
      </c>
      <c r="P37" s="397" t="s">
        <v>253</v>
      </c>
      <c r="Q37" s="397" t="s">
        <v>253</v>
      </c>
      <c r="R37" s="219" t="e">
        <f>_xll.qlMidEquivalent(P37,Q37)</f>
        <v>#NUM!</v>
      </c>
      <c r="S37" s="230">
        <v>29</v>
      </c>
      <c r="T37" s="36" t="b">
        <f t="shared" si="2"/>
        <v>0</v>
      </c>
      <c r="U37" s="219">
        <v>25.947863765840488</v>
      </c>
      <c r="V37" s="140"/>
      <c r="W37" s="225">
        <v>25.947863765840488</v>
      </c>
      <c r="X37" s="140"/>
      <c r="Y37" s="219">
        <v>25.947863765840488</v>
      </c>
      <c r="Z37" s="133">
        <f>_xll.qlSimpleQuoteSetValue(F37,Y37/10000,Trigger)</f>
        <v>5.8871191812171018E-5</v>
      </c>
      <c r="AA37" s="28"/>
    </row>
    <row r="38" spans="1:27" ht="11.25" customHeight="1" x14ac:dyDescent="0.2">
      <c r="A38" s="27"/>
      <c r="B38" s="128" t="str">
        <f t="shared" si="3"/>
        <v>30Y</v>
      </c>
      <c r="C38" s="173" t="str">
        <f t="shared" si="4"/>
        <v>12L</v>
      </c>
      <c r="D38" s="174" t="str">
        <f t="shared" si="5"/>
        <v>3L</v>
      </c>
      <c r="E38" s="175" t="str">
        <f t="shared" si="0"/>
        <v>USD12L3L30Y_Quote</v>
      </c>
      <c r="F38" s="175" t="str">
        <f>_xll.qlSimpleQuote(E38,,RateTickValue,Permanent,Trigger,ObjectOverwrite)</f>
        <v>USD12L3L30Y_Quote#0000</v>
      </c>
      <c r="G38" s="221" t="str">
        <f>_xll.ohRangeRetrieveError(F38)</f>
        <v/>
      </c>
      <c r="H38" s="116"/>
      <c r="J38" s="228"/>
      <c r="K38" s="128" t="s">
        <v>56</v>
      </c>
      <c r="L38" s="128" t="s">
        <v>98</v>
      </c>
      <c r="M38" s="128" t="s">
        <v>93</v>
      </c>
      <c r="N38" s="129" t="str">
        <f t="shared" si="1"/>
        <v>USD3L12L30Y</v>
      </c>
      <c r="O38" s="33" t="str">
        <v>USD3L12L30Y=SMKR</v>
      </c>
      <c r="P38" s="397">
        <v>20.875</v>
      </c>
      <c r="Q38" s="397">
        <v>30.875</v>
      </c>
      <c r="R38" s="219">
        <f>_xll.qlMidEquivalent(P38,Q38)</f>
        <v>25.875</v>
      </c>
      <c r="S38" s="230">
        <v>30</v>
      </c>
      <c r="T38" s="36" t="b">
        <f t="shared" si="2"/>
        <v>1</v>
      </c>
      <c r="U38" s="219">
        <v>25.875</v>
      </c>
      <c r="V38" s="140"/>
      <c r="W38" s="225">
        <v>25.875</v>
      </c>
      <c r="X38" s="140"/>
      <c r="Y38" s="219">
        <v>25.875</v>
      </c>
      <c r="Z38" s="133">
        <f>_xll.qlSimpleQuoteSetValue(F38,Y38/10000,Trigger)</f>
        <v>5.0000000000000131E-5</v>
      </c>
      <c r="AA38" s="28"/>
    </row>
    <row r="39" spans="1:27" ht="11.25" customHeight="1" x14ac:dyDescent="0.2">
      <c r="A39" s="27"/>
      <c r="B39" s="128" t="str">
        <f t="shared" si="3"/>
        <v>35Y</v>
      </c>
      <c r="C39" s="173" t="str">
        <f t="shared" si="4"/>
        <v>12L</v>
      </c>
      <c r="D39" s="174" t="str">
        <f t="shared" si="5"/>
        <v>3L</v>
      </c>
      <c r="E39" s="175" t="str">
        <f t="shared" si="0"/>
        <v>USD12L3L35Y_Quote</v>
      </c>
      <c r="F39" s="175" t="str">
        <f>_xll.qlSimpleQuote(E39,,RateTickValue,Permanent,Trigger,ObjectOverwrite)</f>
        <v>USD12L3L35Y_Quote#0000</v>
      </c>
      <c r="G39" s="221" t="str">
        <f>_xll.ohRangeRetrieveError(F39)</f>
        <v/>
      </c>
      <c r="H39" s="116"/>
      <c r="J39" s="228"/>
      <c r="K39" s="128" t="s">
        <v>51</v>
      </c>
      <c r="L39" s="128" t="s">
        <v>98</v>
      </c>
      <c r="M39" s="128" t="s">
        <v>93</v>
      </c>
      <c r="N39" s="129" t="str">
        <f t="shared" si="1"/>
        <v>USD3L12L35Y</v>
      </c>
      <c r="O39" s="33" t="str">
        <v>USD3L12L35Y=SMKR</v>
      </c>
      <c r="P39" s="397" t="s">
        <v>253</v>
      </c>
      <c r="Q39" s="397" t="s">
        <v>253</v>
      </c>
      <c r="R39" s="219" t="e">
        <f>_xll.qlMidEquivalent(P39,Q39)</f>
        <v>#NUM!</v>
      </c>
      <c r="S39" s="230">
        <v>35</v>
      </c>
      <c r="T39" s="36" t="b">
        <f t="shared" si="2"/>
        <v>0</v>
      </c>
      <c r="U39" s="234">
        <f>U38</f>
        <v>25.875</v>
      </c>
      <c r="V39" s="140"/>
      <c r="W39" s="234">
        <v>25.875</v>
      </c>
      <c r="X39" s="140"/>
      <c r="Y39" s="234">
        <v>25.875</v>
      </c>
      <c r="Z39" s="133">
        <f>_xll.qlSimpleQuoteSetValue(F39,Y39/10000,Trigger)</f>
        <v>5.0000000000000131E-5</v>
      </c>
      <c r="AA39" s="28"/>
    </row>
    <row r="40" spans="1:27" ht="11.25" customHeight="1" x14ac:dyDescent="0.2">
      <c r="A40" s="27"/>
      <c r="B40" s="128" t="str">
        <f t="shared" si="3"/>
        <v>40Y</v>
      </c>
      <c r="C40" s="173" t="str">
        <f t="shared" si="4"/>
        <v>12L</v>
      </c>
      <c r="D40" s="174" t="str">
        <f t="shared" si="5"/>
        <v>3L</v>
      </c>
      <c r="E40" s="175" t="str">
        <f t="shared" si="0"/>
        <v>USD12L3L40Y_Quote</v>
      </c>
      <c r="F40" s="175" t="str">
        <f>_xll.qlSimpleQuote(E40,,RateTickValue,Permanent,Trigger,ObjectOverwrite)</f>
        <v>USD12L3L40Y_Quote#0000</v>
      </c>
      <c r="G40" s="221" t="str">
        <f>_xll.ohRangeRetrieveError(F40)</f>
        <v/>
      </c>
      <c r="H40" s="116"/>
      <c r="J40" s="228"/>
      <c r="K40" s="128" t="s">
        <v>46</v>
      </c>
      <c r="L40" s="128" t="s">
        <v>98</v>
      </c>
      <c r="M40" s="128" t="s">
        <v>93</v>
      </c>
      <c r="N40" s="129" t="str">
        <f t="shared" si="1"/>
        <v>USD3L12L40Y</v>
      </c>
      <c r="O40" s="33" t="str">
        <v>USD3L12L40Y=SMKR</v>
      </c>
      <c r="P40" s="397" t="s">
        <v>253</v>
      </c>
      <c r="Q40" s="397" t="s">
        <v>253</v>
      </c>
      <c r="R40" s="219" t="e">
        <f>_xll.qlMidEquivalent(P40,Q40)</f>
        <v>#NUM!</v>
      </c>
      <c r="S40" s="230">
        <v>40</v>
      </c>
      <c r="T40" s="36" t="b">
        <f t="shared" si="2"/>
        <v>0</v>
      </c>
      <c r="U40" s="234">
        <f t="shared" ref="U40:U42" si="6">U39</f>
        <v>25.875</v>
      </c>
      <c r="V40" s="140"/>
      <c r="W40" s="234">
        <v>25.875</v>
      </c>
      <c r="X40" s="140"/>
      <c r="Y40" s="234">
        <v>25.875</v>
      </c>
      <c r="Z40" s="133">
        <f>_xll.qlSimpleQuoteSetValue(F40,Y40/10000,Trigger)</f>
        <v>5.0000000000000131E-5</v>
      </c>
      <c r="AA40" s="28"/>
    </row>
    <row r="41" spans="1:27" ht="11.25" customHeight="1" x14ac:dyDescent="0.2">
      <c r="A41" s="27"/>
      <c r="B41" s="128" t="str">
        <f t="shared" si="3"/>
        <v>50Y</v>
      </c>
      <c r="C41" s="173" t="str">
        <f t="shared" si="4"/>
        <v>12L</v>
      </c>
      <c r="D41" s="174" t="str">
        <f t="shared" si="5"/>
        <v>3L</v>
      </c>
      <c r="E41" s="175" t="str">
        <f t="shared" si="0"/>
        <v>USD12L3L50Y_Quote</v>
      </c>
      <c r="F41" s="175" t="str">
        <f>_xll.qlSimpleQuote(E41,,RateTickValue,Permanent,Trigger,ObjectOverwrite)</f>
        <v>USD12L3L50Y_Quote#0000</v>
      </c>
      <c r="G41" s="221" t="str">
        <f>_xll.ohRangeRetrieveError(F41)</f>
        <v/>
      </c>
      <c r="H41" s="116"/>
      <c r="J41" s="228"/>
      <c r="K41" s="128" t="s">
        <v>36</v>
      </c>
      <c r="L41" s="128" t="s">
        <v>98</v>
      </c>
      <c r="M41" s="128" t="s">
        <v>93</v>
      </c>
      <c r="N41" s="129" t="str">
        <f t="shared" si="1"/>
        <v>USD3L12L50Y</v>
      </c>
      <c r="O41" s="33" t="str">
        <v>USD3L12L50Y=SMKR</v>
      </c>
      <c r="P41" s="397" t="s">
        <v>253</v>
      </c>
      <c r="Q41" s="397" t="s">
        <v>253</v>
      </c>
      <c r="R41" s="219" t="e">
        <f>_xll.qlMidEquivalent(P41,Q41)</f>
        <v>#NUM!</v>
      </c>
      <c r="S41" s="230">
        <v>50</v>
      </c>
      <c r="T41" s="36" t="b">
        <f t="shared" si="2"/>
        <v>0</v>
      </c>
      <c r="U41" s="234">
        <f t="shared" si="6"/>
        <v>25.875</v>
      </c>
      <c r="V41" s="140"/>
      <c r="W41" s="234">
        <v>25.875</v>
      </c>
      <c r="X41" s="140"/>
      <c r="Y41" s="234">
        <v>25.875</v>
      </c>
      <c r="Z41" s="133">
        <f>_xll.qlSimpleQuoteSetValue(F41,Y41/10000,Trigger)</f>
        <v>5.0000000000000131E-5</v>
      </c>
      <c r="AA41" s="28"/>
    </row>
    <row r="42" spans="1:27" ht="11.25" customHeight="1" x14ac:dyDescent="0.2">
      <c r="A42" s="27"/>
      <c r="B42" s="130" t="str">
        <f t="shared" si="3"/>
        <v>60Y</v>
      </c>
      <c r="C42" s="178" t="str">
        <f t="shared" si="4"/>
        <v>12L</v>
      </c>
      <c r="D42" s="179" t="str">
        <f t="shared" si="5"/>
        <v>3L</v>
      </c>
      <c r="E42" s="180" t="str">
        <f t="shared" si="0"/>
        <v>USD12L3L60Y_Quote</v>
      </c>
      <c r="F42" s="180" t="str">
        <f>_xll.qlSimpleQuote(E42,,RateTickValue,Permanent,Trigger,ObjectOverwrite)</f>
        <v>USD12L3L60Y_Quote#0000</v>
      </c>
      <c r="G42" s="223" t="str">
        <f>_xll.ohRangeRetrieveError(F42)</f>
        <v/>
      </c>
      <c r="H42" s="116"/>
      <c r="J42" s="228"/>
      <c r="K42" s="130" t="s">
        <v>26</v>
      </c>
      <c r="L42" s="130" t="s">
        <v>98</v>
      </c>
      <c r="M42" s="130" t="s">
        <v>93</v>
      </c>
      <c r="N42" s="131" t="str">
        <f t="shared" si="1"/>
        <v>USD3L12L60Y</v>
      </c>
      <c r="O42" s="34" t="str">
        <v>USD3L12L60Y=SMKR</v>
      </c>
      <c r="P42" s="398" t="s">
        <v>253</v>
      </c>
      <c r="Q42" s="398" t="s">
        <v>253</v>
      </c>
      <c r="R42" s="224" t="e">
        <f>_xll.qlMidEquivalent(P42,Q42)</f>
        <v>#NUM!</v>
      </c>
      <c r="S42" s="231">
        <v>60</v>
      </c>
      <c r="T42" s="37" t="b">
        <f t="shared" si="2"/>
        <v>0</v>
      </c>
      <c r="U42" s="235">
        <f t="shared" si="6"/>
        <v>25.875</v>
      </c>
      <c r="V42" s="140"/>
      <c r="W42" s="235">
        <v>25.875</v>
      </c>
      <c r="X42" s="140"/>
      <c r="Y42" s="235">
        <v>25.875</v>
      </c>
      <c r="Z42" s="134">
        <f>_xll.qlSimpleQuoteSetValue(F42,Y42/10000,Trigger)</f>
        <v>5.0000000000000131E-5</v>
      </c>
      <c r="AA42" s="28"/>
    </row>
    <row r="43" spans="1:27" ht="11.25" customHeight="1" x14ac:dyDescent="0.2">
      <c r="A43" s="117"/>
      <c r="B43" s="118"/>
      <c r="C43" s="118"/>
      <c r="D43" s="118"/>
      <c r="E43" s="118"/>
      <c r="F43" s="119"/>
      <c r="G43" s="119"/>
      <c r="H43" s="120"/>
      <c r="J43" s="117"/>
      <c r="K43" s="118"/>
      <c r="L43" s="118"/>
      <c r="M43" s="118"/>
      <c r="N43" s="118"/>
      <c r="O43" s="118"/>
      <c r="P43" s="118"/>
      <c r="Q43" s="118"/>
      <c r="R43" s="118"/>
      <c r="S43" s="118"/>
      <c r="T43" s="118"/>
      <c r="U43" s="118"/>
      <c r="V43" s="118"/>
      <c r="W43" s="118"/>
      <c r="X43" s="118"/>
      <c r="Y43" s="118"/>
      <c r="Z43" s="118"/>
      <c r="AA43" s="184"/>
    </row>
  </sheetData>
  <conditionalFormatting sqref="Z5:Z42">
    <cfRule type="cellIs" dxfId="1" priority="1" stopIfTrue="1" operator="greaterThan">
      <formula>0</formula>
    </cfRule>
    <cfRule type="cellIs" dxfId="0" priority="2" stopIfTrue="1" operator="lessThan">
      <formula>0</formula>
    </cfRule>
  </conditionalFormatting>
  <dataValidations count="2">
    <dataValidation type="list" allowBlank="1" showInputMessage="1" showErrorMessage="1" sqref="O43">
      <formula1>"FirstDerivative,SecondDerivative,Lagrange,NotAKnot,Periodic"</formula1>
    </dataValidation>
    <dataValidation type="list" showInputMessage="1" showErrorMessage="1" sqref="O2">
      <formula1>Contributors</formula1>
    </dataValidation>
  </dataValidations>
  <pageMargins left="0.75" right="0.75" top="1" bottom="1" header="0.5" footer="0.5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"/>
  <sheetViews>
    <sheetView workbookViewId="0">
      <selection activeCell="B7" sqref="B7"/>
    </sheetView>
  </sheetViews>
  <sheetFormatPr defaultRowHeight="11.25" x14ac:dyDescent="0.2"/>
  <cols>
    <col min="1" max="1" width="2.7109375" style="237" customWidth="1"/>
    <col min="2" max="2" width="4" style="237" bestFit="1" customWidth="1"/>
    <col min="3" max="3" width="10" style="237" bestFit="1" customWidth="1"/>
    <col min="4" max="4" width="30.28515625" style="237" bestFit="1" customWidth="1"/>
    <col min="5" max="5" width="33.85546875" style="237" bestFit="1" customWidth="1"/>
    <col min="6" max="6" width="20.7109375" style="237" customWidth="1"/>
    <col min="7" max="7" width="2.7109375" style="237" customWidth="1"/>
    <col min="8" max="8" width="22.7109375" style="237" customWidth="1"/>
    <col min="9" max="16384" width="9.140625" style="237"/>
  </cols>
  <sheetData>
    <row r="1" spans="1:7" s="236" customFormat="1" x14ac:dyDescent="0.2">
      <c r="A1" s="350"/>
      <c r="B1" s="379"/>
      <c r="C1" s="379"/>
      <c r="D1" s="353"/>
      <c r="E1" s="379"/>
      <c r="F1" s="379"/>
      <c r="G1" s="380"/>
    </row>
    <row r="2" spans="1:7" s="236" customFormat="1" x14ac:dyDescent="0.2">
      <c r="A2" s="352"/>
      <c r="B2" s="360"/>
      <c r="C2" s="360"/>
      <c r="D2" s="238" t="s">
        <v>25</v>
      </c>
      <c r="E2" s="248" t="s">
        <v>87</v>
      </c>
      <c r="F2" s="360"/>
      <c r="G2" s="381"/>
    </row>
    <row r="3" spans="1:7" s="236" customFormat="1" x14ac:dyDescent="0.2">
      <c r="A3" s="352"/>
      <c r="B3" s="360"/>
      <c r="C3" s="360"/>
      <c r="D3" s="238" t="s">
        <v>86</v>
      </c>
      <c r="E3" s="248" t="s">
        <v>89</v>
      </c>
      <c r="F3" s="360"/>
      <c r="G3" s="381"/>
    </row>
    <row r="4" spans="1:7" s="236" customFormat="1" x14ac:dyDescent="0.2">
      <c r="A4" s="352"/>
      <c r="B4" s="360"/>
      <c r="C4" s="360"/>
      <c r="D4" s="238" t="s">
        <v>88</v>
      </c>
      <c r="E4" s="258" t="str">
        <f>PROPER(Currency)&amp;FamilyName&amp;"3M"</f>
        <v>UsdLibor3M</v>
      </c>
      <c r="F4" s="360"/>
      <c r="G4" s="381"/>
    </row>
    <row r="5" spans="1:7" s="236" customFormat="1" x14ac:dyDescent="0.2">
      <c r="A5" s="352"/>
      <c r="B5" s="360"/>
      <c r="C5" s="360"/>
      <c r="D5" s="238" t="s">
        <v>188</v>
      </c>
      <c r="E5" s="258" t="str">
        <f>IF(HolidayCheck,JoinCalendar,LiborCalendar)</f>
        <v>UnitedKingdom::Exchange</v>
      </c>
      <c r="F5" s="360"/>
      <c r="G5" s="381"/>
    </row>
    <row r="6" spans="1:7" s="236" customFormat="1" x14ac:dyDescent="0.2">
      <c r="A6" s="352"/>
      <c r="B6" s="360"/>
      <c r="C6" s="360"/>
      <c r="D6" s="360"/>
      <c r="E6" s="360"/>
      <c r="F6" s="360"/>
      <c r="G6" s="381"/>
    </row>
    <row r="7" spans="1:7" s="236" customFormat="1" x14ac:dyDescent="0.2">
      <c r="A7" s="352"/>
      <c r="B7" s="360"/>
      <c r="C7" s="249" t="s">
        <v>85</v>
      </c>
      <c r="D7" s="386" t="s">
        <v>262</v>
      </c>
      <c r="E7" s="250" t="s">
        <v>225</v>
      </c>
      <c r="F7" s="251" t="s">
        <v>239</v>
      </c>
      <c r="G7" s="381"/>
    </row>
    <row r="8" spans="1:7" s="236" customFormat="1" x14ac:dyDescent="0.2">
      <c r="A8" s="352"/>
      <c r="B8" s="239" t="s">
        <v>8</v>
      </c>
      <c r="C8" s="252" t="s">
        <v>17</v>
      </c>
      <c r="D8" s="253" t="str">
        <f t="shared" ref="D8:D39" si="0">PROPER(Currency)&amp;FamilyName2&amp;FixingType&amp;$B8</f>
        <v>UsdLiborSwapForBasisCalc1Y</v>
      </c>
      <c r="E8" s="242" t="str">
        <f>_xll.qlSwapIndex($D8,FixingType,B8,2,Currency,$E$5,"1Y","f",MoneyMarketDayCounter,Libor!$E$10,Discounting,Permanent,Trigger,ObjectOverwrite)</f>
        <v>UsdLiborSwapForBasisCalc1Y#0000</v>
      </c>
      <c r="F8" s="245" t="str">
        <f>_xll.ohRangeRetrieveError(E8)</f>
        <v/>
      </c>
      <c r="G8" s="382"/>
    </row>
    <row r="9" spans="1:7" s="236" customFormat="1" x14ac:dyDescent="0.2">
      <c r="A9" s="352"/>
      <c r="B9" s="240" t="s">
        <v>84</v>
      </c>
      <c r="C9" s="254" t="s">
        <v>17</v>
      </c>
      <c r="D9" s="255" t="str">
        <f t="shared" si="0"/>
        <v>UsdLiborSwapForBasisCalc2Y</v>
      </c>
      <c r="E9" s="243" t="str">
        <f>_xll.qlSwapIndex($D9,FixingType,B9,2,Currency,$E$5,"1Y","f",MoneyMarketDayCounter,Libor!$E$10,Discounting,Permanent,Trigger,ObjectOverwrite)</f>
        <v>UsdLiborSwapForBasisCalc2Y#0000</v>
      </c>
      <c r="F9" s="246" t="str">
        <f>_xll.ohRangeRetrieveError(E9)</f>
        <v/>
      </c>
      <c r="G9" s="382"/>
    </row>
    <row r="10" spans="1:7" s="236" customFormat="1" x14ac:dyDescent="0.2">
      <c r="A10" s="352"/>
      <c r="B10" s="240" t="s">
        <v>83</v>
      </c>
      <c r="C10" s="254" t="s">
        <v>17</v>
      </c>
      <c r="D10" s="255" t="str">
        <f t="shared" si="0"/>
        <v>UsdLiborSwapForBasisCalc3Y</v>
      </c>
      <c r="E10" s="243" t="str">
        <f>_xll.qlSwapIndex($D10,FixingType,B10,2,Currency,$E$5,"1Y","f",MoneyMarketDayCounter,Libor!$E$10,Discounting,Permanent,Trigger,ObjectOverwrite)</f>
        <v>UsdLiborSwapForBasisCalc3Y#0000</v>
      </c>
      <c r="F10" s="246" t="str">
        <f>_xll.ohRangeRetrieveError(E10)</f>
        <v/>
      </c>
      <c r="G10" s="382"/>
    </row>
    <row r="11" spans="1:7" s="236" customFormat="1" x14ac:dyDescent="0.2">
      <c r="A11" s="352"/>
      <c r="B11" s="240" t="s">
        <v>82</v>
      </c>
      <c r="C11" s="254" t="s">
        <v>17</v>
      </c>
      <c r="D11" s="255" t="str">
        <f t="shared" si="0"/>
        <v>UsdLiborSwapForBasisCalc4Y</v>
      </c>
      <c r="E11" s="243" t="str">
        <f>_xll.qlSwapIndex($D11,FixingType,B11,2,Currency,$E$5,"1Y","f",MoneyMarketDayCounter,Libor!$E$10,Discounting,Permanent,Trigger,ObjectOverwrite)</f>
        <v>UsdLiborSwapForBasisCalc4Y#0000</v>
      </c>
      <c r="F11" s="246" t="str">
        <f>_xll.ohRangeRetrieveError(E11)</f>
        <v/>
      </c>
      <c r="G11" s="382"/>
    </row>
    <row r="12" spans="1:7" s="236" customFormat="1" x14ac:dyDescent="0.2">
      <c r="A12" s="352"/>
      <c r="B12" s="240" t="s">
        <v>81</v>
      </c>
      <c r="C12" s="254" t="s">
        <v>17</v>
      </c>
      <c r="D12" s="255" t="str">
        <f t="shared" si="0"/>
        <v>UsdLiborSwapForBasisCalc5Y</v>
      </c>
      <c r="E12" s="243" t="str">
        <f>_xll.qlSwapIndex($D12,FixingType,B12,2,Currency,$E$5,"1Y","f",MoneyMarketDayCounter,Libor!$E$10,Discounting,Permanent,Trigger,ObjectOverwrite)</f>
        <v>UsdLiborSwapForBasisCalc5Y#0000</v>
      </c>
      <c r="F12" s="246" t="str">
        <f>_xll.ohRangeRetrieveError(E12)</f>
        <v/>
      </c>
      <c r="G12" s="382"/>
    </row>
    <row r="13" spans="1:7" s="236" customFormat="1" x14ac:dyDescent="0.2">
      <c r="A13" s="352"/>
      <c r="B13" s="240" t="s">
        <v>80</v>
      </c>
      <c r="C13" s="254" t="s">
        <v>17</v>
      </c>
      <c r="D13" s="255" t="str">
        <f t="shared" si="0"/>
        <v>UsdLiborSwapForBasisCalc6Y</v>
      </c>
      <c r="E13" s="243" t="str">
        <f>_xll.qlSwapIndex($D13,FixingType,B13,2,Currency,$E$5,"1Y","f",MoneyMarketDayCounter,Libor!$E$10,Discounting,Permanent,Trigger,ObjectOverwrite)</f>
        <v>UsdLiborSwapForBasisCalc6Y#0000</v>
      </c>
      <c r="F13" s="246" t="str">
        <f>_xll.ohRangeRetrieveError(E13)</f>
        <v/>
      </c>
      <c r="G13" s="382"/>
    </row>
    <row r="14" spans="1:7" s="236" customFormat="1" x14ac:dyDescent="0.2">
      <c r="A14" s="352"/>
      <c r="B14" s="240" t="s">
        <v>79</v>
      </c>
      <c r="C14" s="254" t="s">
        <v>17</v>
      </c>
      <c r="D14" s="255" t="str">
        <f t="shared" si="0"/>
        <v>UsdLiborSwapForBasisCalc7Y</v>
      </c>
      <c r="E14" s="243" t="str">
        <f>_xll.qlSwapIndex($D14,FixingType,B14,2,Currency,$E$5,"1Y","f",MoneyMarketDayCounter,Libor!$E$10,Discounting,Permanent,Trigger,ObjectOverwrite)</f>
        <v>UsdLiborSwapForBasisCalc7Y#0000</v>
      </c>
      <c r="F14" s="246" t="str">
        <f>_xll.ohRangeRetrieveError(E14)</f>
        <v/>
      </c>
      <c r="G14" s="382"/>
    </row>
    <row r="15" spans="1:7" s="236" customFormat="1" x14ac:dyDescent="0.2">
      <c r="A15" s="352"/>
      <c r="B15" s="240" t="s">
        <v>78</v>
      </c>
      <c r="C15" s="254" t="s">
        <v>17</v>
      </c>
      <c r="D15" s="255" t="str">
        <f t="shared" si="0"/>
        <v>UsdLiborSwapForBasisCalc8Y</v>
      </c>
      <c r="E15" s="243" t="str">
        <f>_xll.qlSwapIndex($D15,FixingType,B15,2,Currency,$E$5,"1Y","f",MoneyMarketDayCounter,Libor!$E$10,Discounting,Permanent,Trigger,ObjectOverwrite)</f>
        <v>UsdLiborSwapForBasisCalc8Y#0000</v>
      </c>
      <c r="F15" s="246" t="str">
        <f>_xll.ohRangeRetrieveError(E15)</f>
        <v/>
      </c>
      <c r="G15" s="382"/>
    </row>
    <row r="16" spans="1:7" s="236" customFormat="1" x14ac:dyDescent="0.2">
      <c r="A16" s="352"/>
      <c r="B16" s="240" t="s">
        <v>77</v>
      </c>
      <c r="C16" s="254" t="s">
        <v>17</v>
      </c>
      <c r="D16" s="255" t="str">
        <f t="shared" si="0"/>
        <v>UsdLiborSwapForBasisCalc9Y</v>
      </c>
      <c r="E16" s="243" t="str">
        <f>_xll.qlSwapIndex($D16,FixingType,B16,2,Currency,$E$5,"1Y","f",MoneyMarketDayCounter,Libor!$E$10,Discounting,Permanent,Trigger,ObjectOverwrite)</f>
        <v>UsdLiborSwapForBasisCalc9Y#0000</v>
      </c>
      <c r="F16" s="246" t="str">
        <f>_xll.ohRangeRetrieveError(E16)</f>
        <v/>
      </c>
      <c r="G16" s="382"/>
    </row>
    <row r="17" spans="1:7" s="236" customFormat="1" x14ac:dyDescent="0.2">
      <c r="A17" s="352"/>
      <c r="B17" s="240" t="s">
        <v>76</v>
      </c>
      <c r="C17" s="254" t="s">
        <v>17</v>
      </c>
      <c r="D17" s="255" t="str">
        <f t="shared" si="0"/>
        <v>UsdLiborSwapForBasisCalc10Y</v>
      </c>
      <c r="E17" s="243" t="str">
        <f>_xll.qlSwapIndex($D17,FixingType,B17,2,Currency,$E$5,"1Y","f",MoneyMarketDayCounter,Libor!$E$10,Discounting,Permanent,Trigger,ObjectOverwrite)</f>
        <v>UsdLiborSwapForBasisCalc10Y#0000</v>
      </c>
      <c r="F17" s="246" t="str">
        <f>_xll.ohRangeRetrieveError(E17)</f>
        <v/>
      </c>
      <c r="G17" s="382"/>
    </row>
    <row r="18" spans="1:7" s="236" customFormat="1" x14ac:dyDescent="0.2">
      <c r="A18" s="352"/>
      <c r="B18" s="240" t="s">
        <v>75</v>
      </c>
      <c r="C18" s="254" t="s">
        <v>17</v>
      </c>
      <c r="D18" s="255" t="str">
        <f t="shared" si="0"/>
        <v>UsdLiborSwapForBasisCalc11Y</v>
      </c>
      <c r="E18" s="243" t="str">
        <f>_xll.qlSwapIndex($D18,FixingType,B18,2,Currency,$E$5,"1Y","f",MoneyMarketDayCounter,Libor!$E$10,Discounting,Permanent,Trigger,ObjectOverwrite)</f>
        <v>UsdLiborSwapForBasisCalc11Y#0000</v>
      </c>
      <c r="F18" s="246" t="str">
        <f>_xll.ohRangeRetrieveError(E18)</f>
        <v/>
      </c>
      <c r="G18" s="382"/>
    </row>
    <row r="19" spans="1:7" s="236" customFormat="1" x14ac:dyDescent="0.2">
      <c r="A19" s="352"/>
      <c r="B19" s="240" t="s">
        <v>74</v>
      </c>
      <c r="C19" s="254" t="s">
        <v>17</v>
      </c>
      <c r="D19" s="255" t="str">
        <f t="shared" si="0"/>
        <v>UsdLiborSwapForBasisCalc12Y</v>
      </c>
      <c r="E19" s="243" t="str">
        <f>_xll.qlSwapIndex($D19,FixingType,B19,2,Currency,$E$5,"1Y","f",MoneyMarketDayCounter,Libor!$E$10,Discounting,Permanent,Trigger,ObjectOverwrite)</f>
        <v>UsdLiborSwapForBasisCalc12Y#0000</v>
      </c>
      <c r="F19" s="246" t="str">
        <f>_xll.ohRangeRetrieveError(E19)</f>
        <v/>
      </c>
      <c r="G19" s="382"/>
    </row>
    <row r="20" spans="1:7" s="236" customFormat="1" x14ac:dyDescent="0.2">
      <c r="A20" s="352"/>
      <c r="B20" s="240" t="s">
        <v>73</v>
      </c>
      <c r="C20" s="254" t="s">
        <v>17</v>
      </c>
      <c r="D20" s="255" t="str">
        <f t="shared" si="0"/>
        <v>UsdLiborSwapForBasisCalc13Y</v>
      </c>
      <c r="E20" s="243" t="str">
        <f>_xll.qlSwapIndex($D20,FixingType,B20,2,Currency,$E$5,"1Y","f",MoneyMarketDayCounter,Libor!$E$10,Discounting,Permanent,Trigger,ObjectOverwrite)</f>
        <v>UsdLiborSwapForBasisCalc13Y#0000</v>
      </c>
      <c r="F20" s="246" t="str">
        <f>_xll.ohRangeRetrieveError(E20)</f>
        <v/>
      </c>
      <c r="G20" s="382"/>
    </row>
    <row r="21" spans="1:7" s="236" customFormat="1" x14ac:dyDescent="0.2">
      <c r="A21" s="352"/>
      <c r="B21" s="240" t="s">
        <v>72</v>
      </c>
      <c r="C21" s="254" t="s">
        <v>17</v>
      </c>
      <c r="D21" s="255" t="str">
        <f t="shared" si="0"/>
        <v>UsdLiborSwapForBasisCalc14Y</v>
      </c>
      <c r="E21" s="243" t="str">
        <f>_xll.qlSwapIndex($D21,FixingType,B21,2,Currency,$E$5,"1Y","f",MoneyMarketDayCounter,Libor!$E$10,Discounting,Permanent,Trigger,ObjectOverwrite)</f>
        <v>UsdLiborSwapForBasisCalc14Y#0000</v>
      </c>
      <c r="F21" s="246" t="str">
        <f>_xll.ohRangeRetrieveError(E21)</f>
        <v/>
      </c>
      <c r="G21" s="382"/>
    </row>
    <row r="22" spans="1:7" s="236" customFormat="1" x14ac:dyDescent="0.2">
      <c r="A22" s="352"/>
      <c r="B22" s="240" t="s">
        <v>71</v>
      </c>
      <c r="C22" s="254" t="s">
        <v>17</v>
      </c>
      <c r="D22" s="255" t="str">
        <f t="shared" si="0"/>
        <v>UsdLiborSwapForBasisCalc15Y</v>
      </c>
      <c r="E22" s="243" t="str">
        <f>_xll.qlSwapIndex($D22,FixingType,B22,2,Currency,$E$5,"1Y","f",MoneyMarketDayCounter,Libor!$E$10,Discounting,Permanent,Trigger,ObjectOverwrite)</f>
        <v>UsdLiborSwapForBasisCalc15Y#0000</v>
      </c>
      <c r="F22" s="246" t="str">
        <f>_xll.ohRangeRetrieveError(E22)</f>
        <v/>
      </c>
      <c r="G22" s="382"/>
    </row>
    <row r="23" spans="1:7" s="236" customFormat="1" x14ac:dyDescent="0.2">
      <c r="A23" s="352"/>
      <c r="B23" s="240" t="s">
        <v>70</v>
      </c>
      <c r="C23" s="254" t="s">
        <v>17</v>
      </c>
      <c r="D23" s="255" t="str">
        <f t="shared" si="0"/>
        <v>UsdLiborSwapForBasisCalc16Y</v>
      </c>
      <c r="E23" s="243" t="str">
        <f>_xll.qlSwapIndex($D23,FixingType,B23,2,Currency,$E$5,"1Y","f",MoneyMarketDayCounter,Libor!$E$10,Discounting,Permanent,Trigger,ObjectOverwrite)</f>
        <v>UsdLiborSwapForBasisCalc16Y#0000</v>
      </c>
      <c r="F23" s="246" t="str">
        <f>_xll.ohRangeRetrieveError(E23)</f>
        <v/>
      </c>
      <c r="G23" s="382"/>
    </row>
    <row r="24" spans="1:7" s="236" customFormat="1" x14ac:dyDescent="0.2">
      <c r="A24" s="352"/>
      <c r="B24" s="240" t="s">
        <v>69</v>
      </c>
      <c r="C24" s="254" t="s">
        <v>17</v>
      </c>
      <c r="D24" s="255" t="str">
        <f t="shared" si="0"/>
        <v>UsdLiborSwapForBasisCalc17Y</v>
      </c>
      <c r="E24" s="243" t="str">
        <f>_xll.qlSwapIndex($D24,FixingType,B24,2,Currency,$E$5,"1Y","f",MoneyMarketDayCounter,Libor!$E$10,Discounting,Permanent,Trigger,ObjectOverwrite)</f>
        <v>UsdLiborSwapForBasisCalc17Y#0000</v>
      </c>
      <c r="F24" s="246" t="str">
        <f>_xll.ohRangeRetrieveError(E24)</f>
        <v/>
      </c>
      <c r="G24" s="382"/>
    </row>
    <row r="25" spans="1:7" s="236" customFormat="1" x14ac:dyDescent="0.2">
      <c r="A25" s="352"/>
      <c r="B25" s="240" t="s">
        <v>68</v>
      </c>
      <c r="C25" s="254" t="s">
        <v>17</v>
      </c>
      <c r="D25" s="255" t="str">
        <f t="shared" si="0"/>
        <v>UsdLiborSwapForBasisCalc18Y</v>
      </c>
      <c r="E25" s="243" t="str">
        <f>_xll.qlSwapIndex($D25,FixingType,B25,2,Currency,$E$5,"1Y","f",MoneyMarketDayCounter,Libor!$E$10,Discounting,Permanent,Trigger,ObjectOverwrite)</f>
        <v>UsdLiborSwapForBasisCalc18Y#0000</v>
      </c>
      <c r="F25" s="246" t="str">
        <f>_xll.ohRangeRetrieveError(E25)</f>
        <v/>
      </c>
      <c r="G25" s="382"/>
    </row>
    <row r="26" spans="1:7" s="236" customFormat="1" x14ac:dyDescent="0.2">
      <c r="A26" s="352"/>
      <c r="B26" s="240" t="s">
        <v>67</v>
      </c>
      <c r="C26" s="254" t="s">
        <v>17</v>
      </c>
      <c r="D26" s="255" t="str">
        <f t="shared" si="0"/>
        <v>UsdLiborSwapForBasisCalc19Y</v>
      </c>
      <c r="E26" s="243" t="str">
        <f>_xll.qlSwapIndex($D26,FixingType,B26,2,Currency,$E$5,"1Y","f",MoneyMarketDayCounter,Libor!$E$10,Discounting,Permanent,Trigger,ObjectOverwrite)</f>
        <v>UsdLiborSwapForBasisCalc19Y#0000</v>
      </c>
      <c r="F26" s="246" t="str">
        <f>_xll.ohRangeRetrieveError(E26)</f>
        <v/>
      </c>
      <c r="G26" s="382"/>
    </row>
    <row r="27" spans="1:7" s="236" customFormat="1" x14ac:dyDescent="0.2">
      <c r="A27" s="352"/>
      <c r="B27" s="240" t="s">
        <v>66</v>
      </c>
      <c r="C27" s="254" t="s">
        <v>17</v>
      </c>
      <c r="D27" s="255" t="str">
        <f t="shared" si="0"/>
        <v>UsdLiborSwapForBasisCalc20Y</v>
      </c>
      <c r="E27" s="243" t="str">
        <f>_xll.qlSwapIndex($D27,FixingType,B27,2,Currency,$E$5,"1Y","f",MoneyMarketDayCounter,Libor!$E$10,Discounting,Permanent,Trigger,ObjectOverwrite)</f>
        <v>UsdLiborSwapForBasisCalc20Y#0000</v>
      </c>
      <c r="F27" s="246" t="str">
        <f>_xll.ohRangeRetrieveError(E27)</f>
        <v/>
      </c>
      <c r="G27" s="382"/>
    </row>
    <row r="28" spans="1:7" s="236" customFormat="1" x14ac:dyDescent="0.2">
      <c r="A28" s="352"/>
      <c r="B28" s="240" t="s">
        <v>65</v>
      </c>
      <c r="C28" s="254" t="s">
        <v>17</v>
      </c>
      <c r="D28" s="255" t="str">
        <f t="shared" si="0"/>
        <v>UsdLiborSwapForBasisCalc21Y</v>
      </c>
      <c r="E28" s="243" t="str">
        <f>_xll.qlSwapIndex($D28,FixingType,B28,2,Currency,$E$5,"1Y","f",MoneyMarketDayCounter,Libor!$E$10,Discounting,Permanent,Trigger,ObjectOverwrite)</f>
        <v>UsdLiborSwapForBasisCalc21Y#0000</v>
      </c>
      <c r="F28" s="246" t="str">
        <f>_xll.ohRangeRetrieveError(E28)</f>
        <v/>
      </c>
      <c r="G28" s="382"/>
    </row>
    <row r="29" spans="1:7" s="236" customFormat="1" x14ac:dyDescent="0.2">
      <c r="A29" s="352"/>
      <c r="B29" s="240" t="s">
        <v>64</v>
      </c>
      <c r="C29" s="254" t="s">
        <v>17</v>
      </c>
      <c r="D29" s="255" t="str">
        <f t="shared" si="0"/>
        <v>UsdLiborSwapForBasisCalc22Y</v>
      </c>
      <c r="E29" s="243" t="str">
        <f>_xll.qlSwapIndex($D29,FixingType,B29,2,Currency,$E$5,"1Y","f",MoneyMarketDayCounter,Libor!$E$10,Discounting,Permanent,Trigger,ObjectOverwrite)</f>
        <v>UsdLiborSwapForBasisCalc22Y#0000</v>
      </c>
      <c r="F29" s="246" t="str">
        <f>_xll.ohRangeRetrieveError(E29)</f>
        <v/>
      </c>
      <c r="G29" s="382"/>
    </row>
    <row r="30" spans="1:7" s="236" customFormat="1" x14ac:dyDescent="0.2">
      <c r="A30" s="352"/>
      <c r="B30" s="240" t="s">
        <v>63</v>
      </c>
      <c r="C30" s="254" t="s">
        <v>17</v>
      </c>
      <c r="D30" s="255" t="str">
        <f t="shared" si="0"/>
        <v>UsdLiborSwapForBasisCalc23Y</v>
      </c>
      <c r="E30" s="243" t="str">
        <f>_xll.qlSwapIndex($D30,FixingType,B30,2,Currency,$E$5,"1Y","f",MoneyMarketDayCounter,Libor!$E$10,Discounting,Permanent,Trigger,ObjectOverwrite)</f>
        <v>UsdLiborSwapForBasisCalc23Y#0000</v>
      </c>
      <c r="F30" s="246" t="str">
        <f>_xll.ohRangeRetrieveError(E30)</f>
        <v/>
      </c>
      <c r="G30" s="382"/>
    </row>
    <row r="31" spans="1:7" s="236" customFormat="1" x14ac:dyDescent="0.2">
      <c r="A31" s="352"/>
      <c r="B31" s="240" t="s">
        <v>62</v>
      </c>
      <c r="C31" s="254" t="s">
        <v>17</v>
      </c>
      <c r="D31" s="255" t="str">
        <f t="shared" si="0"/>
        <v>UsdLiborSwapForBasisCalc24Y</v>
      </c>
      <c r="E31" s="243" t="str">
        <f>_xll.qlSwapIndex($D31,FixingType,B31,2,Currency,$E$5,"1Y","f",MoneyMarketDayCounter,Libor!$E$10,Discounting,Permanent,Trigger,ObjectOverwrite)</f>
        <v>UsdLiborSwapForBasisCalc24Y#0000</v>
      </c>
      <c r="F31" s="246" t="str">
        <f>_xll.ohRangeRetrieveError(E31)</f>
        <v/>
      </c>
      <c r="G31" s="382"/>
    </row>
    <row r="32" spans="1:7" s="236" customFormat="1" x14ac:dyDescent="0.2">
      <c r="A32" s="352"/>
      <c r="B32" s="240" t="s">
        <v>61</v>
      </c>
      <c r="C32" s="254" t="s">
        <v>17</v>
      </c>
      <c r="D32" s="255" t="str">
        <f t="shared" si="0"/>
        <v>UsdLiborSwapForBasisCalc25Y</v>
      </c>
      <c r="E32" s="243" t="str">
        <f>_xll.qlSwapIndex($D32,FixingType,B32,2,Currency,$E$5,"1Y","f",MoneyMarketDayCounter,Libor!$E$10,Discounting,Permanent,Trigger,ObjectOverwrite)</f>
        <v>UsdLiborSwapForBasisCalc25Y#0000</v>
      </c>
      <c r="F32" s="246" t="str">
        <f>_xll.ohRangeRetrieveError(E32)</f>
        <v/>
      </c>
      <c r="G32" s="382"/>
    </row>
    <row r="33" spans="1:7" s="236" customFormat="1" x14ac:dyDescent="0.2">
      <c r="A33" s="352"/>
      <c r="B33" s="240" t="s">
        <v>60</v>
      </c>
      <c r="C33" s="254" t="s">
        <v>17</v>
      </c>
      <c r="D33" s="255" t="str">
        <f t="shared" si="0"/>
        <v>UsdLiborSwapForBasisCalc26Y</v>
      </c>
      <c r="E33" s="243" t="str">
        <f>_xll.qlSwapIndex($D33,FixingType,B33,2,Currency,$E$5,"1Y","f",MoneyMarketDayCounter,Libor!$E$10,Discounting,Permanent,Trigger,ObjectOverwrite)</f>
        <v>UsdLiborSwapForBasisCalc26Y#0000</v>
      </c>
      <c r="F33" s="246" t="str">
        <f>_xll.ohRangeRetrieveError(E33)</f>
        <v/>
      </c>
      <c r="G33" s="382"/>
    </row>
    <row r="34" spans="1:7" s="236" customFormat="1" x14ac:dyDescent="0.2">
      <c r="A34" s="352"/>
      <c r="B34" s="240" t="s">
        <v>59</v>
      </c>
      <c r="C34" s="254" t="s">
        <v>17</v>
      </c>
      <c r="D34" s="255" t="str">
        <f t="shared" si="0"/>
        <v>UsdLiborSwapForBasisCalc27Y</v>
      </c>
      <c r="E34" s="243" t="str">
        <f>_xll.qlSwapIndex($D34,FixingType,B34,2,Currency,$E$5,"1Y","f",MoneyMarketDayCounter,Libor!$E$10,Discounting,Permanent,Trigger,ObjectOverwrite)</f>
        <v>UsdLiborSwapForBasisCalc27Y#0000</v>
      </c>
      <c r="F34" s="246" t="str">
        <f>_xll.ohRangeRetrieveError(E34)</f>
        <v/>
      </c>
      <c r="G34" s="382"/>
    </row>
    <row r="35" spans="1:7" s="236" customFormat="1" x14ac:dyDescent="0.2">
      <c r="A35" s="352"/>
      <c r="B35" s="240" t="s">
        <v>58</v>
      </c>
      <c r="C35" s="254" t="s">
        <v>17</v>
      </c>
      <c r="D35" s="255" t="str">
        <f t="shared" si="0"/>
        <v>UsdLiborSwapForBasisCalc28Y</v>
      </c>
      <c r="E35" s="243" t="str">
        <f>_xll.qlSwapIndex($D35,FixingType,B35,2,Currency,$E$5,"1Y","f",MoneyMarketDayCounter,Libor!$E$10,Discounting,Permanent,Trigger,ObjectOverwrite)</f>
        <v>UsdLiborSwapForBasisCalc28Y#0000</v>
      </c>
      <c r="F35" s="246" t="str">
        <f>_xll.ohRangeRetrieveError(E35)</f>
        <v/>
      </c>
      <c r="G35" s="382"/>
    </row>
    <row r="36" spans="1:7" s="236" customFormat="1" x14ac:dyDescent="0.2">
      <c r="A36" s="352"/>
      <c r="B36" s="240" t="s">
        <v>57</v>
      </c>
      <c r="C36" s="254" t="s">
        <v>17</v>
      </c>
      <c r="D36" s="255" t="str">
        <f t="shared" si="0"/>
        <v>UsdLiborSwapForBasisCalc29Y</v>
      </c>
      <c r="E36" s="243" t="str">
        <f>_xll.qlSwapIndex($D36,FixingType,B36,2,Currency,$E$5,"1Y","f",MoneyMarketDayCounter,Libor!$E$10,Discounting,Permanent,Trigger,ObjectOverwrite)</f>
        <v>UsdLiborSwapForBasisCalc29Y#0000</v>
      </c>
      <c r="F36" s="246" t="str">
        <f>_xll.ohRangeRetrieveError(E36)</f>
        <v/>
      </c>
      <c r="G36" s="382"/>
    </row>
    <row r="37" spans="1:7" s="236" customFormat="1" x14ac:dyDescent="0.2">
      <c r="A37" s="352"/>
      <c r="B37" s="240" t="s">
        <v>56</v>
      </c>
      <c r="C37" s="254" t="s">
        <v>17</v>
      </c>
      <c r="D37" s="255" t="str">
        <f t="shared" si="0"/>
        <v>UsdLiborSwapForBasisCalc30Y</v>
      </c>
      <c r="E37" s="243" t="str">
        <f>_xll.qlSwapIndex($D37,FixingType,B37,2,Currency,$E$5,"1Y","f",MoneyMarketDayCounter,Libor!$E$10,Discounting,Permanent,Trigger,ObjectOverwrite)</f>
        <v>UsdLiborSwapForBasisCalc30Y#0000</v>
      </c>
      <c r="F37" s="246" t="str">
        <f>_xll.ohRangeRetrieveError(E37)</f>
        <v/>
      </c>
      <c r="G37" s="382"/>
    </row>
    <row r="38" spans="1:7" s="236" customFormat="1" x14ac:dyDescent="0.2">
      <c r="A38" s="352"/>
      <c r="B38" s="240" t="s">
        <v>55</v>
      </c>
      <c r="C38" s="254" t="s">
        <v>17</v>
      </c>
      <c r="D38" s="255" t="str">
        <f t="shared" si="0"/>
        <v>UsdLiborSwapForBasisCalc31Y</v>
      </c>
      <c r="E38" s="243" t="str">
        <f>_xll.qlSwapIndex($D38,FixingType,B38,2,Currency,$E$5,"1Y","f",MoneyMarketDayCounter,Libor!$E$10,Discounting,Permanent,Trigger,ObjectOverwrite)</f>
        <v>UsdLiborSwapForBasisCalc31Y#0000</v>
      </c>
      <c r="F38" s="246" t="str">
        <f>_xll.ohRangeRetrieveError(E38)</f>
        <v/>
      </c>
      <c r="G38" s="382"/>
    </row>
    <row r="39" spans="1:7" s="236" customFormat="1" x14ac:dyDescent="0.2">
      <c r="A39" s="352"/>
      <c r="B39" s="240" t="s">
        <v>54</v>
      </c>
      <c r="C39" s="254" t="s">
        <v>17</v>
      </c>
      <c r="D39" s="255" t="str">
        <f t="shared" si="0"/>
        <v>UsdLiborSwapForBasisCalc32Y</v>
      </c>
      <c r="E39" s="243" t="str">
        <f>_xll.qlSwapIndex($D39,FixingType,B39,2,Currency,$E$5,"1Y","f",MoneyMarketDayCounter,Libor!$E$10,Discounting,Permanent,Trigger,ObjectOverwrite)</f>
        <v>UsdLiborSwapForBasisCalc32Y#0000</v>
      </c>
      <c r="F39" s="246" t="str">
        <f>_xll.ohRangeRetrieveError(E39)</f>
        <v/>
      </c>
      <c r="G39" s="382"/>
    </row>
    <row r="40" spans="1:7" s="236" customFormat="1" x14ac:dyDescent="0.2">
      <c r="A40" s="352"/>
      <c r="B40" s="240" t="s">
        <v>53</v>
      </c>
      <c r="C40" s="254" t="s">
        <v>17</v>
      </c>
      <c r="D40" s="255" t="str">
        <f t="shared" ref="D40:D67" si="1">PROPER(Currency)&amp;FamilyName2&amp;FixingType&amp;$B40</f>
        <v>UsdLiborSwapForBasisCalc33Y</v>
      </c>
      <c r="E40" s="243" t="str">
        <f>_xll.qlSwapIndex($D40,FixingType,B40,2,Currency,$E$5,"1Y","f",MoneyMarketDayCounter,Libor!$E$10,Discounting,Permanent,Trigger,ObjectOverwrite)</f>
        <v>UsdLiborSwapForBasisCalc33Y#0000</v>
      </c>
      <c r="F40" s="246" t="str">
        <f>_xll.ohRangeRetrieveError(E40)</f>
        <v/>
      </c>
      <c r="G40" s="382"/>
    </row>
    <row r="41" spans="1:7" s="236" customFormat="1" x14ac:dyDescent="0.2">
      <c r="A41" s="352"/>
      <c r="B41" s="240" t="s">
        <v>52</v>
      </c>
      <c r="C41" s="254" t="s">
        <v>17</v>
      </c>
      <c r="D41" s="255" t="str">
        <f t="shared" si="1"/>
        <v>UsdLiborSwapForBasisCalc34Y</v>
      </c>
      <c r="E41" s="243" t="str">
        <f>_xll.qlSwapIndex($D41,FixingType,B41,2,Currency,$E$5,"1Y","f",MoneyMarketDayCounter,Libor!$E$10,Discounting,Permanent,Trigger,ObjectOverwrite)</f>
        <v>UsdLiborSwapForBasisCalc34Y#0000</v>
      </c>
      <c r="F41" s="246" t="str">
        <f>_xll.ohRangeRetrieveError(E41)</f>
        <v/>
      </c>
      <c r="G41" s="382"/>
    </row>
    <row r="42" spans="1:7" s="236" customFormat="1" x14ac:dyDescent="0.2">
      <c r="A42" s="352"/>
      <c r="B42" s="240" t="s">
        <v>51</v>
      </c>
      <c r="C42" s="254" t="s">
        <v>17</v>
      </c>
      <c r="D42" s="255" t="str">
        <f t="shared" si="1"/>
        <v>UsdLiborSwapForBasisCalc35Y</v>
      </c>
      <c r="E42" s="243" t="str">
        <f>_xll.qlSwapIndex($D42,FixingType,B42,2,Currency,$E$5,"1Y","f",MoneyMarketDayCounter,Libor!$E$10,Discounting,Permanent,Trigger,ObjectOverwrite)</f>
        <v>UsdLiborSwapForBasisCalc35Y#0000</v>
      </c>
      <c r="F42" s="246" t="str">
        <f>_xll.ohRangeRetrieveError(E42)</f>
        <v/>
      </c>
      <c r="G42" s="382"/>
    </row>
    <row r="43" spans="1:7" s="236" customFormat="1" x14ac:dyDescent="0.2">
      <c r="A43" s="352"/>
      <c r="B43" s="240" t="s">
        <v>50</v>
      </c>
      <c r="C43" s="254" t="s">
        <v>17</v>
      </c>
      <c r="D43" s="255" t="str">
        <f t="shared" si="1"/>
        <v>UsdLiborSwapForBasisCalc36Y</v>
      </c>
      <c r="E43" s="243" t="str">
        <f>_xll.qlSwapIndex($D43,FixingType,B43,2,Currency,$E$5,"1Y","f",MoneyMarketDayCounter,Libor!$E$10,Discounting,Permanent,Trigger,ObjectOverwrite)</f>
        <v>UsdLiborSwapForBasisCalc36Y#0000</v>
      </c>
      <c r="F43" s="246" t="str">
        <f>_xll.ohRangeRetrieveError(E43)</f>
        <v/>
      </c>
      <c r="G43" s="382"/>
    </row>
    <row r="44" spans="1:7" s="236" customFormat="1" x14ac:dyDescent="0.2">
      <c r="A44" s="352"/>
      <c r="B44" s="240" t="s">
        <v>49</v>
      </c>
      <c r="C44" s="254" t="s">
        <v>17</v>
      </c>
      <c r="D44" s="255" t="str">
        <f t="shared" si="1"/>
        <v>UsdLiborSwapForBasisCalc37Y</v>
      </c>
      <c r="E44" s="243" t="str">
        <f>_xll.qlSwapIndex($D44,FixingType,B44,2,Currency,$E$5,"1Y","f",MoneyMarketDayCounter,Libor!$E$10,Discounting,Permanent,Trigger,ObjectOverwrite)</f>
        <v>UsdLiborSwapForBasisCalc37Y#0000</v>
      </c>
      <c r="F44" s="246" t="str">
        <f>_xll.ohRangeRetrieveError(E44)</f>
        <v/>
      </c>
      <c r="G44" s="382"/>
    </row>
    <row r="45" spans="1:7" s="236" customFormat="1" x14ac:dyDescent="0.2">
      <c r="A45" s="352"/>
      <c r="B45" s="240" t="s">
        <v>48</v>
      </c>
      <c r="C45" s="254" t="s">
        <v>17</v>
      </c>
      <c r="D45" s="255" t="str">
        <f t="shared" si="1"/>
        <v>UsdLiborSwapForBasisCalc38Y</v>
      </c>
      <c r="E45" s="243" t="str">
        <f>_xll.qlSwapIndex($D45,FixingType,B45,2,Currency,$E$5,"1Y","f",MoneyMarketDayCounter,Libor!$E$10,Discounting,Permanent,Trigger,ObjectOverwrite)</f>
        <v>UsdLiborSwapForBasisCalc38Y#0000</v>
      </c>
      <c r="F45" s="246" t="str">
        <f>_xll.ohRangeRetrieveError(E45)</f>
        <v/>
      </c>
      <c r="G45" s="382"/>
    </row>
    <row r="46" spans="1:7" s="236" customFormat="1" x14ac:dyDescent="0.2">
      <c r="A46" s="352"/>
      <c r="B46" s="240" t="s">
        <v>47</v>
      </c>
      <c r="C46" s="254" t="s">
        <v>17</v>
      </c>
      <c r="D46" s="255" t="str">
        <f t="shared" si="1"/>
        <v>UsdLiborSwapForBasisCalc39Y</v>
      </c>
      <c r="E46" s="243" t="str">
        <f>_xll.qlSwapIndex($D46,FixingType,B46,2,Currency,$E$5,"1Y","f",MoneyMarketDayCounter,Libor!$E$10,Discounting,Permanent,Trigger,ObjectOverwrite)</f>
        <v>UsdLiborSwapForBasisCalc39Y#0000</v>
      </c>
      <c r="F46" s="246" t="str">
        <f>_xll.ohRangeRetrieveError(E46)</f>
        <v/>
      </c>
      <c r="G46" s="382"/>
    </row>
    <row r="47" spans="1:7" s="236" customFormat="1" x14ac:dyDescent="0.2">
      <c r="A47" s="352"/>
      <c r="B47" s="240" t="s">
        <v>46</v>
      </c>
      <c r="C47" s="254" t="s">
        <v>17</v>
      </c>
      <c r="D47" s="255" t="str">
        <f t="shared" si="1"/>
        <v>UsdLiborSwapForBasisCalc40Y</v>
      </c>
      <c r="E47" s="243" t="str">
        <f>_xll.qlSwapIndex($D47,FixingType,B47,2,Currency,$E$5,"1Y","f",MoneyMarketDayCounter,Libor!$E$10,Discounting,Permanent,Trigger,ObjectOverwrite)</f>
        <v>UsdLiborSwapForBasisCalc40Y#0000</v>
      </c>
      <c r="F47" s="246" t="str">
        <f>_xll.ohRangeRetrieveError(E47)</f>
        <v/>
      </c>
      <c r="G47" s="382"/>
    </row>
    <row r="48" spans="1:7" s="236" customFormat="1" x14ac:dyDescent="0.2">
      <c r="A48" s="352"/>
      <c r="B48" s="240" t="s">
        <v>45</v>
      </c>
      <c r="C48" s="254" t="s">
        <v>17</v>
      </c>
      <c r="D48" s="255" t="str">
        <f t="shared" si="1"/>
        <v>UsdLiborSwapForBasisCalc41Y</v>
      </c>
      <c r="E48" s="243" t="str">
        <f>_xll.qlSwapIndex($D48,FixingType,B48,2,Currency,$E$5,"1Y","f",MoneyMarketDayCounter,Libor!$E$10,Discounting,Permanent,Trigger,ObjectOverwrite)</f>
        <v>UsdLiborSwapForBasisCalc41Y#0000</v>
      </c>
      <c r="F48" s="246" t="str">
        <f>_xll.ohRangeRetrieveError(E48)</f>
        <v/>
      </c>
      <c r="G48" s="382"/>
    </row>
    <row r="49" spans="1:7" s="236" customFormat="1" x14ac:dyDescent="0.2">
      <c r="A49" s="352"/>
      <c r="B49" s="240" t="s">
        <v>44</v>
      </c>
      <c r="C49" s="254" t="s">
        <v>17</v>
      </c>
      <c r="D49" s="255" t="str">
        <f t="shared" si="1"/>
        <v>UsdLiborSwapForBasisCalc42Y</v>
      </c>
      <c r="E49" s="243" t="str">
        <f>_xll.qlSwapIndex($D49,FixingType,B49,2,Currency,$E$5,"1Y","f",MoneyMarketDayCounter,Libor!$E$10,Discounting,Permanent,Trigger,ObjectOverwrite)</f>
        <v>UsdLiborSwapForBasisCalc42Y#0000</v>
      </c>
      <c r="F49" s="246" t="str">
        <f>_xll.ohRangeRetrieveError(E49)</f>
        <v/>
      </c>
      <c r="G49" s="382"/>
    </row>
    <row r="50" spans="1:7" s="236" customFormat="1" x14ac:dyDescent="0.2">
      <c r="A50" s="352"/>
      <c r="B50" s="240" t="s">
        <v>43</v>
      </c>
      <c r="C50" s="254" t="s">
        <v>17</v>
      </c>
      <c r="D50" s="255" t="str">
        <f t="shared" si="1"/>
        <v>UsdLiborSwapForBasisCalc43Y</v>
      </c>
      <c r="E50" s="243" t="str">
        <f>_xll.qlSwapIndex($D50,FixingType,B50,2,Currency,$E$5,"1Y","f",MoneyMarketDayCounter,Libor!$E$10,Discounting,Permanent,Trigger,ObjectOverwrite)</f>
        <v>UsdLiborSwapForBasisCalc43Y#0000</v>
      </c>
      <c r="F50" s="246" t="str">
        <f>_xll.ohRangeRetrieveError(E50)</f>
        <v/>
      </c>
      <c r="G50" s="382"/>
    </row>
    <row r="51" spans="1:7" s="236" customFormat="1" x14ac:dyDescent="0.2">
      <c r="A51" s="352"/>
      <c r="B51" s="240" t="s">
        <v>42</v>
      </c>
      <c r="C51" s="254" t="s">
        <v>17</v>
      </c>
      <c r="D51" s="255" t="str">
        <f t="shared" si="1"/>
        <v>UsdLiborSwapForBasisCalc44Y</v>
      </c>
      <c r="E51" s="243" t="str">
        <f>_xll.qlSwapIndex($D51,FixingType,B51,2,Currency,$E$5,"1Y","f",MoneyMarketDayCounter,Libor!$E$10,Discounting,Permanent,Trigger,ObjectOverwrite)</f>
        <v>UsdLiborSwapForBasisCalc44Y#0000</v>
      </c>
      <c r="F51" s="246" t="str">
        <f>_xll.ohRangeRetrieveError(E51)</f>
        <v/>
      </c>
      <c r="G51" s="382"/>
    </row>
    <row r="52" spans="1:7" s="236" customFormat="1" x14ac:dyDescent="0.2">
      <c r="A52" s="352"/>
      <c r="B52" s="240" t="s">
        <v>41</v>
      </c>
      <c r="C52" s="254" t="s">
        <v>17</v>
      </c>
      <c r="D52" s="255" t="str">
        <f t="shared" si="1"/>
        <v>UsdLiborSwapForBasisCalc45Y</v>
      </c>
      <c r="E52" s="243" t="str">
        <f>_xll.qlSwapIndex($D52,FixingType,B52,2,Currency,$E$5,"1Y","f",MoneyMarketDayCounter,Libor!$E$10,Discounting,Permanent,Trigger,ObjectOverwrite)</f>
        <v>UsdLiborSwapForBasisCalc45Y#0000</v>
      </c>
      <c r="F52" s="246" t="str">
        <f>_xll.ohRangeRetrieveError(E52)</f>
        <v/>
      </c>
      <c r="G52" s="382"/>
    </row>
    <row r="53" spans="1:7" s="236" customFormat="1" x14ac:dyDescent="0.2">
      <c r="A53" s="352"/>
      <c r="B53" s="240" t="s">
        <v>40</v>
      </c>
      <c r="C53" s="254" t="s">
        <v>17</v>
      </c>
      <c r="D53" s="255" t="str">
        <f t="shared" si="1"/>
        <v>UsdLiborSwapForBasisCalc46Y</v>
      </c>
      <c r="E53" s="243" t="str">
        <f>_xll.qlSwapIndex($D53,FixingType,B53,2,Currency,$E$5,"1Y","f",MoneyMarketDayCounter,Libor!$E$10,Discounting,Permanent,Trigger,ObjectOverwrite)</f>
        <v>UsdLiborSwapForBasisCalc46Y#0000</v>
      </c>
      <c r="F53" s="246" t="str">
        <f>_xll.ohRangeRetrieveError(E53)</f>
        <v/>
      </c>
      <c r="G53" s="382"/>
    </row>
    <row r="54" spans="1:7" s="236" customFormat="1" x14ac:dyDescent="0.2">
      <c r="A54" s="352"/>
      <c r="B54" s="240" t="s">
        <v>39</v>
      </c>
      <c r="C54" s="254" t="s">
        <v>17</v>
      </c>
      <c r="D54" s="255" t="str">
        <f t="shared" si="1"/>
        <v>UsdLiborSwapForBasisCalc47Y</v>
      </c>
      <c r="E54" s="243" t="str">
        <f>_xll.qlSwapIndex($D54,FixingType,B54,2,Currency,$E$5,"1Y","f",MoneyMarketDayCounter,Libor!$E$10,Discounting,Permanent,Trigger,ObjectOverwrite)</f>
        <v>UsdLiborSwapForBasisCalc47Y#0000</v>
      </c>
      <c r="F54" s="246" t="str">
        <f>_xll.ohRangeRetrieveError(E54)</f>
        <v/>
      </c>
      <c r="G54" s="382"/>
    </row>
    <row r="55" spans="1:7" s="236" customFormat="1" x14ac:dyDescent="0.2">
      <c r="A55" s="352"/>
      <c r="B55" s="240" t="s">
        <v>38</v>
      </c>
      <c r="C55" s="254" t="s">
        <v>17</v>
      </c>
      <c r="D55" s="255" t="str">
        <f t="shared" si="1"/>
        <v>UsdLiborSwapForBasisCalc48Y</v>
      </c>
      <c r="E55" s="243" t="str">
        <f>_xll.qlSwapIndex($D55,FixingType,B55,2,Currency,$E$5,"1Y","f",MoneyMarketDayCounter,Libor!$E$10,Discounting,Permanent,Trigger,ObjectOverwrite)</f>
        <v>UsdLiborSwapForBasisCalc48Y#0000</v>
      </c>
      <c r="F55" s="246" t="str">
        <f>_xll.ohRangeRetrieveError(E55)</f>
        <v/>
      </c>
      <c r="G55" s="382"/>
    </row>
    <row r="56" spans="1:7" s="236" customFormat="1" x14ac:dyDescent="0.2">
      <c r="A56" s="352"/>
      <c r="B56" s="240" t="s">
        <v>37</v>
      </c>
      <c r="C56" s="254" t="s">
        <v>17</v>
      </c>
      <c r="D56" s="255" t="str">
        <f t="shared" si="1"/>
        <v>UsdLiborSwapForBasisCalc49Y</v>
      </c>
      <c r="E56" s="243" t="str">
        <f>_xll.qlSwapIndex($D56,FixingType,B56,2,Currency,$E$5,"1Y","f",MoneyMarketDayCounter,Libor!$E$10,Discounting,Permanent,Trigger,ObjectOverwrite)</f>
        <v>UsdLiborSwapForBasisCalc49Y#0000</v>
      </c>
      <c r="F56" s="246" t="str">
        <f>_xll.ohRangeRetrieveError(E56)</f>
        <v/>
      </c>
      <c r="G56" s="382"/>
    </row>
    <row r="57" spans="1:7" s="236" customFormat="1" x14ac:dyDescent="0.2">
      <c r="A57" s="352"/>
      <c r="B57" s="240" t="s">
        <v>36</v>
      </c>
      <c r="C57" s="254" t="s">
        <v>17</v>
      </c>
      <c r="D57" s="255" t="str">
        <f t="shared" si="1"/>
        <v>UsdLiborSwapForBasisCalc50Y</v>
      </c>
      <c r="E57" s="243" t="str">
        <f>_xll.qlSwapIndex($D57,FixingType,B57,2,Currency,$E$5,"1Y","f",MoneyMarketDayCounter,Libor!$E$10,Discounting,Permanent,Trigger,ObjectOverwrite)</f>
        <v>UsdLiborSwapForBasisCalc50Y#0000</v>
      </c>
      <c r="F57" s="246" t="str">
        <f>_xll.ohRangeRetrieveError(E57)</f>
        <v/>
      </c>
      <c r="G57" s="382"/>
    </row>
    <row r="58" spans="1:7" s="236" customFormat="1" x14ac:dyDescent="0.2">
      <c r="A58" s="352"/>
      <c r="B58" s="240" t="s">
        <v>35</v>
      </c>
      <c r="C58" s="254" t="s">
        <v>17</v>
      </c>
      <c r="D58" s="255" t="str">
        <f t="shared" si="1"/>
        <v>UsdLiborSwapForBasisCalc51Y</v>
      </c>
      <c r="E58" s="243" t="str">
        <f>_xll.qlSwapIndex($D58,FixingType,B58,2,Currency,$E$5,"1Y","f",MoneyMarketDayCounter,Libor!$E$10,Discounting,Permanent,Trigger,ObjectOverwrite)</f>
        <v>UsdLiborSwapForBasisCalc51Y#0000</v>
      </c>
      <c r="F58" s="246" t="str">
        <f>_xll.ohRangeRetrieveError(E58)</f>
        <v/>
      </c>
      <c r="G58" s="382"/>
    </row>
    <row r="59" spans="1:7" s="236" customFormat="1" x14ac:dyDescent="0.2">
      <c r="A59" s="352"/>
      <c r="B59" s="240" t="s">
        <v>34</v>
      </c>
      <c r="C59" s="254" t="s">
        <v>17</v>
      </c>
      <c r="D59" s="255" t="str">
        <f t="shared" si="1"/>
        <v>UsdLiborSwapForBasisCalc52Y</v>
      </c>
      <c r="E59" s="243" t="str">
        <f>_xll.qlSwapIndex($D59,FixingType,B59,2,Currency,$E$5,"1Y","f",MoneyMarketDayCounter,Libor!$E$10,Discounting,Permanent,Trigger,ObjectOverwrite)</f>
        <v>UsdLiborSwapForBasisCalc52Y#0000</v>
      </c>
      <c r="F59" s="246" t="str">
        <f>_xll.ohRangeRetrieveError(E59)</f>
        <v/>
      </c>
      <c r="G59" s="382"/>
    </row>
    <row r="60" spans="1:7" s="236" customFormat="1" x14ac:dyDescent="0.2">
      <c r="A60" s="352"/>
      <c r="B60" s="240" t="s">
        <v>33</v>
      </c>
      <c r="C60" s="254" t="s">
        <v>17</v>
      </c>
      <c r="D60" s="255" t="str">
        <f t="shared" si="1"/>
        <v>UsdLiborSwapForBasisCalc53Y</v>
      </c>
      <c r="E60" s="243" t="str">
        <f>_xll.qlSwapIndex($D60,FixingType,B60,2,Currency,$E$5,"1Y","f",MoneyMarketDayCounter,Libor!$E$10,Discounting,Permanent,Trigger,ObjectOverwrite)</f>
        <v>UsdLiborSwapForBasisCalc53Y#0000</v>
      </c>
      <c r="F60" s="246" t="str">
        <f>_xll.ohRangeRetrieveError(E60)</f>
        <v/>
      </c>
      <c r="G60" s="382"/>
    </row>
    <row r="61" spans="1:7" s="236" customFormat="1" x14ac:dyDescent="0.2">
      <c r="A61" s="352"/>
      <c r="B61" s="240" t="s">
        <v>32</v>
      </c>
      <c r="C61" s="254" t="s">
        <v>17</v>
      </c>
      <c r="D61" s="255" t="str">
        <f t="shared" si="1"/>
        <v>UsdLiborSwapForBasisCalc54Y</v>
      </c>
      <c r="E61" s="243" t="str">
        <f>_xll.qlSwapIndex($D61,FixingType,B61,2,Currency,$E$5,"1Y","f",MoneyMarketDayCounter,Libor!$E$10,Discounting,Permanent,Trigger,ObjectOverwrite)</f>
        <v>UsdLiborSwapForBasisCalc54Y#0000</v>
      </c>
      <c r="F61" s="246" t="str">
        <f>_xll.ohRangeRetrieveError(E61)</f>
        <v/>
      </c>
      <c r="G61" s="382"/>
    </row>
    <row r="62" spans="1:7" s="236" customFormat="1" x14ac:dyDescent="0.2">
      <c r="A62" s="352"/>
      <c r="B62" s="240" t="s">
        <v>31</v>
      </c>
      <c r="C62" s="254" t="s">
        <v>17</v>
      </c>
      <c r="D62" s="255" t="str">
        <f t="shared" si="1"/>
        <v>UsdLiborSwapForBasisCalc55Y</v>
      </c>
      <c r="E62" s="243" t="str">
        <f>_xll.qlSwapIndex($D62,FixingType,B62,2,Currency,$E$5,"1Y","f",MoneyMarketDayCounter,Libor!$E$10,Discounting,Permanent,Trigger,ObjectOverwrite)</f>
        <v>UsdLiborSwapForBasisCalc55Y#0000</v>
      </c>
      <c r="F62" s="246" t="str">
        <f>_xll.ohRangeRetrieveError(E62)</f>
        <v/>
      </c>
      <c r="G62" s="382"/>
    </row>
    <row r="63" spans="1:7" s="236" customFormat="1" x14ac:dyDescent="0.2">
      <c r="A63" s="352"/>
      <c r="B63" s="240" t="s">
        <v>30</v>
      </c>
      <c r="C63" s="254" t="s">
        <v>17</v>
      </c>
      <c r="D63" s="255" t="str">
        <f t="shared" si="1"/>
        <v>UsdLiborSwapForBasisCalc56Y</v>
      </c>
      <c r="E63" s="243" t="str">
        <f>_xll.qlSwapIndex($D63,FixingType,B63,2,Currency,$E$5,"1Y","f",MoneyMarketDayCounter,Libor!$E$10,Discounting,Permanent,Trigger,ObjectOverwrite)</f>
        <v>UsdLiborSwapForBasisCalc56Y#0000</v>
      </c>
      <c r="F63" s="246" t="str">
        <f>_xll.ohRangeRetrieveError(E63)</f>
        <v/>
      </c>
      <c r="G63" s="382"/>
    </row>
    <row r="64" spans="1:7" s="236" customFormat="1" x14ac:dyDescent="0.2">
      <c r="A64" s="352"/>
      <c r="B64" s="240" t="s">
        <v>29</v>
      </c>
      <c r="C64" s="254" t="s">
        <v>17</v>
      </c>
      <c r="D64" s="255" t="str">
        <f t="shared" si="1"/>
        <v>UsdLiborSwapForBasisCalc57Y</v>
      </c>
      <c r="E64" s="243" t="str">
        <f>_xll.qlSwapIndex($D64,FixingType,B64,2,Currency,$E$5,"1Y","f",MoneyMarketDayCounter,Libor!$E$10,Discounting,Permanent,Trigger,ObjectOverwrite)</f>
        <v>UsdLiborSwapForBasisCalc57Y#0000</v>
      </c>
      <c r="F64" s="246" t="str">
        <f>_xll.ohRangeRetrieveError(E64)</f>
        <v/>
      </c>
      <c r="G64" s="382"/>
    </row>
    <row r="65" spans="1:7" s="236" customFormat="1" x14ac:dyDescent="0.2">
      <c r="A65" s="352"/>
      <c r="B65" s="240" t="s">
        <v>28</v>
      </c>
      <c r="C65" s="254" t="s">
        <v>17</v>
      </c>
      <c r="D65" s="255" t="str">
        <f t="shared" si="1"/>
        <v>UsdLiborSwapForBasisCalc58Y</v>
      </c>
      <c r="E65" s="243" t="str">
        <f>_xll.qlSwapIndex($D65,FixingType,B65,2,Currency,$E$5,"1Y","f",MoneyMarketDayCounter,Libor!$E$10,Discounting,Permanent,Trigger,ObjectOverwrite)</f>
        <v>UsdLiborSwapForBasisCalc58Y#0000</v>
      </c>
      <c r="F65" s="246" t="str">
        <f>_xll.ohRangeRetrieveError(E65)</f>
        <v/>
      </c>
      <c r="G65" s="382"/>
    </row>
    <row r="66" spans="1:7" s="236" customFormat="1" x14ac:dyDescent="0.2">
      <c r="A66" s="352"/>
      <c r="B66" s="240" t="s">
        <v>27</v>
      </c>
      <c r="C66" s="254" t="s">
        <v>17</v>
      </c>
      <c r="D66" s="255" t="str">
        <f t="shared" si="1"/>
        <v>UsdLiborSwapForBasisCalc59Y</v>
      </c>
      <c r="E66" s="243" t="str">
        <f>_xll.qlSwapIndex($D66,FixingType,B66,2,Currency,$E$5,"1Y","f",MoneyMarketDayCounter,Libor!$E$10,Discounting,Permanent,Trigger,ObjectOverwrite)</f>
        <v>UsdLiborSwapForBasisCalc59Y#0000</v>
      </c>
      <c r="F66" s="246" t="str">
        <f>_xll.ohRangeRetrieveError(E66)</f>
        <v/>
      </c>
      <c r="G66" s="382"/>
    </row>
    <row r="67" spans="1:7" s="236" customFormat="1" x14ac:dyDescent="0.2">
      <c r="A67" s="352"/>
      <c r="B67" s="241" t="s">
        <v>26</v>
      </c>
      <c r="C67" s="256" t="s">
        <v>17</v>
      </c>
      <c r="D67" s="257" t="str">
        <f t="shared" si="1"/>
        <v>UsdLiborSwapForBasisCalc60Y</v>
      </c>
      <c r="E67" s="244" t="str">
        <f>_xll.qlSwapIndex($D67,FixingType,B67,2,Currency,$E$5,"1Y","f",MoneyMarketDayCounter,Libor!$E$10,Discounting,Permanent,Trigger,ObjectOverwrite)</f>
        <v>UsdLiborSwapForBasisCalc60Y#0000</v>
      </c>
      <c r="F67" s="247" t="str">
        <f>_xll.ohRangeRetrieveError(E67)</f>
        <v/>
      </c>
      <c r="G67" s="382"/>
    </row>
    <row r="68" spans="1:7" s="236" customFormat="1" x14ac:dyDescent="0.2">
      <c r="A68" s="383"/>
      <c r="B68" s="384"/>
      <c r="C68" s="384"/>
      <c r="D68" s="384"/>
      <c r="E68" s="384"/>
      <c r="F68" s="384"/>
      <c r="G68" s="385"/>
    </row>
    <row r="69" spans="1:7" s="236" customFormat="1" x14ac:dyDescent="0.2"/>
    <row r="70" spans="1:7" s="236" customFormat="1" x14ac:dyDescent="0.2">
      <c r="A70" s="237"/>
      <c r="B70" s="237"/>
      <c r="C70" s="237"/>
      <c r="D70" s="237"/>
      <c r="E70" s="237"/>
      <c r="F70" s="237"/>
      <c r="G70" s="237"/>
    </row>
  </sheetData>
  <pageMargins left="0.75" right="0.75" top="1" bottom="1" header="0.5" footer="0.5"/>
  <pageSetup paperSize="9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V7"/>
  <sheetViews>
    <sheetView showGridLines="0" topLeftCell="F1" workbookViewId="0">
      <selection activeCell="U2" sqref="U2"/>
    </sheetView>
  </sheetViews>
  <sheetFormatPr defaultRowHeight="11.25" outlineLevelCol="1" x14ac:dyDescent="0.2"/>
  <cols>
    <col min="1" max="1" width="2.7109375" style="144" hidden="1" customWidth="1" outlineLevel="1"/>
    <col min="2" max="2" width="26.5703125" style="144" hidden="1" customWidth="1" outlineLevel="1"/>
    <col min="3" max="3" width="31.7109375" style="144" hidden="1" customWidth="1" outlineLevel="1"/>
    <col min="4" max="4" width="20.7109375" style="144" hidden="1" customWidth="1" outlineLevel="1"/>
    <col min="5" max="5" width="2.7109375" style="144" hidden="1" customWidth="1" outlineLevel="1"/>
    <col min="6" max="6" width="2.7109375" style="144" customWidth="1" collapsed="1"/>
    <col min="7" max="10" width="2.7109375" style="144" customWidth="1"/>
    <col min="11" max="11" width="11.7109375" style="144" customWidth="1"/>
    <col min="12" max="12" width="15.140625" style="144" bestFit="1" customWidth="1"/>
    <col min="13" max="13" width="10.7109375" style="144" customWidth="1"/>
    <col min="14" max="14" width="2.7109375" style="144" customWidth="1"/>
    <col min="15" max="15" width="15.140625" style="144" bestFit="1" customWidth="1"/>
    <col min="16" max="16" width="10.7109375" style="144" customWidth="1"/>
    <col min="17" max="17" width="2.7109375" style="144" customWidth="1"/>
    <col min="18" max="18" width="10.7109375" style="144" customWidth="1"/>
    <col min="19" max="19" width="2.7109375" style="144" customWidth="1"/>
    <col min="20" max="21" width="10.7109375" style="144" customWidth="1"/>
    <col min="22" max="23" width="2.7109375" style="144" customWidth="1"/>
    <col min="24" max="16384" width="9.140625" style="144"/>
  </cols>
  <sheetData>
    <row r="1" spans="1:22" x14ac:dyDescent="0.2">
      <c r="A1" s="88"/>
      <c r="B1" s="79"/>
      <c r="C1" s="79"/>
      <c r="D1" s="79"/>
      <c r="E1" s="80"/>
      <c r="G1" s="300" t="s">
        <v>248</v>
      </c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114"/>
    </row>
    <row r="2" spans="1:22" x14ac:dyDescent="0.2">
      <c r="A2" s="81"/>
      <c r="B2" s="82"/>
      <c r="C2" s="82"/>
      <c r="D2" s="25"/>
      <c r="E2" s="83"/>
      <c r="G2" s="115"/>
      <c r="H2" s="3"/>
      <c r="I2" s="3"/>
      <c r="J2" s="3"/>
      <c r="K2" s="3"/>
      <c r="L2" s="187" t="s">
        <v>218</v>
      </c>
      <c r="M2" s="3"/>
      <c r="N2" s="3"/>
      <c r="O2" s="3"/>
      <c r="P2" s="3"/>
      <c r="Q2" s="3"/>
      <c r="R2" s="3"/>
      <c r="S2" s="3"/>
      <c r="T2" s="3"/>
      <c r="U2" s="55">
        <f>_xll.ohTrigger(U5:U9)</f>
        <v>2</v>
      </c>
      <c r="V2" s="116"/>
    </row>
    <row r="3" spans="1:22" x14ac:dyDescent="0.2">
      <c r="A3" s="115"/>
      <c r="B3" s="3"/>
      <c r="C3" s="3"/>
      <c r="D3" s="3"/>
      <c r="E3" s="116"/>
      <c r="G3" s="115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116"/>
    </row>
    <row r="4" spans="1:22" ht="23.25" thickBot="1" x14ac:dyDescent="0.25">
      <c r="A4" s="115"/>
      <c r="B4" s="259" t="s">
        <v>224</v>
      </c>
      <c r="C4" s="290" t="s">
        <v>225</v>
      </c>
      <c r="D4" s="299" t="s">
        <v>239</v>
      </c>
      <c r="E4" s="116"/>
      <c r="G4" s="115"/>
      <c r="H4" s="121"/>
      <c r="I4" s="187"/>
      <c r="J4" s="50"/>
      <c r="K4" s="50" t="s">
        <v>249</v>
      </c>
      <c r="L4" s="291" t="str">
        <f>_xll.RData(L5,M4,"RTFEED:IDN",ReutersRtMode,,M5)</f>
        <v>Not Signed In</v>
      </c>
      <c r="M4" s="292" t="s">
        <v>134</v>
      </c>
      <c r="N4" s="293"/>
      <c r="O4" s="399" t="s">
        <v>157</v>
      </c>
      <c r="P4" s="400"/>
      <c r="Q4" s="293"/>
      <c r="R4" s="38" t="s">
        <v>148</v>
      </c>
      <c r="S4" s="294"/>
      <c r="T4" s="38" t="s">
        <v>147</v>
      </c>
      <c r="U4" s="38" t="s">
        <v>146</v>
      </c>
      <c r="V4" s="116"/>
    </row>
    <row r="5" spans="1:22" x14ac:dyDescent="0.2">
      <c r="A5" s="115"/>
      <c r="B5" s="233" t="str">
        <f>Currency&amp;"HW_Volatility"&amp;QuoteSuffix</f>
        <v>USDHW_Volatility_Quote</v>
      </c>
      <c r="C5" s="233" t="str">
        <f>_xll.qlSimpleQuote(B5,,,Permanent,Trigger,ObjectOverwrite)</f>
        <v>USDHW_Volatility_Quote#0000</v>
      </c>
      <c r="D5" s="295" t="str">
        <f>_xll.ohRangeRetrieveError(C5)</f>
        <v/>
      </c>
      <c r="E5" s="116"/>
      <c r="G5" s="115"/>
      <c r="H5" s="301" t="s">
        <v>84</v>
      </c>
      <c r="I5" s="194" t="s">
        <v>154</v>
      </c>
      <c r="J5" s="126" t="s">
        <v>93</v>
      </c>
      <c r="K5" s="126" t="str">
        <f>I5&amp;H5&amp;J5&amp;"ATM"</f>
        <v>US2Y3LATM</v>
      </c>
      <c r="L5" s="36" t="str">
        <f>K5&amp;"="&amp;VLOOKUP($L$2,ContributorTable,2,FALSE)</f>
        <v>US2Y3LATM=ICAP</v>
      </c>
      <c r="M5" s="219">
        <v>63.68</v>
      </c>
      <c r="N5" s="293"/>
      <c r="O5" s="127" t="s">
        <v>156</v>
      </c>
      <c r="P5" s="296">
        <f>M5/100*IF(ISNUMBER(Swap3M4Y),Swap3M4Y/100,Swap6M4Y/100)</f>
        <v>8.3675520000000003E-3</v>
      </c>
      <c r="Q5" s="293"/>
      <c r="R5" s="296">
        <v>8.3675520000000003E-3</v>
      </c>
      <c r="S5" s="294"/>
      <c r="T5" s="296">
        <f t="array" ref="T5:T6">QuoteStatic</f>
        <v>8.3675520000000003E-3</v>
      </c>
      <c r="U5" s="296">
        <f>_xll.qlSimpleQuoteSetValue(C5,T5,Trigger)</f>
        <v>-2.9193500000000011E-4</v>
      </c>
      <c r="V5" s="116"/>
    </row>
    <row r="6" spans="1:22" x14ac:dyDescent="0.2">
      <c r="A6" s="115"/>
      <c r="B6" s="233" t="str">
        <f>Currency&amp;"HW_MeanReversion"&amp;QuoteSuffix</f>
        <v>USDHW_MeanReversion_Quote</v>
      </c>
      <c r="C6" s="233" t="str">
        <f>_xll.qlSimpleQuote(B6,,,Permanent,Trigger,ObjectOverwrite)</f>
        <v>USDHW_MeanReversion_Quote#0000</v>
      </c>
      <c r="D6" s="295" t="str">
        <f>_xll.ohRangeRetrieveError(C6)</f>
        <v/>
      </c>
      <c r="E6" s="116"/>
      <c r="G6" s="115"/>
      <c r="H6" s="302"/>
      <c r="I6" s="302"/>
      <c r="J6" s="302"/>
      <c r="K6" s="302"/>
      <c r="L6" s="303"/>
      <c r="M6" s="304"/>
      <c r="N6" s="293"/>
      <c r="O6" s="297" t="s">
        <v>155</v>
      </c>
      <c r="P6" s="298">
        <v>0.03</v>
      </c>
      <c r="Q6" s="293"/>
      <c r="R6" s="298">
        <v>0.03</v>
      </c>
      <c r="S6" s="294"/>
      <c r="T6" s="298">
        <v>0.03</v>
      </c>
      <c r="U6" s="298">
        <f>_xll.qlSimpleQuoteSetValue(C6,T6,Trigger)</f>
        <v>0</v>
      </c>
      <c r="V6" s="116"/>
    </row>
    <row r="7" spans="1:22" x14ac:dyDescent="0.2">
      <c r="A7" s="117"/>
      <c r="B7" s="118"/>
      <c r="C7" s="118"/>
      <c r="D7" s="118"/>
      <c r="E7" s="120"/>
      <c r="G7" s="117"/>
      <c r="H7" s="118"/>
      <c r="I7" s="118"/>
      <c r="J7" s="118"/>
      <c r="K7" s="118"/>
      <c r="L7" s="118"/>
      <c r="M7" s="118"/>
      <c r="N7" s="118"/>
      <c r="O7" s="118"/>
      <c r="P7" s="118"/>
      <c r="Q7" s="118"/>
      <c r="R7" s="118"/>
      <c r="S7" s="118"/>
      <c r="T7" s="118"/>
      <c r="U7" s="118"/>
      <c r="V7" s="120"/>
    </row>
  </sheetData>
  <mergeCells count="1">
    <mergeCell ref="O4:P4"/>
  </mergeCells>
  <dataValidations count="1">
    <dataValidation type="list" showInputMessage="1" showErrorMessage="1" sqref="L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102</vt:i4>
      </vt:variant>
    </vt:vector>
  </HeadingPairs>
  <TitlesOfParts>
    <vt:vector size="119" baseType="lpstr">
      <vt:lpstr>General Settings</vt:lpstr>
      <vt:lpstr>Libor</vt:lpstr>
      <vt:lpstr>Deposits</vt:lpstr>
      <vt:lpstr>FRA3M</vt:lpstr>
      <vt:lpstr>FRA6M</vt:lpstr>
      <vt:lpstr>FRA12M</vt:lpstr>
      <vt:lpstr>OIS</vt:lpstr>
      <vt:lpstr>Futures3M</vt:lpstr>
      <vt:lpstr>Swap1M</vt:lpstr>
      <vt:lpstr>Swap3M</vt:lpstr>
      <vt:lpstr>SwapIMM</vt:lpstr>
      <vt:lpstr>BasisSwapFF3M</vt:lpstr>
      <vt:lpstr>BasisSwap1M3M</vt:lpstr>
      <vt:lpstr>BasisSwap3M6M</vt:lpstr>
      <vt:lpstr>BasisSwap3M12M</vt:lpstr>
      <vt:lpstr>LiborSwapForBasisCalc</vt:lpstr>
      <vt:lpstr>FuturesHWConvAdj</vt:lpstr>
      <vt:lpstr>Area</vt:lpstr>
      <vt:lpstr>AreaIndex</vt:lpstr>
      <vt:lpstr>AreaTable</vt:lpstr>
      <vt:lpstr>Calendar</vt:lpstr>
      <vt:lpstr>BasisSwap1M3M!Contributor</vt:lpstr>
      <vt:lpstr>BasisSwap3M12M!Contributor</vt:lpstr>
      <vt:lpstr>BasisSwap3M6M!Contributor</vt:lpstr>
      <vt:lpstr>BasisSwapFF3M!Contributor</vt:lpstr>
      <vt:lpstr>FRA12M!Contributor</vt:lpstr>
      <vt:lpstr>FRA3M!Contributor</vt:lpstr>
      <vt:lpstr>FRA6M!Contributor</vt:lpstr>
      <vt:lpstr>OIS!Contributor</vt:lpstr>
      <vt:lpstr>Swap3M!Contributor</vt:lpstr>
      <vt:lpstr>Contributors</vt:lpstr>
      <vt:lpstr>ContributorTable</vt:lpstr>
      <vt:lpstr>Currency</vt:lpstr>
      <vt:lpstr>Discounting</vt:lpstr>
      <vt:lpstr>EvaluationDate</vt:lpstr>
      <vt:lpstr>Libor!FamilyName</vt:lpstr>
      <vt:lpstr>FamilyName</vt:lpstr>
      <vt:lpstr>LiborSwapForBasisCalc!FamilyName2</vt:lpstr>
      <vt:lpstr>LiborSwapForBasisCalc!FileName</vt:lpstr>
      <vt:lpstr>FileOverwrite</vt:lpstr>
      <vt:lpstr>LiborSwapForBasisCalc!FixingType</vt:lpstr>
      <vt:lpstr>FixingType</vt:lpstr>
      <vt:lpstr>Futures3M!FuturesCodes</vt:lpstr>
      <vt:lpstr>Futures3M!FuturesDates</vt:lpstr>
      <vt:lpstr>HolidayCheck</vt:lpstr>
      <vt:lpstr>Futures3M!IborIndex</vt:lpstr>
      <vt:lpstr>BasisSwap3M6M!Instrments</vt:lpstr>
      <vt:lpstr>BasisSwap1M3M!Instruments</vt:lpstr>
      <vt:lpstr>BasisSwap3M12M!Instruments</vt:lpstr>
      <vt:lpstr>BasisSwapFF3M!Instruments</vt:lpstr>
      <vt:lpstr>FRA12M!Instruments</vt:lpstr>
      <vt:lpstr>FRA3M!Instruments</vt:lpstr>
      <vt:lpstr>FRA6M!Instruments</vt:lpstr>
      <vt:lpstr>OIS!Instruments</vt:lpstr>
      <vt:lpstr>Swap1M!Instruments</vt:lpstr>
      <vt:lpstr>Swap3M!Instruments</vt:lpstr>
      <vt:lpstr>SwapIMM!Instruments</vt:lpstr>
      <vt:lpstr>InterpolationType</vt:lpstr>
      <vt:lpstr>JoinCalendar</vt:lpstr>
      <vt:lpstr>LastFixingsTrigger</vt:lpstr>
      <vt:lpstr>LastUpdate</vt:lpstr>
      <vt:lpstr>LiborCalendar</vt:lpstr>
      <vt:lpstr>LiveDataFeed</vt:lpstr>
      <vt:lpstr>Futures3M!MeanReversion</vt:lpstr>
      <vt:lpstr>MoneyMarketDayCounter</vt:lpstr>
      <vt:lpstr>ObjectOverwrite</vt:lpstr>
      <vt:lpstr>OverNightIndexCalendar</vt:lpstr>
      <vt:lpstr>Permanent</vt:lpstr>
      <vt:lpstr>PriceTickValue</vt:lpstr>
      <vt:lpstr>BasisSwap1M3M!Quote</vt:lpstr>
      <vt:lpstr>BasisSwap3M12M!Quote</vt:lpstr>
      <vt:lpstr>BasisSwap3M6M!Quote</vt:lpstr>
      <vt:lpstr>BasisSwapFF3M!Quote</vt:lpstr>
      <vt:lpstr>Deposits!Quote</vt:lpstr>
      <vt:lpstr>FRA12M!Quote</vt:lpstr>
      <vt:lpstr>FRA3M!Quote</vt:lpstr>
      <vt:lpstr>FRA6M!Quote</vt:lpstr>
      <vt:lpstr>Futures3M!Quote</vt:lpstr>
      <vt:lpstr>FuturesHWConvAdj!Quote</vt:lpstr>
      <vt:lpstr>OIS!Quote</vt:lpstr>
      <vt:lpstr>Swap1M!Quote</vt:lpstr>
      <vt:lpstr>Swap3M!Quote</vt:lpstr>
      <vt:lpstr>BasisSwap1M3M!QuoteLive</vt:lpstr>
      <vt:lpstr>BasisSwap3M12M!QuoteLive</vt:lpstr>
      <vt:lpstr>BasisSwap3M6M!QuoteLive</vt:lpstr>
      <vt:lpstr>BasisSwapFF3M!QuoteLive</vt:lpstr>
      <vt:lpstr>Deposits!QuoteLive</vt:lpstr>
      <vt:lpstr>FRA12M!QuoteLive</vt:lpstr>
      <vt:lpstr>FRA3M!QuoteLive</vt:lpstr>
      <vt:lpstr>FRA6M!QuoteLive</vt:lpstr>
      <vt:lpstr>Futures3M!QuoteLive</vt:lpstr>
      <vt:lpstr>FuturesHWConvAdj!QuoteLive</vt:lpstr>
      <vt:lpstr>OIS!QuoteLive</vt:lpstr>
      <vt:lpstr>Swap1M!QuoteLive</vt:lpstr>
      <vt:lpstr>Swap3M!QuoteLive</vt:lpstr>
      <vt:lpstr>SwapIMM!QuoteLive</vt:lpstr>
      <vt:lpstr>BasisSwap1M3M!QuoteStatic</vt:lpstr>
      <vt:lpstr>BasisSwap3M12M!QuoteStatic</vt:lpstr>
      <vt:lpstr>BasisSwap3M6M!QuoteStatic</vt:lpstr>
      <vt:lpstr>BasisSwapFF3M!QuoteStatic</vt:lpstr>
      <vt:lpstr>Deposits!QuoteStatic</vt:lpstr>
      <vt:lpstr>FRA12M!QuoteStatic</vt:lpstr>
      <vt:lpstr>FRA3M!QuoteStatic</vt:lpstr>
      <vt:lpstr>FRA6M!QuoteStatic</vt:lpstr>
      <vt:lpstr>Futures3M!QuoteStatic</vt:lpstr>
      <vt:lpstr>FuturesHWConvAdj!QuoteStatic</vt:lpstr>
      <vt:lpstr>OIS!QuoteStatic</vt:lpstr>
      <vt:lpstr>Swap1M!QuoteStatic</vt:lpstr>
      <vt:lpstr>Swap3M!QuoteStatic</vt:lpstr>
      <vt:lpstr>SwapIMM!QuoteStatic</vt:lpstr>
      <vt:lpstr>QuoteSuffix</vt:lpstr>
      <vt:lpstr>RateTickValue</vt:lpstr>
      <vt:lpstr>ReutersRtMode</vt:lpstr>
      <vt:lpstr>SerializationPath</vt:lpstr>
      <vt:lpstr>Serialize</vt:lpstr>
      <vt:lpstr>Swap3M4Y</vt:lpstr>
      <vt:lpstr>Trigger</vt:lpstr>
      <vt:lpstr>TriggerCounter</vt:lpstr>
      <vt:lpstr>Futures3M!Volatility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MAZZOCCHI PAOLO</dc:creator>
  <cp:lastModifiedBy>FONDI STEFANO</cp:lastModifiedBy>
  <dcterms:created xsi:type="dcterms:W3CDTF">2013-12-12T21:53:52Z</dcterms:created>
  <dcterms:modified xsi:type="dcterms:W3CDTF">2015-10-30T18:15:59Z</dcterms:modified>
</cp:coreProperties>
</file>