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230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4" i="1" l="1"/>
  <c r="I34" i="1"/>
  <c r="H34" i="1"/>
  <c r="E34" i="1"/>
  <c r="D34" i="1"/>
  <c r="I30" i="1"/>
  <c r="C34" i="1" s="1"/>
  <c r="Q35" i="1" s="1"/>
  <c r="G30" i="1"/>
  <c r="F30" i="1"/>
  <c r="E30" i="1"/>
  <c r="D30" i="1"/>
  <c r="C30" i="1"/>
  <c r="K29" i="1"/>
  <c r="I29" i="1"/>
  <c r="I31" i="1" s="1"/>
  <c r="T33" i="1" s="1"/>
  <c r="K28" i="1"/>
  <c r="N29" i="1" s="1"/>
  <c r="H24" i="1"/>
  <c r="K24" i="1" s="1"/>
  <c r="G24" i="1" l="1"/>
  <c r="J24" i="1" s="1"/>
  <c r="N26" i="1"/>
  <c r="N27" i="1"/>
  <c r="F34" i="1"/>
  <c r="G34" i="1" s="1"/>
  <c r="T32" i="1"/>
  <c r="T39" i="1"/>
  <c r="N24" i="1"/>
  <c r="M26" i="1"/>
  <c r="M24" i="1"/>
  <c r="M29" i="1"/>
  <c r="R29" i="1" s="1"/>
  <c r="Q34" i="1"/>
  <c r="M27" i="1"/>
  <c r="AF10" i="1"/>
  <c r="AC10" i="1"/>
  <c r="AD11" i="1" s="1"/>
  <c r="AD13" i="1" s="1"/>
  <c r="AB10" i="1"/>
  <c r="AB12" i="1" s="1"/>
  <c r="AA12" i="1"/>
  <c r="AC6" i="1"/>
  <c r="G227" i="1"/>
  <c r="F227" i="1"/>
  <c r="K225" i="1"/>
  <c r="J225" i="1"/>
  <c r="C225" i="1"/>
  <c r="C227" i="1" s="1"/>
  <c r="H221" i="1"/>
  <c r="K221" i="1" s="1"/>
  <c r="G210" i="1"/>
  <c r="F210" i="1"/>
  <c r="K208" i="1"/>
  <c r="J208" i="1"/>
  <c r="H208" i="1"/>
  <c r="C208" i="1"/>
  <c r="C210" i="1" s="1"/>
  <c r="H204" i="1"/>
  <c r="G192" i="1"/>
  <c r="F192" i="1"/>
  <c r="K190" i="1"/>
  <c r="J190" i="1"/>
  <c r="H190" i="1"/>
  <c r="C190" i="1"/>
  <c r="C192" i="1" s="1"/>
  <c r="H186" i="1"/>
  <c r="G174" i="1"/>
  <c r="K172" i="1"/>
  <c r="H168" i="1" s="1"/>
  <c r="J172" i="1"/>
  <c r="H172" i="1"/>
  <c r="F174" i="1"/>
  <c r="C172" i="1"/>
  <c r="C174" i="1" s="1"/>
  <c r="G156" i="1"/>
  <c r="K154" i="1"/>
  <c r="H150" i="1" s="1"/>
  <c r="J154" i="1"/>
  <c r="H154" i="1"/>
  <c r="F154" i="1"/>
  <c r="F156" i="1" s="1"/>
  <c r="C154" i="1"/>
  <c r="C156" i="1" s="1"/>
  <c r="G138" i="1"/>
  <c r="K136" i="1"/>
  <c r="H132" i="1" s="1"/>
  <c r="J136" i="1"/>
  <c r="H136" i="1"/>
  <c r="I137" i="1" s="1"/>
  <c r="I139" i="1" s="1"/>
  <c r="F136" i="1"/>
  <c r="F138" i="1" s="1"/>
  <c r="C136" i="1"/>
  <c r="C138" i="1" s="1"/>
  <c r="G120" i="1"/>
  <c r="K118" i="1"/>
  <c r="H114" i="1" s="1"/>
  <c r="J118" i="1"/>
  <c r="H118" i="1"/>
  <c r="F118" i="1"/>
  <c r="F120" i="1" s="1"/>
  <c r="C118" i="1"/>
  <c r="C120" i="1" s="1"/>
  <c r="K100" i="1"/>
  <c r="H96" i="1" s="1"/>
  <c r="J100" i="1"/>
  <c r="H100" i="1"/>
  <c r="G102" i="1"/>
  <c r="F100" i="1"/>
  <c r="F102" i="1" s="1"/>
  <c r="C100" i="1"/>
  <c r="C102" i="1" s="1"/>
  <c r="K10" i="1"/>
  <c r="H6" i="1" s="1"/>
  <c r="H10" i="1"/>
  <c r="G12" i="1"/>
  <c r="F10" i="1"/>
  <c r="F12" i="1" s="1"/>
  <c r="C10" i="1"/>
  <c r="C12" i="1" s="1"/>
  <c r="G83" i="1"/>
  <c r="K83" i="1"/>
  <c r="H79" i="1" s="1"/>
  <c r="J83" i="1"/>
  <c r="H83" i="1"/>
  <c r="G85" i="1"/>
  <c r="F83" i="1"/>
  <c r="F85" i="1" s="1"/>
  <c r="C83" i="1"/>
  <c r="C85" i="1" s="1"/>
  <c r="G63" i="1"/>
  <c r="G65" i="1"/>
  <c r="F46" i="1"/>
  <c r="F48" i="1" s="1"/>
  <c r="C46" i="1"/>
  <c r="D46" i="1" s="1"/>
  <c r="K63" i="1"/>
  <c r="H59" i="1" s="1"/>
  <c r="J63" i="1"/>
  <c r="H63" i="1"/>
  <c r="F63" i="1"/>
  <c r="F65" i="1" s="1"/>
  <c r="C63" i="1"/>
  <c r="C65" i="1" s="1"/>
  <c r="K46" i="1"/>
  <c r="J46" i="1"/>
  <c r="K47" i="1" s="1"/>
  <c r="H46" i="1"/>
  <c r="G46" i="1"/>
  <c r="G48" i="1" s="1"/>
  <c r="H42" i="1"/>
  <c r="K42" i="1" s="1"/>
  <c r="R40" i="1" l="1"/>
  <c r="R39" i="1"/>
  <c r="R27" i="1"/>
  <c r="AD12" i="1"/>
  <c r="K204" i="1"/>
  <c r="K150" i="1"/>
  <c r="D154" i="1"/>
  <c r="D156" i="1" s="1"/>
  <c r="I160" i="1"/>
  <c r="K186" i="1"/>
  <c r="K168" i="1"/>
  <c r="K114" i="1"/>
  <c r="K79" i="1"/>
  <c r="K96" i="1"/>
  <c r="C48" i="1"/>
  <c r="D83" i="1"/>
  <c r="E83" i="1" s="1"/>
  <c r="E85" i="1" s="1"/>
  <c r="K6" i="1"/>
  <c r="D100" i="1"/>
  <c r="E100" i="1" s="1"/>
  <c r="E102" i="1" s="1"/>
  <c r="N45" i="1"/>
  <c r="D63" i="1"/>
  <c r="I16" i="1"/>
  <c r="M137" i="1"/>
  <c r="D172" i="1"/>
  <c r="D174" i="1" s="1"/>
  <c r="I178" i="1"/>
  <c r="I196" i="1"/>
  <c r="I214" i="1"/>
  <c r="I231" i="1"/>
  <c r="I52" i="1"/>
  <c r="N47" i="1"/>
  <c r="K59" i="1"/>
  <c r="I69" i="1"/>
  <c r="I89" i="1"/>
  <c r="D10" i="1"/>
  <c r="E10" i="1" s="1"/>
  <c r="E12" i="1" s="1"/>
  <c r="I106" i="1"/>
  <c r="I124" i="1"/>
  <c r="K132" i="1"/>
  <c r="D136" i="1"/>
  <c r="D138" i="1" s="1"/>
  <c r="I142" i="1"/>
  <c r="D225" i="1"/>
  <c r="E225" i="1" s="1"/>
  <c r="E227" i="1" s="1"/>
  <c r="K226" i="1"/>
  <c r="N226" i="1"/>
  <c r="I227" i="1"/>
  <c r="E231" i="1"/>
  <c r="J231" i="1"/>
  <c r="I226" i="1"/>
  <c r="M226" i="1" s="1"/>
  <c r="D231" i="1"/>
  <c r="D208" i="1"/>
  <c r="K209" i="1"/>
  <c r="N209" i="1"/>
  <c r="I210" i="1"/>
  <c r="E214" i="1"/>
  <c r="J214" i="1"/>
  <c r="I209" i="1"/>
  <c r="M209" i="1" s="1"/>
  <c r="D214" i="1"/>
  <c r="D190" i="1"/>
  <c r="K191" i="1"/>
  <c r="N191" i="1"/>
  <c r="I192" i="1"/>
  <c r="E196" i="1"/>
  <c r="J196" i="1"/>
  <c r="I191" i="1"/>
  <c r="M191" i="1" s="1"/>
  <c r="D196" i="1"/>
  <c r="E172" i="1"/>
  <c r="E174" i="1" s="1"/>
  <c r="K173" i="1"/>
  <c r="N173" i="1"/>
  <c r="I174" i="1"/>
  <c r="E178" i="1"/>
  <c r="J178" i="1"/>
  <c r="I173" i="1"/>
  <c r="M173" i="1" s="1"/>
  <c r="D178" i="1"/>
  <c r="E154" i="1"/>
  <c r="E156" i="1" s="1"/>
  <c r="K155" i="1"/>
  <c r="N155" i="1"/>
  <c r="I156" i="1"/>
  <c r="E160" i="1"/>
  <c r="J160" i="1"/>
  <c r="I155" i="1"/>
  <c r="M155" i="1" s="1"/>
  <c r="D160" i="1"/>
  <c r="M134" i="1"/>
  <c r="E136" i="1"/>
  <c r="K137" i="1"/>
  <c r="N137" i="1"/>
  <c r="I138" i="1"/>
  <c r="E142" i="1"/>
  <c r="J142" i="1"/>
  <c r="D142" i="1"/>
  <c r="K119" i="1"/>
  <c r="N119" i="1"/>
  <c r="I120" i="1"/>
  <c r="E124" i="1"/>
  <c r="J124" i="1"/>
  <c r="D118" i="1"/>
  <c r="I119" i="1"/>
  <c r="M119" i="1" s="1"/>
  <c r="D124" i="1"/>
  <c r="K101" i="1"/>
  <c r="N101" i="1"/>
  <c r="D102" i="1"/>
  <c r="I102" i="1"/>
  <c r="E106" i="1"/>
  <c r="J106" i="1"/>
  <c r="I101" i="1"/>
  <c r="M101" i="1" s="1"/>
  <c r="D106" i="1"/>
  <c r="K11" i="1"/>
  <c r="N11" i="1"/>
  <c r="D12" i="1"/>
  <c r="I12" i="1"/>
  <c r="E16" i="1"/>
  <c r="J16" i="1"/>
  <c r="I11" i="1"/>
  <c r="D16" i="1"/>
  <c r="K84" i="1"/>
  <c r="N84" i="1"/>
  <c r="D85" i="1"/>
  <c r="I85" i="1"/>
  <c r="E89" i="1"/>
  <c r="J89" i="1"/>
  <c r="I84" i="1"/>
  <c r="M84" i="1" s="1"/>
  <c r="D89" i="1"/>
  <c r="E46" i="1"/>
  <c r="E48" i="1" s="1"/>
  <c r="D48" i="1"/>
  <c r="K64" i="1"/>
  <c r="N64" i="1"/>
  <c r="I65" i="1"/>
  <c r="E69" i="1"/>
  <c r="J69" i="1"/>
  <c r="I64" i="1"/>
  <c r="D69" i="1"/>
  <c r="I48" i="1"/>
  <c r="E52" i="1"/>
  <c r="J52" i="1"/>
  <c r="G42" i="1"/>
  <c r="J42" i="1" s="1"/>
  <c r="I47" i="1"/>
  <c r="M47" i="1" s="1"/>
  <c r="D52" i="1"/>
  <c r="F52" i="1" l="1"/>
  <c r="G52" i="1" s="1"/>
  <c r="G89" i="1"/>
  <c r="F89" i="1"/>
  <c r="F16" i="1"/>
  <c r="G16" i="1" s="1"/>
  <c r="F106" i="1"/>
  <c r="G106" i="1" s="1"/>
  <c r="G160" i="1"/>
  <c r="F160" i="1"/>
  <c r="G178" i="1"/>
  <c r="F178" i="1"/>
  <c r="T27" i="1"/>
  <c r="T34" i="1"/>
  <c r="F69" i="1"/>
  <c r="G69" i="1" s="1"/>
  <c r="M11" i="1"/>
  <c r="T14" i="1"/>
  <c r="F124" i="1"/>
  <c r="G124" i="1" s="1"/>
  <c r="F142" i="1"/>
  <c r="G142" i="1" s="1"/>
  <c r="D227" i="1"/>
  <c r="R30" i="1"/>
  <c r="S31" i="1"/>
  <c r="T29" i="1"/>
  <c r="R31" i="1"/>
  <c r="T36" i="1"/>
  <c r="X16" i="1"/>
  <c r="X10" i="1" s="1"/>
  <c r="AA16" i="1" s="1"/>
  <c r="AB16" i="1" s="1"/>
  <c r="E63" i="1"/>
  <c r="E65" i="1" s="1"/>
  <c r="D65" i="1"/>
  <c r="F196" i="1"/>
  <c r="G196" i="1" s="1"/>
  <c r="C124" i="1"/>
  <c r="F214" i="1"/>
  <c r="G214" i="1" s="1"/>
  <c r="F231" i="1"/>
  <c r="G231" i="1" s="1"/>
  <c r="I228" i="1"/>
  <c r="M223" i="1" s="1"/>
  <c r="R226" i="1" s="1"/>
  <c r="N223" i="1"/>
  <c r="M224" i="1"/>
  <c r="G221" i="1"/>
  <c r="J221" i="1" s="1"/>
  <c r="N224" i="1"/>
  <c r="N221" i="1"/>
  <c r="C231" i="1"/>
  <c r="M207" i="1"/>
  <c r="G204" i="1"/>
  <c r="J204" i="1" s="1"/>
  <c r="N207" i="1"/>
  <c r="I211" i="1"/>
  <c r="M206" i="1" s="1"/>
  <c r="E208" i="1"/>
  <c r="E210" i="1" s="1"/>
  <c r="N204" i="1" s="1"/>
  <c r="D210" i="1"/>
  <c r="C214" i="1"/>
  <c r="M189" i="1"/>
  <c r="G186" i="1"/>
  <c r="J186" i="1" s="1"/>
  <c r="N189" i="1"/>
  <c r="I193" i="1"/>
  <c r="M188" i="1" s="1"/>
  <c r="E190" i="1"/>
  <c r="E192" i="1" s="1"/>
  <c r="N186" i="1" s="1"/>
  <c r="D192" i="1"/>
  <c r="C196" i="1"/>
  <c r="N171" i="1"/>
  <c r="N168" i="1"/>
  <c r="M171" i="1"/>
  <c r="G168" i="1"/>
  <c r="J168" i="1" s="1"/>
  <c r="I175" i="1"/>
  <c r="M170" i="1" s="1"/>
  <c r="R173" i="1" s="1"/>
  <c r="N170" i="1"/>
  <c r="C178" i="1"/>
  <c r="N153" i="1"/>
  <c r="N150" i="1"/>
  <c r="M153" i="1"/>
  <c r="G150" i="1"/>
  <c r="J150" i="1" s="1"/>
  <c r="I157" i="1"/>
  <c r="M152" i="1" s="1"/>
  <c r="R155" i="1" s="1"/>
  <c r="N152" i="1"/>
  <c r="C160" i="1"/>
  <c r="N135" i="1"/>
  <c r="M135" i="1"/>
  <c r="M132" i="1"/>
  <c r="G132" i="1"/>
  <c r="J132" i="1" s="1"/>
  <c r="E138" i="1"/>
  <c r="N132" i="1" s="1"/>
  <c r="N134" i="1"/>
  <c r="R137" i="1" s="1"/>
  <c r="C142" i="1"/>
  <c r="D120" i="1"/>
  <c r="E118" i="1"/>
  <c r="E120" i="1" s="1"/>
  <c r="I121" i="1"/>
  <c r="M116" i="1" s="1"/>
  <c r="R119" i="1" s="1"/>
  <c r="N116" i="1"/>
  <c r="N117" i="1"/>
  <c r="N114" i="1"/>
  <c r="M117" i="1"/>
  <c r="G114" i="1"/>
  <c r="J114" i="1" s="1"/>
  <c r="I103" i="1"/>
  <c r="M98" i="1" s="1"/>
  <c r="R101" i="1" s="1"/>
  <c r="N98" i="1"/>
  <c r="M99" i="1"/>
  <c r="G96" i="1"/>
  <c r="J96" i="1" s="1"/>
  <c r="N99" i="1"/>
  <c r="N96" i="1"/>
  <c r="C106" i="1"/>
  <c r="I13" i="1"/>
  <c r="N8" i="1"/>
  <c r="M9" i="1"/>
  <c r="G6" i="1"/>
  <c r="J6" i="1" s="1"/>
  <c r="N9" i="1"/>
  <c r="N6" i="1"/>
  <c r="C16" i="1"/>
  <c r="I86" i="1"/>
  <c r="M81" i="1" s="1"/>
  <c r="R84" i="1" s="1"/>
  <c r="N81" i="1"/>
  <c r="M82" i="1"/>
  <c r="G79" i="1"/>
  <c r="J79" i="1" s="1"/>
  <c r="N82" i="1"/>
  <c r="N79" i="1"/>
  <c r="C89" i="1"/>
  <c r="I66" i="1"/>
  <c r="M61" i="1" s="1"/>
  <c r="N61" i="1"/>
  <c r="C69" i="1"/>
  <c r="M64" i="1"/>
  <c r="R64" i="1" s="1"/>
  <c r="M62" i="1"/>
  <c r="G59" i="1"/>
  <c r="J59" i="1" s="1"/>
  <c r="N62" i="1"/>
  <c r="N59" i="1"/>
  <c r="I49" i="1"/>
  <c r="N42" i="1"/>
  <c r="N44" i="1"/>
  <c r="C52" i="1"/>
  <c r="M45" i="1"/>
  <c r="M8" i="1" l="1"/>
  <c r="R11" i="1" s="1"/>
  <c r="T15" i="1"/>
  <c r="R135" i="1"/>
  <c r="Y10" i="1"/>
  <c r="AF6" i="1"/>
  <c r="AD16" i="1"/>
  <c r="Z16" i="1"/>
  <c r="X12" i="1"/>
  <c r="AE16" i="1"/>
  <c r="Y16" i="1"/>
  <c r="N206" i="1"/>
  <c r="R209" i="1" s="1"/>
  <c r="M59" i="1"/>
  <c r="R62" i="1" s="1"/>
  <c r="M114" i="1"/>
  <c r="R117" i="1" s="1"/>
  <c r="M6" i="1"/>
  <c r="R9" i="1" s="1"/>
  <c r="T9" i="1" s="1"/>
  <c r="M221" i="1"/>
  <c r="R224" i="1" s="1"/>
  <c r="M204" i="1"/>
  <c r="R207" i="1" s="1"/>
  <c r="N188" i="1"/>
  <c r="R191" i="1" s="1"/>
  <c r="M186" i="1"/>
  <c r="R189" i="1" s="1"/>
  <c r="M168" i="1"/>
  <c r="R171" i="1" s="1"/>
  <c r="M150" i="1"/>
  <c r="R153" i="1" s="1"/>
  <c r="M96" i="1"/>
  <c r="R99" i="1" s="1"/>
  <c r="M79" i="1"/>
  <c r="R82" i="1" s="1"/>
  <c r="M44" i="1"/>
  <c r="R47" i="1" s="1"/>
  <c r="M42" i="1"/>
  <c r="R45" i="1" s="1"/>
  <c r="Z10" i="1" l="1"/>
  <c r="Z12" i="1" s="1"/>
  <c r="Y12" i="1"/>
  <c r="AE10" i="1" s="1"/>
  <c r="S13" i="1"/>
  <c r="T16" i="1"/>
  <c r="T18" i="1" s="1"/>
  <c r="R13" i="1"/>
  <c r="T11" i="1"/>
  <c r="AH11" i="1" l="1"/>
  <c r="AH8" i="1"/>
  <c r="AI11" i="1"/>
  <c r="AM9" i="1" s="1"/>
  <c r="AF11" i="1"/>
  <c r="AI8" i="1"/>
  <c r="AI6" i="1" l="1"/>
  <c r="AH6" i="1"/>
  <c r="AI9" i="1"/>
  <c r="AH9" i="1"/>
  <c r="AB6" i="1"/>
  <c r="AE6" i="1" s="1"/>
  <c r="AM11" i="1" l="1"/>
  <c r="AM13" i="1" l="1"/>
  <c r="AO11" i="1"/>
  <c r="AO9" i="1"/>
</calcChain>
</file>

<file path=xl/sharedStrings.xml><?xml version="1.0" encoding="utf-8"?>
<sst xmlns="http://schemas.openxmlformats.org/spreadsheetml/2006/main" count="785" uniqueCount="71">
  <si>
    <t>I</t>
  </si>
  <si>
    <t>II</t>
  </si>
  <si>
    <t>III</t>
  </si>
  <si>
    <t>IV</t>
  </si>
  <si>
    <t>alpha_1</t>
  </si>
  <si>
    <t>alpha_2</t>
  </si>
  <si>
    <t>alpha_3</t>
  </si>
  <si>
    <t>alpha_4</t>
  </si>
  <si>
    <t>delta</t>
  </si>
  <si>
    <t>F</t>
  </si>
  <si>
    <t>R</t>
  </si>
  <si>
    <t>alpha</t>
  </si>
  <si>
    <t>d</t>
  </si>
  <si>
    <t>a</t>
  </si>
  <si>
    <t>tau</t>
  </si>
  <si>
    <t>1-d</t>
  </si>
  <si>
    <t>p</t>
  </si>
  <si>
    <t>1-a</t>
  </si>
  <si>
    <t>mixed</t>
  </si>
  <si>
    <t>Fig.4.4</t>
  </si>
  <si>
    <t>Fig.4.3</t>
  </si>
  <si>
    <t>Fig.4.1</t>
  </si>
  <si>
    <t>Fig.4.2</t>
  </si>
  <si>
    <t>Fig.4.2.</t>
  </si>
  <si>
    <t>Fig.4.5</t>
  </si>
  <si>
    <t>Fig.4.8</t>
  </si>
  <si>
    <t>GAME</t>
  </si>
  <si>
    <t>NASH</t>
  </si>
  <si>
    <t>D</t>
  </si>
  <si>
    <r>
      <t>C</t>
    </r>
    <r>
      <rPr>
        <vertAlign val="subscript"/>
        <sz val="14"/>
        <color theme="1"/>
        <rFont val="Calibri"/>
        <family val="2"/>
        <scheme val="minor"/>
      </rPr>
      <t>R</t>
    </r>
  </si>
  <si>
    <r>
      <t>C</t>
    </r>
    <r>
      <rPr>
        <vertAlign val="subscript"/>
        <sz val="12"/>
        <color theme="1"/>
        <rFont val="Calibri"/>
        <family val="2"/>
        <scheme val="minor"/>
      </rPr>
      <t>F</t>
    </r>
  </si>
  <si>
    <r>
      <t>P</t>
    </r>
    <r>
      <rPr>
        <vertAlign val="subscript"/>
        <sz val="14"/>
        <color theme="1"/>
        <rFont val="Calibri"/>
        <family val="2"/>
        <scheme val="minor"/>
      </rPr>
      <t>F</t>
    </r>
  </si>
  <si>
    <r>
      <t>F</t>
    </r>
    <r>
      <rPr>
        <vertAlign val="subscript"/>
        <sz val="14"/>
        <color theme="1"/>
        <rFont val="Calibri"/>
        <family val="2"/>
        <scheme val="minor"/>
      </rPr>
      <t>N</t>
    </r>
  </si>
  <si>
    <r>
      <t>R</t>
    </r>
    <r>
      <rPr>
        <vertAlign val="subscript"/>
        <sz val="14"/>
        <color theme="1"/>
        <rFont val="Calibri"/>
        <family val="2"/>
        <scheme val="minor"/>
      </rPr>
      <t>N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</si>
  <si>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</si>
  <si>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</si>
  <si>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</si>
  <si>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4</t>
    </r>
  </si>
  <si>
    <t>t</t>
  </si>
  <si>
    <r>
      <t>(1-d)</t>
    </r>
    <r>
      <rPr>
        <vertAlign val="superscript"/>
        <sz val="12"/>
        <color theme="1"/>
        <rFont val="Symbol"/>
        <family val="1"/>
        <charset val="2"/>
      </rPr>
      <t>2</t>
    </r>
  </si>
  <si>
    <r>
      <t>d</t>
    </r>
    <r>
      <rPr>
        <vertAlign val="superscript"/>
        <sz val="12"/>
        <color theme="1"/>
        <rFont val="Symbol"/>
        <family val="1"/>
        <charset val="2"/>
      </rPr>
      <t>2</t>
    </r>
  </si>
  <si>
    <r>
      <t>1-a</t>
    </r>
    <r>
      <rPr>
        <vertAlign val="subscript"/>
        <sz val="12"/>
        <color theme="1"/>
        <rFont val="Symbol"/>
        <family val="1"/>
        <charset val="2"/>
      </rPr>
      <t>1</t>
    </r>
  </si>
  <si>
    <r>
      <t>1-a</t>
    </r>
    <r>
      <rPr>
        <vertAlign val="subscript"/>
        <sz val="12"/>
        <color theme="1"/>
        <rFont val="Symbol"/>
        <family val="1"/>
        <charset val="2"/>
      </rPr>
      <t>2</t>
    </r>
  </si>
  <si>
    <r>
      <t>1-a</t>
    </r>
    <r>
      <rPr>
        <vertAlign val="subscript"/>
        <sz val="12"/>
        <color theme="1"/>
        <rFont val="Symbol"/>
        <family val="1"/>
        <charset val="2"/>
      </rPr>
      <t>3</t>
    </r>
  </si>
  <si>
    <r>
      <t>1-a</t>
    </r>
    <r>
      <rPr>
        <vertAlign val="subscript"/>
        <sz val="12"/>
        <color theme="1"/>
        <rFont val="Symbol"/>
        <family val="1"/>
        <charset val="2"/>
      </rPr>
      <t>4</t>
    </r>
  </si>
  <si>
    <t>1-t</t>
  </si>
  <si>
    <t>Entered data</t>
  </si>
  <si>
    <r>
      <t>d-d</t>
    </r>
    <r>
      <rPr>
        <vertAlign val="superscript"/>
        <sz val="12"/>
        <color theme="1"/>
        <rFont val="Symbol"/>
        <family val="1"/>
        <charset val="2"/>
      </rPr>
      <t>2</t>
    </r>
  </si>
  <si>
    <r>
      <t>d+(a-a</t>
    </r>
    <r>
      <rPr>
        <vertAlign val="subscript"/>
        <sz val="12"/>
        <color theme="1"/>
        <rFont val="Symbol"/>
        <family val="1"/>
        <charset val="2"/>
      </rPr>
      <t>4</t>
    </r>
    <r>
      <rPr>
        <sz val="11"/>
        <color theme="1"/>
        <rFont val="Symbol"/>
        <family val="1"/>
        <charset val="2"/>
      </rPr>
      <t>)/(1-a)</t>
    </r>
  </si>
  <si>
    <r>
      <t>d-(1-a</t>
    </r>
    <r>
      <rPr>
        <vertAlign val="subscript"/>
        <sz val="12"/>
        <color theme="1"/>
        <rFont val="Symbol"/>
        <family val="1"/>
        <charset val="2"/>
      </rPr>
      <t>4</t>
    </r>
    <r>
      <rPr>
        <sz val="11"/>
        <color theme="1"/>
        <rFont val="Symbol"/>
        <family val="1"/>
        <charset val="2"/>
      </rPr>
      <t>/a)</t>
    </r>
  </si>
  <si>
    <t>b</t>
  </si>
  <si>
    <t>d+b</t>
  </si>
  <si>
    <r>
      <t>b=-d</t>
    </r>
    <r>
      <rPr>
        <vertAlign val="superscript"/>
        <sz val="12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+(a-a</t>
    </r>
    <r>
      <rPr>
        <vertAlign val="subscript"/>
        <sz val="12"/>
        <color theme="1"/>
        <rFont val="Symbol"/>
        <family val="1"/>
        <charset val="2"/>
      </rPr>
      <t>3</t>
    </r>
    <r>
      <rPr>
        <sz val="11"/>
        <color theme="1"/>
        <rFont val="Symbol"/>
        <family val="1"/>
        <charset val="2"/>
      </rPr>
      <t>)/(1-a)</t>
    </r>
  </si>
  <si>
    <r>
      <t>d+(a-a</t>
    </r>
    <r>
      <rPr>
        <vertAlign val="subscript"/>
        <sz val="12"/>
        <color theme="1"/>
        <rFont val="Symbol"/>
        <family val="1"/>
        <charset val="2"/>
      </rPr>
      <t>3</t>
    </r>
    <r>
      <rPr>
        <sz val="11"/>
        <color theme="1"/>
        <rFont val="Symbol"/>
        <family val="1"/>
        <charset val="2"/>
      </rPr>
      <t>)/(1-a)</t>
    </r>
  </si>
  <si>
    <r>
      <t>d(a</t>
    </r>
    <r>
      <rPr>
        <vertAlign val="subscript"/>
        <sz val="12"/>
        <color theme="1"/>
        <rFont val="Symbol"/>
        <family val="1"/>
        <charset val="2"/>
      </rPr>
      <t>3</t>
    </r>
    <r>
      <rPr>
        <sz val="11"/>
        <color theme="1"/>
        <rFont val="Symbol"/>
        <family val="1"/>
        <charset val="2"/>
      </rPr>
      <t>/a)</t>
    </r>
  </si>
  <si>
    <t>x=</t>
  </si>
  <si>
    <t>y=</t>
  </si>
  <si>
    <t>mixed strategies:</t>
  </si>
  <si>
    <t>x = reg, y = firm</t>
  </si>
  <si>
    <r>
      <t>1-a</t>
    </r>
    <r>
      <rPr>
        <vertAlign val="subscript"/>
        <sz val="12"/>
        <color theme="1"/>
        <rFont val="Symbol"/>
        <family val="1"/>
        <charset val="2"/>
      </rPr>
      <t>4</t>
    </r>
    <r>
      <rPr>
        <sz val="11"/>
        <color theme="1"/>
        <rFont val="Symbol"/>
        <family val="1"/>
        <charset val="2"/>
      </rPr>
      <t>/a</t>
    </r>
  </si>
  <si>
    <t>f=</t>
  </si>
  <si>
    <t>r=</t>
  </si>
  <si>
    <t>probability of pollution</t>
  </si>
  <si>
    <t>just del</t>
  </si>
  <si>
    <t>with del^2</t>
  </si>
  <si>
    <t>with mixed</t>
  </si>
  <si>
    <t>optimal alpha</t>
  </si>
  <si>
    <t>optimal tau</t>
  </si>
  <si>
    <t>x+y-1</t>
  </si>
  <si>
    <t>xydelta</t>
  </si>
  <si>
    <t>predict: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</si>
</sst>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2"/>
      <color theme="1"/>
      <name val="Symbol"/>
      <family val="1"/>
      <charset val="2"/>
    </font>
    <font>
      <vertAlign val="subscript"/>
      <sz val="12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4" borderId="3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3" borderId="11" xfId="0" applyFill="1" applyBorder="1"/>
    <xf numFmtId="0" fontId="0" fillId="3" borderId="12" xfId="0" applyFill="1" applyBorder="1"/>
    <xf numFmtId="0" fontId="0" fillId="5" borderId="3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7" xfId="0" applyBorder="1"/>
    <xf numFmtId="0" fontId="0" fillId="6" borderId="1" xfId="0" applyFill="1" applyBorder="1"/>
    <xf numFmtId="0" fontId="0" fillId="6" borderId="0" xfId="0" applyFill="1" applyBorder="1"/>
    <xf numFmtId="0" fontId="0" fillId="0" borderId="0" xfId="0" applyFill="1" applyBorder="1"/>
    <xf numFmtId="0" fontId="2" fillId="0" borderId="2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22" xfId="0" applyFont="1" applyBorder="1"/>
    <xf numFmtId="0" fontId="2" fillId="0" borderId="26" xfId="0" applyFont="1" applyBorder="1" applyAlignment="1">
      <alignment horizontal="right"/>
    </xf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0" xfId="0" applyFill="1" applyBorder="1"/>
    <xf numFmtId="0" fontId="2" fillId="0" borderId="14" xfId="0" quotePrefix="1" applyFont="1" applyBorder="1"/>
    <xf numFmtId="0" fontId="2" fillId="0" borderId="15" xfId="0" applyFont="1" applyBorder="1"/>
    <xf numFmtId="0" fontId="2" fillId="0" borderId="24" xfId="0" applyFont="1" applyBorder="1"/>
    <xf numFmtId="0" fontId="2" fillId="0" borderId="2" xfId="0" applyFont="1" applyBorder="1"/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232"/>
  <sheetViews>
    <sheetView tabSelected="1" topLeftCell="B1" zoomScale="85" zoomScaleNormal="85" workbookViewId="0">
      <selection activeCell="R41" sqref="R41"/>
    </sheetView>
  </sheetViews>
  <sheetFormatPr defaultRowHeight="15" x14ac:dyDescent="0.25"/>
  <cols>
    <col min="2" max="2" width="3.28515625" customWidth="1"/>
    <col min="4" max="4" width="15.28515625" customWidth="1"/>
    <col min="5" max="5" width="13.140625" customWidth="1"/>
    <col min="8" max="8" width="10.28515625" customWidth="1"/>
    <col min="9" max="9" width="15.7109375" customWidth="1"/>
    <col min="11" max="11" width="8.7109375" customWidth="1"/>
    <col min="12" max="12" width="5.7109375" customWidth="1"/>
    <col min="13" max="13" width="13.5703125" customWidth="1"/>
    <col min="14" max="14" width="14.5703125" customWidth="1"/>
    <col min="15" max="15" width="3.28515625" customWidth="1"/>
    <col min="16" max="16" width="15" customWidth="1"/>
  </cols>
  <sheetData>
    <row r="1" spans="2:41" ht="15.75" thickBot="1" x14ac:dyDescent="0.3"/>
    <row r="2" spans="2:4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W2" s="15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</row>
    <row r="3" spans="2:41" x14ac:dyDescent="0.25">
      <c r="B3" s="18"/>
      <c r="C3" t="s">
        <v>21</v>
      </c>
      <c r="D3" s="42" t="s">
        <v>46</v>
      </c>
      <c r="E3" s="19"/>
      <c r="F3" s="19"/>
      <c r="G3" s="19"/>
      <c r="H3" s="19"/>
      <c r="I3" s="19"/>
      <c r="J3" s="19"/>
      <c r="K3" s="19"/>
      <c r="L3" s="19"/>
      <c r="O3" s="20"/>
      <c r="W3" s="18"/>
      <c r="X3" t="s">
        <v>21</v>
      </c>
      <c r="Y3" s="42" t="s">
        <v>46</v>
      </c>
      <c r="Z3" s="19"/>
      <c r="AA3" s="19"/>
      <c r="AB3" s="19"/>
      <c r="AC3" s="19"/>
      <c r="AD3" s="19"/>
      <c r="AE3" s="19"/>
      <c r="AF3" s="19"/>
      <c r="AG3" s="19"/>
      <c r="AJ3" s="20"/>
    </row>
    <row r="4" spans="2:41" ht="15.75" thickBot="1" x14ac:dyDescent="0.3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O4" s="20"/>
      <c r="W4" s="18"/>
      <c r="X4" s="19"/>
      <c r="Y4" s="19"/>
      <c r="Z4" s="19"/>
      <c r="AA4" s="19"/>
      <c r="AB4" s="19"/>
      <c r="AC4" s="19"/>
      <c r="AD4" s="19"/>
      <c r="AE4" s="19"/>
      <c r="AF4" s="19"/>
      <c r="AG4" s="19"/>
      <c r="AJ4" s="20"/>
    </row>
    <row r="5" spans="2:41" ht="21" thickBot="1" x14ac:dyDescent="0.4">
      <c r="B5" s="18"/>
      <c r="C5" s="32" t="s">
        <v>28</v>
      </c>
      <c r="D5" s="24" t="s">
        <v>29</v>
      </c>
      <c r="E5" s="24" t="s">
        <v>30</v>
      </c>
      <c r="F5" s="24" t="s">
        <v>31</v>
      </c>
      <c r="G5" s="24" t="s">
        <v>32</v>
      </c>
      <c r="H5" s="24" t="s">
        <v>33</v>
      </c>
      <c r="I5" s="24"/>
      <c r="J5" s="24" t="s">
        <v>9</v>
      </c>
      <c r="K5" s="25" t="s">
        <v>10</v>
      </c>
      <c r="L5" s="19"/>
      <c r="M5" s="31" t="s">
        <v>26</v>
      </c>
      <c r="N5" s="19"/>
      <c r="O5" s="20"/>
      <c r="W5" s="18"/>
      <c r="X5" s="32" t="s">
        <v>28</v>
      </c>
      <c r="Y5" s="24" t="s">
        <v>29</v>
      </c>
      <c r="Z5" s="24" t="s">
        <v>30</v>
      </c>
      <c r="AA5" s="24" t="s">
        <v>31</v>
      </c>
      <c r="AB5" s="24" t="s">
        <v>32</v>
      </c>
      <c r="AC5" s="24" t="s">
        <v>33</v>
      </c>
      <c r="AD5" s="24"/>
      <c r="AE5" s="24" t="s">
        <v>9</v>
      </c>
      <c r="AF5" s="25" t="s">
        <v>10</v>
      </c>
      <c r="AG5" s="19"/>
      <c r="AH5" s="31" t="s">
        <v>26</v>
      </c>
      <c r="AI5" s="19"/>
      <c r="AJ5" s="20"/>
    </row>
    <row r="6" spans="2:41" ht="15.75" thickBot="1" x14ac:dyDescent="0.3">
      <c r="B6" s="18"/>
      <c r="C6" s="39">
        <v>500</v>
      </c>
      <c r="D6" s="40">
        <v>40</v>
      </c>
      <c r="E6" s="40">
        <v>40</v>
      </c>
      <c r="F6" s="40">
        <v>1000</v>
      </c>
      <c r="G6" s="22">
        <f>E6*K11/(K10*C6)</f>
        <v>9.6000000000000002E-2</v>
      </c>
      <c r="H6" s="22">
        <f>D6/(K10*C6)</f>
        <v>0.16</v>
      </c>
      <c r="I6" s="22"/>
      <c r="J6" s="22">
        <f>G6/C12</f>
        <v>0.192</v>
      </c>
      <c r="K6" s="23">
        <f>H6/C10</f>
        <v>0.32</v>
      </c>
      <c r="L6" s="19"/>
      <c r="M6" s="7">
        <f>K11*(F6-E6)-I13*K10*D12*C6</f>
        <v>568.1875</v>
      </c>
      <c r="N6" s="9">
        <f>K11*(F6-E6)-I11*K10*E12*C6</f>
        <v>544.75</v>
      </c>
      <c r="O6" s="20"/>
      <c r="Q6" t="s">
        <v>57</v>
      </c>
      <c r="W6" s="18"/>
      <c r="X6" s="39">
        <v>500</v>
      </c>
      <c r="Y6" s="40">
        <v>45</v>
      </c>
      <c r="Z6" s="40">
        <v>40</v>
      </c>
      <c r="AA6" s="40">
        <v>1000</v>
      </c>
      <c r="AB6" s="22">
        <f>Z6*AF11/(AF10*X6)</f>
        <v>9.7500000000000003E-2</v>
      </c>
      <c r="AC6" s="22">
        <f>Y6/(AF10*X6)</f>
        <v>0.18</v>
      </c>
      <c r="AD6" s="22"/>
      <c r="AE6" s="22">
        <f>AB6/X12</f>
        <v>2.4374999999999978</v>
      </c>
      <c r="AF6" s="23">
        <f>AC6/X10</f>
        <v>0.1875</v>
      </c>
      <c r="AG6" s="19"/>
      <c r="AH6" s="7">
        <f>AF11*(AA6-Z6)-AD13*AF10*Y12*X6</f>
        <v>584.375</v>
      </c>
      <c r="AI6" s="9">
        <f>AF11*(AA6-Z6)-AD11*AF10*Z12*X6</f>
        <v>582.5</v>
      </c>
      <c r="AJ6" s="20"/>
      <c r="AL6" t="s">
        <v>57</v>
      </c>
    </row>
    <row r="7" spans="2:41" ht="15.75" thickBot="1" x14ac:dyDescent="0.3">
      <c r="B7" s="18"/>
      <c r="C7" s="19"/>
      <c r="D7" s="19" t="s">
        <v>0</v>
      </c>
      <c r="E7" s="19" t="s">
        <v>1</v>
      </c>
      <c r="F7" s="19" t="s">
        <v>2</v>
      </c>
      <c r="G7" s="19" t="s">
        <v>3</v>
      </c>
      <c r="H7" s="19"/>
      <c r="I7" s="19"/>
      <c r="J7" s="19"/>
      <c r="K7" s="19"/>
      <c r="L7" s="19"/>
      <c r="M7" s="3"/>
      <c r="N7" s="4"/>
      <c r="O7" s="20"/>
      <c r="Q7" t="s">
        <v>58</v>
      </c>
      <c r="W7" s="18"/>
      <c r="X7" s="19"/>
      <c r="Y7" s="19" t="s">
        <v>0</v>
      </c>
      <c r="Z7" s="19" t="s">
        <v>1</v>
      </c>
      <c r="AA7" s="19" t="s">
        <v>2</v>
      </c>
      <c r="AB7" s="19" t="s">
        <v>3</v>
      </c>
      <c r="AC7" s="19"/>
      <c r="AD7" s="19"/>
      <c r="AE7" s="19"/>
      <c r="AF7" s="19"/>
      <c r="AG7" s="19"/>
      <c r="AH7" s="3"/>
      <c r="AI7" s="4"/>
      <c r="AJ7" s="20"/>
      <c r="AL7" t="s">
        <v>58</v>
      </c>
    </row>
    <row r="8" spans="2:41" ht="20.25" x14ac:dyDescent="0.35">
      <c r="B8" s="18"/>
      <c r="C8" s="33" t="s">
        <v>13</v>
      </c>
      <c r="D8" s="16" t="s">
        <v>34</v>
      </c>
      <c r="E8" s="16" t="s">
        <v>35</v>
      </c>
      <c r="F8" s="16" t="s">
        <v>36</v>
      </c>
      <c r="G8" s="16" t="s">
        <v>37</v>
      </c>
      <c r="H8" s="34" t="s">
        <v>12</v>
      </c>
      <c r="I8" s="16"/>
      <c r="J8" s="34" t="s">
        <v>38</v>
      </c>
      <c r="K8" s="17"/>
      <c r="L8" s="19"/>
      <c r="M8" s="5">
        <f>J10*(F6-E6)-D6-I13*K10*C6*D10</f>
        <v>336.1875</v>
      </c>
      <c r="N8" s="6">
        <f>J10*(F6-E6)-I11*K10*E10*C6</f>
        <v>352.75</v>
      </c>
      <c r="O8" s="20"/>
      <c r="W8" s="18"/>
      <c r="X8" s="33" t="s">
        <v>13</v>
      </c>
      <c r="Y8" s="16" t="s">
        <v>34</v>
      </c>
      <c r="Z8" s="16" t="s">
        <v>35</v>
      </c>
      <c r="AA8" s="16" t="s">
        <v>36</v>
      </c>
      <c r="AB8" s="16" t="s">
        <v>37</v>
      </c>
      <c r="AC8" s="34" t="s">
        <v>12</v>
      </c>
      <c r="AD8" s="16"/>
      <c r="AE8" s="34" t="s">
        <v>38</v>
      </c>
      <c r="AF8" s="17"/>
      <c r="AG8" s="19"/>
      <c r="AH8" s="5">
        <f>AE10*(AA6-Z6)-Y6-AD13*AF10*X6*Y10</f>
        <v>315</v>
      </c>
      <c r="AI8" s="6">
        <f>AE10*(AA6-Z6)-AD11*AF10*Z10*X6</f>
        <v>315</v>
      </c>
      <c r="AJ8" s="20"/>
    </row>
    <row r="9" spans="2:41" x14ac:dyDescent="0.25">
      <c r="B9" s="18"/>
      <c r="C9" s="26" t="s">
        <v>11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/>
      <c r="J9" s="2" t="s">
        <v>14</v>
      </c>
      <c r="K9" s="27" t="s">
        <v>16</v>
      </c>
      <c r="L9" s="19"/>
      <c r="M9" s="8">
        <f>K11*F6-I11*K10*F12*C6</f>
        <v>568.75</v>
      </c>
      <c r="N9" s="10">
        <f>K11*F6-K10*G12*C6</f>
        <v>475</v>
      </c>
      <c r="O9" s="20"/>
      <c r="Q9" t="s">
        <v>55</v>
      </c>
      <c r="R9">
        <f>(N9-N6)/(M6-N6-M9+N9)</f>
        <v>0.99199999999999999</v>
      </c>
      <c r="S9" t="s">
        <v>61</v>
      </c>
      <c r="T9">
        <f>R9*(R11*M8+(1-R11)*M11)+(1-R9)*(R11*N8+(1-R11)*N11)</f>
        <v>334.43555555555554</v>
      </c>
      <c r="W9" s="18"/>
      <c r="X9" s="26" t="s">
        <v>11</v>
      </c>
      <c r="Y9" s="2" t="s">
        <v>4</v>
      </c>
      <c r="Z9" s="2" t="s">
        <v>5</v>
      </c>
      <c r="AA9" s="2" t="s">
        <v>6</v>
      </c>
      <c r="AB9" s="2" t="s">
        <v>7</v>
      </c>
      <c r="AC9" s="2" t="s">
        <v>8</v>
      </c>
      <c r="AD9" s="2"/>
      <c r="AE9" s="2" t="s">
        <v>14</v>
      </c>
      <c r="AF9" s="27" t="s">
        <v>16</v>
      </c>
      <c r="AG9" s="19"/>
      <c r="AH9" s="8">
        <f>AF11*AA6-AD11*AF10*AA12*X6</f>
        <v>584.375</v>
      </c>
      <c r="AI9" s="10">
        <f>AF11*AA6-AF10*AB12*X6</f>
        <v>442.70833333333331</v>
      </c>
      <c r="AJ9" s="20"/>
      <c r="AL9" t="s">
        <v>56</v>
      </c>
      <c r="AM9">
        <f>(AI11-AH11)/(AH8-AH11-AI8+AI11)</f>
        <v>1</v>
      </c>
      <c r="AN9" t="s">
        <v>60</v>
      </c>
      <c r="AO9">
        <f>AM9*(AM11*AH6+(1-AM11)*AI6)+(1-AM9)*(AH9*AM11+(1-AM11)*AI9)</f>
        <v>584.375</v>
      </c>
    </row>
    <row r="10" spans="2:41" ht="15.75" thickBot="1" x14ac:dyDescent="0.3">
      <c r="B10" s="18"/>
      <c r="C10" s="39">
        <f>1/2</f>
        <v>0.5</v>
      </c>
      <c r="D10" s="22">
        <f>C10</f>
        <v>0.5</v>
      </c>
      <c r="E10" s="22">
        <f>D10</f>
        <v>0.5</v>
      </c>
      <c r="F10" s="40">
        <f>1/2</f>
        <v>0.5</v>
      </c>
      <c r="G10" s="40">
        <v>0.5</v>
      </c>
      <c r="H10" s="40">
        <f>3/4</f>
        <v>0.75</v>
      </c>
      <c r="I10" s="22"/>
      <c r="J10" s="40">
        <v>0.4</v>
      </c>
      <c r="K10" s="41">
        <f>1/2</f>
        <v>0.5</v>
      </c>
      <c r="L10" s="19"/>
      <c r="M10" s="3"/>
      <c r="N10" s="4"/>
      <c r="O10" s="20"/>
      <c r="W10" s="18"/>
      <c r="X10" s="39">
        <f>Y6/(X16*X6*AF10)</f>
        <v>0.96</v>
      </c>
      <c r="Y10" s="22">
        <f>X10</f>
        <v>0.96</v>
      </c>
      <c r="Z10" s="22">
        <f>Y10</f>
        <v>0.96</v>
      </c>
      <c r="AA10" s="40">
        <v>0.6</v>
      </c>
      <c r="AB10" s="40">
        <f>1/3</f>
        <v>0.33333333333333331</v>
      </c>
      <c r="AC10" s="40">
        <f>3/4</f>
        <v>0.75</v>
      </c>
      <c r="AD10" s="22"/>
      <c r="AE10" s="40">
        <f>1-(AD11*AA12-AD13*Y12)/(Z6/(X6*0.5))</f>
        <v>0.390625</v>
      </c>
      <c r="AF10" s="41">
        <f>1/2</f>
        <v>0.5</v>
      </c>
      <c r="AG10" s="19"/>
      <c r="AH10" s="3"/>
      <c r="AI10" s="4"/>
      <c r="AJ10" s="20"/>
    </row>
    <row r="11" spans="2:41" ht="18" thickBot="1" x14ac:dyDescent="0.35">
      <c r="B11" s="18"/>
      <c r="C11" s="32" t="s">
        <v>17</v>
      </c>
      <c r="D11" s="37" t="s">
        <v>41</v>
      </c>
      <c r="E11" s="37" t="s">
        <v>42</v>
      </c>
      <c r="F11" s="37" t="s">
        <v>43</v>
      </c>
      <c r="G11" s="37" t="s">
        <v>44</v>
      </c>
      <c r="H11" s="35" t="s">
        <v>15</v>
      </c>
      <c r="I11" s="17">
        <f>1-H10</f>
        <v>0.25</v>
      </c>
      <c r="J11" s="38" t="s">
        <v>45</v>
      </c>
      <c r="K11" s="28">
        <f>1-J10</f>
        <v>0.6</v>
      </c>
      <c r="L11" s="19"/>
      <c r="M11" s="11">
        <f>J10*F6-D6-I11*K10*F10*C6</f>
        <v>328.75</v>
      </c>
      <c r="N11" s="12">
        <f>J10*F6-K10*G10*C6</f>
        <v>275</v>
      </c>
      <c r="O11" s="20"/>
      <c r="Q11" t="s">
        <v>56</v>
      </c>
      <c r="R11">
        <f>(N11-M11)/(M8-M11-N8+N11)</f>
        <v>0.76444444444444448</v>
      </c>
      <c r="S11" t="s">
        <v>60</v>
      </c>
      <c r="T11">
        <f>R11*(R9*M6+(1-R9)*N6)+(1-R11)*(M9*R9+(1-R9)*N9)</f>
        <v>568</v>
      </c>
      <c r="W11" s="18"/>
      <c r="X11" s="32" t="s">
        <v>17</v>
      </c>
      <c r="Y11" s="37" t="s">
        <v>41</v>
      </c>
      <c r="Z11" s="37" t="s">
        <v>42</v>
      </c>
      <c r="AA11" s="37" t="s">
        <v>43</v>
      </c>
      <c r="AB11" s="37" t="s">
        <v>44</v>
      </c>
      <c r="AC11" s="35" t="s">
        <v>15</v>
      </c>
      <c r="AD11" s="17">
        <f>1-AC10</f>
        <v>0.25</v>
      </c>
      <c r="AE11" s="38" t="s">
        <v>45</v>
      </c>
      <c r="AF11" s="28">
        <f>1-AE10</f>
        <v>0.609375</v>
      </c>
      <c r="AG11" s="19"/>
      <c r="AH11" s="11">
        <f>AE10*AA6-Y6-AD11*AF10*AA10*X6</f>
        <v>308.125</v>
      </c>
      <c r="AI11" s="12">
        <f>AE10*AA6-AF10*AB10*X6</f>
        <v>307.29166666666669</v>
      </c>
      <c r="AJ11" s="20"/>
      <c r="AL11" t="s">
        <v>55</v>
      </c>
      <c r="AM11">
        <f>(AI9-AI6)/(AH6-AI6-AH9+AI9)</f>
        <v>1</v>
      </c>
      <c r="AN11" t="s">
        <v>61</v>
      </c>
      <c r="AO11">
        <f>AM11*(AM9*AH8+(1-AM9)*AH11)+(1-AM11)*(AM9*AI8+(1-AM9)*AI11)</f>
        <v>315</v>
      </c>
    </row>
    <row r="12" spans="2:41" ht="18.75" thickBot="1" x14ac:dyDescent="0.3">
      <c r="B12" s="18"/>
      <c r="C12" s="21">
        <f>1-C10</f>
        <v>0.5</v>
      </c>
      <c r="D12" s="22">
        <f>1-D10</f>
        <v>0.5</v>
      </c>
      <c r="E12" s="22">
        <f>1-E10</f>
        <v>0.5</v>
      </c>
      <c r="F12" s="22">
        <f>1-F10</f>
        <v>0.5</v>
      </c>
      <c r="G12" s="22">
        <f>1-G10</f>
        <v>0.5</v>
      </c>
      <c r="H12" s="36" t="s">
        <v>40</v>
      </c>
      <c r="I12" s="20">
        <f>H10^2</f>
        <v>0.5625</v>
      </c>
      <c r="J12" s="19"/>
      <c r="K12" s="19"/>
      <c r="L12" s="19"/>
      <c r="M12" s="19"/>
      <c r="N12" s="19"/>
      <c r="O12" s="20"/>
      <c r="W12" s="18"/>
      <c r="X12" s="21">
        <f>1-X10</f>
        <v>4.0000000000000036E-2</v>
      </c>
      <c r="Y12" s="22">
        <f>1-Y10</f>
        <v>4.0000000000000036E-2</v>
      </c>
      <c r="Z12" s="22">
        <f>1-Z10</f>
        <v>4.0000000000000036E-2</v>
      </c>
      <c r="AA12" s="22">
        <f>1-AA10</f>
        <v>0.4</v>
      </c>
      <c r="AB12" s="22">
        <f>1-AB10</f>
        <v>0.66666666666666674</v>
      </c>
      <c r="AC12" s="36" t="s">
        <v>40</v>
      </c>
      <c r="AD12" s="20">
        <f>AC10^2</f>
        <v>0.5625</v>
      </c>
      <c r="AE12" s="19"/>
      <c r="AF12" s="19"/>
      <c r="AG12" s="19"/>
      <c r="AH12" s="19"/>
      <c r="AI12" s="19"/>
      <c r="AJ12" s="20"/>
    </row>
    <row r="13" spans="2:41" ht="18.75" thickBot="1" x14ac:dyDescent="0.3">
      <c r="B13" s="18"/>
      <c r="C13" s="19"/>
      <c r="D13" s="19"/>
      <c r="E13" s="19"/>
      <c r="F13" s="19"/>
      <c r="G13" s="19"/>
      <c r="H13" s="36" t="s">
        <v>39</v>
      </c>
      <c r="I13" s="20">
        <f>I11^2</f>
        <v>6.25E-2</v>
      </c>
      <c r="J13" s="19"/>
      <c r="K13" s="19"/>
      <c r="L13" s="19"/>
      <c r="M13" t="s">
        <v>27</v>
      </c>
      <c r="O13" s="20"/>
      <c r="Q13" t="s">
        <v>68</v>
      </c>
      <c r="R13">
        <f>R9+R11-1</f>
        <v>0.75644444444444447</v>
      </c>
      <c r="S13">
        <f>R9*R11*H10</f>
        <v>0.56874666666666673</v>
      </c>
      <c r="T13" t="s">
        <v>69</v>
      </c>
      <c r="W13" s="18"/>
      <c r="X13" s="19"/>
      <c r="Y13" s="19"/>
      <c r="Z13" s="19"/>
      <c r="AA13" s="19"/>
      <c r="AB13" s="19"/>
      <c r="AC13" s="36" t="s">
        <v>39</v>
      </c>
      <c r="AD13" s="20">
        <f>AD11^2</f>
        <v>6.25E-2</v>
      </c>
      <c r="AE13" s="19"/>
      <c r="AF13" s="19"/>
      <c r="AG13" s="19"/>
      <c r="AH13" t="s">
        <v>27</v>
      </c>
      <c r="AJ13" s="20"/>
      <c r="AM13">
        <f>AM11+AM9</f>
        <v>2</v>
      </c>
    </row>
    <row r="14" spans="2:41" ht="18.75" x14ac:dyDescent="0.3">
      <c r="B14" s="18"/>
      <c r="C14" s="33"/>
      <c r="D14" s="34"/>
      <c r="E14" s="34"/>
      <c r="F14" s="43" t="s">
        <v>52</v>
      </c>
      <c r="G14" s="34"/>
      <c r="H14" s="34"/>
      <c r="I14" s="34"/>
      <c r="J14" s="34"/>
      <c r="K14" s="44"/>
      <c r="L14" s="19"/>
      <c r="M14" s="1" t="s">
        <v>0</v>
      </c>
      <c r="N14" s="29" t="s">
        <v>1</v>
      </c>
      <c r="O14" s="20"/>
      <c r="Q14" t="s">
        <v>62</v>
      </c>
      <c r="T14">
        <f>I11*K10</f>
        <v>0.125</v>
      </c>
      <c r="U14" t="s">
        <v>63</v>
      </c>
      <c r="W14" s="18"/>
      <c r="X14" s="33"/>
      <c r="Y14" s="34"/>
      <c r="Z14" s="34"/>
      <c r="AA14" s="43" t="s">
        <v>52</v>
      </c>
      <c r="AB14" s="34"/>
      <c r="AC14" s="34"/>
      <c r="AD14" s="34"/>
      <c r="AE14" s="34"/>
      <c r="AF14" s="44"/>
      <c r="AG14" s="19"/>
      <c r="AH14" s="1" t="s">
        <v>0</v>
      </c>
      <c r="AI14" s="29" t="s">
        <v>1</v>
      </c>
      <c r="AJ14" s="20"/>
    </row>
    <row r="15" spans="2:41" ht="18.75" x14ac:dyDescent="0.3">
      <c r="B15" s="18"/>
      <c r="C15" s="45" t="s">
        <v>47</v>
      </c>
      <c r="D15" s="46" t="s">
        <v>48</v>
      </c>
      <c r="E15" s="46" t="s">
        <v>49</v>
      </c>
      <c r="F15" s="46" t="s">
        <v>50</v>
      </c>
      <c r="G15" s="46" t="s">
        <v>51</v>
      </c>
      <c r="H15" s="46"/>
      <c r="I15" s="46" t="s">
        <v>53</v>
      </c>
      <c r="J15" s="46" t="s">
        <v>54</v>
      </c>
      <c r="K15" s="47"/>
      <c r="L15" s="19"/>
      <c r="M15" s="29" t="s">
        <v>2</v>
      </c>
      <c r="N15" s="1" t="s">
        <v>3</v>
      </c>
      <c r="O15" s="20"/>
      <c r="T15">
        <f>I13*K10</f>
        <v>3.125E-2</v>
      </c>
      <c r="U15" t="s">
        <v>64</v>
      </c>
      <c r="W15" s="18"/>
      <c r="X15" s="45" t="s">
        <v>47</v>
      </c>
      <c r="Y15" s="46" t="s">
        <v>48</v>
      </c>
      <c r="Z15" s="46" t="s">
        <v>49</v>
      </c>
      <c r="AA15" s="46" t="s">
        <v>50</v>
      </c>
      <c r="AB15" s="46" t="s">
        <v>51</v>
      </c>
      <c r="AC15" s="46"/>
      <c r="AD15" s="46" t="s">
        <v>53</v>
      </c>
      <c r="AE15" s="46" t="s">
        <v>54</v>
      </c>
      <c r="AF15" s="47"/>
      <c r="AG15" s="19"/>
      <c r="AH15" s="29" t="s">
        <v>2</v>
      </c>
      <c r="AI15" s="1" t="s">
        <v>3</v>
      </c>
      <c r="AJ15" s="20"/>
    </row>
    <row r="16" spans="2:41" ht="15.75" thickBot="1" x14ac:dyDescent="0.3">
      <c r="B16" s="18"/>
      <c r="C16" s="21">
        <f>H10-I12</f>
        <v>0.1875</v>
      </c>
      <c r="D16" s="22">
        <f>H10+(C10-G10)/(1-C10)</f>
        <v>0.75</v>
      </c>
      <c r="E16" s="22">
        <f>H10-(1-G10/C10)</f>
        <v>0.75</v>
      </c>
      <c r="F16" s="22">
        <f>-I12+(C10-F10)*(I11)/(1-C10)</f>
        <v>-0.5625</v>
      </c>
      <c r="G16" s="22">
        <f>H10+F16</f>
        <v>0.1875</v>
      </c>
      <c r="H16" s="22"/>
      <c r="I16" s="22">
        <f>H10+(C10-F10)/(1-C10)</f>
        <v>0.75</v>
      </c>
      <c r="J16" s="22">
        <f>H10*F10/C10</f>
        <v>0.75</v>
      </c>
      <c r="K16" s="23"/>
      <c r="L16" s="19"/>
      <c r="M16" s="19"/>
      <c r="N16" s="19"/>
      <c r="O16" s="20"/>
      <c r="T16">
        <f>(1-R9*H10)*(1-R11*H10)*K10</f>
        <v>5.4613333333333333E-2</v>
      </c>
      <c r="U16" t="s">
        <v>65</v>
      </c>
      <c r="W16" s="18"/>
      <c r="X16" s="21">
        <f>AC10-AD12</f>
        <v>0.1875</v>
      </c>
      <c r="Y16" s="22">
        <f>AC10+(X10-AB10)/(1-X10)</f>
        <v>16.416666666666654</v>
      </c>
      <c r="Z16" s="22">
        <f>AC10-(1-AB10/X10)</f>
        <v>9.722222222222221E-2</v>
      </c>
      <c r="AA16" s="22">
        <f>-AD12+(X10-AA10)*(AD11)/(1-X10)</f>
        <v>1.6874999999999978</v>
      </c>
      <c r="AB16" s="22">
        <f>AC10+AA16</f>
        <v>2.4374999999999978</v>
      </c>
      <c r="AC16" s="22"/>
      <c r="AD16" s="22">
        <f>AC10+(X10-AA10)/(1-X10)</f>
        <v>9.7499999999999911</v>
      </c>
      <c r="AE16" s="22">
        <f>AC10*AA10/X10</f>
        <v>0.46874999999999994</v>
      </c>
      <c r="AF16" s="23"/>
      <c r="AG16" s="19"/>
      <c r="AH16" s="19"/>
      <c r="AI16" s="19"/>
      <c r="AJ16" s="20"/>
    </row>
    <row r="17" spans="2:52" ht="15.75" thickBot="1" x14ac:dyDescent="0.3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W17" s="21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2:52" x14ac:dyDescent="0.25">
      <c r="T18">
        <f>T14/T16</f>
        <v>2.288818359375</v>
      </c>
    </row>
    <row r="19" spans="2:52" ht="15.75" thickBot="1" x14ac:dyDescent="0.3"/>
    <row r="20" spans="2:52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AM20" s="15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2:52" x14ac:dyDescent="0.25">
      <c r="B21" s="18"/>
      <c r="C21" t="s">
        <v>22</v>
      </c>
      <c r="D21" s="42" t="s">
        <v>46</v>
      </c>
      <c r="E21" s="19"/>
      <c r="F21" s="19"/>
      <c r="G21" s="19"/>
      <c r="H21" s="19"/>
      <c r="I21" s="19"/>
      <c r="J21" s="19"/>
      <c r="K21" s="19"/>
      <c r="L21" s="19"/>
      <c r="O21" s="20"/>
      <c r="AM21" s="18"/>
      <c r="AO21" s="42"/>
      <c r="AP21" s="19"/>
      <c r="AQ21" s="19"/>
      <c r="AR21" s="19"/>
      <c r="AS21" s="19"/>
      <c r="AT21" s="19"/>
      <c r="AU21" s="19"/>
      <c r="AV21" s="19"/>
      <c r="AW21" s="19"/>
      <c r="AZ21" s="20"/>
    </row>
    <row r="22" spans="2:52" ht="15.75" thickBot="1" x14ac:dyDescent="0.3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O22" s="20"/>
      <c r="AM22" s="18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Z22" s="20"/>
    </row>
    <row r="23" spans="2:52" ht="21" thickBot="1" x14ac:dyDescent="0.4">
      <c r="B23" s="18"/>
      <c r="C23" s="32" t="s">
        <v>28</v>
      </c>
      <c r="D23" s="24" t="s">
        <v>29</v>
      </c>
      <c r="E23" s="24" t="s">
        <v>30</v>
      </c>
      <c r="F23" s="24" t="s">
        <v>31</v>
      </c>
      <c r="G23" s="24" t="s">
        <v>32</v>
      </c>
      <c r="H23" s="24" t="s">
        <v>33</v>
      </c>
      <c r="I23" s="24"/>
      <c r="J23" s="24" t="s">
        <v>9</v>
      </c>
      <c r="K23" s="25" t="s">
        <v>10</v>
      </c>
      <c r="L23" s="19"/>
      <c r="M23" s="31" t="s">
        <v>26</v>
      </c>
      <c r="N23" s="19"/>
      <c r="O23" s="20"/>
      <c r="AM23" s="18"/>
      <c r="AN23" s="32"/>
      <c r="AO23" s="24"/>
      <c r="AP23" s="24"/>
      <c r="AQ23" s="24"/>
      <c r="AR23" s="24"/>
      <c r="AS23" s="24"/>
      <c r="AT23" s="24"/>
      <c r="AU23" s="24"/>
      <c r="AV23" s="25"/>
      <c r="AW23" s="19"/>
      <c r="AX23" s="31"/>
      <c r="AY23" s="19"/>
      <c r="AZ23" s="20"/>
    </row>
    <row r="24" spans="2:52" ht="15.75" thickBot="1" x14ac:dyDescent="0.3">
      <c r="B24" s="18"/>
      <c r="C24" s="39">
        <v>250</v>
      </c>
      <c r="D24" s="40">
        <v>7</v>
      </c>
      <c r="E24" s="40">
        <v>55</v>
      </c>
      <c r="F24" s="40">
        <v>1000</v>
      </c>
      <c r="G24" s="22">
        <f>E24*K29/(K28*C24)</f>
        <v>0.19184000000000004</v>
      </c>
      <c r="H24" s="22">
        <f>D24/(K28*C24)</f>
        <v>5.6000000000000001E-2</v>
      </c>
      <c r="I24" s="22"/>
      <c r="J24" s="22">
        <f>G24/C30</f>
        <v>0.24785529715762278</v>
      </c>
      <c r="K24" s="23">
        <f>H24/C28</f>
        <v>0.24778761061946902</v>
      </c>
      <c r="L24" s="19"/>
      <c r="M24" s="13">
        <f>K29*(F24-E24)-I31*K28*D30*C24</f>
        <v>382.75312500000001</v>
      </c>
      <c r="N24" s="9">
        <f>K29*(F24-E24)-I29*K28*E30*C24</f>
        <v>358.8075</v>
      </c>
      <c r="O24" s="20"/>
      <c r="AM24" s="18"/>
      <c r="AN24" s="39"/>
      <c r="AO24" s="40"/>
      <c r="AP24" s="40"/>
      <c r="AQ24" s="40"/>
      <c r="AR24" s="22"/>
      <c r="AS24" s="22"/>
      <c r="AT24" s="22"/>
      <c r="AU24" s="22"/>
      <c r="AV24" s="23"/>
      <c r="AW24" s="19"/>
      <c r="AX24" s="13"/>
      <c r="AY24" s="9"/>
      <c r="AZ24" s="20"/>
    </row>
    <row r="25" spans="2:52" ht="15.75" thickBot="1" x14ac:dyDescent="0.3">
      <c r="B25" s="18"/>
      <c r="C25" s="19"/>
      <c r="D25" s="19" t="s">
        <v>0</v>
      </c>
      <c r="E25" s="19" t="s">
        <v>1</v>
      </c>
      <c r="F25" s="19" t="s">
        <v>2</v>
      </c>
      <c r="G25" s="19" t="s">
        <v>3</v>
      </c>
      <c r="H25" s="19"/>
      <c r="I25" s="19"/>
      <c r="J25" s="19"/>
      <c r="K25" s="19"/>
      <c r="L25" s="19"/>
      <c r="M25" s="3"/>
      <c r="N25" s="4"/>
      <c r="O25" s="20"/>
      <c r="AM25" s="18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3"/>
      <c r="AY25" s="4"/>
      <c r="AZ25" s="20"/>
    </row>
    <row r="26" spans="2:52" ht="20.25" x14ac:dyDescent="0.35">
      <c r="B26" s="18"/>
      <c r="C26" s="33" t="s">
        <v>13</v>
      </c>
      <c r="D26" s="16" t="s">
        <v>34</v>
      </c>
      <c r="E26" s="16" t="s">
        <v>35</v>
      </c>
      <c r="F26" s="16" t="s">
        <v>36</v>
      </c>
      <c r="G26" s="16" t="s">
        <v>37</v>
      </c>
      <c r="H26" s="34" t="s">
        <v>12</v>
      </c>
      <c r="I26" s="16"/>
      <c r="J26" s="34" t="s">
        <v>38</v>
      </c>
      <c r="K26" s="17"/>
      <c r="L26" s="19"/>
      <c r="M26" s="5">
        <f>J28*(F24-E24)-D24-I31*K28*C24*D28</f>
        <v>517.43437499999993</v>
      </c>
      <c r="N26" s="6">
        <f>J28*(F24-E24)-I29*K28*E28*C24</f>
        <v>517.44249999999988</v>
      </c>
      <c r="O26" s="20"/>
      <c r="AM26" s="18"/>
      <c r="AN26" s="33"/>
      <c r="AO26" s="16"/>
      <c r="AP26" s="16"/>
      <c r="AQ26" s="16"/>
      <c r="AR26" s="16"/>
      <c r="AS26" s="34"/>
      <c r="AT26" s="16"/>
      <c r="AU26" s="34"/>
      <c r="AV26" s="17"/>
      <c r="AW26" s="19"/>
      <c r="AX26" s="5"/>
      <c r="AY26" s="6"/>
      <c r="AZ26" s="20"/>
    </row>
    <row r="27" spans="2:52" x14ac:dyDescent="0.25">
      <c r="B27" s="18"/>
      <c r="C27" s="26" t="s">
        <v>11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/>
      <c r="J27" s="2" t="s">
        <v>14</v>
      </c>
      <c r="K27" s="27" t="s">
        <v>16</v>
      </c>
      <c r="L27" s="19"/>
      <c r="M27" s="14">
        <f>K29*F24-I29*K28*F30*C24</f>
        <v>382.78750000000002</v>
      </c>
      <c r="N27" s="10">
        <f>K29*F24-K28*G30*C24</f>
        <v>336.00000000000006</v>
      </c>
      <c r="O27" s="20"/>
      <c r="Q27" t="s">
        <v>55</v>
      </c>
      <c r="R27">
        <f>(N27-N24)/(M24-N24-M27+N27)</f>
        <v>0.99849508851615676</v>
      </c>
      <c r="S27" t="s">
        <v>61</v>
      </c>
      <c r="T27">
        <f>R27*(R29*M26+(1-R29)*M29)+(1-R27)*(R29*N26+(1-R29)*N29)</f>
        <v>517.51339488995643</v>
      </c>
      <c r="AM27" s="18"/>
      <c r="AN27" s="26"/>
      <c r="AO27" s="2"/>
      <c r="AP27" s="2"/>
      <c r="AQ27" s="2"/>
      <c r="AR27" s="2"/>
      <c r="AS27" s="2"/>
      <c r="AT27" s="2"/>
      <c r="AU27" s="2"/>
      <c r="AV27" s="27"/>
      <c r="AW27" s="19"/>
      <c r="AX27" s="14"/>
      <c r="AY27" s="10"/>
      <c r="AZ27" s="20"/>
    </row>
    <row r="28" spans="2:52" ht="15.75" thickBot="1" x14ac:dyDescent="0.3">
      <c r="B28" s="18"/>
      <c r="C28" s="39">
        <v>0.22600000000000001</v>
      </c>
      <c r="D28" s="22">
        <v>0.22600000000000001</v>
      </c>
      <c r="E28" s="22">
        <v>0.22600000000000001</v>
      </c>
      <c r="F28" s="40">
        <v>0.22600000000000001</v>
      </c>
      <c r="G28" s="40">
        <v>0.2</v>
      </c>
      <c r="H28" s="40">
        <v>0.45</v>
      </c>
      <c r="I28" s="22"/>
      <c r="J28" s="40">
        <v>0.56399999999999995</v>
      </c>
      <c r="K28" s="41">
        <f>1/2</f>
        <v>0.5</v>
      </c>
      <c r="L28" s="19"/>
      <c r="M28" s="3"/>
      <c r="N28" s="4"/>
      <c r="O28" s="20"/>
      <c r="AM28" s="18"/>
      <c r="AN28" s="39"/>
      <c r="AO28" s="22"/>
      <c r="AP28" s="22"/>
      <c r="AQ28" s="40"/>
      <c r="AR28" s="40"/>
      <c r="AS28" s="40"/>
      <c r="AT28" s="22"/>
      <c r="AU28" s="40"/>
      <c r="AV28" s="41"/>
      <c r="AW28" s="19"/>
      <c r="AX28" s="3"/>
      <c r="AY28" s="4"/>
      <c r="AZ28" s="20"/>
    </row>
    <row r="29" spans="2:52" ht="18" thickBot="1" x14ac:dyDescent="0.35">
      <c r="B29" s="18"/>
      <c r="C29" s="32" t="s">
        <v>17</v>
      </c>
      <c r="D29" s="37" t="s">
        <v>41</v>
      </c>
      <c r="E29" s="37" t="s">
        <v>42</v>
      </c>
      <c r="F29" s="37" t="s">
        <v>43</v>
      </c>
      <c r="G29" s="37" t="s">
        <v>44</v>
      </c>
      <c r="H29" s="35" t="s">
        <v>15</v>
      </c>
      <c r="I29" s="17">
        <f>1-H28</f>
        <v>0.55000000000000004</v>
      </c>
      <c r="J29" s="38" t="s">
        <v>45</v>
      </c>
      <c r="K29" s="28">
        <f>1-J28</f>
        <v>0.43600000000000005</v>
      </c>
      <c r="L29" s="19"/>
      <c r="M29" s="11">
        <f>J28*F24-D24-I29*K28*F28*C24</f>
        <v>541.46249999999998</v>
      </c>
      <c r="N29" s="12">
        <f>J28*F24-K28*G28*C24</f>
        <v>539</v>
      </c>
      <c r="O29" s="20"/>
      <c r="Q29" t="s">
        <v>56</v>
      </c>
      <c r="R29">
        <f>(N29-M29)/(M26-M29-N26+N29)</f>
        <v>0.99671135846194781</v>
      </c>
      <c r="S29" t="s">
        <v>60</v>
      </c>
      <c r="T29">
        <f>R29*(R27*M24+(1-R27)*N24)+(1-R29)*(M27*R27+(1-R27)*N27)</f>
        <v>382.71708895394966</v>
      </c>
      <c r="AM29" s="18"/>
      <c r="AN29" s="32"/>
      <c r="AO29" s="37"/>
      <c r="AP29" s="37"/>
      <c r="AQ29" s="37"/>
      <c r="AR29" s="37"/>
      <c r="AS29" s="35"/>
      <c r="AT29" s="17"/>
      <c r="AU29" s="38"/>
      <c r="AV29" s="28"/>
      <c r="AW29" s="19"/>
      <c r="AX29" s="11"/>
      <c r="AY29" s="12"/>
      <c r="AZ29" s="20"/>
    </row>
    <row r="30" spans="2:52" ht="18.75" thickBot="1" x14ac:dyDescent="0.3">
      <c r="B30" s="18"/>
      <c r="C30" s="21">
        <f>1-C28</f>
        <v>0.77400000000000002</v>
      </c>
      <c r="D30" s="22">
        <f>1-D28</f>
        <v>0.77400000000000002</v>
      </c>
      <c r="E30" s="22">
        <f>1-E28</f>
        <v>0.77400000000000002</v>
      </c>
      <c r="F30" s="22">
        <f>1-F28</f>
        <v>0.77400000000000002</v>
      </c>
      <c r="G30" s="22">
        <f>1-G28</f>
        <v>0.8</v>
      </c>
      <c r="H30" s="36" t="s">
        <v>40</v>
      </c>
      <c r="I30" s="20">
        <f>H28^2</f>
        <v>0.20250000000000001</v>
      </c>
      <c r="J30" s="19"/>
      <c r="K30" s="19"/>
      <c r="L30" s="19"/>
      <c r="M30" s="19"/>
      <c r="N30" s="19"/>
      <c r="O30" s="20"/>
      <c r="R30">
        <f>R27+R29</f>
        <v>1.9952064469781046</v>
      </c>
      <c r="AM30" s="18"/>
      <c r="AN30" s="21"/>
      <c r="AO30" s="22"/>
      <c r="AP30" s="22"/>
      <c r="AQ30" s="22"/>
      <c r="AR30" s="22"/>
      <c r="AS30" s="36"/>
      <c r="AT30" s="20"/>
      <c r="AU30" s="19"/>
      <c r="AV30" s="19"/>
      <c r="AW30" s="19"/>
      <c r="AX30" s="19"/>
      <c r="AY30" s="19"/>
      <c r="AZ30" s="20"/>
    </row>
    <row r="31" spans="2:52" ht="18.75" thickBot="1" x14ac:dyDescent="0.3">
      <c r="B31" s="18"/>
      <c r="C31" s="19"/>
      <c r="D31" s="19"/>
      <c r="E31" s="19"/>
      <c r="F31" s="19"/>
      <c r="G31" s="19"/>
      <c r="H31" s="36" t="s">
        <v>39</v>
      </c>
      <c r="I31" s="20">
        <f>I29^2</f>
        <v>0.30250000000000005</v>
      </c>
      <c r="J31" s="19"/>
      <c r="K31" s="19"/>
      <c r="L31" s="19"/>
      <c r="M31" t="s">
        <v>27</v>
      </c>
      <c r="N31" s="19"/>
      <c r="O31" s="20"/>
      <c r="Q31" t="s">
        <v>68</v>
      </c>
      <c r="R31">
        <f>R27+R29-1</f>
        <v>0.99520644697810456</v>
      </c>
      <c r="S31">
        <f>R27*R29*H28</f>
        <v>0.44784512824163464</v>
      </c>
      <c r="T31" t="s">
        <v>69</v>
      </c>
      <c r="AM31" s="18"/>
      <c r="AN31" s="19"/>
      <c r="AO31" s="19"/>
      <c r="AP31" s="19"/>
      <c r="AQ31" s="19"/>
      <c r="AR31" s="19"/>
      <c r="AS31" s="36"/>
      <c r="AT31" s="20"/>
      <c r="AU31" s="19"/>
      <c r="AV31" s="19"/>
      <c r="AW31" s="19"/>
      <c r="AY31" s="19"/>
      <c r="AZ31" s="20"/>
    </row>
    <row r="32" spans="2:52" ht="18.75" x14ac:dyDescent="0.3">
      <c r="B32" s="18"/>
      <c r="C32" s="33"/>
      <c r="D32" s="34"/>
      <c r="E32" s="34"/>
      <c r="F32" s="43" t="s">
        <v>52</v>
      </c>
      <c r="G32" s="34"/>
      <c r="H32" s="34"/>
      <c r="I32" s="34"/>
      <c r="J32" s="34"/>
      <c r="K32" s="44"/>
      <c r="L32" s="19"/>
      <c r="M32" s="1" t="s">
        <v>0</v>
      </c>
      <c r="N32" s="1" t="s">
        <v>1</v>
      </c>
      <c r="O32" s="20"/>
      <c r="T32">
        <f>I29*K28</f>
        <v>0.27500000000000002</v>
      </c>
      <c r="U32" t="s">
        <v>63</v>
      </c>
      <c r="AM32" s="18"/>
      <c r="AN32" s="33"/>
      <c r="AO32" s="34"/>
      <c r="AP32" s="34"/>
      <c r="AQ32" s="43"/>
      <c r="AR32" s="34"/>
      <c r="AS32" s="34"/>
      <c r="AT32" s="34"/>
      <c r="AU32" s="34"/>
      <c r="AV32" s="44"/>
      <c r="AW32" s="19"/>
      <c r="AX32" s="1"/>
      <c r="AY32" s="1"/>
      <c r="AZ32" s="20"/>
    </row>
    <row r="33" spans="2:52" ht="18.75" x14ac:dyDescent="0.3">
      <c r="B33" s="18"/>
      <c r="C33" s="45" t="s">
        <v>47</v>
      </c>
      <c r="D33" s="46" t="s">
        <v>48</v>
      </c>
      <c r="E33" s="46" t="s">
        <v>49</v>
      </c>
      <c r="F33" s="46" t="s">
        <v>50</v>
      </c>
      <c r="G33" s="46" t="s">
        <v>51</v>
      </c>
      <c r="H33" s="46" t="s">
        <v>59</v>
      </c>
      <c r="I33" s="46" t="s">
        <v>53</v>
      </c>
      <c r="J33" s="46" t="s">
        <v>54</v>
      </c>
      <c r="K33" s="47"/>
      <c r="L33" s="19"/>
      <c r="M33" s="1" t="s">
        <v>2</v>
      </c>
      <c r="N33" s="1" t="s">
        <v>3</v>
      </c>
      <c r="O33" s="20"/>
      <c r="T33">
        <f>I31*K28</f>
        <v>0.15125000000000002</v>
      </c>
      <c r="U33" t="s">
        <v>64</v>
      </c>
      <c r="AM33" s="18"/>
      <c r="AN33" s="45"/>
      <c r="AO33" s="46"/>
      <c r="AP33" s="46"/>
      <c r="AQ33" s="46"/>
      <c r="AR33" s="46"/>
      <c r="AS33" s="46"/>
      <c r="AT33" s="46"/>
      <c r="AU33" s="46"/>
      <c r="AV33" s="47"/>
      <c r="AW33" s="19"/>
      <c r="AX33" s="1"/>
      <c r="AY33" s="1"/>
      <c r="AZ33" s="20"/>
    </row>
    <row r="34" spans="2:52" ht="15.75" thickBot="1" x14ac:dyDescent="0.3">
      <c r="B34" s="18"/>
      <c r="C34" s="21">
        <f>H28-I30</f>
        <v>0.2475</v>
      </c>
      <c r="D34" s="22">
        <f>H28+(C28-G28)/(1-C28)</f>
        <v>0.48359173126614985</v>
      </c>
      <c r="E34" s="22">
        <f>H28-(1-G28/C28)</f>
        <v>0.33495575221238943</v>
      </c>
      <c r="F34" s="22">
        <f>-I30+(C28-F28)*(I29)/(1-C28)</f>
        <v>-0.20250000000000001</v>
      </c>
      <c r="G34" s="22">
        <f>H28+F34</f>
        <v>0.2475</v>
      </c>
      <c r="H34" s="22">
        <f>1-G28/C28</f>
        <v>0.11504424778761058</v>
      </c>
      <c r="I34" s="22">
        <f>H28+(C28-F28)/(1-C28)</f>
        <v>0.45</v>
      </c>
      <c r="J34" s="22">
        <f>H28*F28/C28</f>
        <v>0.44999999999999996</v>
      </c>
      <c r="K34" s="23"/>
      <c r="L34" s="19"/>
      <c r="M34" s="30" t="s">
        <v>18</v>
      </c>
      <c r="N34" s="19"/>
      <c r="O34" s="20"/>
      <c r="P34" t="s">
        <v>66</v>
      </c>
      <c r="Q34">
        <f>D24/(K28*C24*I29*H28)</f>
        <v>0.22626262626262628</v>
      </c>
      <c r="T34">
        <f>(1-R27*H28)*(1-R29*H28)*K28</f>
        <v>0.15184370328429428</v>
      </c>
      <c r="U34" t="s">
        <v>65</v>
      </c>
      <c r="AM34" s="18"/>
      <c r="AN34" s="21"/>
      <c r="AO34" s="22"/>
      <c r="AP34" s="22"/>
      <c r="AQ34" s="22"/>
      <c r="AR34" s="22"/>
      <c r="AS34" s="22"/>
      <c r="AT34" s="22"/>
      <c r="AU34" s="22"/>
      <c r="AV34" s="23"/>
      <c r="AW34" s="19"/>
      <c r="AX34" s="30"/>
      <c r="AY34" s="19"/>
      <c r="AZ34" s="20"/>
    </row>
    <row r="35" spans="2:52" ht="15.75" thickBot="1" x14ac:dyDescent="0.3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  <c r="P35" t="s">
        <v>67</v>
      </c>
      <c r="Q35">
        <f>1-(C34*K28*C24-D24)/(E24)</f>
        <v>0.5647727272727272</v>
      </c>
      <c r="AM35" s="21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3"/>
    </row>
    <row r="36" spans="2:52" x14ac:dyDescent="0.25">
      <c r="T36">
        <f>T32/T34</f>
        <v>1.8110727942740068</v>
      </c>
    </row>
    <row r="37" spans="2:52" ht="15.75" thickBot="1" x14ac:dyDescent="0.3"/>
    <row r="38" spans="2:52" x14ac:dyDescent="0.2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  <c r="R38" t="s">
        <v>70</v>
      </c>
    </row>
    <row r="39" spans="2:52" x14ac:dyDescent="0.25">
      <c r="B39" s="18"/>
      <c r="C39" t="s">
        <v>22</v>
      </c>
      <c r="D39" s="42" t="s">
        <v>46</v>
      </c>
      <c r="E39" s="19"/>
      <c r="F39" s="19"/>
      <c r="G39" s="19"/>
      <c r="H39" s="19"/>
      <c r="I39" s="19"/>
      <c r="J39" s="19"/>
      <c r="K39" s="19"/>
      <c r="L39" s="19"/>
      <c r="O39" s="20"/>
      <c r="R39">
        <f>J24*K24+I29*(D28-G28)*(D28*(K24+J24+1-2*H28)-J24-G28+H28)/(H28*D28*D30)</f>
        <v>8.6260140911989719E-2</v>
      </c>
      <c r="T39">
        <f>I30-I30*H28</f>
        <v>0.111375</v>
      </c>
    </row>
    <row r="40" spans="2:52" ht="15.75" thickBot="1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  <c r="R40">
        <f>J24*K24+I29*(D28-G28)*(D28*(K24-H28)-(D30)*(J24-H28)+D28-G28)/(H28*D28*D30)</f>
        <v>8.6260140911989719E-2</v>
      </c>
    </row>
    <row r="41" spans="2:52" ht="21" thickBot="1" x14ac:dyDescent="0.4">
      <c r="B41" s="18"/>
      <c r="C41" s="32" t="s">
        <v>28</v>
      </c>
      <c r="D41" s="24" t="s">
        <v>29</v>
      </c>
      <c r="E41" s="24" t="s">
        <v>30</v>
      </c>
      <c r="F41" s="24" t="s">
        <v>31</v>
      </c>
      <c r="G41" s="24" t="s">
        <v>32</v>
      </c>
      <c r="H41" s="24" t="s">
        <v>33</v>
      </c>
      <c r="I41" s="24"/>
      <c r="J41" s="24" t="s">
        <v>9</v>
      </c>
      <c r="K41" s="25" t="s">
        <v>10</v>
      </c>
      <c r="L41" s="19"/>
      <c r="M41" s="31" t="s">
        <v>26</v>
      </c>
      <c r="N41" s="19"/>
      <c r="O41" s="20"/>
    </row>
    <row r="42" spans="2:52" ht="15.75" thickBot="1" x14ac:dyDescent="0.3">
      <c r="B42" s="18"/>
      <c r="C42" s="39">
        <v>550</v>
      </c>
      <c r="D42" s="40">
        <v>10</v>
      </c>
      <c r="E42" s="40">
        <v>40</v>
      </c>
      <c r="F42" s="40">
        <v>1000</v>
      </c>
      <c r="G42" s="22">
        <f>E42*K47/(K46*C42)</f>
        <v>8.727272727272728E-2</v>
      </c>
      <c r="H42" s="22">
        <f>D42/(K46*C42)</f>
        <v>3.6363636363636362E-2</v>
      </c>
      <c r="I42" s="22"/>
      <c r="J42" s="22">
        <f>G42/C48</f>
        <v>0.17454545454545456</v>
      </c>
      <c r="K42" s="23">
        <f>H42/C46</f>
        <v>7.2727272727272724E-2</v>
      </c>
      <c r="L42" s="19"/>
      <c r="M42" s="7">
        <f>K47*(F42-E42)-I49*K46*D48*C42</f>
        <v>567.40625</v>
      </c>
      <c r="N42" s="9">
        <f>K47*(F42-E42)-I47*K46*E48*C42</f>
        <v>541.625</v>
      </c>
      <c r="O42" s="20"/>
    </row>
    <row r="43" spans="2:52" ht="15.75" thickBot="1" x14ac:dyDescent="0.3">
      <c r="B43" s="18"/>
      <c r="C43" s="19"/>
      <c r="D43" s="19" t="s">
        <v>0</v>
      </c>
      <c r="E43" s="19" t="s">
        <v>1</v>
      </c>
      <c r="F43" s="19" t="s">
        <v>2</v>
      </c>
      <c r="G43" s="19" t="s">
        <v>3</v>
      </c>
      <c r="H43" s="19"/>
      <c r="I43" s="19"/>
      <c r="J43" s="19"/>
      <c r="K43" s="19"/>
      <c r="L43" s="19"/>
      <c r="M43" s="3"/>
      <c r="N43" s="4"/>
      <c r="O43" s="20"/>
    </row>
    <row r="44" spans="2:52" ht="20.25" x14ac:dyDescent="0.35">
      <c r="B44" s="18"/>
      <c r="C44" s="33" t="s">
        <v>13</v>
      </c>
      <c r="D44" s="16" t="s">
        <v>34</v>
      </c>
      <c r="E44" s="16" t="s">
        <v>35</v>
      </c>
      <c r="F44" s="16" t="s">
        <v>36</v>
      </c>
      <c r="G44" s="16" t="s">
        <v>37</v>
      </c>
      <c r="H44" s="34" t="s">
        <v>12</v>
      </c>
      <c r="I44" s="16"/>
      <c r="J44" s="34" t="s">
        <v>38</v>
      </c>
      <c r="K44" s="17"/>
      <c r="L44" s="19"/>
      <c r="M44" s="5">
        <f>J46*(F42-E42)-D42-I49*K46*C42*D46</f>
        <v>365.40625</v>
      </c>
      <c r="N44" s="6">
        <f>J46*(F42-E42)-I47*K46*E46*C42</f>
        <v>349.625</v>
      </c>
      <c r="O44" s="20"/>
    </row>
    <row r="45" spans="2:52" x14ac:dyDescent="0.25">
      <c r="B45" s="18"/>
      <c r="C45" s="26" t="s">
        <v>11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/>
      <c r="J45" s="2" t="s">
        <v>14</v>
      </c>
      <c r="K45" s="27" t="s">
        <v>16</v>
      </c>
      <c r="L45" s="19"/>
      <c r="M45" s="8">
        <f>K47*F42-I47*K46*F48*C42</f>
        <v>565.625</v>
      </c>
      <c r="N45" s="10">
        <f>K47*F42-K46*G48*C42</f>
        <v>359.375</v>
      </c>
      <c r="O45" s="20"/>
      <c r="Q45" t="s">
        <v>55</v>
      </c>
      <c r="R45">
        <f>(N45-N42)/(M42-N42-M45+N45)</f>
        <v>1.0098701298701298</v>
      </c>
    </row>
    <row r="46" spans="2:52" ht="15.75" thickBot="1" x14ac:dyDescent="0.3">
      <c r="B46" s="18"/>
      <c r="C46" s="39">
        <f>1/2</f>
        <v>0.5</v>
      </c>
      <c r="D46" s="22">
        <f>C46</f>
        <v>0.5</v>
      </c>
      <c r="E46" s="22">
        <f>D46</f>
        <v>0.5</v>
      </c>
      <c r="F46" s="40">
        <f>1/2</f>
        <v>0.5</v>
      </c>
      <c r="G46" s="40">
        <f>1/8</f>
        <v>0.125</v>
      </c>
      <c r="H46" s="40">
        <f>3/4</f>
        <v>0.75</v>
      </c>
      <c r="I46" s="22"/>
      <c r="J46" s="40">
        <f>2/5</f>
        <v>0.4</v>
      </c>
      <c r="K46" s="41">
        <f>1/2</f>
        <v>0.5</v>
      </c>
      <c r="L46" s="19"/>
      <c r="M46" s="3"/>
      <c r="N46" s="4"/>
      <c r="O46" s="20"/>
    </row>
    <row r="47" spans="2:52" ht="18" thickBot="1" x14ac:dyDescent="0.35">
      <c r="B47" s="18"/>
      <c r="C47" s="32" t="s">
        <v>17</v>
      </c>
      <c r="D47" s="37" t="s">
        <v>41</v>
      </c>
      <c r="E47" s="37" t="s">
        <v>42</v>
      </c>
      <c r="F47" s="37" t="s">
        <v>43</v>
      </c>
      <c r="G47" s="37" t="s">
        <v>44</v>
      </c>
      <c r="H47" s="35" t="s">
        <v>15</v>
      </c>
      <c r="I47" s="17">
        <f>1-H46</f>
        <v>0.25</v>
      </c>
      <c r="J47" s="38" t="s">
        <v>45</v>
      </c>
      <c r="K47" s="28">
        <f>1-J46</f>
        <v>0.6</v>
      </c>
      <c r="L47" s="19"/>
      <c r="M47" s="11">
        <f>J46*F42-D42-I47*K46*F46*C42</f>
        <v>355.625</v>
      </c>
      <c r="N47" s="12">
        <f>J46*F42-K46*G46*C42</f>
        <v>365.625</v>
      </c>
      <c r="O47" s="20"/>
      <c r="Q47" t="s">
        <v>56</v>
      </c>
      <c r="R47">
        <f>(N47-M47)/(M44-M47-N44+N47)</f>
        <v>0.38787878787878788</v>
      </c>
    </row>
    <row r="48" spans="2:52" ht="18.75" thickBot="1" x14ac:dyDescent="0.3">
      <c r="B48" s="18"/>
      <c r="C48" s="21">
        <f>1-C46</f>
        <v>0.5</v>
      </c>
      <c r="D48" s="22">
        <f>1-D46</f>
        <v>0.5</v>
      </c>
      <c r="E48" s="22">
        <f>1-E46</f>
        <v>0.5</v>
      </c>
      <c r="F48" s="22">
        <f>1-F46</f>
        <v>0.5</v>
      </c>
      <c r="G48" s="22">
        <f>1-G46</f>
        <v>0.875</v>
      </c>
      <c r="H48" s="36" t="s">
        <v>40</v>
      </c>
      <c r="I48" s="20">
        <f>H46^2</f>
        <v>0.5625</v>
      </c>
      <c r="J48" s="19"/>
      <c r="K48" s="19"/>
      <c r="L48" s="19"/>
      <c r="M48" s="19"/>
      <c r="N48" s="19"/>
      <c r="O48" s="20"/>
    </row>
    <row r="49" spans="2:18" ht="18.75" thickBot="1" x14ac:dyDescent="0.3">
      <c r="B49" s="18"/>
      <c r="C49" s="19"/>
      <c r="D49" s="19"/>
      <c r="E49" s="19"/>
      <c r="F49" s="19"/>
      <c r="G49" s="19"/>
      <c r="H49" s="36" t="s">
        <v>39</v>
      </c>
      <c r="I49" s="20">
        <f>I47^2</f>
        <v>6.25E-2</v>
      </c>
      <c r="J49" s="19"/>
      <c r="K49" s="19"/>
      <c r="L49" s="19"/>
      <c r="M49" t="s">
        <v>27</v>
      </c>
      <c r="N49" s="19"/>
      <c r="O49" s="20"/>
    </row>
    <row r="50" spans="2:18" ht="18.75" x14ac:dyDescent="0.3">
      <c r="B50" s="18"/>
      <c r="C50" s="33"/>
      <c r="D50" s="34"/>
      <c r="E50" s="34"/>
      <c r="F50" s="43" t="s">
        <v>52</v>
      </c>
      <c r="G50" s="34"/>
      <c r="H50" s="34"/>
      <c r="I50" s="34"/>
      <c r="J50" s="34"/>
      <c r="K50" s="44"/>
      <c r="L50" s="19"/>
      <c r="M50" s="29" t="s">
        <v>0</v>
      </c>
      <c r="N50" s="1" t="s">
        <v>1</v>
      </c>
      <c r="O50" s="20"/>
    </row>
    <row r="51" spans="2:18" ht="18.75" x14ac:dyDescent="0.3">
      <c r="B51" s="18"/>
      <c r="C51" s="45" t="s">
        <v>47</v>
      </c>
      <c r="D51" s="46" t="s">
        <v>48</v>
      </c>
      <c r="E51" s="46" t="s">
        <v>49</v>
      </c>
      <c r="F51" s="46" t="s">
        <v>50</v>
      </c>
      <c r="G51" s="46" t="s">
        <v>51</v>
      </c>
      <c r="H51" s="46"/>
      <c r="I51" s="46" t="s">
        <v>53</v>
      </c>
      <c r="J51" s="46" t="s">
        <v>54</v>
      </c>
      <c r="K51" s="47"/>
      <c r="L51" s="19"/>
      <c r="M51" s="1" t="s">
        <v>2</v>
      </c>
      <c r="N51" s="1" t="s">
        <v>3</v>
      </c>
      <c r="O51" s="20"/>
    </row>
    <row r="52" spans="2:18" ht="15.75" thickBot="1" x14ac:dyDescent="0.3">
      <c r="B52" s="18"/>
      <c r="C52" s="21">
        <f>H46-I48</f>
        <v>0.1875</v>
      </c>
      <c r="D52" s="22">
        <f>H46+(C46-G46)/(1-C46)</f>
        <v>1.5</v>
      </c>
      <c r="E52" s="22">
        <f>H46-(1-G46/C46)</f>
        <v>0</v>
      </c>
      <c r="F52" s="22">
        <f>-I48+(C46-F46)*(I47)/(1-C46)</f>
        <v>-0.5625</v>
      </c>
      <c r="G52" s="22">
        <f>H46+F52</f>
        <v>0.1875</v>
      </c>
      <c r="H52" s="22"/>
      <c r="I52" s="22">
        <f>H46+(C46-F46)/(1-C46)</f>
        <v>0.75</v>
      </c>
      <c r="J52" s="22">
        <f>H46*F46/C46</f>
        <v>0.75</v>
      </c>
      <c r="K52" s="23"/>
      <c r="L52" s="19"/>
      <c r="M52" s="19"/>
      <c r="N52" s="19"/>
      <c r="O52" s="20"/>
    </row>
    <row r="53" spans="2:18" ht="15.75" thickBot="1" x14ac:dyDescent="0.3"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3"/>
    </row>
    <row r="54" spans="2:18" ht="15.75" thickBot="1" x14ac:dyDescent="0.3"/>
    <row r="55" spans="2:18" x14ac:dyDescent="0.25"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7"/>
    </row>
    <row r="56" spans="2:18" x14ac:dyDescent="0.25">
      <c r="B56" s="18"/>
      <c r="C56" t="s">
        <v>23</v>
      </c>
      <c r="D56" s="42" t="s">
        <v>46</v>
      </c>
      <c r="E56" s="19"/>
      <c r="F56" s="19"/>
      <c r="G56" s="19"/>
      <c r="H56" s="19"/>
      <c r="I56" s="19"/>
      <c r="J56" s="19"/>
      <c r="K56" s="19"/>
      <c r="L56" s="19"/>
      <c r="O56" s="20"/>
    </row>
    <row r="57" spans="2:18" ht="15.75" thickBot="1" x14ac:dyDescent="0.3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2:18" ht="21" thickBot="1" x14ac:dyDescent="0.4">
      <c r="B58" s="18"/>
      <c r="C58" s="32" t="s">
        <v>28</v>
      </c>
      <c r="D58" s="24" t="s">
        <v>29</v>
      </c>
      <c r="E58" s="24" t="s">
        <v>30</v>
      </c>
      <c r="F58" s="24" t="s">
        <v>31</v>
      </c>
      <c r="G58" s="24" t="s">
        <v>32</v>
      </c>
      <c r="H58" s="24" t="s">
        <v>33</v>
      </c>
      <c r="I58" s="24"/>
      <c r="J58" s="24" t="s">
        <v>9</v>
      </c>
      <c r="K58" s="25" t="s">
        <v>10</v>
      </c>
      <c r="L58" s="19"/>
      <c r="M58" s="31" t="s">
        <v>26</v>
      </c>
      <c r="N58" s="19"/>
      <c r="O58" s="20"/>
    </row>
    <row r="59" spans="2:18" ht="15.75" thickBot="1" x14ac:dyDescent="0.3">
      <c r="B59" s="18"/>
      <c r="C59" s="39">
        <v>200</v>
      </c>
      <c r="D59" s="40">
        <v>100</v>
      </c>
      <c r="E59" s="40">
        <v>5</v>
      </c>
      <c r="F59" s="40">
        <v>1000</v>
      </c>
      <c r="G59" s="22">
        <f>E59*K64/(K63*C59)</f>
        <v>0.03</v>
      </c>
      <c r="H59" s="22">
        <f>D59/(K63*C59)</f>
        <v>1</v>
      </c>
      <c r="I59" s="22"/>
      <c r="J59" s="22">
        <f>G59/C65</f>
        <v>0.06</v>
      </c>
      <c r="K59" s="23">
        <f>H59/C63</f>
        <v>2</v>
      </c>
      <c r="L59" s="19"/>
      <c r="M59" s="7">
        <f>K64*(F59-E59)-I66*K63*D65*C59</f>
        <v>593.875</v>
      </c>
      <c r="N59" s="9">
        <f>K64*(F59-E59)-I64*K63*E65*C59</f>
        <v>584.5</v>
      </c>
      <c r="O59" s="20"/>
    </row>
    <row r="60" spans="2:18" ht="15.75" thickBot="1" x14ac:dyDescent="0.3">
      <c r="B60" s="18"/>
      <c r="C60" s="19"/>
      <c r="D60" s="19" t="s">
        <v>0</v>
      </c>
      <c r="E60" s="19" t="s">
        <v>1</v>
      </c>
      <c r="F60" s="19" t="s">
        <v>2</v>
      </c>
      <c r="G60" s="19" t="s">
        <v>3</v>
      </c>
      <c r="H60" s="19"/>
      <c r="I60" s="19"/>
      <c r="J60" s="19"/>
      <c r="K60" s="19"/>
      <c r="L60" s="19"/>
      <c r="M60" s="3"/>
      <c r="N60" s="4"/>
      <c r="O60" s="20"/>
    </row>
    <row r="61" spans="2:18" ht="20.25" x14ac:dyDescent="0.35">
      <c r="B61" s="18"/>
      <c r="C61" s="33" t="s">
        <v>13</v>
      </c>
      <c r="D61" s="16" t="s">
        <v>34</v>
      </c>
      <c r="E61" s="16" t="s">
        <v>35</v>
      </c>
      <c r="F61" s="16" t="s">
        <v>36</v>
      </c>
      <c r="G61" s="16" t="s">
        <v>37</v>
      </c>
      <c r="H61" s="34" t="s">
        <v>12</v>
      </c>
      <c r="I61" s="16"/>
      <c r="J61" s="34" t="s">
        <v>38</v>
      </c>
      <c r="K61" s="17"/>
      <c r="L61" s="19"/>
      <c r="M61" s="5">
        <f>J63*(F59-E59)-D59-I66*K63*C59*D63</f>
        <v>294.875</v>
      </c>
      <c r="N61" s="6">
        <f>J63*(F59-E59)-I64*K63*E63*C59</f>
        <v>385.5</v>
      </c>
      <c r="O61" s="20"/>
    </row>
    <row r="62" spans="2:18" x14ac:dyDescent="0.25">
      <c r="B62" s="18"/>
      <c r="C62" s="26" t="s">
        <v>11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/>
      <c r="J62" s="2" t="s">
        <v>14</v>
      </c>
      <c r="K62" s="27" t="s">
        <v>16</v>
      </c>
      <c r="L62" s="19"/>
      <c r="M62" s="8">
        <f>K64*F59-I64*K63*F65*C59</f>
        <v>587.5</v>
      </c>
      <c r="N62" s="10">
        <f>K64*F59-K63*G65*C59</f>
        <v>514.28571428571422</v>
      </c>
      <c r="O62" s="20"/>
      <c r="Q62" t="s">
        <v>55</v>
      </c>
      <c r="R62">
        <f>(N62-N59)/(M59-N59-M62+N62)</f>
        <v>1.0998601398601398</v>
      </c>
    </row>
    <row r="63" spans="2:18" ht="15.75" thickBot="1" x14ac:dyDescent="0.3">
      <c r="B63" s="18"/>
      <c r="C63" s="39">
        <f>1/2</f>
        <v>0.5</v>
      </c>
      <c r="D63" s="22">
        <f>C63</f>
        <v>0.5</v>
      </c>
      <c r="E63" s="22">
        <f>D63</f>
        <v>0.5</v>
      </c>
      <c r="F63" s="40">
        <f>1/2</f>
        <v>0.5</v>
      </c>
      <c r="G63" s="40">
        <f>1/7</f>
        <v>0.14285714285714285</v>
      </c>
      <c r="H63" s="40">
        <f>3/4</f>
        <v>0.75</v>
      </c>
      <c r="I63" s="22"/>
      <c r="J63" s="40">
        <f>2/5</f>
        <v>0.4</v>
      </c>
      <c r="K63" s="41">
        <f>1/2</f>
        <v>0.5</v>
      </c>
      <c r="L63" s="19"/>
      <c r="M63" s="3"/>
      <c r="N63" s="4"/>
      <c r="O63" s="20"/>
    </row>
    <row r="64" spans="2:18" ht="18" thickBot="1" x14ac:dyDescent="0.35">
      <c r="B64" s="18"/>
      <c r="C64" s="32" t="s">
        <v>17</v>
      </c>
      <c r="D64" s="37" t="s">
        <v>41</v>
      </c>
      <c r="E64" s="37" t="s">
        <v>42</v>
      </c>
      <c r="F64" s="37" t="s">
        <v>43</v>
      </c>
      <c r="G64" s="37" t="s">
        <v>44</v>
      </c>
      <c r="H64" s="35" t="s">
        <v>15</v>
      </c>
      <c r="I64" s="17">
        <f>1-H63</f>
        <v>0.25</v>
      </c>
      <c r="J64" s="38" t="s">
        <v>45</v>
      </c>
      <c r="K64" s="28">
        <f>1-J63</f>
        <v>0.6</v>
      </c>
      <c r="L64" s="19"/>
      <c r="M64" s="11">
        <f>J63*F59-D59-I64*K63*F63*C59</f>
        <v>287.5</v>
      </c>
      <c r="N64" s="12">
        <f>J63*F59-K63*G63*C59</f>
        <v>385.71428571428572</v>
      </c>
      <c r="O64" s="20"/>
      <c r="Q64" t="s">
        <v>56</v>
      </c>
      <c r="R64">
        <f>(N64-M64)/(M61-M64-N61+N64)</f>
        <v>12.941176470588223</v>
      </c>
    </row>
    <row r="65" spans="2:15" ht="18.75" thickBot="1" x14ac:dyDescent="0.3">
      <c r="B65" s="18"/>
      <c r="C65" s="21">
        <f>1-C63</f>
        <v>0.5</v>
      </c>
      <c r="D65" s="22">
        <f>1-D63</f>
        <v>0.5</v>
      </c>
      <c r="E65" s="22">
        <f>1-E63</f>
        <v>0.5</v>
      </c>
      <c r="F65" s="22">
        <f>1-F63</f>
        <v>0.5</v>
      </c>
      <c r="G65" s="22">
        <f>1-G63</f>
        <v>0.85714285714285721</v>
      </c>
      <c r="H65" s="36" t="s">
        <v>40</v>
      </c>
      <c r="I65" s="20">
        <f>H63^2</f>
        <v>0.5625</v>
      </c>
      <c r="J65" s="19"/>
      <c r="K65" s="19"/>
      <c r="L65" s="19"/>
      <c r="M65" s="19"/>
      <c r="N65" s="19"/>
      <c r="O65" s="20"/>
    </row>
    <row r="66" spans="2:15" ht="18.75" thickBot="1" x14ac:dyDescent="0.3">
      <c r="B66" s="18"/>
      <c r="C66" s="19"/>
      <c r="D66" s="19"/>
      <c r="E66" s="19"/>
      <c r="F66" s="19"/>
      <c r="G66" s="19"/>
      <c r="H66" s="36" t="s">
        <v>39</v>
      </c>
      <c r="I66" s="20">
        <f>I64^2</f>
        <v>6.25E-2</v>
      </c>
      <c r="J66" s="19"/>
      <c r="K66" s="19"/>
      <c r="L66" s="19"/>
      <c r="M66" t="s">
        <v>27</v>
      </c>
      <c r="N66" s="19"/>
      <c r="O66" s="20"/>
    </row>
    <row r="67" spans="2:15" ht="18.75" x14ac:dyDescent="0.3">
      <c r="B67" s="18"/>
      <c r="C67" s="33"/>
      <c r="D67" s="34"/>
      <c r="E67" s="34"/>
      <c r="F67" s="43" t="s">
        <v>52</v>
      </c>
      <c r="G67" s="34"/>
      <c r="H67" s="34"/>
      <c r="I67" s="34"/>
      <c r="J67" s="34"/>
      <c r="K67" s="44"/>
      <c r="L67" s="19"/>
      <c r="M67" s="1" t="s">
        <v>0</v>
      </c>
      <c r="N67" s="29" t="s">
        <v>1</v>
      </c>
      <c r="O67" s="20"/>
    </row>
    <row r="68" spans="2:15" ht="18.75" x14ac:dyDescent="0.3">
      <c r="B68" s="18"/>
      <c r="C68" s="45" t="s">
        <v>47</v>
      </c>
      <c r="D68" s="46" t="s">
        <v>48</v>
      </c>
      <c r="E68" s="46" t="s">
        <v>49</v>
      </c>
      <c r="F68" s="46" t="s">
        <v>50</v>
      </c>
      <c r="G68" s="46" t="s">
        <v>51</v>
      </c>
      <c r="H68" s="46"/>
      <c r="I68" s="46" t="s">
        <v>53</v>
      </c>
      <c r="J68" s="46" t="s">
        <v>54</v>
      </c>
      <c r="K68" s="47"/>
      <c r="L68" s="19"/>
      <c r="M68" s="1" t="s">
        <v>2</v>
      </c>
      <c r="N68" s="1" t="s">
        <v>3</v>
      </c>
      <c r="O68" s="20"/>
    </row>
    <row r="69" spans="2:15" ht="15.75" thickBot="1" x14ac:dyDescent="0.3">
      <c r="B69" s="18"/>
      <c r="C69" s="21">
        <f>H63-I65</f>
        <v>0.1875</v>
      </c>
      <c r="D69" s="22">
        <f>H63+(C63-G63)/(1-C63)</f>
        <v>1.4642857142857144</v>
      </c>
      <c r="E69" s="22">
        <f>H63-(1-G63/C63)</f>
        <v>3.5714285714285698E-2</v>
      </c>
      <c r="F69" s="22">
        <f>-I65+(C63-F63)*(I64)/(1-C63)</f>
        <v>-0.5625</v>
      </c>
      <c r="G69" s="22">
        <f>H63+F69</f>
        <v>0.1875</v>
      </c>
      <c r="H69" s="22"/>
      <c r="I69" s="22">
        <f>H63+(C63-F63)/(1-C63)</f>
        <v>0.75</v>
      </c>
      <c r="J69" s="22">
        <f>H63*F63/C63</f>
        <v>0.75</v>
      </c>
      <c r="K69" s="23"/>
      <c r="L69" s="19"/>
      <c r="M69" s="19"/>
      <c r="N69" s="19"/>
      <c r="O69" s="20"/>
    </row>
    <row r="70" spans="2:15" ht="15.75" thickBot="1" x14ac:dyDescent="0.3"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3"/>
    </row>
    <row r="71" spans="2:15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2:15" ht="17.25" customHeight="1" x14ac:dyDescent="0.25"/>
    <row r="74" spans="2:15" ht="15.75" thickBot="1" x14ac:dyDescent="0.3"/>
    <row r="75" spans="2:15" x14ac:dyDescent="0.25"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7"/>
    </row>
    <row r="76" spans="2:15" x14ac:dyDescent="0.25">
      <c r="B76" s="18"/>
      <c r="C76" t="s">
        <v>22</v>
      </c>
      <c r="D76" s="42" t="s">
        <v>46</v>
      </c>
      <c r="E76" s="19"/>
      <c r="F76" s="19"/>
      <c r="G76" s="19"/>
      <c r="H76" s="19"/>
      <c r="I76" s="19"/>
      <c r="J76" s="19"/>
      <c r="K76" s="19"/>
      <c r="L76" s="19"/>
      <c r="O76" s="20"/>
    </row>
    <row r="77" spans="2:15" ht="15.75" thickBot="1" x14ac:dyDescent="0.3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0"/>
    </row>
    <row r="78" spans="2:15" ht="21" thickBot="1" x14ac:dyDescent="0.4">
      <c r="B78" s="18"/>
      <c r="C78" s="32" t="s">
        <v>28</v>
      </c>
      <c r="D78" s="24" t="s">
        <v>29</v>
      </c>
      <c r="E78" s="24" t="s">
        <v>30</v>
      </c>
      <c r="F78" s="24" t="s">
        <v>31</v>
      </c>
      <c r="G78" s="24" t="s">
        <v>32</v>
      </c>
      <c r="H78" s="24" t="s">
        <v>33</v>
      </c>
      <c r="I78" s="24"/>
      <c r="J78" s="24" t="s">
        <v>9</v>
      </c>
      <c r="K78" s="25" t="s">
        <v>10</v>
      </c>
      <c r="L78" s="19"/>
      <c r="M78" s="31" t="s">
        <v>26</v>
      </c>
      <c r="N78" s="19"/>
      <c r="O78" s="20"/>
    </row>
    <row r="79" spans="2:15" ht="15.75" thickBot="1" x14ac:dyDescent="0.3">
      <c r="B79" s="18"/>
      <c r="C79" s="39">
        <v>550</v>
      </c>
      <c r="D79" s="40">
        <v>300</v>
      </c>
      <c r="E79" s="40">
        <v>400</v>
      </c>
      <c r="F79" s="40">
        <v>1000</v>
      </c>
      <c r="G79" s="22">
        <f>E79*K84/(K83*C79)</f>
        <v>0.87272727272727268</v>
      </c>
      <c r="H79" s="22">
        <f>D79/(K83*C79)</f>
        <v>1.0909090909090908</v>
      </c>
      <c r="I79" s="22"/>
      <c r="J79" s="22">
        <f>G79/C85</f>
        <v>1.7454545454545454</v>
      </c>
      <c r="K79" s="23">
        <f>H79/C83</f>
        <v>2.1818181818181817</v>
      </c>
      <c r="L79" s="19"/>
      <c r="M79" s="7">
        <f>K84*(F79-E79)-I86*K83*D85*C79</f>
        <v>351.40625</v>
      </c>
      <c r="N79" s="9">
        <f>K84*(F79-E79)-I84*K83*E85*C79</f>
        <v>325.625</v>
      </c>
      <c r="O79" s="20"/>
    </row>
    <row r="80" spans="2:15" ht="15.75" thickBot="1" x14ac:dyDescent="0.3">
      <c r="B80" s="18"/>
      <c r="C80" s="19"/>
      <c r="D80" s="19" t="s">
        <v>0</v>
      </c>
      <c r="E80" s="19" t="s">
        <v>1</v>
      </c>
      <c r="F80" s="19" t="s">
        <v>2</v>
      </c>
      <c r="G80" s="19" t="s">
        <v>3</v>
      </c>
      <c r="H80" s="19"/>
      <c r="I80" s="19"/>
      <c r="J80" s="19"/>
      <c r="K80" s="19"/>
      <c r="L80" s="19"/>
      <c r="M80" s="3"/>
      <c r="N80" s="4"/>
      <c r="O80" s="20"/>
    </row>
    <row r="81" spans="2:18" ht="20.25" x14ac:dyDescent="0.35">
      <c r="B81" s="18"/>
      <c r="C81" s="33" t="s">
        <v>13</v>
      </c>
      <c r="D81" s="16" t="s">
        <v>34</v>
      </c>
      <c r="E81" s="16" t="s">
        <v>35</v>
      </c>
      <c r="F81" s="16" t="s">
        <v>36</v>
      </c>
      <c r="G81" s="16" t="s">
        <v>37</v>
      </c>
      <c r="H81" s="34" t="s">
        <v>12</v>
      </c>
      <c r="I81" s="16"/>
      <c r="J81" s="34" t="s">
        <v>38</v>
      </c>
      <c r="K81" s="17"/>
      <c r="L81" s="19"/>
      <c r="M81" s="5">
        <f>J83*(F79-E79)-D79-I86*K83*C79*D83</f>
        <v>-68.59375</v>
      </c>
      <c r="N81" s="6">
        <f>J83*(F79-E79)-I84*K83*E83*C79</f>
        <v>205.625</v>
      </c>
      <c r="O81" s="20"/>
    </row>
    <row r="82" spans="2:18" x14ac:dyDescent="0.25">
      <c r="B82" s="18"/>
      <c r="C82" s="26" t="s">
        <v>11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/>
      <c r="J82" s="2" t="s">
        <v>14</v>
      </c>
      <c r="K82" s="27" t="s">
        <v>16</v>
      </c>
      <c r="L82" s="19"/>
      <c r="M82" s="8">
        <f>K84*F79-I84*K83*F85*C79</f>
        <v>565.625</v>
      </c>
      <c r="N82" s="10">
        <f>K84*F79-K83*G85*C79</f>
        <v>364.28571428571428</v>
      </c>
      <c r="O82" s="20"/>
      <c r="Q82" t="s">
        <v>55</v>
      </c>
      <c r="R82">
        <f>(N82-N79)/(M79-N79-M82+N82)</f>
        <v>-0.22021614748887469</v>
      </c>
    </row>
    <row r="83" spans="2:18" ht="15.75" thickBot="1" x14ac:dyDescent="0.3">
      <c r="B83" s="18"/>
      <c r="C83" s="39">
        <f>1/2</f>
        <v>0.5</v>
      </c>
      <c r="D83" s="22">
        <f>C83</f>
        <v>0.5</v>
      </c>
      <c r="E83" s="22">
        <f>D83</f>
        <v>0.5</v>
      </c>
      <c r="F83" s="40">
        <f>1/2</f>
        <v>0.5</v>
      </c>
      <c r="G83" s="40">
        <f>1/7</f>
        <v>0.14285714285714285</v>
      </c>
      <c r="H83" s="40">
        <f>3/4</f>
        <v>0.75</v>
      </c>
      <c r="I83" s="22"/>
      <c r="J83" s="40">
        <f>2/5</f>
        <v>0.4</v>
      </c>
      <c r="K83" s="41">
        <f>1/2</f>
        <v>0.5</v>
      </c>
      <c r="L83" s="19"/>
      <c r="M83" s="3"/>
      <c r="N83" s="4"/>
      <c r="O83" s="20"/>
    </row>
    <row r="84" spans="2:18" ht="18" thickBot="1" x14ac:dyDescent="0.35">
      <c r="B84" s="18"/>
      <c r="C84" s="32" t="s">
        <v>17</v>
      </c>
      <c r="D84" s="37" t="s">
        <v>41</v>
      </c>
      <c r="E84" s="37" t="s">
        <v>42</v>
      </c>
      <c r="F84" s="37" t="s">
        <v>43</v>
      </c>
      <c r="G84" s="37" t="s">
        <v>44</v>
      </c>
      <c r="H84" s="35" t="s">
        <v>15</v>
      </c>
      <c r="I84" s="17">
        <f>1-H83</f>
        <v>0.25</v>
      </c>
      <c r="J84" s="38" t="s">
        <v>45</v>
      </c>
      <c r="K84" s="28">
        <f>1-J83</f>
        <v>0.6</v>
      </c>
      <c r="L84" s="19"/>
      <c r="M84" s="11">
        <f>J83*F79-D79-I84*K83*F83*C79</f>
        <v>65.625</v>
      </c>
      <c r="N84" s="12">
        <f>J83*F79-K83*G83*C79</f>
        <v>360.71428571428572</v>
      </c>
      <c r="O84" s="20"/>
      <c r="Q84" t="s">
        <v>56</v>
      </c>
      <c r="R84">
        <f>(N84-M84)/(M81-M84-N81+N84)</f>
        <v>14.139037433155075</v>
      </c>
    </row>
    <row r="85" spans="2:18" ht="18.75" thickBot="1" x14ac:dyDescent="0.3">
      <c r="B85" s="18"/>
      <c r="C85" s="21">
        <f>1-C83</f>
        <v>0.5</v>
      </c>
      <c r="D85" s="22">
        <f>1-D83</f>
        <v>0.5</v>
      </c>
      <c r="E85" s="22">
        <f>1-E83</f>
        <v>0.5</v>
      </c>
      <c r="F85" s="22">
        <f>1-F83</f>
        <v>0.5</v>
      </c>
      <c r="G85" s="22">
        <f>1-G83</f>
        <v>0.85714285714285721</v>
      </c>
      <c r="H85" s="36" t="s">
        <v>40</v>
      </c>
      <c r="I85" s="20">
        <f>H83^2</f>
        <v>0.5625</v>
      </c>
      <c r="J85" s="19"/>
      <c r="K85" s="19"/>
      <c r="L85" s="19"/>
      <c r="M85" s="19"/>
      <c r="N85" s="19"/>
      <c r="O85" s="20"/>
    </row>
    <row r="86" spans="2:18" ht="18.75" thickBot="1" x14ac:dyDescent="0.3">
      <c r="B86" s="18"/>
      <c r="C86" s="19"/>
      <c r="D86" s="19"/>
      <c r="E86" s="19"/>
      <c r="F86" s="19"/>
      <c r="G86" s="19"/>
      <c r="H86" s="36" t="s">
        <v>39</v>
      </c>
      <c r="I86" s="20">
        <f>I84^2</f>
        <v>6.25E-2</v>
      </c>
      <c r="J86" s="19"/>
      <c r="K86" s="19"/>
      <c r="L86" s="19"/>
      <c r="M86" t="s">
        <v>27</v>
      </c>
      <c r="N86" s="19"/>
      <c r="O86" s="20"/>
    </row>
    <row r="87" spans="2:18" ht="18.75" x14ac:dyDescent="0.3">
      <c r="B87" s="18"/>
      <c r="C87" s="33"/>
      <c r="D87" s="34"/>
      <c r="E87" s="34"/>
      <c r="F87" s="43" t="s">
        <v>52</v>
      </c>
      <c r="G87" s="34"/>
      <c r="H87" s="34"/>
      <c r="I87" s="34"/>
      <c r="J87" s="34"/>
      <c r="K87" s="44"/>
      <c r="L87" s="19"/>
      <c r="M87" s="1" t="s">
        <v>0</v>
      </c>
      <c r="N87" s="1" t="s">
        <v>1</v>
      </c>
      <c r="O87" s="20"/>
    </row>
    <row r="88" spans="2:18" ht="18.75" x14ac:dyDescent="0.3">
      <c r="B88" s="18"/>
      <c r="C88" s="45" t="s">
        <v>47</v>
      </c>
      <c r="D88" s="46" t="s">
        <v>48</v>
      </c>
      <c r="E88" s="46" t="s">
        <v>49</v>
      </c>
      <c r="F88" s="46" t="s">
        <v>50</v>
      </c>
      <c r="G88" s="46" t="s">
        <v>51</v>
      </c>
      <c r="H88" s="46"/>
      <c r="I88" s="46" t="s">
        <v>53</v>
      </c>
      <c r="J88" s="46" t="s">
        <v>54</v>
      </c>
      <c r="K88" s="47"/>
      <c r="L88" s="19"/>
      <c r="M88" s="1" t="s">
        <v>2</v>
      </c>
      <c r="N88" s="29" t="s">
        <v>3</v>
      </c>
      <c r="O88" s="20"/>
    </row>
    <row r="89" spans="2:18" ht="15.75" thickBot="1" x14ac:dyDescent="0.3">
      <c r="B89" s="18"/>
      <c r="C89" s="21">
        <f>H83-I85</f>
        <v>0.1875</v>
      </c>
      <c r="D89" s="22">
        <f>H83+(C83-G83)/(1-C83)</f>
        <v>1.4642857142857144</v>
      </c>
      <c r="E89" s="22">
        <f>H83-(1-G83/C83)</f>
        <v>3.5714285714285698E-2</v>
      </c>
      <c r="F89" s="22">
        <f>-I85+(C83-F83)*(I84)/(1-C83)</f>
        <v>-0.5625</v>
      </c>
      <c r="G89" s="22">
        <f>H83+F89</f>
        <v>0.1875</v>
      </c>
      <c r="H89" s="22"/>
      <c r="I89" s="22">
        <f>H83+(C83-F83)/(1-C83)</f>
        <v>0.75</v>
      </c>
      <c r="J89" s="22">
        <f>H83*F83/C83</f>
        <v>0.75</v>
      </c>
      <c r="K89" s="23"/>
      <c r="L89" s="19"/>
      <c r="M89" s="19"/>
      <c r="N89" s="19"/>
      <c r="O89" s="20"/>
    </row>
    <row r="90" spans="2:18" ht="15.75" thickBot="1" x14ac:dyDescent="0.3"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2:18" ht="15.75" thickBot="1" x14ac:dyDescent="0.3"/>
    <row r="92" spans="2:18" x14ac:dyDescent="0.25"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7"/>
    </row>
    <row r="93" spans="2:18" x14ac:dyDescent="0.25">
      <c r="B93" s="18"/>
      <c r="C93" t="s">
        <v>20</v>
      </c>
      <c r="D93" s="42" t="s">
        <v>46</v>
      </c>
      <c r="E93" s="19"/>
      <c r="F93" s="19"/>
      <c r="G93" s="19"/>
      <c r="H93" s="19"/>
      <c r="I93" s="19"/>
      <c r="J93" s="19"/>
      <c r="K93" s="19"/>
      <c r="L93" s="19"/>
      <c r="O93" s="20"/>
    </row>
    <row r="94" spans="2:18" ht="15.75" thickBot="1" x14ac:dyDescent="0.3"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20"/>
    </row>
    <row r="95" spans="2:18" ht="21" thickBot="1" x14ac:dyDescent="0.4">
      <c r="B95" s="18"/>
      <c r="C95" s="32" t="s">
        <v>28</v>
      </c>
      <c r="D95" s="24" t="s">
        <v>29</v>
      </c>
      <c r="E95" s="24" t="s">
        <v>30</v>
      </c>
      <c r="F95" s="24" t="s">
        <v>31</v>
      </c>
      <c r="G95" s="24" t="s">
        <v>32</v>
      </c>
      <c r="H95" s="24" t="s">
        <v>33</v>
      </c>
      <c r="I95" s="24"/>
      <c r="J95" s="24" t="s">
        <v>9</v>
      </c>
      <c r="K95" s="25" t="s">
        <v>10</v>
      </c>
      <c r="L95" s="19"/>
      <c r="M95" s="31" t="s">
        <v>26</v>
      </c>
      <c r="N95" s="19"/>
      <c r="O95" s="20"/>
    </row>
    <row r="96" spans="2:18" ht="15.75" thickBot="1" x14ac:dyDescent="0.3">
      <c r="B96" s="18"/>
      <c r="C96" s="39">
        <v>500</v>
      </c>
      <c r="D96" s="40">
        <v>50</v>
      </c>
      <c r="E96" s="40">
        <v>40</v>
      </c>
      <c r="F96" s="40">
        <v>1000</v>
      </c>
      <c r="G96" s="22">
        <f>E96*K101/(K100*C96)</f>
        <v>9.6000000000000002E-2</v>
      </c>
      <c r="H96" s="22">
        <f>D96/(K100*C96)</f>
        <v>0.2</v>
      </c>
      <c r="I96" s="22"/>
      <c r="J96" s="22">
        <f>G96/C102</f>
        <v>0.192</v>
      </c>
      <c r="K96" s="23">
        <f>H96/C100</f>
        <v>0.4</v>
      </c>
      <c r="L96" s="19"/>
      <c r="M96" s="7">
        <f>K101*(F96-E96)-I103*K100*D102*C96</f>
        <v>568.1875</v>
      </c>
      <c r="N96" s="9">
        <f>K101*(F96-E96)-I101*K100*E102*C96</f>
        <v>544.75</v>
      </c>
      <c r="O96" s="20"/>
    </row>
    <row r="97" spans="2:18" ht="15.75" thickBot="1" x14ac:dyDescent="0.3">
      <c r="B97" s="18"/>
      <c r="C97" s="19"/>
      <c r="D97" s="19" t="s">
        <v>0</v>
      </c>
      <c r="E97" s="19" t="s">
        <v>1</v>
      </c>
      <c r="F97" s="19" t="s">
        <v>2</v>
      </c>
      <c r="G97" s="19" t="s">
        <v>3</v>
      </c>
      <c r="H97" s="19"/>
      <c r="I97" s="19"/>
      <c r="J97" s="19"/>
      <c r="K97" s="19"/>
      <c r="L97" s="19"/>
      <c r="M97" s="3"/>
      <c r="N97" s="4"/>
      <c r="O97" s="20"/>
    </row>
    <row r="98" spans="2:18" ht="20.25" x14ac:dyDescent="0.35">
      <c r="B98" s="18"/>
      <c r="C98" s="33" t="s">
        <v>13</v>
      </c>
      <c r="D98" s="16" t="s">
        <v>34</v>
      </c>
      <c r="E98" s="16" t="s">
        <v>35</v>
      </c>
      <c r="F98" s="16" t="s">
        <v>36</v>
      </c>
      <c r="G98" s="16" t="s">
        <v>37</v>
      </c>
      <c r="H98" s="34" t="s">
        <v>12</v>
      </c>
      <c r="I98" s="16"/>
      <c r="J98" s="34" t="s">
        <v>38</v>
      </c>
      <c r="K98" s="17"/>
      <c r="L98" s="19"/>
      <c r="M98" s="5">
        <f>J100*(F96-E96)-D96-I103*K100*C96*D100</f>
        <v>326.1875</v>
      </c>
      <c r="N98" s="6">
        <f>J100*(F96-E96)-I101*K100*E100*C96</f>
        <v>352.75</v>
      </c>
      <c r="O98" s="20"/>
    </row>
    <row r="99" spans="2:18" x14ac:dyDescent="0.25">
      <c r="B99" s="18"/>
      <c r="C99" s="26" t="s">
        <v>11</v>
      </c>
      <c r="D99" s="2" t="s">
        <v>4</v>
      </c>
      <c r="E99" s="2" t="s">
        <v>5</v>
      </c>
      <c r="F99" s="2" t="s">
        <v>6</v>
      </c>
      <c r="G99" s="2" t="s">
        <v>7</v>
      </c>
      <c r="H99" s="2" t="s">
        <v>8</v>
      </c>
      <c r="I99" s="2"/>
      <c r="J99" s="2" t="s">
        <v>14</v>
      </c>
      <c r="K99" s="27" t="s">
        <v>16</v>
      </c>
      <c r="L99" s="19"/>
      <c r="M99" s="8">
        <f>K101*F96-I101*K100*F102*C96</f>
        <v>568.75</v>
      </c>
      <c r="N99" s="10">
        <f>K101*F96-K100*G102*C96</f>
        <v>500</v>
      </c>
      <c r="O99" s="20"/>
      <c r="Q99" t="s">
        <v>55</v>
      </c>
      <c r="R99">
        <f>(N99-N96)/(M96-N96-M99+N99)</f>
        <v>0.98758620689655174</v>
      </c>
    </row>
    <row r="100" spans="2:18" ht="15.75" thickBot="1" x14ac:dyDescent="0.3">
      <c r="B100" s="18"/>
      <c r="C100" s="39">
        <f>1/2</f>
        <v>0.5</v>
      </c>
      <c r="D100" s="22">
        <f>C100</f>
        <v>0.5</v>
      </c>
      <c r="E100" s="22">
        <f>D100</f>
        <v>0.5</v>
      </c>
      <c r="F100" s="40">
        <f>1/2</f>
        <v>0.5</v>
      </c>
      <c r="G100" s="40">
        <v>0.6</v>
      </c>
      <c r="H100" s="40">
        <f>3/4</f>
        <v>0.75</v>
      </c>
      <c r="I100" s="22"/>
      <c r="J100" s="40">
        <f>2/5</f>
        <v>0.4</v>
      </c>
      <c r="K100" s="41">
        <f>1/2</f>
        <v>0.5</v>
      </c>
      <c r="L100" s="19"/>
      <c r="M100" s="3"/>
      <c r="N100" s="4"/>
      <c r="O100" s="20"/>
    </row>
    <row r="101" spans="2:18" ht="18" thickBot="1" x14ac:dyDescent="0.35">
      <c r="B101" s="18"/>
      <c r="C101" s="32" t="s">
        <v>17</v>
      </c>
      <c r="D101" s="37" t="s">
        <v>41</v>
      </c>
      <c r="E101" s="37" t="s">
        <v>42</v>
      </c>
      <c r="F101" s="37" t="s">
        <v>43</v>
      </c>
      <c r="G101" s="37" t="s">
        <v>44</v>
      </c>
      <c r="H101" s="35" t="s">
        <v>15</v>
      </c>
      <c r="I101" s="17">
        <f>1-H100</f>
        <v>0.25</v>
      </c>
      <c r="J101" s="38" t="s">
        <v>45</v>
      </c>
      <c r="K101" s="28">
        <f>1-J100</f>
        <v>0.6</v>
      </c>
      <c r="L101" s="19"/>
      <c r="M101" s="11">
        <f>J100*F96-D96-I101*K100*F100*C96</f>
        <v>318.75</v>
      </c>
      <c r="N101" s="12">
        <f>J100*F96-K100*G100*C96</f>
        <v>250</v>
      </c>
      <c r="O101" s="20"/>
      <c r="Q101" t="s">
        <v>56</v>
      </c>
      <c r="R101">
        <f>(N101-M101)/(M98-M101-N98+N101)</f>
        <v>0.72131147540983609</v>
      </c>
    </row>
    <row r="102" spans="2:18" ht="18.75" thickBot="1" x14ac:dyDescent="0.3">
      <c r="B102" s="18"/>
      <c r="C102" s="21">
        <f>1-C100</f>
        <v>0.5</v>
      </c>
      <c r="D102" s="22">
        <f>1-D100</f>
        <v>0.5</v>
      </c>
      <c r="E102" s="22">
        <f>1-E100</f>
        <v>0.5</v>
      </c>
      <c r="F102" s="22">
        <f>1-F100</f>
        <v>0.5</v>
      </c>
      <c r="G102" s="22">
        <f>1-G100</f>
        <v>0.4</v>
      </c>
      <c r="H102" s="36" t="s">
        <v>40</v>
      </c>
      <c r="I102" s="20">
        <f>H100^2</f>
        <v>0.5625</v>
      </c>
      <c r="J102" s="19"/>
      <c r="K102" s="19"/>
      <c r="L102" s="19"/>
      <c r="M102" s="19"/>
      <c r="N102" s="19"/>
      <c r="O102" s="20"/>
    </row>
    <row r="103" spans="2:18" ht="18.75" thickBot="1" x14ac:dyDescent="0.3">
      <c r="B103" s="18"/>
      <c r="C103" s="19"/>
      <c r="D103" s="19"/>
      <c r="E103" s="19"/>
      <c r="F103" s="19"/>
      <c r="G103" s="19"/>
      <c r="H103" s="36" t="s">
        <v>39</v>
      </c>
      <c r="I103" s="20">
        <f>I101^2</f>
        <v>6.25E-2</v>
      </c>
      <c r="J103" s="19"/>
      <c r="K103" s="19"/>
      <c r="L103" s="19"/>
      <c r="M103" t="s">
        <v>27</v>
      </c>
      <c r="N103" s="19"/>
      <c r="O103" s="20"/>
    </row>
    <row r="104" spans="2:18" ht="18.75" x14ac:dyDescent="0.3">
      <c r="B104" s="18"/>
      <c r="C104" s="33"/>
      <c r="D104" s="34"/>
      <c r="E104" s="34"/>
      <c r="F104" s="43" t="s">
        <v>52</v>
      </c>
      <c r="G104" s="34"/>
      <c r="H104" s="34"/>
      <c r="I104" s="34"/>
      <c r="J104" s="34"/>
      <c r="K104" s="44"/>
      <c r="L104" s="19"/>
      <c r="M104" s="1" t="s">
        <v>0</v>
      </c>
      <c r="N104" s="29" t="s">
        <v>1</v>
      </c>
      <c r="O104" s="20"/>
    </row>
    <row r="105" spans="2:18" ht="18.75" x14ac:dyDescent="0.3">
      <c r="B105" s="18"/>
      <c r="C105" s="45" t="s">
        <v>47</v>
      </c>
      <c r="D105" s="46" t="s">
        <v>48</v>
      </c>
      <c r="E105" s="46" t="s">
        <v>49</v>
      </c>
      <c r="F105" s="46" t="s">
        <v>50</v>
      </c>
      <c r="G105" s="46" t="s">
        <v>51</v>
      </c>
      <c r="H105" s="46"/>
      <c r="I105" s="46" t="s">
        <v>53</v>
      </c>
      <c r="J105" s="46" t="s">
        <v>54</v>
      </c>
      <c r="K105" s="47"/>
      <c r="L105" s="19"/>
      <c r="M105" s="29" t="s">
        <v>2</v>
      </c>
      <c r="N105" s="1" t="s">
        <v>3</v>
      </c>
      <c r="O105" s="20"/>
    </row>
    <row r="106" spans="2:18" ht="15.75" thickBot="1" x14ac:dyDescent="0.3">
      <c r="B106" s="18"/>
      <c r="C106" s="21">
        <f>H100-I102</f>
        <v>0.1875</v>
      </c>
      <c r="D106" s="22">
        <f>H100+(C100-G100)/(1-C100)</f>
        <v>0.55000000000000004</v>
      </c>
      <c r="E106" s="22">
        <f>H100-(1-G100/C100)</f>
        <v>0.95</v>
      </c>
      <c r="F106" s="22">
        <f>-I102+(C100-F100)*(I101)/(1-C100)</f>
        <v>-0.5625</v>
      </c>
      <c r="G106" s="22">
        <f>H100+F106</f>
        <v>0.1875</v>
      </c>
      <c r="H106" s="22"/>
      <c r="I106" s="22">
        <f>H100+(C100-F100)/(1-C100)</f>
        <v>0.75</v>
      </c>
      <c r="J106" s="22">
        <f>H100*F100/C100</f>
        <v>0.75</v>
      </c>
      <c r="K106" s="23"/>
      <c r="L106" s="19"/>
      <c r="M106" s="19"/>
      <c r="N106" s="19"/>
      <c r="O106" s="20"/>
    </row>
    <row r="107" spans="2:18" ht="15.75" thickBot="1" x14ac:dyDescent="0.3"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3"/>
    </row>
    <row r="109" spans="2:18" ht="15.75" thickBot="1" x14ac:dyDescent="0.3"/>
    <row r="110" spans="2:18" x14ac:dyDescent="0.25"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7"/>
    </row>
    <row r="111" spans="2:18" x14ac:dyDescent="0.25">
      <c r="B111" s="18"/>
      <c r="C111" t="s">
        <v>20</v>
      </c>
      <c r="D111" s="42" t="s">
        <v>46</v>
      </c>
      <c r="E111" s="19"/>
      <c r="F111" s="19"/>
      <c r="G111" s="19"/>
      <c r="H111" s="19"/>
      <c r="I111" s="19"/>
      <c r="J111" s="19"/>
      <c r="K111" s="19"/>
      <c r="L111" s="19"/>
      <c r="O111" s="20"/>
    </row>
    <row r="112" spans="2:18" ht="15.75" thickBot="1" x14ac:dyDescent="0.3"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0"/>
    </row>
    <row r="113" spans="2:18" ht="21" thickBot="1" x14ac:dyDescent="0.4">
      <c r="B113" s="18"/>
      <c r="C113" s="32" t="s">
        <v>28</v>
      </c>
      <c r="D113" s="24" t="s">
        <v>29</v>
      </c>
      <c r="E113" s="24" t="s">
        <v>30</v>
      </c>
      <c r="F113" s="24" t="s">
        <v>31</v>
      </c>
      <c r="G113" s="24" t="s">
        <v>32</v>
      </c>
      <c r="H113" s="24" t="s">
        <v>33</v>
      </c>
      <c r="I113" s="24"/>
      <c r="J113" s="24" t="s">
        <v>9</v>
      </c>
      <c r="K113" s="25" t="s">
        <v>10</v>
      </c>
      <c r="L113" s="19"/>
      <c r="M113" s="31" t="s">
        <v>26</v>
      </c>
      <c r="N113" s="19"/>
      <c r="O113" s="20"/>
    </row>
    <row r="114" spans="2:18" ht="15.75" thickBot="1" x14ac:dyDescent="0.3">
      <c r="B114" s="18"/>
      <c r="C114" s="39">
        <v>1100</v>
      </c>
      <c r="D114" s="40">
        <v>50</v>
      </c>
      <c r="E114" s="40">
        <v>100</v>
      </c>
      <c r="F114" s="40">
        <v>1000</v>
      </c>
      <c r="G114" s="22">
        <f>E114*K119/(K118*C114)</f>
        <v>0.10909090909090909</v>
      </c>
      <c r="H114" s="22">
        <f>D114/(K118*C114)</f>
        <v>9.0909090909090912E-2</v>
      </c>
      <c r="I114" s="22"/>
      <c r="J114" s="22">
        <f>G114/C120</f>
        <v>0.21818181818181817</v>
      </c>
      <c r="K114" s="23">
        <f>H114/C118</f>
        <v>0.18181818181818182</v>
      </c>
      <c r="L114" s="19"/>
      <c r="M114" s="7">
        <f>K119*(F114-E114)-I121*K118*D120*C114</f>
        <v>522.8125</v>
      </c>
      <c r="N114" s="9">
        <f>K119*(F114-E114)-I119*K118*E120*C114</f>
        <v>471.25</v>
      </c>
      <c r="O114" s="20"/>
    </row>
    <row r="115" spans="2:18" ht="15.75" thickBot="1" x14ac:dyDescent="0.3">
      <c r="B115" s="18"/>
      <c r="C115" s="19"/>
      <c r="D115" s="19" t="s">
        <v>0</v>
      </c>
      <c r="E115" s="19" t="s">
        <v>1</v>
      </c>
      <c r="F115" s="19" t="s">
        <v>2</v>
      </c>
      <c r="G115" s="19" t="s">
        <v>3</v>
      </c>
      <c r="H115" s="19"/>
      <c r="I115" s="19"/>
      <c r="J115" s="19"/>
      <c r="K115" s="19"/>
      <c r="L115" s="19"/>
      <c r="M115" s="3"/>
      <c r="N115" s="4"/>
      <c r="O115" s="20"/>
    </row>
    <row r="116" spans="2:18" ht="20.25" x14ac:dyDescent="0.35">
      <c r="B116" s="18"/>
      <c r="C116" s="33" t="s">
        <v>13</v>
      </c>
      <c r="D116" s="16" t="s">
        <v>34</v>
      </c>
      <c r="E116" s="16" t="s">
        <v>35</v>
      </c>
      <c r="F116" s="16" t="s">
        <v>36</v>
      </c>
      <c r="G116" s="16" t="s">
        <v>37</v>
      </c>
      <c r="H116" s="34" t="s">
        <v>12</v>
      </c>
      <c r="I116" s="16"/>
      <c r="J116" s="34" t="s">
        <v>38</v>
      </c>
      <c r="K116" s="17"/>
      <c r="L116" s="19"/>
      <c r="M116" s="5">
        <f>J118*(F114-E114)-D114-I121*K118*C114*D118</f>
        <v>292.8125</v>
      </c>
      <c r="N116" s="6">
        <f>J118*(F114-E114)-I119*K118*E118*C114</f>
        <v>291.25</v>
      </c>
      <c r="O116" s="20"/>
    </row>
    <row r="117" spans="2:18" x14ac:dyDescent="0.25">
      <c r="B117" s="18"/>
      <c r="C117" s="26" t="s">
        <v>11</v>
      </c>
      <c r="D117" s="2" t="s">
        <v>4</v>
      </c>
      <c r="E117" s="2" t="s">
        <v>5</v>
      </c>
      <c r="F117" s="2" t="s">
        <v>6</v>
      </c>
      <c r="G117" s="2" t="s">
        <v>7</v>
      </c>
      <c r="H117" s="2" t="s">
        <v>8</v>
      </c>
      <c r="I117" s="2"/>
      <c r="J117" s="2" t="s">
        <v>14</v>
      </c>
      <c r="K117" s="27" t="s">
        <v>16</v>
      </c>
      <c r="L117" s="19"/>
      <c r="M117" s="8">
        <f>K119*F114-I119*K118*F120*C114</f>
        <v>531.25</v>
      </c>
      <c r="N117" s="10">
        <f>K119*F114-K118*G120*C114</f>
        <v>380</v>
      </c>
      <c r="O117" s="20"/>
      <c r="Q117" t="s">
        <v>55</v>
      </c>
      <c r="R117">
        <f>(N117-N114)/(M114-N114-M117+N117)</f>
        <v>0.91536050156739812</v>
      </c>
    </row>
    <row r="118" spans="2:18" ht="15.75" thickBot="1" x14ac:dyDescent="0.3">
      <c r="B118" s="18"/>
      <c r="C118" s="39">
        <f>1/2</f>
        <v>0.5</v>
      </c>
      <c r="D118" s="22">
        <f>C118</f>
        <v>0.5</v>
      </c>
      <c r="E118" s="22">
        <f>D118</f>
        <v>0.5</v>
      </c>
      <c r="F118" s="40">
        <f>1/2</f>
        <v>0.5</v>
      </c>
      <c r="G118" s="40">
        <v>0.6</v>
      </c>
      <c r="H118" s="40">
        <f>3/4</f>
        <v>0.75</v>
      </c>
      <c r="I118" s="22"/>
      <c r="J118" s="40">
        <f>2/5</f>
        <v>0.4</v>
      </c>
      <c r="K118" s="41">
        <f>1/2</f>
        <v>0.5</v>
      </c>
      <c r="L118" s="19"/>
      <c r="M118" s="3"/>
      <c r="N118" s="4"/>
      <c r="O118" s="20"/>
    </row>
    <row r="119" spans="2:18" ht="18" thickBot="1" x14ac:dyDescent="0.35">
      <c r="B119" s="18"/>
      <c r="C119" s="32" t="s">
        <v>17</v>
      </c>
      <c r="D119" s="37" t="s">
        <v>41</v>
      </c>
      <c r="E119" s="37" t="s">
        <v>42</v>
      </c>
      <c r="F119" s="37" t="s">
        <v>43</v>
      </c>
      <c r="G119" s="37" t="s">
        <v>44</v>
      </c>
      <c r="H119" s="35" t="s">
        <v>15</v>
      </c>
      <c r="I119" s="17">
        <f>1-H118</f>
        <v>0.25</v>
      </c>
      <c r="J119" s="38" t="s">
        <v>45</v>
      </c>
      <c r="K119" s="28">
        <f>1-J118</f>
        <v>0.6</v>
      </c>
      <c r="L119" s="19"/>
      <c r="M119" s="11">
        <f>J118*F114-D114-I119*K118*F118*C114</f>
        <v>281.25</v>
      </c>
      <c r="N119" s="12">
        <f>J118*F114-K118*G118*C114</f>
        <v>70</v>
      </c>
      <c r="O119" s="20"/>
      <c r="Q119" t="s">
        <v>56</v>
      </c>
      <c r="R119">
        <f>(N119-M119)/(M116-M119-N116+N119)</f>
        <v>1.007451564828614</v>
      </c>
    </row>
    <row r="120" spans="2:18" ht="18.75" thickBot="1" x14ac:dyDescent="0.3">
      <c r="B120" s="18"/>
      <c r="C120" s="21">
        <f>1-C118</f>
        <v>0.5</v>
      </c>
      <c r="D120" s="22">
        <f>1-D118</f>
        <v>0.5</v>
      </c>
      <c r="E120" s="22">
        <f>1-E118</f>
        <v>0.5</v>
      </c>
      <c r="F120" s="22">
        <f>1-F118</f>
        <v>0.5</v>
      </c>
      <c r="G120" s="22">
        <f>1-G118</f>
        <v>0.4</v>
      </c>
      <c r="H120" s="36" t="s">
        <v>40</v>
      </c>
      <c r="I120" s="20">
        <f>H118^2</f>
        <v>0.5625</v>
      </c>
      <c r="J120" s="19"/>
      <c r="K120" s="19"/>
      <c r="L120" s="19"/>
      <c r="M120" s="19"/>
      <c r="N120" s="19"/>
      <c r="O120" s="20"/>
    </row>
    <row r="121" spans="2:18" ht="18.75" thickBot="1" x14ac:dyDescent="0.3">
      <c r="B121" s="18"/>
      <c r="C121" s="19"/>
      <c r="D121" s="19"/>
      <c r="E121" s="19"/>
      <c r="F121" s="19"/>
      <c r="G121" s="19"/>
      <c r="H121" s="36" t="s">
        <v>39</v>
      </c>
      <c r="I121" s="20">
        <f>I119^2</f>
        <v>6.25E-2</v>
      </c>
      <c r="J121" s="19"/>
      <c r="K121" s="19"/>
      <c r="L121" s="19"/>
      <c r="M121" t="s">
        <v>27</v>
      </c>
      <c r="N121" s="19"/>
      <c r="O121" s="20"/>
    </row>
    <row r="122" spans="2:18" ht="18.75" x14ac:dyDescent="0.3">
      <c r="B122" s="18"/>
      <c r="C122" s="33"/>
      <c r="D122" s="34"/>
      <c r="E122" s="34"/>
      <c r="F122" s="43" t="s">
        <v>52</v>
      </c>
      <c r="G122" s="34"/>
      <c r="H122" s="34"/>
      <c r="I122" s="34"/>
      <c r="J122" s="34"/>
      <c r="K122" s="44"/>
      <c r="L122" s="19"/>
      <c r="M122" s="1" t="s">
        <v>0</v>
      </c>
      <c r="N122" s="1" t="s">
        <v>1</v>
      </c>
      <c r="O122" s="20"/>
    </row>
    <row r="123" spans="2:18" ht="18.75" x14ac:dyDescent="0.3">
      <c r="B123" s="18"/>
      <c r="C123" s="45" t="s">
        <v>47</v>
      </c>
      <c r="D123" s="46" t="s">
        <v>48</v>
      </c>
      <c r="E123" s="46" t="s">
        <v>49</v>
      </c>
      <c r="F123" s="46" t="s">
        <v>50</v>
      </c>
      <c r="G123" s="46" t="s">
        <v>51</v>
      </c>
      <c r="H123" s="46"/>
      <c r="I123" s="46" t="s">
        <v>53</v>
      </c>
      <c r="J123" s="46" t="s">
        <v>54</v>
      </c>
      <c r="K123" s="47"/>
      <c r="L123" s="19"/>
      <c r="M123" s="29" t="s">
        <v>2</v>
      </c>
      <c r="N123" s="1" t="s">
        <v>3</v>
      </c>
      <c r="O123" s="20"/>
    </row>
    <row r="124" spans="2:18" ht="15.75" thickBot="1" x14ac:dyDescent="0.3">
      <c r="B124" s="18"/>
      <c r="C124" s="21">
        <f>H118-I120</f>
        <v>0.1875</v>
      </c>
      <c r="D124" s="22">
        <f>H118+(C118-G118)/(1-C118)</f>
        <v>0.55000000000000004</v>
      </c>
      <c r="E124" s="22">
        <f>H118-(1-G118/C118)</f>
        <v>0.95</v>
      </c>
      <c r="F124" s="22">
        <f>-I120+(C118-F118)*(I119)/(1-C118)</f>
        <v>-0.5625</v>
      </c>
      <c r="G124" s="22">
        <f>H118+F124</f>
        <v>0.1875</v>
      </c>
      <c r="H124" s="22"/>
      <c r="I124" s="22">
        <f>H118+(C118-F118)/(1-C118)</f>
        <v>0.75</v>
      </c>
      <c r="J124" s="22">
        <f>H118*F118/C118</f>
        <v>0.75</v>
      </c>
      <c r="K124" s="23"/>
      <c r="L124" s="19"/>
      <c r="M124" s="19"/>
      <c r="N124" s="19"/>
      <c r="O124" s="20"/>
    </row>
    <row r="125" spans="2:18" ht="15.75" thickBot="1" x14ac:dyDescent="0.3"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3"/>
    </row>
    <row r="126" spans="2:18" ht="21.75" customHeight="1" x14ac:dyDescent="0.25"/>
    <row r="127" spans="2:18" ht="15.75" thickBot="1" x14ac:dyDescent="0.3"/>
    <row r="128" spans="2:18" x14ac:dyDescent="0.25"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7"/>
    </row>
    <row r="129" spans="2:18" x14ac:dyDescent="0.25">
      <c r="B129" s="18"/>
      <c r="C129" t="s">
        <v>19</v>
      </c>
      <c r="D129" s="42" t="s">
        <v>46</v>
      </c>
      <c r="E129" s="19"/>
      <c r="F129" s="19"/>
      <c r="G129" s="19"/>
      <c r="H129" s="19"/>
      <c r="I129" s="19"/>
      <c r="J129" s="19"/>
      <c r="K129" s="19"/>
      <c r="L129" s="19"/>
      <c r="O129" s="20"/>
    </row>
    <row r="130" spans="2:18" ht="15.75" thickBot="1" x14ac:dyDescent="0.3"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O130" s="20"/>
    </row>
    <row r="131" spans="2:18" ht="21" thickBot="1" x14ac:dyDescent="0.4">
      <c r="B131" s="18"/>
      <c r="C131" s="32" t="s">
        <v>28</v>
      </c>
      <c r="D131" s="24" t="s">
        <v>29</v>
      </c>
      <c r="E131" s="24" t="s">
        <v>30</v>
      </c>
      <c r="F131" s="24" t="s">
        <v>31</v>
      </c>
      <c r="G131" s="24" t="s">
        <v>32</v>
      </c>
      <c r="H131" s="24" t="s">
        <v>33</v>
      </c>
      <c r="I131" s="24"/>
      <c r="J131" s="24" t="s">
        <v>9</v>
      </c>
      <c r="K131" s="25" t="s">
        <v>10</v>
      </c>
      <c r="L131" s="19"/>
      <c r="M131" s="31" t="s">
        <v>26</v>
      </c>
      <c r="N131" s="19"/>
      <c r="O131" s="20"/>
    </row>
    <row r="132" spans="2:18" ht="15.75" thickBot="1" x14ac:dyDescent="0.3">
      <c r="B132" s="18"/>
      <c r="C132" s="39">
        <v>500</v>
      </c>
      <c r="D132" s="40">
        <v>50</v>
      </c>
      <c r="E132" s="40">
        <v>32</v>
      </c>
      <c r="F132" s="40">
        <v>1000</v>
      </c>
      <c r="G132" s="22">
        <f>E132*K137/(K136*C132)</f>
        <v>7.6799999999999993E-2</v>
      </c>
      <c r="H132" s="22">
        <f>D132/(K136*C132)</f>
        <v>0.2</v>
      </c>
      <c r="I132" s="22"/>
      <c r="J132" s="22">
        <f>G132/C138</f>
        <v>0.15359999999999999</v>
      </c>
      <c r="K132" s="23">
        <f>H132/C136</f>
        <v>0.4</v>
      </c>
      <c r="L132" s="19"/>
      <c r="M132" s="7">
        <f>K137*(F132-E132)-I139*K136*D138*C132</f>
        <v>572.98749999999995</v>
      </c>
      <c r="N132" s="9">
        <f>K137*(F132-E132)-I137*K136*E138*C132</f>
        <v>549.54999999999995</v>
      </c>
      <c r="O132" s="20"/>
    </row>
    <row r="133" spans="2:18" ht="15.75" thickBot="1" x14ac:dyDescent="0.3">
      <c r="B133" s="18"/>
      <c r="C133" s="19"/>
      <c r="D133" s="19" t="s">
        <v>0</v>
      </c>
      <c r="E133" s="19" t="s">
        <v>1</v>
      </c>
      <c r="F133" s="19" t="s">
        <v>2</v>
      </c>
      <c r="G133" s="19" t="s">
        <v>3</v>
      </c>
      <c r="H133" s="19"/>
      <c r="I133" s="19"/>
      <c r="J133" s="19"/>
      <c r="K133" s="19"/>
      <c r="L133" s="19"/>
      <c r="M133" s="3"/>
      <c r="N133" s="4"/>
      <c r="O133" s="20"/>
    </row>
    <row r="134" spans="2:18" ht="20.25" x14ac:dyDescent="0.35">
      <c r="B134" s="18"/>
      <c r="C134" s="33" t="s">
        <v>13</v>
      </c>
      <c r="D134" s="16" t="s">
        <v>34</v>
      </c>
      <c r="E134" s="16" t="s">
        <v>35</v>
      </c>
      <c r="F134" s="16" t="s">
        <v>36</v>
      </c>
      <c r="G134" s="16" t="s">
        <v>37</v>
      </c>
      <c r="H134" s="34" t="s">
        <v>12</v>
      </c>
      <c r="I134" s="16"/>
      <c r="J134" s="34" t="s">
        <v>38</v>
      </c>
      <c r="K134" s="17"/>
      <c r="L134" s="19"/>
      <c r="M134" s="5">
        <f>J136*(F132-E132)-D132-I139*K136*C132*D136</f>
        <v>329.38750000000005</v>
      </c>
      <c r="N134" s="6">
        <f>J136*(F132-E132)-I137*K136*E136*C132</f>
        <v>355.95000000000005</v>
      </c>
      <c r="O134" s="20"/>
    </row>
    <row r="135" spans="2:18" x14ac:dyDescent="0.25">
      <c r="B135" s="18"/>
      <c r="C135" s="26" t="s">
        <v>11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/>
      <c r="J135" s="2" t="s">
        <v>14</v>
      </c>
      <c r="K135" s="27" t="s">
        <v>16</v>
      </c>
      <c r="L135" s="19"/>
      <c r="M135" s="8">
        <f>K137*F132-I137*K136*F138*C132</f>
        <v>568.75</v>
      </c>
      <c r="N135" s="10">
        <f>K137*F132-K136*G138*C132</f>
        <v>550</v>
      </c>
      <c r="O135" s="20"/>
      <c r="Q135" t="s">
        <v>55</v>
      </c>
      <c r="R135">
        <f>(N135-N132)/(M132-N132-M135+N135)</f>
        <v>9.6000000000009703E-2</v>
      </c>
    </row>
    <row r="136" spans="2:18" ht="15.75" thickBot="1" x14ac:dyDescent="0.3">
      <c r="B136" s="18"/>
      <c r="C136" s="39">
        <f>1/2</f>
        <v>0.5</v>
      </c>
      <c r="D136" s="22">
        <f>C136</f>
        <v>0.5</v>
      </c>
      <c r="E136" s="22">
        <f>D136</f>
        <v>0.5</v>
      </c>
      <c r="F136" s="40">
        <f>1/2</f>
        <v>0.5</v>
      </c>
      <c r="G136" s="40">
        <v>0.8</v>
      </c>
      <c r="H136" s="40">
        <f>3/4</f>
        <v>0.75</v>
      </c>
      <c r="I136" s="22"/>
      <c r="J136" s="40">
        <f>2/5</f>
        <v>0.4</v>
      </c>
      <c r="K136" s="41">
        <f>1/2</f>
        <v>0.5</v>
      </c>
      <c r="L136" s="19"/>
      <c r="M136" s="3"/>
      <c r="N136" s="4"/>
      <c r="O136" s="20"/>
    </row>
    <row r="137" spans="2:18" ht="18" thickBot="1" x14ac:dyDescent="0.35">
      <c r="B137" s="18"/>
      <c r="C137" s="32" t="s">
        <v>17</v>
      </c>
      <c r="D137" s="37" t="s">
        <v>41</v>
      </c>
      <c r="E137" s="37" t="s">
        <v>42</v>
      </c>
      <c r="F137" s="37" t="s">
        <v>43</v>
      </c>
      <c r="G137" s="37" t="s">
        <v>44</v>
      </c>
      <c r="H137" s="35" t="s">
        <v>15</v>
      </c>
      <c r="I137" s="17">
        <f>1-H136</f>
        <v>0.25</v>
      </c>
      <c r="J137" s="38" t="s">
        <v>45</v>
      </c>
      <c r="K137" s="28">
        <f>1-J136</f>
        <v>0.6</v>
      </c>
      <c r="L137" s="19"/>
      <c r="M137" s="11">
        <f>J136*F132-D132-I137*K136*F136*C132</f>
        <v>318.75</v>
      </c>
      <c r="N137" s="12">
        <f>J136*F132-K136*G136*C132</f>
        <v>200</v>
      </c>
      <c r="O137" s="20"/>
      <c r="Q137" t="s">
        <v>56</v>
      </c>
      <c r="R137">
        <f>(N137-M137)/(M134-M137-N134+N137)</f>
        <v>0.81720430107526887</v>
      </c>
    </row>
    <row r="138" spans="2:18" ht="18.75" thickBot="1" x14ac:dyDescent="0.3">
      <c r="B138" s="18"/>
      <c r="C138" s="21">
        <f>1-C136</f>
        <v>0.5</v>
      </c>
      <c r="D138" s="22">
        <f>1-D136</f>
        <v>0.5</v>
      </c>
      <c r="E138" s="22">
        <f>1-E136</f>
        <v>0.5</v>
      </c>
      <c r="F138" s="22">
        <f>1-F136</f>
        <v>0.5</v>
      </c>
      <c r="G138" s="22">
        <f>1-G136</f>
        <v>0.19999999999999996</v>
      </c>
      <c r="H138" s="36" t="s">
        <v>40</v>
      </c>
      <c r="I138" s="20">
        <f>H136^2</f>
        <v>0.5625</v>
      </c>
      <c r="J138" s="19"/>
      <c r="K138" s="19"/>
      <c r="L138" s="19"/>
      <c r="M138" s="19"/>
      <c r="N138" s="19"/>
      <c r="O138" s="20"/>
    </row>
    <row r="139" spans="2:18" ht="18.75" thickBot="1" x14ac:dyDescent="0.3">
      <c r="B139" s="18"/>
      <c r="C139" s="19"/>
      <c r="D139" s="19"/>
      <c r="E139" s="19"/>
      <c r="F139" s="19"/>
      <c r="G139" s="19"/>
      <c r="H139" s="36" t="s">
        <v>39</v>
      </c>
      <c r="I139" s="20">
        <f>I137^2</f>
        <v>6.25E-2</v>
      </c>
      <c r="J139" s="19"/>
      <c r="K139" s="19"/>
      <c r="L139" s="19"/>
      <c r="M139" t="s">
        <v>27</v>
      </c>
      <c r="N139" s="19"/>
      <c r="O139" s="20"/>
    </row>
    <row r="140" spans="2:18" ht="18.75" x14ac:dyDescent="0.3">
      <c r="B140" s="18"/>
      <c r="C140" s="33"/>
      <c r="D140" s="34"/>
      <c r="E140" s="34"/>
      <c r="F140" s="43" t="s">
        <v>52</v>
      </c>
      <c r="G140" s="34"/>
      <c r="H140" s="34"/>
      <c r="I140" s="34"/>
      <c r="J140" s="34"/>
      <c r="K140" s="44"/>
      <c r="L140" s="19"/>
      <c r="M140" s="1" t="s">
        <v>0</v>
      </c>
      <c r="N140" s="1" t="s">
        <v>1</v>
      </c>
      <c r="O140" s="20"/>
    </row>
    <row r="141" spans="2:18" ht="18.75" x14ac:dyDescent="0.3">
      <c r="B141" s="18"/>
      <c r="C141" s="45" t="s">
        <v>47</v>
      </c>
      <c r="D141" s="46" t="s">
        <v>48</v>
      </c>
      <c r="E141" s="46" t="s">
        <v>49</v>
      </c>
      <c r="F141" s="46" t="s">
        <v>50</v>
      </c>
      <c r="G141" s="46" t="s">
        <v>51</v>
      </c>
      <c r="H141" s="46"/>
      <c r="I141" s="46" t="s">
        <v>53</v>
      </c>
      <c r="J141" s="46" t="s">
        <v>54</v>
      </c>
      <c r="K141" s="47"/>
      <c r="L141" s="19"/>
      <c r="M141" s="1" t="s">
        <v>2</v>
      </c>
      <c r="N141" s="1" t="s">
        <v>3</v>
      </c>
      <c r="O141" s="20"/>
    </row>
    <row r="142" spans="2:18" ht="15.75" thickBot="1" x14ac:dyDescent="0.3">
      <c r="B142" s="18"/>
      <c r="C142" s="21">
        <f>H136-I138</f>
        <v>0.1875</v>
      </c>
      <c r="D142" s="22">
        <f>H136+(C136-G136)/(1-C136)</f>
        <v>0.14999999999999991</v>
      </c>
      <c r="E142" s="22">
        <f>H136-(1-G136/C136)</f>
        <v>1.35</v>
      </c>
      <c r="F142" s="22">
        <f>-I138+(C136-F136)*(I137)/(1-C136)</f>
        <v>-0.5625</v>
      </c>
      <c r="G142" s="22">
        <f>H136+F142</f>
        <v>0.1875</v>
      </c>
      <c r="H142" s="22"/>
      <c r="I142" s="22">
        <f>H136+(C136-F136)/(1-C136)</f>
        <v>0.75</v>
      </c>
      <c r="J142" s="22">
        <f>H136*F136/C136</f>
        <v>0.75</v>
      </c>
      <c r="K142" s="23"/>
      <c r="L142" s="19"/>
      <c r="M142" s="30" t="s">
        <v>18</v>
      </c>
      <c r="N142" s="19"/>
      <c r="O142" s="20"/>
    </row>
    <row r="143" spans="2:18" ht="15.75" thickBot="1" x14ac:dyDescent="0.3"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3"/>
    </row>
    <row r="144" spans="2:18" ht="35.25" customHeight="1" x14ac:dyDescent="0.25"/>
    <row r="145" spans="2:18" ht="18" customHeight="1" thickBot="1" x14ac:dyDescent="0.3"/>
    <row r="146" spans="2:18" x14ac:dyDescent="0.25"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7"/>
    </row>
    <row r="147" spans="2:18" x14ac:dyDescent="0.25">
      <c r="B147" s="18"/>
      <c r="C147" t="s">
        <v>19</v>
      </c>
      <c r="D147" s="42" t="s">
        <v>46</v>
      </c>
      <c r="E147" s="19"/>
      <c r="F147" s="19"/>
      <c r="G147" s="19"/>
      <c r="H147" s="19"/>
      <c r="I147" s="19"/>
      <c r="J147" s="19"/>
      <c r="K147" s="19"/>
      <c r="L147" s="19"/>
      <c r="O147" s="20"/>
    </row>
    <row r="148" spans="2:18" ht="15.75" thickBot="1" x14ac:dyDescent="0.3"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O148" s="20"/>
    </row>
    <row r="149" spans="2:18" ht="21" thickBot="1" x14ac:dyDescent="0.4">
      <c r="B149" s="18"/>
      <c r="C149" s="32" t="s">
        <v>28</v>
      </c>
      <c r="D149" s="24" t="s">
        <v>29</v>
      </c>
      <c r="E149" s="24" t="s">
        <v>30</v>
      </c>
      <c r="F149" s="24" t="s">
        <v>31</v>
      </c>
      <c r="G149" s="24" t="s">
        <v>32</v>
      </c>
      <c r="H149" s="24" t="s">
        <v>33</v>
      </c>
      <c r="I149" s="24"/>
      <c r="J149" s="24" t="s">
        <v>9</v>
      </c>
      <c r="K149" s="25" t="s">
        <v>10</v>
      </c>
      <c r="L149" s="19"/>
      <c r="M149" s="31" t="s">
        <v>26</v>
      </c>
      <c r="N149" s="19"/>
      <c r="O149" s="20"/>
    </row>
    <row r="150" spans="2:18" ht="15.75" thickBot="1" x14ac:dyDescent="0.3">
      <c r="B150" s="18"/>
      <c r="C150" s="39">
        <v>500</v>
      </c>
      <c r="D150" s="40">
        <v>95</v>
      </c>
      <c r="E150" s="40">
        <v>32</v>
      </c>
      <c r="F150" s="40">
        <v>1000</v>
      </c>
      <c r="G150" s="22">
        <f>E150*K155/(K154*C150)</f>
        <v>7.6799999999999993E-2</v>
      </c>
      <c r="H150" s="22">
        <f>D150/(K154*C150)</f>
        <v>0.38</v>
      </c>
      <c r="I150" s="22"/>
      <c r="J150" s="22">
        <f>G150/C156</f>
        <v>0.15359999999999999</v>
      </c>
      <c r="K150" s="23">
        <f>H150/C154</f>
        <v>0.76</v>
      </c>
      <c r="L150" s="19"/>
      <c r="M150" s="7">
        <f>K155*(F150-E150)-I157*K154*D156*C150</f>
        <v>572.98749999999995</v>
      </c>
      <c r="N150" s="9">
        <f>K155*(F150-E150)-I155*K154*E156*C150</f>
        <v>549.54999999999995</v>
      </c>
      <c r="O150" s="20"/>
    </row>
    <row r="151" spans="2:18" ht="15.75" thickBot="1" x14ac:dyDescent="0.3">
      <c r="B151" s="18"/>
      <c r="C151" s="19"/>
      <c r="D151" s="19" t="s">
        <v>0</v>
      </c>
      <c r="E151" s="19" t="s">
        <v>1</v>
      </c>
      <c r="F151" s="19" t="s">
        <v>2</v>
      </c>
      <c r="G151" s="19" t="s">
        <v>3</v>
      </c>
      <c r="H151" s="19"/>
      <c r="I151" s="19"/>
      <c r="J151" s="19"/>
      <c r="K151" s="19"/>
      <c r="L151" s="19"/>
      <c r="M151" s="3"/>
      <c r="N151" s="4"/>
      <c r="O151" s="20"/>
    </row>
    <row r="152" spans="2:18" ht="20.25" x14ac:dyDescent="0.35">
      <c r="B152" s="18"/>
      <c r="C152" s="33" t="s">
        <v>13</v>
      </c>
      <c r="D152" s="16" t="s">
        <v>34</v>
      </c>
      <c r="E152" s="16" t="s">
        <v>35</v>
      </c>
      <c r="F152" s="16" t="s">
        <v>36</v>
      </c>
      <c r="G152" s="16" t="s">
        <v>37</v>
      </c>
      <c r="H152" s="34" t="s">
        <v>12</v>
      </c>
      <c r="I152" s="16"/>
      <c r="J152" s="34" t="s">
        <v>38</v>
      </c>
      <c r="K152" s="17"/>
      <c r="L152" s="19"/>
      <c r="M152" s="5">
        <f>J154*(F150-E150)-D150-I157*K154*C150*D154</f>
        <v>284.38750000000005</v>
      </c>
      <c r="N152" s="6">
        <f>J154*(F150-E150)-I155*K154*E154*C150</f>
        <v>355.95000000000005</v>
      </c>
      <c r="O152" s="20"/>
    </row>
    <row r="153" spans="2:18" x14ac:dyDescent="0.25">
      <c r="B153" s="18"/>
      <c r="C153" s="26" t="s">
        <v>11</v>
      </c>
      <c r="D153" s="2" t="s">
        <v>4</v>
      </c>
      <c r="E153" s="2" t="s">
        <v>5</v>
      </c>
      <c r="F153" s="2" t="s">
        <v>6</v>
      </c>
      <c r="G153" s="2" t="s">
        <v>7</v>
      </c>
      <c r="H153" s="2" t="s">
        <v>8</v>
      </c>
      <c r="I153" s="2"/>
      <c r="J153" s="2" t="s">
        <v>14</v>
      </c>
      <c r="K153" s="27" t="s">
        <v>16</v>
      </c>
      <c r="L153" s="19"/>
      <c r="M153" s="8">
        <f>K155*F150-I155*K154*F156*C150</f>
        <v>568.75</v>
      </c>
      <c r="N153" s="10">
        <f>K155*F150-K154*G156*C150</f>
        <v>550</v>
      </c>
      <c r="O153" s="20"/>
      <c r="Q153" t="s">
        <v>55</v>
      </c>
      <c r="R153">
        <f>(N153-N150)/(M150-N150-M153+N153)</f>
        <v>9.6000000000009703E-2</v>
      </c>
    </row>
    <row r="154" spans="2:18" ht="15.75" thickBot="1" x14ac:dyDescent="0.3">
      <c r="B154" s="18"/>
      <c r="C154" s="39">
        <f>1/2</f>
        <v>0.5</v>
      </c>
      <c r="D154" s="22">
        <f>C154</f>
        <v>0.5</v>
      </c>
      <c r="E154" s="22">
        <f>D154</f>
        <v>0.5</v>
      </c>
      <c r="F154" s="40">
        <f>1/2</f>
        <v>0.5</v>
      </c>
      <c r="G154" s="40">
        <v>0.8</v>
      </c>
      <c r="H154" s="40">
        <f>3/4</f>
        <v>0.75</v>
      </c>
      <c r="I154" s="22"/>
      <c r="J154" s="40">
        <f>2/5</f>
        <v>0.4</v>
      </c>
      <c r="K154" s="41">
        <f>1/2</f>
        <v>0.5</v>
      </c>
      <c r="L154" s="19"/>
      <c r="M154" s="3"/>
      <c r="N154" s="4"/>
      <c r="O154" s="20"/>
    </row>
    <row r="155" spans="2:18" ht="18" thickBot="1" x14ac:dyDescent="0.35">
      <c r="B155" s="18"/>
      <c r="C155" s="32" t="s">
        <v>17</v>
      </c>
      <c r="D155" s="37" t="s">
        <v>41</v>
      </c>
      <c r="E155" s="37" t="s">
        <v>42</v>
      </c>
      <c r="F155" s="37" t="s">
        <v>43</v>
      </c>
      <c r="G155" s="37" t="s">
        <v>44</v>
      </c>
      <c r="H155" s="35" t="s">
        <v>15</v>
      </c>
      <c r="I155" s="17">
        <f>1-H154</f>
        <v>0.25</v>
      </c>
      <c r="J155" s="38" t="s">
        <v>45</v>
      </c>
      <c r="K155" s="28">
        <f>1-J154</f>
        <v>0.6</v>
      </c>
      <c r="L155" s="19"/>
      <c r="M155" s="11">
        <f>J154*F150-D150-I155*K154*F154*C150</f>
        <v>273.75</v>
      </c>
      <c r="N155" s="12">
        <f>J154*F150-K154*G154*C150</f>
        <v>200</v>
      </c>
      <c r="O155" s="20"/>
      <c r="Q155" t="s">
        <v>56</v>
      </c>
      <c r="R155">
        <f>(N155-M155)/(M152-M155-N152+N155)</f>
        <v>0.50752688172043015</v>
      </c>
    </row>
    <row r="156" spans="2:18" ht="18.75" thickBot="1" x14ac:dyDescent="0.3">
      <c r="B156" s="18"/>
      <c r="C156" s="21">
        <f>1-C154</f>
        <v>0.5</v>
      </c>
      <c r="D156" s="22">
        <f>1-D154</f>
        <v>0.5</v>
      </c>
      <c r="E156" s="22">
        <f>1-E154</f>
        <v>0.5</v>
      </c>
      <c r="F156" s="22">
        <f>1-F154</f>
        <v>0.5</v>
      </c>
      <c r="G156" s="22">
        <f>1-G154</f>
        <v>0.19999999999999996</v>
      </c>
      <c r="H156" s="36" t="s">
        <v>40</v>
      </c>
      <c r="I156" s="20">
        <f>H154^2</f>
        <v>0.5625</v>
      </c>
      <c r="J156" s="19"/>
      <c r="K156" s="19"/>
      <c r="L156" s="19"/>
      <c r="M156" s="19"/>
      <c r="N156" s="19"/>
      <c r="O156" s="20"/>
    </row>
    <row r="157" spans="2:18" ht="18.75" thickBot="1" x14ac:dyDescent="0.3">
      <c r="B157" s="18"/>
      <c r="C157" s="19"/>
      <c r="D157" s="19"/>
      <c r="E157" s="19"/>
      <c r="F157" s="19"/>
      <c r="G157" s="19"/>
      <c r="H157" s="36" t="s">
        <v>39</v>
      </c>
      <c r="I157" s="20">
        <f>I155^2</f>
        <v>6.25E-2</v>
      </c>
      <c r="J157" s="19"/>
      <c r="K157" s="19"/>
      <c r="L157" s="19"/>
      <c r="M157" t="s">
        <v>27</v>
      </c>
      <c r="N157" s="19"/>
      <c r="O157" s="20"/>
    </row>
    <row r="158" spans="2:18" ht="18.75" x14ac:dyDescent="0.3">
      <c r="B158" s="18"/>
      <c r="C158" s="33"/>
      <c r="D158" s="34"/>
      <c r="E158" s="34"/>
      <c r="F158" s="43" t="s">
        <v>52</v>
      </c>
      <c r="G158" s="34"/>
      <c r="H158" s="34"/>
      <c r="I158" s="34"/>
      <c r="J158" s="34"/>
      <c r="K158" s="44"/>
      <c r="L158" s="19"/>
      <c r="M158" s="1" t="s">
        <v>0</v>
      </c>
      <c r="N158" s="1" t="s">
        <v>1</v>
      </c>
      <c r="O158" s="20"/>
    </row>
    <row r="159" spans="2:18" ht="18.75" x14ac:dyDescent="0.3">
      <c r="B159" s="18"/>
      <c r="C159" s="45" t="s">
        <v>47</v>
      </c>
      <c r="D159" s="46" t="s">
        <v>48</v>
      </c>
      <c r="E159" s="46" t="s">
        <v>49</v>
      </c>
      <c r="F159" s="46" t="s">
        <v>50</v>
      </c>
      <c r="G159" s="46" t="s">
        <v>51</v>
      </c>
      <c r="H159" s="46"/>
      <c r="I159" s="46" t="s">
        <v>53</v>
      </c>
      <c r="J159" s="46" t="s">
        <v>54</v>
      </c>
      <c r="K159" s="47"/>
      <c r="L159" s="19"/>
      <c r="M159" s="1" t="s">
        <v>2</v>
      </c>
      <c r="N159" s="1" t="s">
        <v>3</v>
      </c>
      <c r="O159" s="20"/>
    </row>
    <row r="160" spans="2:18" ht="15.75" thickBot="1" x14ac:dyDescent="0.3">
      <c r="B160" s="18"/>
      <c r="C160" s="21">
        <f>H154-I156</f>
        <v>0.1875</v>
      </c>
      <c r="D160" s="22">
        <f>H154+(C154-G154)/(1-C154)</f>
        <v>0.14999999999999991</v>
      </c>
      <c r="E160" s="22">
        <f>H154-(1-G154/C154)</f>
        <v>1.35</v>
      </c>
      <c r="F160" s="22">
        <f>-I156+(C154-F154)*(I155)/(1-C154)</f>
        <v>-0.5625</v>
      </c>
      <c r="G160" s="22">
        <f>H154+F160</f>
        <v>0.1875</v>
      </c>
      <c r="H160" s="22"/>
      <c r="I160" s="22">
        <f>H154+(C154-F154)/(1-C154)</f>
        <v>0.75</v>
      </c>
      <c r="J160" s="22">
        <f>H154*F154/C154</f>
        <v>0.75</v>
      </c>
      <c r="K160" s="23"/>
      <c r="L160" s="19"/>
      <c r="M160" s="30" t="s">
        <v>18</v>
      </c>
      <c r="N160" s="19"/>
      <c r="O160" s="20"/>
    </row>
    <row r="161" spans="2:18" ht="15.75" thickBot="1" x14ac:dyDescent="0.3"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3"/>
    </row>
    <row r="163" spans="2:18" ht="15.75" thickBot="1" x14ac:dyDescent="0.3"/>
    <row r="164" spans="2:18" x14ac:dyDescent="0.25"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7"/>
    </row>
    <row r="165" spans="2:18" x14ac:dyDescent="0.25">
      <c r="B165" s="18"/>
      <c r="C165" t="s">
        <v>24</v>
      </c>
      <c r="D165" s="42" t="s">
        <v>46</v>
      </c>
      <c r="E165" s="19"/>
      <c r="F165" s="19"/>
      <c r="G165" s="19"/>
      <c r="H165" s="19"/>
      <c r="I165" s="19"/>
      <c r="J165" s="19"/>
      <c r="K165" s="19"/>
      <c r="L165" s="19"/>
      <c r="O165" s="20"/>
    </row>
    <row r="166" spans="2:18" ht="15.75" thickBot="1" x14ac:dyDescent="0.3"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20"/>
    </row>
    <row r="167" spans="2:18" ht="21" thickBot="1" x14ac:dyDescent="0.4">
      <c r="B167" s="18"/>
      <c r="C167" s="32" t="s">
        <v>28</v>
      </c>
      <c r="D167" s="24" t="s">
        <v>29</v>
      </c>
      <c r="E167" s="24" t="s">
        <v>30</v>
      </c>
      <c r="F167" s="24" t="s">
        <v>31</v>
      </c>
      <c r="G167" s="24" t="s">
        <v>32</v>
      </c>
      <c r="H167" s="24" t="s">
        <v>33</v>
      </c>
      <c r="I167" s="24"/>
      <c r="J167" s="24" t="s">
        <v>9</v>
      </c>
      <c r="K167" s="25" t="s">
        <v>10</v>
      </c>
      <c r="L167" s="19"/>
      <c r="M167" s="31" t="s">
        <v>26</v>
      </c>
      <c r="N167" s="19"/>
      <c r="O167" s="20"/>
    </row>
    <row r="168" spans="2:18" ht="15.75" thickBot="1" x14ac:dyDescent="0.3">
      <c r="B168" s="18"/>
      <c r="C168" s="39">
        <v>500</v>
      </c>
      <c r="D168" s="40">
        <v>95</v>
      </c>
      <c r="E168" s="40">
        <v>125</v>
      </c>
      <c r="F168" s="40">
        <v>1000</v>
      </c>
      <c r="G168" s="22">
        <f>E168*K173/(K172*C168)</f>
        <v>0.3</v>
      </c>
      <c r="H168" s="22">
        <f>D168/(K172*C168)</f>
        <v>0.38</v>
      </c>
      <c r="I168" s="22"/>
      <c r="J168" s="22">
        <f>G168/C174</f>
        <v>0.6</v>
      </c>
      <c r="K168" s="23">
        <f>H168/C172</f>
        <v>0.76</v>
      </c>
      <c r="L168" s="19"/>
      <c r="M168" s="7">
        <f>K173*(F168-E168)-I175*K172*D174*C168</f>
        <v>517.1875</v>
      </c>
      <c r="N168" s="9">
        <f>K173*(F168-E168)-I173*K172*E174*C168</f>
        <v>493.75</v>
      </c>
      <c r="O168" s="20"/>
    </row>
    <row r="169" spans="2:18" ht="15.75" thickBot="1" x14ac:dyDescent="0.3">
      <c r="B169" s="18"/>
      <c r="C169" s="19"/>
      <c r="D169" s="19" t="s">
        <v>0</v>
      </c>
      <c r="E169" s="19" t="s">
        <v>1</v>
      </c>
      <c r="F169" s="19" t="s">
        <v>2</v>
      </c>
      <c r="G169" s="19" t="s">
        <v>3</v>
      </c>
      <c r="H169" s="19"/>
      <c r="I169" s="19"/>
      <c r="J169" s="19"/>
      <c r="K169" s="19"/>
      <c r="L169" s="19"/>
      <c r="M169" s="3"/>
      <c r="N169" s="4"/>
      <c r="O169" s="20"/>
    </row>
    <row r="170" spans="2:18" ht="20.25" x14ac:dyDescent="0.35">
      <c r="B170" s="18"/>
      <c r="C170" s="33" t="s">
        <v>13</v>
      </c>
      <c r="D170" s="16" t="s">
        <v>34</v>
      </c>
      <c r="E170" s="16" t="s">
        <v>35</v>
      </c>
      <c r="F170" s="16" t="s">
        <v>36</v>
      </c>
      <c r="G170" s="16" t="s">
        <v>37</v>
      </c>
      <c r="H170" s="34" t="s">
        <v>12</v>
      </c>
      <c r="I170" s="16"/>
      <c r="J170" s="34" t="s">
        <v>38</v>
      </c>
      <c r="K170" s="17"/>
      <c r="L170" s="19"/>
      <c r="M170" s="5">
        <f>J172*(F168-E168)-D168-I175*K172*C168*D172</f>
        <v>247.1875</v>
      </c>
      <c r="N170" s="6">
        <f>J172*(F168-E168)-I173*K172*E172*C168</f>
        <v>318.75</v>
      </c>
      <c r="O170" s="20"/>
    </row>
    <row r="171" spans="2:18" x14ac:dyDescent="0.25">
      <c r="B171" s="18"/>
      <c r="C171" s="26" t="s">
        <v>11</v>
      </c>
      <c r="D171" s="2" t="s">
        <v>4</v>
      </c>
      <c r="E171" s="2" t="s">
        <v>5</v>
      </c>
      <c r="F171" s="2" t="s">
        <v>6</v>
      </c>
      <c r="G171" s="2" t="s">
        <v>7</v>
      </c>
      <c r="H171" s="2" t="s">
        <v>8</v>
      </c>
      <c r="I171" s="2"/>
      <c r="J171" s="2" t="s">
        <v>14</v>
      </c>
      <c r="K171" s="27" t="s">
        <v>16</v>
      </c>
      <c r="L171" s="19"/>
      <c r="M171" s="8">
        <f>K173*F168-I173*K172*F174*C168</f>
        <v>556.25</v>
      </c>
      <c r="N171" s="10">
        <f>K173*F168-K172*G174*C168</f>
        <v>425</v>
      </c>
      <c r="O171" s="20"/>
      <c r="Q171" t="s">
        <v>55</v>
      </c>
      <c r="R171">
        <f>(N171-N168)/(M168-N168-M171+N171)</f>
        <v>0.6376811594202898</v>
      </c>
    </row>
    <row r="172" spans="2:18" ht="15.75" thickBot="1" x14ac:dyDescent="0.3">
      <c r="B172" s="18"/>
      <c r="C172" s="39">
        <f>1/2</f>
        <v>0.5</v>
      </c>
      <c r="D172" s="22">
        <f>C172</f>
        <v>0.5</v>
      </c>
      <c r="E172" s="22">
        <f>D172</f>
        <v>0.5</v>
      </c>
      <c r="F172" s="40">
        <v>0.3</v>
      </c>
      <c r="G172" s="40">
        <v>0.3</v>
      </c>
      <c r="H172" s="40">
        <f>3/4</f>
        <v>0.75</v>
      </c>
      <c r="I172" s="22"/>
      <c r="J172" s="40">
        <f>2/5</f>
        <v>0.4</v>
      </c>
      <c r="K172" s="41">
        <f>1/2</f>
        <v>0.5</v>
      </c>
      <c r="L172" s="19"/>
      <c r="M172" s="3"/>
      <c r="N172" s="4"/>
      <c r="O172" s="20"/>
    </row>
    <row r="173" spans="2:18" ht="18" thickBot="1" x14ac:dyDescent="0.35">
      <c r="B173" s="18"/>
      <c r="C173" s="32" t="s">
        <v>17</v>
      </c>
      <c r="D173" s="37" t="s">
        <v>41</v>
      </c>
      <c r="E173" s="37" t="s">
        <v>42</v>
      </c>
      <c r="F173" s="37" t="s">
        <v>43</v>
      </c>
      <c r="G173" s="37" t="s">
        <v>44</v>
      </c>
      <c r="H173" s="35" t="s">
        <v>15</v>
      </c>
      <c r="I173" s="17">
        <f>1-H172</f>
        <v>0.25</v>
      </c>
      <c r="J173" s="38" t="s">
        <v>45</v>
      </c>
      <c r="K173" s="28">
        <f>1-J172</f>
        <v>0.6</v>
      </c>
      <c r="L173" s="19"/>
      <c r="M173" s="11">
        <f>J172*F168-D168-I173*K172*F172*C168</f>
        <v>286.25</v>
      </c>
      <c r="N173" s="12">
        <f>J172*F168-K172*G172*C168</f>
        <v>325</v>
      </c>
      <c r="O173" s="20"/>
      <c r="Q173" t="s">
        <v>56</v>
      </c>
      <c r="R173">
        <f>(N173-M173)/(M170-M173-N170+N173)</f>
        <v>-1.180952380952381</v>
      </c>
    </row>
    <row r="174" spans="2:18" ht="18.75" thickBot="1" x14ac:dyDescent="0.3">
      <c r="B174" s="18"/>
      <c r="C174" s="21">
        <f>1-C172</f>
        <v>0.5</v>
      </c>
      <c r="D174" s="22">
        <f>1-D172</f>
        <v>0.5</v>
      </c>
      <c r="E174" s="22">
        <f>1-E172</f>
        <v>0.5</v>
      </c>
      <c r="F174" s="22">
        <f>1-F172</f>
        <v>0.7</v>
      </c>
      <c r="G174" s="22">
        <f>1-G172</f>
        <v>0.7</v>
      </c>
      <c r="H174" s="36" t="s">
        <v>40</v>
      </c>
      <c r="I174" s="20">
        <f>H172^2</f>
        <v>0.5625</v>
      </c>
      <c r="J174" s="19"/>
      <c r="K174" s="19"/>
      <c r="L174" s="19"/>
      <c r="M174" s="19"/>
      <c r="N174" s="19"/>
      <c r="O174" s="20"/>
    </row>
    <row r="175" spans="2:18" ht="18.75" thickBot="1" x14ac:dyDescent="0.3">
      <c r="B175" s="18"/>
      <c r="C175" s="19"/>
      <c r="D175" s="19"/>
      <c r="E175" s="19"/>
      <c r="F175" s="19"/>
      <c r="G175" s="19"/>
      <c r="H175" s="36" t="s">
        <v>39</v>
      </c>
      <c r="I175" s="20">
        <f>I173^2</f>
        <v>6.25E-2</v>
      </c>
      <c r="J175" s="19"/>
      <c r="K175" s="19"/>
      <c r="L175" s="19"/>
      <c r="M175" t="s">
        <v>27</v>
      </c>
      <c r="N175" s="19"/>
      <c r="O175" s="20"/>
    </row>
    <row r="176" spans="2:18" ht="18.75" x14ac:dyDescent="0.3">
      <c r="B176" s="18"/>
      <c r="C176" s="33"/>
      <c r="D176" s="34"/>
      <c r="E176" s="34"/>
      <c r="F176" s="43" t="s">
        <v>52</v>
      </c>
      <c r="G176" s="34"/>
      <c r="H176" s="34"/>
      <c r="I176" s="34"/>
      <c r="J176" s="34"/>
      <c r="K176" s="44"/>
      <c r="L176" s="19"/>
      <c r="M176" s="1" t="s">
        <v>0</v>
      </c>
      <c r="N176" s="29" t="s">
        <v>1</v>
      </c>
      <c r="O176" s="20"/>
    </row>
    <row r="177" spans="2:18" ht="18.75" x14ac:dyDescent="0.3">
      <c r="B177" s="18"/>
      <c r="C177" s="45" t="s">
        <v>47</v>
      </c>
      <c r="D177" s="46" t="s">
        <v>48</v>
      </c>
      <c r="E177" s="46" t="s">
        <v>49</v>
      </c>
      <c r="F177" s="46" t="s">
        <v>50</v>
      </c>
      <c r="G177" s="46" t="s">
        <v>51</v>
      </c>
      <c r="H177" s="46"/>
      <c r="I177" s="46" t="s">
        <v>53</v>
      </c>
      <c r="J177" s="46" t="s">
        <v>54</v>
      </c>
      <c r="K177" s="47"/>
      <c r="L177" s="19"/>
      <c r="M177" s="1" t="s">
        <v>2</v>
      </c>
      <c r="N177" s="1" t="s">
        <v>3</v>
      </c>
      <c r="O177" s="20"/>
    </row>
    <row r="178" spans="2:18" ht="15.75" thickBot="1" x14ac:dyDescent="0.3">
      <c r="B178" s="18"/>
      <c r="C178" s="21">
        <f>H172-I174</f>
        <v>0.1875</v>
      </c>
      <c r="D178" s="22">
        <f>H172+(C172-G172)/(1-C172)</f>
        <v>1.1499999999999999</v>
      </c>
      <c r="E178" s="22">
        <f>H172-(1-G172/C172)</f>
        <v>0.35</v>
      </c>
      <c r="F178" s="22">
        <f>-I174+(C172-F172)*(I173)/(1-C172)</f>
        <v>-0.46250000000000002</v>
      </c>
      <c r="G178" s="22">
        <f>H172+F178</f>
        <v>0.28749999999999998</v>
      </c>
      <c r="H178" s="22"/>
      <c r="I178" s="22">
        <f>H172+(C172-F172)/(1-C172)</f>
        <v>1.1499999999999999</v>
      </c>
      <c r="J178" s="22">
        <f>H172*F172/C172</f>
        <v>0.44999999999999996</v>
      </c>
      <c r="K178" s="23"/>
      <c r="L178" s="19"/>
      <c r="M178" s="19"/>
      <c r="N178" s="19"/>
      <c r="O178" s="20"/>
    </row>
    <row r="179" spans="2:18" ht="15.75" thickBot="1" x14ac:dyDescent="0.3"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3"/>
    </row>
    <row r="181" spans="2:18" ht="15.75" thickBot="1" x14ac:dyDescent="0.3"/>
    <row r="182" spans="2:18" x14ac:dyDescent="0.25"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7"/>
    </row>
    <row r="183" spans="2:18" x14ac:dyDescent="0.25">
      <c r="B183" s="18"/>
      <c r="C183" t="s">
        <v>24</v>
      </c>
      <c r="D183" s="42" t="s">
        <v>46</v>
      </c>
      <c r="E183" s="19"/>
      <c r="F183" s="19"/>
      <c r="G183" s="19"/>
      <c r="H183" s="19"/>
      <c r="I183" s="19"/>
      <c r="J183" s="19"/>
      <c r="K183" s="19"/>
      <c r="L183" s="19"/>
      <c r="O183" s="20"/>
    </row>
    <row r="184" spans="2:18" ht="15.75" thickBot="1" x14ac:dyDescent="0.3"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20"/>
    </row>
    <row r="185" spans="2:18" ht="21" thickBot="1" x14ac:dyDescent="0.4">
      <c r="B185" s="18"/>
      <c r="C185" s="32" t="s">
        <v>28</v>
      </c>
      <c r="D185" s="24" t="s">
        <v>29</v>
      </c>
      <c r="E185" s="24" t="s">
        <v>30</v>
      </c>
      <c r="F185" s="24" t="s">
        <v>31</v>
      </c>
      <c r="G185" s="24" t="s">
        <v>32</v>
      </c>
      <c r="H185" s="24" t="s">
        <v>33</v>
      </c>
      <c r="I185" s="24"/>
      <c r="J185" s="24" t="s">
        <v>9</v>
      </c>
      <c r="K185" s="25" t="s">
        <v>10</v>
      </c>
      <c r="L185" s="19"/>
      <c r="M185" s="31" t="s">
        <v>26</v>
      </c>
      <c r="N185" s="19"/>
      <c r="O185" s="20"/>
    </row>
    <row r="186" spans="2:18" ht="15.75" thickBot="1" x14ac:dyDescent="0.3">
      <c r="B186" s="18"/>
      <c r="C186" s="39">
        <v>500</v>
      </c>
      <c r="D186" s="40">
        <v>20</v>
      </c>
      <c r="E186" s="40">
        <v>59.895999000000003</v>
      </c>
      <c r="F186" s="40">
        <v>1000</v>
      </c>
      <c r="G186" s="22">
        <f>E186*K191/(K190*C186)</f>
        <v>0.14375039760000002</v>
      </c>
      <c r="H186" s="22">
        <f>D186/(K190*C186)</f>
        <v>0.08</v>
      </c>
      <c r="I186" s="22"/>
      <c r="J186" s="22">
        <f>G186/C192</f>
        <v>0.28750079520000005</v>
      </c>
      <c r="K186" s="23">
        <f>H186/C190</f>
        <v>0.16</v>
      </c>
      <c r="L186" s="19"/>
      <c r="M186" s="7">
        <f>K191*(F186-E186)-I193*K190*D192*C186</f>
        <v>556.24990060000005</v>
      </c>
      <c r="N186" s="9">
        <f>K191*(F186-E186)-I191*K190*E192*C186</f>
        <v>532.81240060000005</v>
      </c>
      <c r="O186" s="20"/>
    </row>
    <row r="187" spans="2:18" ht="15.75" thickBot="1" x14ac:dyDescent="0.3">
      <c r="B187" s="18"/>
      <c r="C187" s="19"/>
      <c r="D187" s="19" t="s">
        <v>0</v>
      </c>
      <c r="E187" s="19" t="s">
        <v>1</v>
      </c>
      <c r="F187" s="19" t="s">
        <v>2</v>
      </c>
      <c r="G187" s="19" t="s">
        <v>3</v>
      </c>
      <c r="H187" s="19"/>
      <c r="I187" s="19"/>
      <c r="J187" s="19"/>
      <c r="K187" s="19"/>
      <c r="L187" s="19"/>
      <c r="M187" s="3"/>
      <c r="N187" s="4"/>
      <c r="O187" s="20"/>
    </row>
    <row r="188" spans="2:18" ht="20.25" x14ac:dyDescent="0.35">
      <c r="B188" s="18"/>
      <c r="C188" s="33" t="s">
        <v>13</v>
      </c>
      <c r="D188" s="16" t="s">
        <v>34</v>
      </c>
      <c r="E188" s="16" t="s">
        <v>35</v>
      </c>
      <c r="F188" s="16" t="s">
        <v>36</v>
      </c>
      <c r="G188" s="16" t="s">
        <v>37</v>
      </c>
      <c r="H188" s="34" t="s">
        <v>12</v>
      </c>
      <c r="I188" s="16"/>
      <c r="J188" s="34" t="s">
        <v>38</v>
      </c>
      <c r="K188" s="17"/>
      <c r="L188" s="19"/>
      <c r="M188" s="5">
        <f>J190*(F186-E186)-D186-I193*K190*C186*D190</f>
        <v>348.22910040000005</v>
      </c>
      <c r="N188" s="6">
        <f>J190*(F186-E186)-I191*K190*E190*C186</f>
        <v>344.79160040000005</v>
      </c>
      <c r="O188" s="20"/>
    </row>
    <row r="189" spans="2:18" x14ac:dyDescent="0.25">
      <c r="B189" s="18"/>
      <c r="C189" s="26" t="s">
        <v>11</v>
      </c>
      <c r="D189" s="2" t="s">
        <v>4</v>
      </c>
      <c r="E189" s="2" t="s">
        <v>5</v>
      </c>
      <c r="F189" s="2" t="s">
        <v>6</v>
      </c>
      <c r="G189" s="2" t="s">
        <v>7</v>
      </c>
      <c r="H189" s="2" t="s">
        <v>8</v>
      </c>
      <c r="I189" s="2"/>
      <c r="J189" s="2" t="s">
        <v>14</v>
      </c>
      <c r="K189" s="27" t="s">
        <v>16</v>
      </c>
      <c r="L189" s="19"/>
      <c r="M189" s="8">
        <f>K191*F186-I191*K190*F192*C186</f>
        <v>556.25</v>
      </c>
      <c r="N189" s="10">
        <f>K191*F186-K190*G192*C186</f>
        <v>425</v>
      </c>
      <c r="O189" s="20"/>
      <c r="Q189" t="s">
        <v>55</v>
      </c>
      <c r="R189">
        <f>(N189-N186)/(M186-N186-M189+N189)</f>
        <v>0.99999907802898591</v>
      </c>
    </row>
    <row r="190" spans="2:18" ht="15.75" thickBot="1" x14ac:dyDescent="0.3">
      <c r="B190" s="18"/>
      <c r="C190" s="39">
        <f>1/2</f>
        <v>0.5</v>
      </c>
      <c r="D190" s="22">
        <f>C190</f>
        <v>0.5</v>
      </c>
      <c r="E190" s="22">
        <f>D190</f>
        <v>0.5</v>
      </c>
      <c r="F190" s="40">
        <v>0.3</v>
      </c>
      <c r="G190" s="40">
        <v>0.3</v>
      </c>
      <c r="H190" s="40">
        <f>3/4</f>
        <v>0.75</v>
      </c>
      <c r="I190" s="22"/>
      <c r="J190" s="40">
        <f>2/5</f>
        <v>0.4</v>
      </c>
      <c r="K190" s="41">
        <f>1/2</f>
        <v>0.5</v>
      </c>
      <c r="L190" s="19"/>
      <c r="M190" s="3"/>
      <c r="N190" s="4"/>
      <c r="O190" s="20"/>
    </row>
    <row r="191" spans="2:18" ht="18" thickBot="1" x14ac:dyDescent="0.35">
      <c r="B191" s="18"/>
      <c r="C191" s="32" t="s">
        <v>17</v>
      </c>
      <c r="D191" s="37" t="s">
        <v>41</v>
      </c>
      <c r="E191" s="37" t="s">
        <v>42</v>
      </c>
      <c r="F191" s="37" t="s">
        <v>43</v>
      </c>
      <c r="G191" s="37" t="s">
        <v>44</v>
      </c>
      <c r="H191" s="35" t="s">
        <v>15</v>
      </c>
      <c r="I191" s="17">
        <f>1-H190</f>
        <v>0.25</v>
      </c>
      <c r="J191" s="38" t="s">
        <v>45</v>
      </c>
      <c r="K191" s="28">
        <f>1-J190</f>
        <v>0.6</v>
      </c>
      <c r="L191" s="19"/>
      <c r="M191" s="11">
        <f>J190*F186-D186-I191*K190*F190*C186</f>
        <v>361.25</v>
      </c>
      <c r="N191" s="12">
        <f>J190*F186-K190*G190*C186</f>
        <v>325</v>
      </c>
      <c r="O191" s="20"/>
      <c r="Q191" t="s">
        <v>56</v>
      </c>
      <c r="R191">
        <f>(N191-M191)/(M188-M191-N188+N191)</f>
        <v>1.1047619047619048</v>
      </c>
    </row>
    <row r="192" spans="2:18" ht="18.75" thickBot="1" x14ac:dyDescent="0.3">
      <c r="B192" s="18"/>
      <c r="C192" s="21">
        <f>1-C190</f>
        <v>0.5</v>
      </c>
      <c r="D192" s="22">
        <f>1-D190</f>
        <v>0.5</v>
      </c>
      <c r="E192" s="22">
        <f>1-E190</f>
        <v>0.5</v>
      </c>
      <c r="F192" s="22">
        <f>1-F190</f>
        <v>0.7</v>
      </c>
      <c r="G192" s="22">
        <f>1-G190</f>
        <v>0.7</v>
      </c>
      <c r="H192" s="36" t="s">
        <v>40</v>
      </c>
      <c r="I192" s="20">
        <f>H190^2</f>
        <v>0.5625</v>
      </c>
      <c r="J192" s="19"/>
      <c r="K192" s="19"/>
      <c r="L192" s="19"/>
      <c r="M192" s="19"/>
      <c r="N192" s="19"/>
      <c r="O192" s="20"/>
    </row>
    <row r="193" spans="2:18" ht="18.75" thickBot="1" x14ac:dyDescent="0.3">
      <c r="B193" s="18"/>
      <c r="C193" s="19"/>
      <c r="D193" s="19"/>
      <c r="E193" s="19"/>
      <c r="F193" s="19"/>
      <c r="G193" s="19"/>
      <c r="H193" s="36" t="s">
        <v>39</v>
      </c>
      <c r="I193" s="20">
        <f>I191^2</f>
        <v>6.25E-2</v>
      </c>
      <c r="J193" s="19"/>
      <c r="K193" s="19"/>
      <c r="L193" s="19"/>
      <c r="M193" t="s">
        <v>27</v>
      </c>
      <c r="N193" s="19"/>
      <c r="O193" s="20"/>
    </row>
    <row r="194" spans="2:18" ht="18.75" x14ac:dyDescent="0.3">
      <c r="B194" s="18"/>
      <c r="C194" s="33"/>
      <c r="D194" s="34"/>
      <c r="E194" s="34"/>
      <c r="F194" s="43" t="s">
        <v>52</v>
      </c>
      <c r="G194" s="34"/>
      <c r="H194" s="34"/>
      <c r="I194" s="34"/>
      <c r="J194" s="34"/>
      <c r="K194" s="44"/>
      <c r="L194" s="19"/>
      <c r="M194" s="1" t="s">
        <v>0</v>
      </c>
      <c r="N194" s="1" t="s">
        <v>1</v>
      </c>
      <c r="O194" s="20"/>
    </row>
    <row r="195" spans="2:18" ht="18.75" x14ac:dyDescent="0.3">
      <c r="B195" s="18"/>
      <c r="C195" s="45" t="s">
        <v>47</v>
      </c>
      <c r="D195" s="46" t="s">
        <v>48</v>
      </c>
      <c r="E195" s="46" t="s">
        <v>49</v>
      </c>
      <c r="F195" s="46" t="s">
        <v>50</v>
      </c>
      <c r="G195" s="46" t="s">
        <v>51</v>
      </c>
      <c r="H195" s="46"/>
      <c r="I195" s="46" t="s">
        <v>53</v>
      </c>
      <c r="J195" s="46" t="s">
        <v>54</v>
      </c>
      <c r="K195" s="47"/>
      <c r="L195" s="19"/>
      <c r="M195" s="29" t="s">
        <v>2</v>
      </c>
      <c r="N195" s="1" t="s">
        <v>3</v>
      </c>
      <c r="O195" s="20"/>
    </row>
    <row r="196" spans="2:18" ht="15.75" thickBot="1" x14ac:dyDescent="0.3">
      <c r="B196" s="18"/>
      <c r="C196" s="21">
        <f>H190-I192</f>
        <v>0.1875</v>
      </c>
      <c r="D196" s="22">
        <f>H190+(C190-G190)/(1-C190)</f>
        <v>1.1499999999999999</v>
      </c>
      <c r="E196" s="22">
        <f>H190-(1-G190/C190)</f>
        <v>0.35</v>
      </c>
      <c r="F196" s="22">
        <f>-I192+(C190-F190)*(I191)/(1-C190)</f>
        <v>-0.46250000000000002</v>
      </c>
      <c r="G196" s="22">
        <f>H190+F196</f>
        <v>0.28749999999999998</v>
      </c>
      <c r="H196" s="22"/>
      <c r="I196" s="22">
        <f>H190+(C190-F190)/(1-C190)</f>
        <v>1.1499999999999999</v>
      </c>
      <c r="J196" s="22">
        <f>H190*F190/C190</f>
        <v>0.44999999999999996</v>
      </c>
      <c r="K196" s="23"/>
      <c r="L196" s="19"/>
      <c r="M196" s="19"/>
      <c r="N196" s="19"/>
      <c r="O196" s="20"/>
    </row>
    <row r="197" spans="2:18" ht="15.75" thickBot="1" x14ac:dyDescent="0.3"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3"/>
    </row>
    <row r="199" spans="2:18" ht="15.75" thickBot="1" x14ac:dyDescent="0.3"/>
    <row r="200" spans="2:18" x14ac:dyDescent="0.25"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7"/>
    </row>
    <row r="201" spans="2:18" x14ac:dyDescent="0.25">
      <c r="B201" s="18"/>
      <c r="C201" t="s">
        <v>24</v>
      </c>
      <c r="D201" s="42" t="s">
        <v>46</v>
      </c>
      <c r="E201" s="19"/>
      <c r="F201" s="19"/>
      <c r="G201" s="19"/>
      <c r="H201" s="19"/>
      <c r="I201" s="19"/>
      <c r="J201" s="19"/>
      <c r="K201" s="19"/>
      <c r="L201" s="19"/>
      <c r="O201" s="20"/>
    </row>
    <row r="202" spans="2:18" ht="15.75" thickBot="1" x14ac:dyDescent="0.3"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20"/>
    </row>
    <row r="203" spans="2:18" ht="21" thickBot="1" x14ac:dyDescent="0.4">
      <c r="B203" s="18"/>
      <c r="C203" s="32" t="s">
        <v>28</v>
      </c>
      <c r="D203" s="24" t="s">
        <v>29</v>
      </c>
      <c r="E203" s="24" t="s">
        <v>30</v>
      </c>
      <c r="F203" s="24" t="s">
        <v>31</v>
      </c>
      <c r="G203" s="24" t="s">
        <v>32</v>
      </c>
      <c r="H203" s="24" t="s">
        <v>33</v>
      </c>
      <c r="I203" s="24"/>
      <c r="J203" s="24" t="s">
        <v>9</v>
      </c>
      <c r="K203" s="25" t="s">
        <v>10</v>
      </c>
      <c r="L203" s="19"/>
      <c r="M203" s="31" t="s">
        <v>26</v>
      </c>
      <c r="N203" s="19"/>
      <c r="O203" s="20"/>
    </row>
    <row r="204" spans="2:18" ht="15.75" thickBot="1" x14ac:dyDescent="0.3">
      <c r="B204" s="18"/>
      <c r="C204" s="39">
        <v>500</v>
      </c>
      <c r="D204" s="40">
        <v>50</v>
      </c>
      <c r="E204" s="40">
        <v>59.895999000000003</v>
      </c>
      <c r="F204" s="40">
        <v>1000</v>
      </c>
      <c r="G204" s="22">
        <f>E204*K209/(K208*C204)</f>
        <v>0.14375039760000002</v>
      </c>
      <c r="H204" s="22">
        <f>D204/(K208*C204)</f>
        <v>0.2</v>
      </c>
      <c r="I204" s="22"/>
      <c r="J204" s="22">
        <f>G204/C210</f>
        <v>0.28750079520000005</v>
      </c>
      <c r="K204" s="23">
        <f>H204/C208</f>
        <v>0.4</v>
      </c>
      <c r="L204" s="19"/>
      <c r="M204" s="7">
        <f>K209*(F204-E204)-I211*K208*D210*C204</f>
        <v>556.24990060000005</v>
      </c>
      <c r="N204" s="9">
        <f>K209*(F204-E204)-I209*K208*E210*C204</f>
        <v>532.81240060000005</v>
      </c>
      <c r="O204" s="20"/>
    </row>
    <row r="205" spans="2:18" ht="15.75" thickBot="1" x14ac:dyDescent="0.3">
      <c r="B205" s="18"/>
      <c r="C205" s="19"/>
      <c r="D205" s="19" t="s">
        <v>0</v>
      </c>
      <c r="E205" s="19" t="s">
        <v>1</v>
      </c>
      <c r="F205" s="19" t="s">
        <v>2</v>
      </c>
      <c r="G205" s="19" t="s">
        <v>3</v>
      </c>
      <c r="H205" s="19"/>
      <c r="I205" s="19"/>
      <c r="J205" s="19"/>
      <c r="K205" s="19"/>
      <c r="L205" s="19"/>
      <c r="M205" s="3"/>
      <c r="N205" s="4"/>
      <c r="O205" s="20"/>
    </row>
    <row r="206" spans="2:18" ht="20.25" x14ac:dyDescent="0.35">
      <c r="B206" s="18"/>
      <c r="C206" s="33" t="s">
        <v>13</v>
      </c>
      <c r="D206" s="16" t="s">
        <v>34</v>
      </c>
      <c r="E206" s="16" t="s">
        <v>35</v>
      </c>
      <c r="F206" s="16" t="s">
        <v>36</v>
      </c>
      <c r="G206" s="16" t="s">
        <v>37</v>
      </c>
      <c r="H206" s="34" t="s">
        <v>12</v>
      </c>
      <c r="I206" s="16"/>
      <c r="J206" s="34" t="s">
        <v>38</v>
      </c>
      <c r="K206" s="17"/>
      <c r="L206" s="19"/>
      <c r="M206" s="5">
        <f>J208*(F204-E204)-D204-I211*K208*C204*D208</f>
        <v>318.22910040000005</v>
      </c>
      <c r="N206" s="6">
        <f>J208*(F204-E204)-I209*K208*E208*C204</f>
        <v>344.79160040000005</v>
      </c>
      <c r="O206" s="20"/>
    </row>
    <row r="207" spans="2:18" x14ac:dyDescent="0.25">
      <c r="B207" s="18"/>
      <c r="C207" s="26" t="s">
        <v>11</v>
      </c>
      <c r="D207" s="2" t="s">
        <v>4</v>
      </c>
      <c r="E207" s="2" t="s">
        <v>5</v>
      </c>
      <c r="F207" s="2" t="s">
        <v>6</v>
      </c>
      <c r="G207" s="2" t="s">
        <v>7</v>
      </c>
      <c r="H207" s="2" t="s">
        <v>8</v>
      </c>
      <c r="I207" s="2"/>
      <c r="J207" s="2" t="s">
        <v>14</v>
      </c>
      <c r="K207" s="27" t="s">
        <v>16</v>
      </c>
      <c r="L207" s="19"/>
      <c r="M207" s="8">
        <f>K209*F204-I209*K208*F210*C204</f>
        <v>556.25</v>
      </c>
      <c r="N207" s="10">
        <f>K209*F204-K208*G210*C204</f>
        <v>425</v>
      </c>
      <c r="O207" s="20"/>
      <c r="Q207" t="s">
        <v>55</v>
      </c>
      <c r="R207">
        <f>(N207-N204)/(M204-N204-M207+N207)</f>
        <v>0.99999907802898591</v>
      </c>
    </row>
    <row r="208" spans="2:18" ht="15.75" thickBot="1" x14ac:dyDescent="0.3">
      <c r="B208" s="18"/>
      <c r="C208" s="39">
        <f>1/2</f>
        <v>0.5</v>
      </c>
      <c r="D208" s="22">
        <f>C208</f>
        <v>0.5</v>
      </c>
      <c r="E208" s="22">
        <f>D208</f>
        <v>0.5</v>
      </c>
      <c r="F208" s="40">
        <v>0.3</v>
      </c>
      <c r="G208" s="40">
        <v>0.3</v>
      </c>
      <c r="H208" s="40">
        <f>3/4</f>
        <v>0.75</v>
      </c>
      <c r="I208" s="22"/>
      <c r="J208" s="40">
        <f>2/5</f>
        <v>0.4</v>
      </c>
      <c r="K208" s="41">
        <f>1/2</f>
        <v>0.5</v>
      </c>
      <c r="L208" s="19"/>
      <c r="M208" s="3"/>
      <c r="N208" s="4"/>
      <c r="O208" s="20"/>
    </row>
    <row r="209" spans="2:18" ht="18" thickBot="1" x14ac:dyDescent="0.35">
      <c r="B209" s="18"/>
      <c r="C209" s="32" t="s">
        <v>17</v>
      </c>
      <c r="D209" s="37" t="s">
        <v>41</v>
      </c>
      <c r="E209" s="37" t="s">
        <v>42</v>
      </c>
      <c r="F209" s="37" t="s">
        <v>43</v>
      </c>
      <c r="G209" s="37" t="s">
        <v>44</v>
      </c>
      <c r="H209" s="35" t="s">
        <v>15</v>
      </c>
      <c r="I209" s="17">
        <f>1-H208</f>
        <v>0.25</v>
      </c>
      <c r="J209" s="38" t="s">
        <v>45</v>
      </c>
      <c r="K209" s="28">
        <f>1-J208</f>
        <v>0.6</v>
      </c>
      <c r="L209" s="19"/>
      <c r="M209" s="11">
        <f>J208*F204-D204-I209*K208*F208*C204</f>
        <v>331.25</v>
      </c>
      <c r="N209" s="12">
        <f>J208*F204-K208*G208*C204</f>
        <v>325</v>
      </c>
      <c r="O209" s="20"/>
      <c r="Q209" t="s">
        <v>56</v>
      </c>
      <c r="R209">
        <f>(N209-M209)/(M206-M209-N206+N209)</f>
        <v>0.19047619047619047</v>
      </c>
    </row>
    <row r="210" spans="2:18" ht="18.75" thickBot="1" x14ac:dyDescent="0.3">
      <c r="B210" s="18"/>
      <c r="C210" s="21">
        <f>1-C208</f>
        <v>0.5</v>
      </c>
      <c r="D210" s="22">
        <f>1-D208</f>
        <v>0.5</v>
      </c>
      <c r="E210" s="22">
        <f>1-E208</f>
        <v>0.5</v>
      </c>
      <c r="F210" s="22">
        <f>1-F208</f>
        <v>0.7</v>
      </c>
      <c r="G210" s="22">
        <f>1-G208</f>
        <v>0.7</v>
      </c>
      <c r="H210" s="36" t="s">
        <v>40</v>
      </c>
      <c r="I210" s="20">
        <f>H208^2</f>
        <v>0.5625</v>
      </c>
      <c r="J210" s="19"/>
      <c r="K210" s="19"/>
      <c r="L210" s="19"/>
      <c r="M210" s="19"/>
      <c r="N210" s="19"/>
      <c r="O210" s="20"/>
    </row>
    <row r="211" spans="2:18" ht="18.75" thickBot="1" x14ac:dyDescent="0.3">
      <c r="B211" s="18"/>
      <c r="C211" s="19"/>
      <c r="D211" s="19"/>
      <c r="E211" s="19"/>
      <c r="F211" s="19"/>
      <c r="G211" s="19"/>
      <c r="H211" s="36" t="s">
        <v>39</v>
      </c>
      <c r="I211" s="20">
        <f>I209^2</f>
        <v>6.25E-2</v>
      </c>
      <c r="J211" s="19"/>
      <c r="K211" s="19"/>
      <c r="L211" s="19"/>
      <c r="M211" t="s">
        <v>27</v>
      </c>
      <c r="N211" s="19"/>
      <c r="O211" s="20"/>
    </row>
    <row r="212" spans="2:18" ht="18.75" x14ac:dyDescent="0.3">
      <c r="B212" s="18"/>
      <c r="C212" s="33"/>
      <c r="D212" s="34"/>
      <c r="E212" s="34"/>
      <c r="F212" s="43" t="s">
        <v>52</v>
      </c>
      <c r="G212" s="34"/>
      <c r="H212" s="34"/>
      <c r="I212" s="34"/>
      <c r="J212" s="34"/>
      <c r="K212" s="44"/>
      <c r="L212" s="19"/>
      <c r="M212" s="1" t="s">
        <v>0</v>
      </c>
      <c r="N212" s="29" t="s">
        <v>1</v>
      </c>
      <c r="O212" s="20"/>
    </row>
    <row r="213" spans="2:18" ht="18.75" x14ac:dyDescent="0.3">
      <c r="B213" s="18"/>
      <c r="C213" s="45" t="s">
        <v>47</v>
      </c>
      <c r="D213" s="46" t="s">
        <v>48</v>
      </c>
      <c r="E213" s="46" t="s">
        <v>49</v>
      </c>
      <c r="F213" s="46" t="s">
        <v>50</v>
      </c>
      <c r="G213" s="46" t="s">
        <v>51</v>
      </c>
      <c r="H213" s="46"/>
      <c r="I213" s="46" t="s">
        <v>53</v>
      </c>
      <c r="J213" s="46" t="s">
        <v>54</v>
      </c>
      <c r="K213" s="47"/>
      <c r="L213" s="19"/>
      <c r="M213" s="29" t="s">
        <v>2</v>
      </c>
      <c r="N213" s="1" t="s">
        <v>3</v>
      </c>
      <c r="O213" s="20"/>
    </row>
    <row r="214" spans="2:18" ht="15.75" thickBot="1" x14ac:dyDescent="0.3">
      <c r="B214" s="18"/>
      <c r="C214" s="21">
        <f>H208-I210</f>
        <v>0.1875</v>
      </c>
      <c r="D214" s="22">
        <f>H208+(C208-G208)/(1-C208)</f>
        <v>1.1499999999999999</v>
      </c>
      <c r="E214" s="22">
        <f>H208-(1-G208/C208)</f>
        <v>0.35</v>
      </c>
      <c r="F214" s="22">
        <f>-I210+(C208-F208)*(I209)/(1-C208)</f>
        <v>-0.46250000000000002</v>
      </c>
      <c r="G214" s="22">
        <f>H208+F214</f>
        <v>0.28749999999999998</v>
      </c>
      <c r="H214" s="22"/>
      <c r="I214" s="22">
        <f>H208+(C208-F208)/(1-C208)</f>
        <v>1.1499999999999999</v>
      </c>
      <c r="J214" s="22">
        <f>H208*F208/C208</f>
        <v>0.44999999999999996</v>
      </c>
      <c r="K214" s="23"/>
      <c r="L214" s="19"/>
      <c r="M214" s="19"/>
      <c r="N214" s="19"/>
      <c r="O214" s="20"/>
    </row>
    <row r="215" spans="2:18" ht="15.75" thickBot="1" x14ac:dyDescent="0.3"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3"/>
    </row>
    <row r="217" spans="2:18" ht="15.75" thickBot="1" x14ac:dyDescent="0.3"/>
    <row r="218" spans="2:18" x14ac:dyDescent="0.25">
      <c r="B218" s="15"/>
      <c r="C218" s="16" t="s">
        <v>25</v>
      </c>
      <c r="D218" s="42" t="s">
        <v>46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7"/>
    </row>
    <row r="219" spans="2:18" ht="15.75" thickBot="1" x14ac:dyDescent="0.3"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20"/>
    </row>
    <row r="220" spans="2:18" ht="21" thickBot="1" x14ac:dyDescent="0.4">
      <c r="B220" s="18"/>
      <c r="C220" s="32" t="s">
        <v>28</v>
      </c>
      <c r="D220" s="24" t="s">
        <v>29</v>
      </c>
      <c r="E220" s="24" t="s">
        <v>30</v>
      </c>
      <c r="F220" s="24" t="s">
        <v>31</v>
      </c>
      <c r="G220" s="24" t="s">
        <v>32</v>
      </c>
      <c r="H220" s="24" t="s">
        <v>33</v>
      </c>
      <c r="I220" s="24"/>
      <c r="J220" s="24" t="s">
        <v>9</v>
      </c>
      <c r="K220" s="25" t="s">
        <v>10</v>
      </c>
      <c r="L220" s="19"/>
      <c r="M220" s="31" t="s">
        <v>26</v>
      </c>
      <c r="N220" s="19"/>
      <c r="O220" s="20"/>
    </row>
    <row r="221" spans="2:18" ht="15.75" thickBot="1" x14ac:dyDescent="0.3">
      <c r="B221" s="18"/>
      <c r="C221" s="39">
        <v>500</v>
      </c>
      <c r="D221" s="40">
        <v>29.5</v>
      </c>
      <c r="E221" s="40">
        <v>120</v>
      </c>
      <c r="F221" s="40">
        <v>1000</v>
      </c>
      <c r="G221" s="22">
        <f>E221*K226/(K225*C221)</f>
        <v>0.28799999999999998</v>
      </c>
      <c r="H221" s="22">
        <f>D221/(K225*C221)</f>
        <v>0.11799999999999999</v>
      </c>
      <c r="I221" s="22"/>
      <c r="J221" s="22">
        <f>G221/C227</f>
        <v>0.57599999999999996</v>
      </c>
      <c r="K221" s="23">
        <f>H221/C225</f>
        <v>0.23599999999999999</v>
      </c>
      <c r="L221" s="19"/>
      <c r="M221" s="7">
        <f>K226*(F221-E221)-I228*K225*D227*C221</f>
        <v>481.48750000000001</v>
      </c>
      <c r="N221" s="9">
        <f>K226*(F221-E221)-I226*K225*E227*C221</f>
        <v>451.75</v>
      </c>
      <c r="O221" s="20"/>
    </row>
    <row r="222" spans="2:18" ht="15.75" thickBot="1" x14ac:dyDescent="0.3">
      <c r="B222" s="18"/>
      <c r="C222" s="19"/>
      <c r="D222" s="19" t="s">
        <v>0</v>
      </c>
      <c r="E222" s="19" t="s">
        <v>1</v>
      </c>
      <c r="F222" s="19" t="s">
        <v>2</v>
      </c>
      <c r="G222" s="19" t="s">
        <v>3</v>
      </c>
      <c r="H222" s="19"/>
      <c r="I222" s="19"/>
      <c r="J222" s="19"/>
      <c r="K222" s="19"/>
      <c r="L222" s="19"/>
      <c r="M222" s="3"/>
      <c r="N222" s="4"/>
      <c r="O222" s="20"/>
    </row>
    <row r="223" spans="2:18" ht="20.25" x14ac:dyDescent="0.35">
      <c r="B223" s="18"/>
      <c r="C223" s="33" t="s">
        <v>13</v>
      </c>
      <c r="D223" s="16" t="s">
        <v>34</v>
      </c>
      <c r="E223" s="16" t="s">
        <v>35</v>
      </c>
      <c r="F223" s="16" t="s">
        <v>36</v>
      </c>
      <c r="G223" s="16" t="s">
        <v>37</v>
      </c>
      <c r="H223" s="34" t="s">
        <v>12</v>
      </c>
      <c r="I223" s="16"/>
      <c r="J223" s="34" t="s">
        <v>38</v>
      </c>
      <c r="K223" s="17"/>
      <c r="L223" s="19"/>
      <c r="M223" s="5">
        <f>J225*(F221-E221)-D221-I228*K225*C221*D225</f>
        <v>275.98750000000001</v>
      </c>
      <c r="N223" s="6">
        <f>J225*(F221-E221)-I226*K225*E225*C221</f>
        <v>275.75</v>
      </c>
      <c r="O223" s="20"/>
    </row>
    <row r="224" spans="2:18" x14ac:dyDescent="0.25">
      <c r="B224" s="18"/>
      <c r="C224" s="26" t="s">
        <v>11</v>
      </c>
      <c r="D224" s="2" t="s">
        <v>4</v>
      </c>
      <c r="E224" s="2" t="s">
        <v>5</v>
      </c>
      <c r="F224" s="2" t="s">
        <v>6</v>
      </c>
      <c r="G224" s="2" t="s">
        <v>7</v>
      </c>
      <c r="H224" s="2" t="s">
        <v>8</v>
      </c>
      <c r="I224" s="2"/>
      <c r="J224" s="2" t="s">
        <v>14</v>
      </c>
      <c r="K224" s="27" t="s">
        <v>16</v>
      </c>
      <c r="L224" s="19"/>
      <c r="M224" s="8">
        <f>K226*F221-I226*K225*F227*C221</f>
        <v>493.25</v>
      </c>
      <c r="N224" s="10">
        <f>K226*F221-K225*G227*C221</f>
        <v>425</v>
      </c>
      <c r="O224" s="20"/>
      <c r="Q224" t="s">
        <v>55</v>
      </c>
      <c r="R224">
        <f>(N224-N221)/(M221-N221-M224+N224)</f>
        <v>0.69457968192145425</v>
      </c>
    </row>
    <row r="225" spans="2:18" ht="15.75" thickBot="1" x14ac:dyDescent="0.3">
      <c r="B225" s="18"/>
      <c r="C225" s="39">
        <f>1/2</f>
        <v>0.5</v>
      </c>
      <c r="D225" s="22">
        <f>C225</f>
        <v>0.5</v>
      </c>
      <c r="E225" s="22">
        <f>D225</f>
        <v>0.5</v>
      </c>
      <c r="F225" s="40">
        <v>0.3</v>
      </c>
      <c r="G225" s="40">
        <v>0.3</v>
      </c>
      <c r="H225" s="40">
        <v>0.39</v>
      </c>
      <c r="I225" s="22"/>
      <c r="J225" s="40">
        <f>2/5</f>
        <v>0.4</v>
      </c>
      <c r="K225" s="41">
        <f>1/2</f>
        <v>0.5</v>
      </c>
      <c r="L225" s="19"/>
      <c r="M225" s="3"/>
      <c r="N225" s="4"/>
      <c r="O225" s="20"/>
    </row>
    <row r="226" spans="2:18" ht="18" thickBot="1" x14ac:dyDescent="0.35">
      <c r="B226" s="18"/>
      <c r="C226" s="32" t="s">
        <v>17</v>
      </c>
      <c r="D226" s="37" t="s">
        <v>41</v>
      </c>
      <c r="E226" s="37" t="s">
        <v>42</v>
      </c>
      <c r="F226" s="37" t="s">
        <v>43</v>
      </c>
      <c r="G226" s="37" t="s">
        <v>44</v>
      </c>
      <c r="H226" s="35" t="s">
        <v>15</v>
      </c>
      <c r="I226" s="17">
        <f>1-H225</f>
        <v>0.61</v>
      </c>
      <c r="J226" s="38" t="s">
        <v>45</v>
      </c>
      <c r="K226" s="28">
        <f>1-J225</f>
        <v>0.6</v>
      </c>
      <c r="L226" s="19"/>
      <c r="M226" s="11">
        <f>J225*F221-D221-I226*K225*F225*C221</f>
        <v>324.75</v>
      </c>
      <c r="N226" s="12">
        <f>J225*F221-K225*G225*C221</f>
        <v>325</v>
      </c>
      <c r="O226" s="20"/>
      <c r="Q226" t="s">
        <v>56</v>
      </c>
      <c r="R226">
        <f>(N226-M226)/(M223-M226-N223+N226)</f>
        <v>0.5128205128205009</v>
      </c>
    </row>
    <row r="227" spans="2:18" ht="18.75" thickBot="1" x14ac:dyDescent="0.3">
      <c r="B227" s="18"/>
      <c r="C227" s="21">
        <f>1-C225</f>
        <v>0.5</v>
      </c>
      <c r="D227" s="22">
        <f>1-D225</f>
        <v>0.5</v>
      </c>
      <c r="E227" s="22">
        <f>1-E225</f>
        <v>0.5</v>
      </c>
      <c r="F227" s="22">
        <f>1-F225</f>
        <v>0.7</v>
      </c>
      <c r="G227" s="22">
        <f>1-G225</f>
        <v>0.7</v>
      </c>
      <c r="H227" s="36" t="s">
        <v>40</v>
      </c>
      <c r="I227" s="20">
        <f>H225^2</f>
        <v>0.15210000000000001</v>
      </c>
      <c r="J227" s="19"/>
      <c r="K227" s="19"/>
      <c r="L227" s="19"/>
      <c r="M227" s="19"/>
      <c r="N227" s="19"/>
      <c r="O227" s="20"/>
    </row>
    <row r="228" spans="2:18" ht="18.75" thickBot="1" x14ac:dyDescent="0.3">
      <c r="B228" s="18"/>
      <c r="C228" s="19"/>
      <c r="D228" s="19"/>
      <c r="E228" s="19"/>
      <c r="F228" s="19"/>
      <c r="G228" s="19"/>
      <c r="H228" s="36" t="s">
        <v>39</v>
      </c>
      <c r="I228" s="20">
        <f>I226^2</f>
        <v>0.37209999999999999</v>
      </c>
      <c r="J228" s="19"/>
      <c r="K228" s="19"/>
      <c r="L228" s="19"/>
      <c r="M228" t="s">
        <v>27</v>
      </c>
      <c r="N228" s="19"/>
      <c r="O228" s="20"/>
    </row>
    <row r="229" spans="2:18" ht="18.75" x14ac:dyDescent="0.3">
      <c r="B229" s="18"/>
      <c r="C229" s="33"/>
      <c r="D229" s="34"/>
      <c r="E229" s="34"/>
      <c r="F229" s="43" t="s">
        <v>52</v>
      </c>
      <c r="G229" s="34"/>
      <c r="H229" s="34"/>
      <c r="I229" s="34"/>
      <c r="J229" s="34"/>
      <c r="K229" s="44"/>
      <c r="L229" s="19"/>
      <c r="M229" s="1" t="s">
        <v>0</v>
      </c>
      <c r="N229" s="1" t="s">
        <v>1</v>
      </c>
      <c r="O229" s="20"/>
    </row>
    <row r="230" spans="2:18" ht="18.75" x14ac:dyDescent="0.3">
      <c r="B230" s="18"/>
      <c r="C230" s="45" t="s">
        <v>47</v>
      </c>
      <c r="D230" s="46" t="s">
        <v>48</v>
      </c>
      <c r="E230" s="46" t="s">
        <v>49</v>
      </c>
      <c r="F230" s="46" t="s">
        <v>50</v>
      </c>
      <c r="G230" s="46" t="s">
        <v>51</v>
      </c>
      <c r="H230" s="46"/>
      <c r="I230" s="46" t="s">
        <v>53</v>
      </c>
      <c r="J230" s="46" t="s">
        <v>54</v>
      </c>
      <c r="K230" s="47"/>
      <c r="L230" s="19"/>
      <c r="M230" s="1" t="s">
        <v>2</v>
      </c>
      <c r="N230" s="1" t="s">
        <v>3</v>
      </c>
      <c r="O230" s="20"/>
    </row>
    <row r="231" spans="2:18" ht="15.75" thickBot="1" x14ac:dyDescent="0.3">
      <c r="B231" s="18"/>
      <c r="C231" s="21">
        <f>H225-I227</f>
        <v>0.2379</v>
      </c>
      <c r="D231" s="22">
        <f>H225+(C225-G225)/(1-C225)</f>
        <v>0.79</v>
      </c>
      <c r="E231" s="22">
        <f>H225-(1-G225/C225)</f>
        <v>-1.0000000000000009E-2</v>
      </c>
      <c r="F231" s="22">
        <f>-I227+(C225-F225)*(I226)/(1-C225)</f>
        <v>9.1899999999999982E-2</v>
      </c>
      <c r="G231" s="22">
        <f>H225+F231</f>
        <v>0.4819</v>
      </c>
      <c r="H231" s="22"/>
      <c r="I231" s="22">
        <f>H225+(C225-F225)/(1-C225)</f>
        <v>0.79</v>
      </c>
      <c r="J231" s="22">
        <f>H225*F225/C225</f>
        <v>0.23399999999999999</v>
      </c>
      <c r="K231" s="23"/>
      <c r="L231" s="19"/>
      <c r="M231" s="30" t="s">
        <v>18</v>
      </c>
      <c r="N231" s="19"/>
      <c r="O231" s="20"/>
    </row>
    <row r="232" spans="2:18" ht="15.75" thickBot="1" x14ac:dyDescent="0.3"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3"/>
    </row>
  </sheetData>
  <pageMargins left="0.7" right="0.7" top="0.72" bottom="0.82" header="0.74" footer="0.66"/>
  <pageSetup scale="58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Forcey,Stefan A</cp:lastModifiedBy>
  <cp:lastPrinted>2011-03-25T18:55:56Z</cp:lastPrinted>
  <dcterms:created xsi:type="dcterms:W3CDTF">2011-03-25T14:48:35Z</dcterms:created>
  <dcterms:modified xsi:type="dcterms:W3CDTF">2014-11-04T20:36:27Z</dcterms:modified>
</cp:coreProperties>
</file>