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7"/>
  <workbookPr hidePivotFieldList="1" autoCompressPictures="0" defaultThemeVersion="166925"/>
  <mc:AlternateContent xmlns:mc="http://schemas.openxmlformats.org/markup-compatibility/2006">
    <mc:Choice Requires="x15">
      <x15ac:absPath xmlns:x15ac="http://schemas.microsoft.com/office/spreadsheetml/2010/11/ac" url="/Volumes/GoogleDrive/.shortcut-targets-by-id/0B9v0CdUUCqU5dVBPVXk3RGI4YlE/VBL_data/Collections/S5 collection/manuscript/frontiers_in_env_science/analysis/data/"/>
    </mc:Choice>
  </mc:AlternateContent>
  <xr:revisionPtr revIDLastSave="0" documentId="13_ncr:1_{72378B4C-C1D3-6746-B85B-C7D645E67E9C}" xr6:coauthVersionLast="47" xr6:coauthVersionMax="47" xr10:uidLastSave="{00000000-0000-0000-0000-000000000000}"/>
  <bookViews>
    <workbookView xWindow="0" yWindow="2080" windowWidth="28800" windowHeight="15840" tabRatio="849" activeTab="3" xr2:uid="{00000000-000D-0000-FFFF-FFFF00000000}"/>
  </bookViews>
  <sheets>
    <sheet name="sheet_metadata" sheetId="31" r:id="rId1"/>
    <sheet name="column_header_metadata" sheetId="1" r:id="rId2"/>
    <sheet name="sample_sets_metadata" sheetId="32" r:id="rId3"/>
    <sheet name="sample_key" sheetId="25" r:id="rId4"/>
    <sheet name="microbial" sheetId="20" r:id="rId5"/>
    <sheet name="ncbi" sheetId="30" r:id="rId6"/>
    <sheet name="geochip" sheetId="34" r:id="rId7"/>
    <sheet name="plant_morphology" sheetId="2" r:id="rId8"/>
    <sheet name="inflorescences" sheetId="3" r:id="rId9"/>
    <sheet name="CN" sheetId="9" r:id="rId10"/>
    <sheet name="biomass" sheetId="12" r:id="rId11"/>
    <sheet name="heavy_metal" sheetId="28" r:id="rId12"/>
    <sheet name="pH_cond" sheetId="4" r:id="rId13"/>
    <sheet name="oil" sheetId="27" r:id="rId14"/>
    <sheet name="meso_chem_summary" sheetId="11" r:id="rId15"/>
    <sheet name="gh_env_summary" sheetId="10" r:id="rId16"/>
  </sheets>
  <definedNames>
    <definedName name="_xlnm._FilterDatabase" localSheetId="8" hidden="1">inflorescences!$B$1:$F$81</definedName>
    <definedName name="_xlnm._FilterDatabase" localSheetId="4" hidden="1">microbial!$B$1:$K$213</definedName>
    <definedName name="_xlnm._FilterDatabase" localSheetId="13" hidden="1">oil!$A$1:$L$1</definedName>
    <definedName name="_xlnm._FilterDatabase" localSheetId="12" hidden="1">pH_cond!$F$1:$F$721</definedName>
    <definedName name="_xlnm._FilterDatabase" localSheetId="7" hidden="1">plant_morphology!$B$1:$H$201</definedName>
    <definedName name="_xlnm._FilterDatabase" localSheetId="3" hidden="1">sample_key!$A$1:$I$302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5" i="34" l="1"/>
  <c r="E24" i="34"/>
  <c r="E23" i="34"/>
  <c r="E22" i="34"/>
  <c r="E21" i="34"/>
  <c r="E20" i="34"/>
  <c r="E19" i="34"/>
  <c r="E18" i="34"/>
  <c r="E17" i="34"/>
  <c r="E16" i="34"/>
  <c r="E15" i="34"/>
  <c r="E14" i="34"/>
  <c r="E13" i="34"/>
  <c r="E12" i="34"/>
  <c r="E11" i="34"/>
  <c r="E10" i="34"/>
  <c r="E9" i="34"/>
  <c r="E8" i="34"/>
  <c r="E7" i="34"/>
  <c r="E6" i="34"/>
  <c r="E5" i="34"/>
  <c r="E4" i="34"/>
  <c r="E3" i="34"/>
  <c r="E2" i="34"/>
  <c r="D25" i="34"/>
  <c r="D24" i="34"/>
  <c r="D23" i="34"/>
  <c r="D22" i="34"/>
  <c r="D21" i="34"/>
  <c r="D20" i="34"/>
  <c r="D19" i="34"/>
  <c r="D18" i="34"/>
  <c r="D17" i="34"/>
  <c r="D16" i="34"/>
  <c r="D15" i="34"/>
  <c r="D14" i="34"/>
  <c r="D13" i="34"/>
  <c r="D12" i="34"/>
  <c r="D11" i="34"/>
  <c r="D10" i="34"/>
  <c r="D9" i="34"/>
  <c r="D8" i="34"/>
  <c r="D7" i="34"/>
  <c r="D6" i="34"/>
  <c r="D5" i="34"/>
  <c r="D4" i="34"/>
  <c r="D3" i="34"/>
  <c r="D2" i="34"/>
  <c r="P3" i="10" l="1"/>
  <c r="P4" i="10"/>
  <c r="P5" i="10"/>
  <c r="P6" i="10"/>
  <c r="P7" i="10"/>
  <c r="P8" i="10"/>
  <c r="P9" i="10"/>
  <c r="P10" i="10"/>
  <c r="P11" i="10"/>
  <c r="P12" i="10"/>
  <c r="P13" i="10"/>
  <c r="P14" i="10"/>
  <c r="P15" i="10"/>
  <c r="P16" i="10"/>
  <c r="P17" i="10"/>
  <c r="P18" i="10"/>
  <c r="P19" i="10"/>
  <c r="P20" i="10"/>
  <c r="P2" i="10"/>
  <c r="M3" i="10"/>
  <c r="N3" i="10"/>
  <c r="O3" i="10"/>
  <c r="M4" i="10"/>
  <c r="N4" i="10"/>
  <c r="O4" i="10"/>
  <c r="M5" i="10"/>
  <c r="N5" i="10"/>
  <c r="O5" i="10"/>
  <c r="M6" i="10"/>
  <c r="N6" i="10"/>
  <c r="O6" i="10"/>
  <c r="M7" i="10"/>
  <c r="N7" i="10"/>
  <c r="O7" i="10"/>
  <c r="M8" i="10"/>
  <c r="N8" i="10"/>
  <c r="O8" i="10"/>
  <c r="M9" i="10"/>
  <c r="N9" i="10"/>
  <c r="O9" i="10"/>
  <c r="M10" i="10"/>
  <c r="N10" i="10"/>
  <c r="O10" i="10"/>
  <c r="M11" i="10"/>
  <c r="N11" i="10"/>
  <c r="O11" i="10"/>
  <c r="M12" i="10"/>
  <c r="N12" i="10"/>
  <c r="O12" i="10"/>
  <c r="M13" i="10"/>
  <c r="N13" i="10"/>
  <c r="O13" i="10"/>
  <c r="M14" i="10"/>
  <c r="N14" i="10"/>
  <c r="O14" i="10"/>
  <c r="M15" i="10"/>
  <c r="N15" i="10"/>
  <c r="O15" i="10"/>
  <c r="M16" i="10"/>
  <c r="N16" i="10"/>
  <c r="O16" i="10"/>
  <c r="M17" i="10"/>
  <c r="N17" i="10"/>
  <c r="O17" i="10"/>
  <c r="M18" i="10"/>
  <c r="N18" i="10"/>
  <c r="O18" i="10"/>
  <c r="M19" i="10"/>
  <c r="N19" i="10"/>
  <c r="O19" i="10"/>
  <c r="M20" i="10"/>
  <c r="N20" i="10"/>
  <c r="O20" i="10"/>
  <c r="O2" i="10"/>
  <c r="N2" i="10"/>
  <c r="M2" i="10"/>
  <c r="D28" i="30" l="1"/>
  <c r="F2" i="30" l="1"/>
  <c r="F3" i="30"/>
  <c r="F4" i="30"/>
  <c r="F5" i="30"/>
  <c r="F6" i="30"/>
  <c r="F7" i="30"/>
  <c r="F8"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F104" i="30"/>
  <c r="F105" i="30"/>
  <c r="F106" i="30"/>
  <c r="F107" i="30"/>
  <c r="F108" i="30"/>
  <c r="F109" i="30"/>
  <c r="F110" i="30"/>
  <c r="F111" i="30"/>
  <c r="F112" i="30"/>
  <c r="F113" i="30"/>
  <c r="F114" i="30"/>
  <c r="F115" i="30"/>
  <c r="F116" i="30"/>
  <c r="F117" i="30"/>
  <c r="F118" i="30"/>
  <c r="F119" i="30"/>
  <c r="F120" i="30"/>
  <c r="F121" i="30"/>
  <c r="F122" i="30"/>
  <c r="F123" i="30"/>
  <c r="F124" i="30"/>
  <c r="F125" i="30"/>
  <c r="F126" i="30"/>
  <c r="F127" i="30"/>
  <c r="F128" i="30"/>
  <c r="F129" i="30"/>
  <c r="F130" i="30"/>
  <c r="F131" i="30"/>
  <c r="F132" i="30"/>
  <c r="F133" i="30"/>
  <c r="F134" i="30"/>
  <c r="F135" i="30"/>
  <c r="F136" i="30"/>
  <c r="F137" i="30"/>
  <c r="F138" i="30"/>
  <c r="F139" i="30"/>
  <c r="F140" i="30"/>
  <c r="F141" i="30"/>
  <c r="F142" i="30"/>
  <c r="F143" i="30"/>
  <c r="F144" i="30"/>
  <c r="F145" i="30"/>
  <c r="F146" i="30"/>
  <c r="F147" i="30"/>
  <c r="F148" i="30"/>
  <c r="F149" i="30"/>
  <c r="F150" i="30"/>
  <c r="F151" i="30"/>
  <c r="F152" i="30"/>
  <c r="F153" i="30"/>
  <c r="F154" i="30"/>
  <c r="F155" i="30"/>
  <c r="F156" i="30"/>
  <c r="F157" i="30"/>
  <c r="F158" i="30"/>
  <c r="F159" i="30"/>
  <c r="F160" i="30"/>
  <c r="F161" i="30"/>
  <c r="F162" i="30"/>
  <c r="F163" i="30"/>
  <c r="F164" i="30"/>
  <c r="F165" i="30"/>
  <c r="F166" i="30"/>
  <c r="F167" i="30"/>
  <c r="F168" i="30"/>
  <c r="F169" i="30"/>
  <c r="F170" i="30"/>
  <c r="F171" i="30"/>
  <c r="F172" i="30"/>
  <c r="F173" i="30"/>
  <c r="F174" i="30"/>
  <c r="F175" i="30"/>
  <c r="F176" i="30"/>
  <c r="F177" i="30"/>
  <c r="F178" i="30"/>
  <c r="F179" i="30"/>
  <c r="F180" i="30"/>
  <c r="F181" i="30"/>
  <c r="F182" i="30"/>
  <c r="F183" i="30"/>
  <c r="F184" i="30"/>
  <c r="F185" i="30"/>
  <c r="F186" i="30"/>
  <c r="F187" i="30"/>
  <c r="F188" i="30"/>
  <c r="F189" i="30"/>
  <c r="F190" i="30"/>
  <c r="F191" i="30"/>
  <c r="F192" i="30"/>
  <c r="F193" i="30"/>
  <c r="F194" i="30"/>
  <c r="F195" i="30"/>
  <c r="F196" i="30"/>
  <c r="F197" i="30"/>
  <c r="F198" i="30"/>
  <c r="F199" i="30"/>
  <c r="F200" i="30"/>
  <c r="F201" i="30"/>
  <c r="F202" i="30"/>
  <c r="F203" i="30"/>
  <c r="F204" i="30"/>
  <c r="F205" i="30"/>
  <c r="F206" i="30"/>
  <c r="F207" i="30"/>
  <c r="F208" i="30"/>
  <c r="F209" i="30"/>
  <c r="F210" i="30"/>
  <c r="F211" i="30"/>
  <c r="F212" i="30"/>
  <c r="F213" i="30"/>
  <c r="F214" i="30"/>
  <c r="F215" i="30"/>
  <c r="F216" i="30"/>
  <c r="F217" i="30"/>
  <c r="F218" i="30"/>
  <c r="F219" i="30"/>
  <c r="F220" i="30"/>
  <c r="F221" i="30"/>
  <c r="F222" i="30"/>
  <c r="F223" i="30"/>
  <c r="F224" i="30"/>
  <c r="F225" i="30"/>
  <c r="F226" i="30"/>
  <c r="F227" i="30"/>
  <c r="F228" i="30"/>
  <c r="F229" i="30"/>
  <c r="F230" i="30"/>
  <c r="F231" i="30"/>
  <c r="F232" i="30"/>
  <c r="F233" i="30"/>
  <c r="F234" i="30"/>
  <c r="F235" i="30"/>
  <c r="F236" i="30"/>
  <c r="F237" i="30"/>
  <c r="F238" i="30"/>
  <c r="F239" i="30"/>
  <c r="F240" i="30"/>
  <c r="F241" i="30"/>
  <c r="F242" i="30"/>
  <c r="F243" i="30"/>
  <c r="F244" i="30"/>
  <c r="F245" i="30"/>
  <c r="F246" i="30"/>
  <c r="F247" i="30"/>
  <c r="F248" i="30"/>
  <c r="F249" i="30"/>
  <c r="F250" i="30"/>
  <c r="F251" i="30"/>
  <c r="F252" i="30"/>
  <c r="F253" i="30"/>
  <c r="F254" i="30"/>
  <c r="F255" i="30"/>
  <c r="F256" i="30"/>
  <c r="F257" i="30"/>
  <c r="F258" i="30"/>
  <c r="F259" i="30"/>
  <c r="F260" i="30"/>
  <c r="F261" i="30"/>
  <c r="F262" i="30"/>
  <c r="F263" i="30"/>
  <c r="F264" i="30"/>
  <c r="F265" i="30"/>
  <c r="F266" i="30"/>
  <c r="F267" i="30"/>
  <c r="F268" i="30"/>
  <c r="F269" i="30"/>
  <c r="F270" i="30"/>
  <c r="F271" i="30"/>
  <c r="F272" i="30"/>
  <c r="F273" i="30"/>
  <c r="F274" i="30"/>
  <c r="F275" i="30"/>
  <c r="F276" i="30"/>
  <c r="F277" i="30"/>
  <c r="F278" i="30"/>
  <c r="F279" i="30"/>
  <c r="F280" i="30"/>
  <c r="F281" i="30"/>
  <c r="F282" i="30"/>
  <c r="F283" i="30"/>
  <c r="F284" i="30"/>
  <c r="F285" i="30"/>
  <c r="F286" i="30"/>
  <c r="F287" i="30"/>
  <c r="F288" i="30"/>
  <c r="F289" i="30"/>
  <c r="F290" i="30"/>
  <c r="F291" i="30"/>
  <c r="F292" i="30"/>
  <c r="F293" i="30"/>
  <c r="F294" i="30"/>
  <c r="F295" i="30"/>
  <c r="F296" i="30"/>
  <c r="F297" i="30"/>
  <c r="F298" i="30"/>
  <c r="F299" i="30"/>
  <c r="F300" i="30"/>
  <c r="F301" i="30"/>
  <c r="F302" i="30"/>
  <c r="F303" i="30"/>
  <c r="F304" i="30"/>
  <c r="F305" i="30"/>
  <c r="F306" i="30"/>
  <c r="F307" i="30"/>
  <c r="F308" i="30"/>
  <c r="F309" i="30"/>
  <c r="F310" i="30"/>
  <c r="F311" i="30"/>
  <c r="F312" i="30"/>
  <c r="F313" i="30"/>
  <c r="F314" i="30"/>
  <c r="F315" i="30"/>
  <c r="F316" i="30"/>
  <c r="F317" i="30"/>
  <c r="F318" i="30"/>
  <c r="F319" i="30"/>
  <c r="F320" i="30"/>
  <c r="F321" i="30"/>
  <c r="F322" i="30"/>
  <c r="F323" i="30"/>
  <c r="F324" i="30"/>
  <c r="F325" i="30"/>
  <c r="F326" i="30"/>
  <c r="F327" i="30"/>
  <c r="F328" i="30"/>
  <c r="F329" i="30"/>
  <c r="F330" i="30"/>
  <c r="F331" i="30"/>
  <c r="F332" i="30"/>
  <c r="F333" i="30"/>
  <c r="F334" i="30"/>
  <c r="F335" i="30"/>
  <c r="F336" i="30"/>
  <c r="F337" i="30"/>
  <c r="F338" i="30"/>
  <c r="F339" i="30"/>
  <c r="F340" i="30"/>
  <c r="F341" i="30"/>
  <c r="F342" i="30"/>
  <c r="F343" i="30"/>
  <c r="F344" i="30"/>
  <c r="F345" i="30"/>
  <c r="F346" i="30"/>
  <c r="F347" i="30"/>
  <c r="F348" i="30"/>
  <c r="F349" i="30"/>
  <c r="F350" i="30"/>
  <c r="F351" i="30"/>
  <c r="F352" i="30"/>
  <c r="F353" i="30"/>
  <c r="F354" i="30"/>
  <c r="F355" i="30"/>
  <c r="F356" i="30"/>
  <c r="F357" i="30"/>
  <c r="F358" i="30"/>
  <c r="F359" i="30"/>
  <c r="F360" i="30"/>
  <c r="F361" i="30"/>
  <c r="F362" i="30"/>
  <c r="F363" i="30"/>
  <c r="F364" i="30"/>
  <c r="F365" i="30"/>
  <c r="F366" i="30"/>
  <c r="F367" i="30"/>
  <c r="F368" i="30"/>
  <c r="F369" i="30"/>
  <c r="F370" i="30"/>
  <c r="F371" i="30"/>
  <c r="F372" i="30"/>
  <c r="F373" i="30"/>
  <c r="F374" i="30"/>
  <c r="F375" i="30"/>
  <c r="F376" i="30"/>
  <c r="F377" i="30"/>
  <c r="F378" i="30"/>
  <c r="F379" i="30"/>
  <c r="F380" i="30"/>
  <c r="F381" i="30"/>
  <c r="F382" i="30"/>
  <c r="F383" i="30"/>
  <c r="F384" i="30"/>
  <c r="F385" i="30"/>
  <c r="F386" i="30"/>
  <c r="F387" i="30"/>
  <c r="F388" i="30"/>
  <c r="F389" i="30"/>
  <c r="F390" i="30"/>
  <c r="F391" i="30"/>
  <c r="F392" i="30"/>
  <c r="F393" i="30"/>
  <c r="F394" i="30"/>
  <c r="F395" i="30"/>
  <c r="F396" i="30"/>
  <c r="F397" i="30"/>
  <c r="F398" i="30"/>
  <c r="F399" i="30"/>
  <c r="F400" i="30"/>
  <c r="F401" i="30"/>
  <c r="F402" i="30"/>
  <c r="F403" i="30"/>
  <c r="F404" i="30"/>
  <c r="F405" i="30"/>
  <c r="F406" i="30"/>
  <c r="F407" i="30"/>
  <c r="F408" i="30"/>
  <c r="F409" i="30"/>
  <c r="F410" i="30"/>
  <c r="F411" i="30"/>
  <c r="E2" i="30"/>
  <c r="E3" i="30"/>
  <c r="E4" i="30"/>
  <c r="E5" i="30"/>
  <c r="E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51" i="30"/>
  <c r="E52" i="30"/>
  <c r="E53" i="30"/>
  <c r="E54" i="30"/>
  <c r="E55" i="30"/>
  <c r="E56" i="30"/>
  <c r="E57" i="30"/>
  <c r="E58" i="30"/>
  <c r="E59" i="30"/>
  <c r="E60" i="30"/>
  <c r="E61" i="30"/>
  <c r="E62" i="30"/>
  <c r="E63" i="30"/>
  <c r="E64" i="30"/>
  <c r="E65" i="30"/>
  <c r="E66" i="30"/>
  <c r="E67" i="30"/>
  <c r="E68" i="30"/>
  <c r="E69" i="30"/>
  <c r="E70" i="30"/>
  <c r="E71" i="30"/>
  <c r="E72" i="30"/>
  <c r="E73" i="30"/>
  <c r="E74" i="30"/>
  <c r="E75" i="30"/>
  <c r="E76" i="30"/>
  <c r="E77" i="30"/>
  <c r="E78" i="30"/>
  <c r="E79" i="30"/>
  <c r="E80" i="30"/>
  <c r="E81" i="30"/>
  <c r="E82" i="30"/>
  <c r="E83" i="30"/>
  <c r="E84" i="30"/>
  <c r="E85" i="30"/>
  <c r="E86" i="30"/>
  <c r="E87" i="30"/>
  <c r="E88" i="30"/>
  <c r="E89" i="30"/>
  <c r="E90" i="30"/>
  <c r="E91" i="30"/>
  <c r="E92" i="30"/>
  <c r="E93" i="30"/>
  <c r="E94" i="30"/>
  <c r="E95" i="30"/>
  <c r="E96" i="30"/>
  <c r="E97" i="30"/>
  <c r="E98" i="30"/>
  <c r="E99" i="30"/>
  <c r="E100" i="30"/>
  <c r="E101" i="30"/>
  <c r="E102" i="30"/>
  <c r="E103" i="30"/>
  <c r="E104" i="30"/>
  <c r="E105" i="30"/>
  <c r="E106" i="30"/>
  <c r="E107" i="30"/>
  <c r="E108" i="30"/>
  <c r="E109" i="30"/>
  <c r="E110" i="30"/>
  <c r="E111" i="30"/>
  <c r="E112" i="30"/>
  <c r="E113" i="30"/>
  <c r="E114" i="30"/>
  <c r="E115" i="30"/>
  <c r="E116" i="30"/>
  <c r="E117" i="30"/>
  <c r="E118" i="30"/>
  <c r="E119" i="30"/>
  <c r="E120" i="30"/>
  <c r="E121" i="30"/>
  <c r="E122" i="30"/>
  <c r="E123" i="30"/>
  <c r="E124" i="30"/>
  <c r="E125" i="30"/>
  <c r="E126" i="30"/>
  <c r="E127" i="30"/>
  <c r="E128" i="30"/>
  <c r="E129" i="30"/>
  <c r="E130" i="30"/>
  <c r="E131" i="30"/>
  <c r="E132" i="30"/>
  <c r="E133" i="30"/>
  <c r="E134" i="30"/>
  <c r="E135" i="30"/>
  <c r="E136" i="30"/>
  <c r="E137" i="30"/>
  <c r="E138" i="30"/>
  <c r="E139" i="30"/>
  <c r="E140" i="30"/>
  <c r="E141" i="30"/>
  <c r="E142" i="30"/>
  <c r="E143" i="30"/>
  <c r="E144" i="30"/>
  <c r="E145" i="30"/>
  <c r="E146" i="30"/>
  <c r="E147" i="30"/>
  <c r="E148" i="30"/>
  <c r="E149" i="30"/>
  <c r="E150" i="30"/>
  <c r="E151" i="30"/>
  <c r="E152" i="30"/>
  <c r="E153" i="30"/>
  <c r="E154" i="30"/>
  <c r="E155" i="30"/>
  <c r="E156" i="30"/>
  <c r="E157" i="30"/>
  <c r="E158" i="30"/>
  <c r="E159" i="30"/>
  <c r="E160" i="30"/>
  <c r="E161" i="30"/>
  <c r="E162" i="30"/>
  <c r="E163" i="30"/>
  <c r="E164" i="30"/>
  <c r="E165" i="30"/>
  <c r="E166" i="30"/>
  <c r="E167" i="30"/>
  <c r="E168" i="30"/>
  <c r="E169" i="30"/>
  <c r="E170" i="30"/>
  <c r="E171" i="30"/>
  <c r="E172" i="30"/>
  <c r="E173" i="30"/>
  <c r="E174" i="30"/>
  <c r="E175" i="30"/>
  <c r="E176" i="30"/>
  <c r="E177" i="30"/>
  <c r="E178" i="30"/>
  <c r="E179" i="30"/>
  <c r="E180" i="30"/>
  <c r="E181" i="30"/>
  <c r="E182" i="30"/>
  <c r="E183" i="30"/>
  <c r="E184" i="30"/>
  <c r="E185" i="30"/>
  <c r="E186" i="30"/>
  <c r="E187" i="30"/>
  <c r="E188" i="30"/>
  <c r="E189" i="30"/>
  <c r="E190" i="30"/>
  <c r="E191" i="30"/>
  <c r="E192" i="30"/>
  <c r="E193" i="30"/>
  <c r="E194" i="30"/>
  <c r="E195" i="30"/>
  <c r="E196" i="30"/>
  <c r="E197" i="30"/>
  <c r="E198" i="30"/>
  <c r="E199" i="30"/>
  <c r="E200" i="30"/>
  <c r="E201" i="30"/>
  <c r="E202" i="30"/>
  <c r="E203" i="30"/>
  <c r="E204" i="30"/>
  <c r="E205" i="30"/>
  <c r="E206" i="30"/>
  <c r="E207" i="30"/>
  <c r="E208" i="30"/>
  <c r="E209" i="30"/>
  <c r="E210" i="30"/>
  <c r="E211" i="30"/>
  <c r="E212" i="30"/>
  <c r="E213" i="30"/>
  <c r="E214" i="30"/>
  <c r="E215" i="30"/>
  <c r="E216" i="30"/>
  <c r="E217" i="30"/>
  <c r="E218" i="30"/>
  <c r="E219" i="30"/>
  <c r="E220" i="30"/>
  <c r="E221" i="30"/>
  <c r="E222" i="30"/>
  <c r="E223" i="30"/>
  <c r="E224" i="30"/>
  <c r="E225" i="30"/>
  <c r="E226" i="30"/>
  <c r="E227" i="30"/>
  <c r="E228" i="30"/>
  <c r="E229" i="30"/>
  <c r="E230" i="30"/>
  <c r="E231" i="30"/>
  <c r="E232" i="30"/>
  <c r="E233" i="30"/>
  <c r="E234" i="30"/>
  <c r="E235" i="30"/>
  <c r="E236" i="30"/>
  <c r="E237" i="30"/>
  <c r="E238" i="30"/>
  <c r="E239" i="30"/>
  <c r="E240" i="30"/>
  <c r="E241" i="30"/>
  <c r="E242" i="30"/>
  <c r="E243" i="30"/>
  <c r="E244" i="30"/>
  <c r="E245" i="30"/>
  <c r="E246" i="30"/>
  <c r="E247" i="30"/>
  <c r="E248" i="30"/>
  <c r="E249" i="30"/>
  <c r="E250" i="30"/>
  <c r="E251" i="30"/>
  <c r="E252" i="30"/>
  <c r="E253" i="30"/>
  <c r="E254" i="30"/>
  <c r="E255" i="30"/>
  <c r="E256" i="30"/>
  <c r="E257" i="30"/>
  <c r="E258" i="30"/>
  <c r="E259" i="30"/>
  <c r="E260" i="30"/>
  <c r="E261" i="30"/>
  <c r="E262" i="30"/>
  <c r="E263" i="30"/>
  <c r="E264" i="30"/>
  <c r="E265" i="30"/>
  <c r="E266" i="30"/>
  <c r="E267" i="30"/>
  <c r="E268" i="30"/>
  <c r="E269" i="30"/>
  <c r="E270" i="30"/>
  <c r="E271" i="30"/>
  <c r="E272" i="30"/>
  <c r="E273" i="30"/>
  <c r="E274" i="30"/>
  <c r="E275" i="30"/>
  <c r="E276" i="30"/>
  <c r="E277" i="30"/>
  <c r="E278" i="30"/>
  <c r="E279" i="30"/>
  <c r="E280" i="30"/>
  <c r="E281" i="30"/>
  <c r="E282" i="30"/>
  <c r="E283" i="30"/>
  <c r="E284" i="30"/>
  <c r="E285" i="30"/>
  <c r="E286" i="30"/>
  <c r="E287" i="30"/>
  <c r="E288" i="30"/>
  <c r="E289" i="30"/>
  <c r="E290" i="30"/>
  <c r="E291" i="30"/>
  <c r="E292" i="30"/>
  <c r="E293" i="30"/>
  <c r="E294" i="30"/>
  <c r="E295" i="30"/>
  <c r="E296" i="30"/>
  <c r="E297" i="30"/>
  <c r="E298" i="30"/>
  <c r="E299" i="30"/>
  <c r="E300" i="30"/>
  <c r="E301" i="30"/>
  <c r="E302" i="30"/>
  <c r="E303" i="30"/>
  <c r="E304" i="30"/>
  <c r="E305" i="30"/>
  <c r="E306" i="30"/>
  <c r="E307" i="30"/>
  <c r="E308" i="30"/>
  <c r="E309" i="30"/>
  <c r="E310" i="30"/>
  <c r="E311" i="30"/>
  <c r="E312" i="30"/>
  <c r="E313" i="30"/>
  <c r="E314" i="30"/>
  <c r="E315" i="30"/>
  <c r="E316" i="30"/>
  <c r="E317" i="30"/>
  <c r="E318" i="30"/>
  <c r="E319" i="30"/>
  <c r="E320" i="30"/>
  <c r="E321" i="30"/>
  <c r="E322" i="30"/>
  <c r="E323" i="30"/>
  <c r="E324" i="30"/>
  <c r="E325" i="30"/>
  <c r="E326" i="30"/>
  <c r="E327" i="30"/>
  <c r="E328" i="30"/>
  <c r="E329" i="30"/>
  <c r="E330" i="30"/>
  <c r="E331" i="30"/>
  <c r="E332" i="30"/>
  <c r="E333" i="30"/>
  <c r="E334" i="30"/>
  <c r="E335" i="30"/>
  <c r="E336" i="30"/>
  <c r="E337" i="30"/>
  <c r="E338" i="30"/>
  <c r="E339" i="30"/>
  <c r="E340" i="30"/>
  <c r="E341" i="30"/>
  <c r="E342" i="30"/>
  <c r="E343" i="30"/>
  <c r="E344" i="30"/>
  <c r="E345" i="30"/>
  <c r="E346" i="30"/>
  <c r="E347" i="30"/>
  <c r="E348" i="30"/>
  <c r="E349" i="30"/>
  <c r="E350" i="30"/>
  <c r="E351" i="30"/>
  <c r="E352" i="30"/>
  <c r="E353" i="30"/>
  <c r="E354" i="30"/>
  <c r="E355" i="30"/>
  <c r="E356" i="30"/>
  <c r="E357" i="30"/>
  <c r="E358" i="30"/>
  <c r="E359" i="30"/>
  <c r="E360" i="30"/>
  <c r="E361" i="30"/>
  <c r="E362" i="30"/>
  <c r="E363" i="30"/>
  <c r="E364" i="30"/>
  <c r="E365" i="30"/>
  <c r="E366" i="30"/>
  <c r="E367" i="30"/>
  <c r="E368" i="30"/>
  <c r="E369" i="30"/>
  <c r="E370" i="30"/>
  <c r="E371" i="30"/>
  <c r="E372" i="30"/>
  <c r="E373" i="30"/>
  <c r="E374" i="30"/>
  <c r="E375" i="30"/>
  <c r="E376" i="30"/>
  <c r="E377" i="30"/>
  <c r="E378" i="30"/>
  <c r="E379" i="30"/>
  <c r="E380" i="30"/>
  <c r="E381" i="30"/>
  <c r="E382" i="30"/>
  <c r="E383" i="30"/>
  <c r="E384" i="30"/>
  <c r="E385" i="30"/>
  <c r="E386" i="30"/>
  <c r="E387" i="30"/>
  <c r="E388" i="30"/>
  <c r="E389" i="30"/>
  <c r="E390" i="30"/>
  <c r="E391" i="30"/>
  <c r="E392" i="30"/>
  <c r="E393" i="30"/>
  <c r="E394" i="30"/>
  <c r="E395" i="30"/>
  <c r="E396" i="30"/>
  <c r="E397" i="30"/>
  <c r="E398" i="30"/>
  <c r="E399" i="30"/>
  <c r="E400" i="30"/>
  <c r="E401" i="30"/>
  <c r="E402" i="30"/>
  <c r="E403" i="30"/>
  <c r="E404" i="30"/>
  <c r="E405" i="30"/>
  <c r="E406" i="30"/>
  <c r="E407" i="30"/>
  <c r="E408" i="30"/>
  <c r="E409" i="30"/>
  <c r="E410" i="30"/>
  <c r="E411" i="30"/>
  <c r="D2" i="30"/>
  <c r="D3" i="30"/>
  <c r="D4" i="30"/>
  <c r="D5" i="30"/>
  <c r="D6" i="30"/>
  <c r="D7" i="30"/>
  <c r="D8" i="30"/>
  <c r="D9" i="30"/>
  <c r="D10" i="30"/>
  <c r="D11" i="30"/>
  <c r="D12" i="30"/>
  <c r="D13" i="30"/>
  <c r="D14" i="30"/>
  <c r="D15" i="30"/>
  <c r="D16" i="30"/>
  <c r="D17" i="30"/>
  <c r="D18" i="30"/>
  <c r="D19" i="30"/>
  <c r="D20" i="30"/>
  <c r="D21" i="30"/>
  <c r="D22" i="30"/>
  <c r="D23" i="30"/>
  <c r="D24" i="30"/>
  <c r="D25" i="30"/>
  <c r="D26" i="30"/>
  <c r="D27" i="30"/>
  <c r="D29" i="30"/>
  <c r="D30" i="30"/>
  <c r="D31" i="30"/>
  <c r="D32" i="30"/>
  <c r="D33" i="30"/>
  <c r="D34" i="30"/>
  <c r="D35" i="30"/>
  <c r="D36" i="30"/>
  <c r="D37" i="30"/>
  <c r="D38" i="30"/>
  <c r="D39" i="30"/>
  <c r="D40" i="30"/>
  <c r="D41" i="30"/>
  <c r="D42" i="30"/>
  <c r="D43" i="30"/>
  <c r="D44" i="30"/>
  <c r="D45" i="30"/>
  <c r="D46" i="30"/>
  <c r="D47" i="30"/>
  <c r="D48" i="30"/>
  <c r="D49" i="30"/>
  <c r="D50" i="30"/>
  <c r="D51" i="30"/>
  <c r="D52" i="30"/>
  <c r="D53" i="30"/>
  <c r="D54" i="30"/>
  <c r="D55" i="30"/>
  <c r="D56" i="30"/>
  <c r="D57" i="30"/>
  <c r="D58" i="30"/>
  <c r="D59" i="30"/>
  <c r="D60" i="30"/>
  <c r="D61" i="30"/>
  <c r="D62" i="30"/>
  <c r="D63" i="30"/>
  <c r="D64" i="30"/>
  <c r="D65" i="30"/>
  <c r="D66" i="30"/>
  <c r="D67" i="30"/>
  <c r="D68" i="30"/>
  <c r="D69" i="30"/>
  <c r="D70" i="30"/>
  <c r="D71" i="30"/>
  <c r="D72" i="30"/>
  <c r="D73" i="30"/>
  <c r="D74" i="30"/>
  <c r="D75" i="30"/>
  <c r="D76" i="30"/>
  <c r="D77" i="30"/>
  <c r="D78" i="30"/>
  <c r="D79" i="30"/>
  <c r="D80" i="30"/>
  <c r="D81" i="30"/>
  <c r="D82" i="30"/>
  <c r="D83" i="30"/>
  <c r="D84" i="30"/>
  <c r="D85" i="30"/>
  <c r="D86" i="30"/>
  <c r="D87" i="30"/>
  <c r="D88" i="30"/>
  <c r="D89" i="30"/>
  <c r="D90" i="30"/>
  <c r="D91" i="30"/>
  <c r="D92" i="30"/>
  <c r="D93" i="30"/>
  <c r="D94" i="30"/>
  <c r="D95" i="30"/>
  <c r="D96" i="30"/>
  <c r="D97" i="30"/>
  <c r="D98" i="30"/>
  <c r="D99" i="30"/>
  <c r="D100" i="30"/>
  <c r="D101" i="30"/>
  <c r="D102" i="30"/>
  <c r="D103" i="30"/>
  <c r="D104" i="30"/>
  <c r="D105" i="30"/>
  <c r="D106" i="30"/>
  <c r="D107" i="30"/>
  <c r="D108" i="30"/>
  <c r="D109" i="30"/>
  <c r="D110" i="30"/>
  <c r="D111" i="30"/>
  <c r="D112" i="30"/>
  <c r="D113" i="30"/>
  <c r="D114" i="30"/>
  <c r="D115" i="30"/>
  <c r="D116" i="30"/>
  <c r="D117" i="30"/>
  <c r="D118" i="30"/>
  <c r="D119" i="30"/>
  <c r="D120" i="30"/>
  <c r="D121" i="30"/>
  <c r="D122" i="30"/>
  <c r="D123" i="30"/>
  <c r="D124" i="30"/>
  <c r="D125" i="30"/>
  <c r="D126" i="30"/>
  <c r="D127" i="30"/>
  <c r="D128" i="30"/>
  <c r="D129" i="30"/>
  <c r="D130" i="30"/>
  <c r="D131" i="30"/>
  <c r="D132" i="30"/>
  <c r="D133" i="30"/>
  <c r="D134" i="30"/>
  <c r="D135" i="30"/>
  <c r="D136" i="30"/>
  <c r="D137" i="30"/>
  <c r="D138" i="30"/>
  <c r="D139" i="30"/>
  <c r="D140" i="30"/>
  <c r="D141" i="30"/>
  <c r="D142" i="30"/>
  <c r="D143" i="30"/>
  <c r="D144" i="30"/>
  <c r="D145" i="30"/>
  <c r="D146" i="30"/>
  <c r="D147" i="30"/>
  <c r="D148" i="30"/>
  <c r="D149" i="30"/>
  <c r="D150" i="30"/>
  <c r="D151" i="30"/>
  <c r="D152" i="30"/>
  <c r="D153" i="30"/>
  <c r="D154" i="30"/>
  <c r="D155" i="30"/>
  <c r="D156" i="30"/>
  <c r="D157" i="30"/>
  <c r="D158" i="30"/>
  <c r="D159" i="30"/>
  <c r="D160" i="30"/>
  <c r="D161" i="30"/>
  <c r="D162" i="30"/>
  <c r="D163" i="30"/>
  <c r="D164" i="30"/>
  <c r="D165" i="30"/>
  <c r="D166" i="30"/>
  <c r="D167" i="30"/>
  <c r="D168" i="30"/>
  <c r="D169" i="30"/>
  <c r="D170" i="30"/>
  <c r="D171" i="30"/>
  <c r="D172" i="30"/>
  <c r="D173" i="30"/>
  <c r="D174" i="30"/>
  <c r="D175" i="30"/>
  <c r="D176" i="30"/>
  <c r="D177" i="30"/>
  <c r="D178" i="30"/>
  <c r="D179" i="30"/>
  <c r="D180" i="30"/>
  <c r="D181" i="30"/>
  <c r="D182" i="30"/>
  <c r="D183" i="30"/>
  <c r="D184" i="30"/>
  <c r="D185" i="30"/>
  <c r="D186" i="30"/>
  <c r="D187" i="30"/>
  <c r="D188" i="30"/>
  <c r="D189" i="30"/>
  <c r="D190" i="30"/>
  <c r="D191" i="30"/>
  <c r="D192" i="30"/>
  <c r="D193" i="30"/>
  <c r="D194" i="30"/>
  <c r="D195" i="30"/>
  <c r="D196" i="30"/>
  <c r="D197" i="30"/>
  <c r="D198" i="30"/>
  <c r="D199" i="30"/>
  <c r="D200" i="30"/>
  <c r="D201" i="30"/>
  <c r="D202" i="30"/>
  <c r="D203" i="30"/>
  <c r="D204" i="30"/>
  <c r="D205" i="30"/>
  <c r="D206" i="30"/>
  <c r="D207" i="30"/>
  <c r="D208" i="30"/>
  <c r="D209" i="30"/>
  <c r="D210" i="30"/>
  <c r="D211" i="30"/>
  <c r="D212" i="30"/>
  <c r="D213" i="30"/>
  <c r="D214" i="30"/>
  <c r="D215" i="30"/>
  <c r="D216" i="30"/>
  <c r="D217" i="30"/>
  <c r="D218" i="30"/>
  <c r="D219" i="30"/>
  <c r="D220" i="30"/>
  <c r="D221" i="30"/>
  <c r="D222" i="30"/>
  <c r="D223" i="30"/>
  <c r="D224" i="30"/>
  <c r="D225" i="30"/>
  <c r="D226" i="30"/>
  <c r="D227" i="30"/>
  <c r="D228" i="30"/>
  <c r="D229" i="30"/>
  <c r="D230" i="30"/>
  <c r="D231" i="30"/>
  <c r="D232" i="30"/>
  <c r="D233" i="30"/>
  <c r="D234" i="30"/>
  <c r="D235" i="30"/>
  <c r="D236" i="30"/>
  <c r="D237" i="30"/>
  <c r="D238" i="30"/>
  <c r="D239" i="30"/>
  <c r="D240" i="30"/>
  <c r="D241" i="30"/>
  <c r="D242" i="30"/>
  <c r="D243" i="30"/>
  <c r="D244" i="30"/>
  <c r="D245" i="30"/>
  <c r="D246" i="30"/>
  <c r="D247" i="30"/>
  <c r="D248" i="30"/>
  <c r="D249" i="30"/>
  <c r="D250" i="30"/>
  <c r="D251" i="30"/>
  <c r="D252" i="30"/>
  <c r="D253" i="30"/>
  <c r="D254" i="30"/>
  <c r="D255" i="30"/>
  <c r="D256" i="30"/>
  <c r="D257" i="30"/>
  <c r="D258" i="30"/>
  <c r="D259" i="30"/>
  <c r="D260" i="30"/>
  <c r="D261" i="30"/>
  <c r="D262" i="30"/>
  <c r="D263" i="30"/>
  <c r="D264" i="30"/>
  <c r="D265" i="30"/>
  <c r="D266" i="30"/>
  <c r="D267" i="30"/>
  <c r="D268" i="30"/>
  <c r="D269" i="30"/>
  <c r="D270" i="30"/>
  <c r="D271" i="30"/>
  <c r="D272" i="30"/>
  <c r="D273" i="30"/>
  <c r="D274" i="30"/>
  <c r="D275" i="30"/>
  <c r="D276" i="30"/>
  <c r="D277" i="30"/>
  <c r="D278" i="30"/>
  <c r="D279" i="30"/>
  <c r="D280" i="30"/>
  <c r="D281" i="30"/>
  <c r="D282" i="30"/>
  <c r="D283" i="30"/>
  <c r="D284" i="30"/>
  <c r="D285" i="30"/>
  <c r="D286" i="30"/>
  <c r="D287" i="30"/>
  <c r="D288" i="30"/>
  <c r="D289" i="30"/>
  <c r="D290" i="30"/>
  <c r="D291" i="30"/>
  <c r="D292" i="30"/>
  <c r="D293" i="30"/>
  <c r="D294" i="30"/>
  <c r="D295" i="30"/>
  <c r="D296" i="30"/>
  <c r="D297" i="30"/>
  <c r="D298" i="30"/>
  <c r="D299" i="30"/>
  <c r="D300" i="30"/>
  <c r="D301" i="30"/>
  <c r="D302" i="30"/>
  <c r="D303" i="30"/>
  <c r="D304" i="30"/>
  <c r="D305" i="30"/>
  <c r="D306" i="30"/>
  <c r="D307" i="30"/>
  <c r="D308" i="30"/>
  <c r="D309" i="30"/>
  <c r="D310" i="30"/>
  <c r="D311" i="30"/>
  <c r="D312" i="30"/>
  <c r="D313" i="30"/>
  <c r="D314" i="30"/>
  <c r="D315" i="30"/>
  <c r="D316" i="30"/>
  <c r="D317" i="30"/>
  <c r="D318" i="30"/>
  <c r="D319" i="30"/>
  <c r="D320" i="30"/>
  <c r="D321" i="30"/>
  <c r="D322" i="30"/>
  <c r="D323" i="30"/>
  <c r="D324" i="30"/>
  <c r="D325" i="30"/>
  <c r="D326" i="30"/>
  <c r="D327" i="30"/>
  <c r="D328" i="30"/>
  <c r="D329" i="30"/>
  <c r="D330" i="30"/>
  <c r="D331" i="30"/>
  <c r="D332" i="30"/>
  <c r="D333" i="30"/>
  <c r="D334" i="30"/>
  <c r="D335" i="30"/>
  <c r="D336" i="30"/>
  <c r="D337" i="30"/>
  <c r="D338" i="30"/>
  <c r="D339" i="30"/>
  <c r="D340" i="30"/>
  <c r="D341" i="30"/>
  <c r="D342" i="30"/>
  <c r="D343" i="30"/>
  <c r="D344" i="30"/>
  <c r="D345" i="30"/>
  <c r="D346" i="30"/>
  <c r="D347" i="30"/>
  <c r="D348" i="30"/>
  <c r="D349" i="30"/>
  <c r="D350" i="30"/>
  <c r="D351" i="30"/>
  <c r="D352" i="30"/>
  <c r="D353" i="30"/>
  <c r="D354" i="30"/>
  <c r="D355" i="30"/>
  <c r="D356" i="30"/>
  <c r="D357" i="30"/>
  <c r="D358" i="30"/>
  <c r="D359" i="30"/>
  <c r="D360" i="30"/>
  <c r="D361" i="30"/>
  <c r="D362" i="30"/>
  <c r="D363" i="30"/>
  <c r="D364" i="30"/>
  <c r="D365" i="30"/>
  <c r="D366" i="30"/>
  <c r="D367" i="30"/>
  <c r="D368" i="30"/>
  <c r="D369" i="30"/>
  <c r="D370" i="30"/>
  <c r="D371" i="30"/>
  <c r="D372" i="30"/>
  <c r="D373" i="30"/>
  <c r="D374" i="30"/>
  <c r="D375" i="30"/>
  <c r="D376" i="30"/>
  <c r="D377" i="30"/>
  <c r="D378" i="30"/>
  <c r="D379" i="30"/>
  <c r="D380" i="30"/>
  <c r="D381" i="30"/>
  <c r="D382" i="30"/>
  <c r="D383" i="30"/>
  <c r="D384" i="30"/>
  <c r="D385" i="30"/>
  <c r="D386" i="30"/>
  <c r="D387" i="30"/>
  <c r="D388" i="30"/>
  <c r="D389" i="30"/>
  <c r="D390" i="30"/>
  <c r="D391" i="30"/>
  <c r="D392" i="30"/>
  <c r="D393" i="30"/>
  <c r="D394" i="30"/>
  <c r="D395" i="30"/>
  <c r="D396" i="30"/>
  <c r="D397" i="30"/>
  <c r="D398" i="30"/>
  <c r="D399" i="30"/>
  <c r="D400" i="30"/>
  <c r="D401" i="30"/>
  <c r="D402" i="30"/>
  <c r="D403" i="30"/>
  <c r="D404" i="30"/>
  <c r="D405" i="30"/>
  <c r="D406" i="30"/>
  <c r="D407" i="30"/>
  <c r="D408" i="30"/>
  <c r="D409" i="30"/>
  <c r="D410" i="30"/>
</calcChain>
</file>

<file path=xl/sharedStrings.xml><?xml version="1.0" encoding="utf-8"?>
<sst xmlns="http://schemas.openxmlformats.org/spreadsheetml/2006/main" count="10391" uniqueCount="2186">
  <si>
    <t>plantID</t>
  </si>
  <si>
    <t>plant_trt</t>
  </si>
  <si>
    <t>orig_soil</t>
  </si>
  <si>
    <t>oil_added</t>
  </si>
  <si>
    <t>table</t>
  </si>
  <si>
    <t>block</t>
  </si>
  <si>
    <t>date</t>
  </si>
  <si>
    <t>collected_by</t>
  </si>
  <si>
    <t>Y</t>
  </si>
  <si>
    <t>N</t>
  </si>
  <si>
    <t>Steve Formel</t>
  </si>
  <si>
    <t>NA</t>
  </si>
  <si>
    <t>Column Name</t>
  </si>
  <si>
    <t>Description</t>
  </si>
  <si>
    <t>Sheets</t>
  </si>
  <si>
    <t>sampling_period</t>
  </si>
  <si>
    <t>N16</t>
  </si>
  <si>
    <t>Mesocosm ID.  Possible values are 1-80.</t>
  </si>
  <si>
    <t>Is there a plant in the mesocosm?  Possible values are Y (yes) or N (no)</t>
  </si>
  <si>
    <t>Is the soil from the heavily oiled section or the reference area of Bay Jimmy coastaline?  Possible values are Y (heavily oiled) and N (reference)</t>
  </si>
  <si>
    <t>was 1.6 liters of weathered oil added or not?  Possible values are Y (yes) and N (no)</t>
  </si>
  <si>
    <t>table the mesocosm is located on. tables arranged approximately on an east to west axis.  Table 1 was easternmost, Table 4 was westernmost.</t>
  </si>
  <si>
    <t>experimental block the mesocosm is located in. blocks across all 4 tables on a south to north axis.  Block 1 was the southernmost, block 5 was the northernmost.</t>
  </si>
  <si>
    <t>stem_ht</t>
  </si>
  <si>
    <t>all</t>
  </si>
  <si>
    <t>plant_morphology</t>
  </si>
  <si>
    <t>J17</t>
  </si>
  <si>
    <t>Trey Hendrix</t>
  </si>
  <si>
    <t>Carolyn Babendreier</t>
  </si>
  <si>
    <t>Steven Medina</t>
  </si>
  <si>
    <t>Liz Kimbrough</t>
  </si>
  <si>
    <t>Mareli Sanchez</t>
  </si>
  <si>
    <t>Rachel Froehlich</t>
  </si>
  <si>
    <t>Erin Chapman</t>
  </si>
  <si>
    <t>Rebecca Wang</t>
  </si>
  <si>
    <t>N17</t>
  </si>
  <si>
    <t>Meg Maurer</t>
  </si>
  <si>
    <t>Candice Lumibao</t>
  </si>
  <si>
    <t xml:space="preserve">Candice Lumibao </t>
  </si>
  <si>
    <t xml:space="preserve">Steve Formel </t>
  </si>
  <si>
    <t>George Richards</t>
  </si>
  <si>
    <t>Sunshine Van Bael</t>
  </si>
  <si>
    <t>Maggie Conrad</t>
  </si>
  <si>
    <t>J18</t>
  </si>
  <si>
    <t>stem_diam</t>
  </si>
  <si>
    <t>num_nodes</t>
  </si>
  <si>
    <t>mean stem diameter in mm. This was recorded by measuring the diameter of 20 haphazardly selected stems ~10 cm above the soil using analog calipers. These values were then averaged. For the N16 sampling period, however, diameter was only recorded for 15 haphazardly selected stems thought to be representative of the plant. The stem diameter measurements for N16 cannot be correlated to the other stem measurements because a different sample of stems was used for these measurements.</t>
  </si>
  <si>
    <t>num_stems_live</t>
  </si>
  <si>
    <t>num_infl</t>
  </si>
  <si>
    <t>total_mass_infl</t>
  </si>
  <si>
    <t>avg_mass_infl</t>
  </si>
  <si>
    <t>sampling period. Possible values are N16 (November 2016), J17 (June 2017), N17 (November 2017), and J18 (June 2018)</t>
  </si>
  <si>
    <t>total number of inflorescences on plant, including those not fully developed</t>
  </si>
  <si>
    <t>dry mass in grams of inflorescence after drying in oven to stable weight with pollen, stems, and other detritus were removed</t>
  </si>
  <si>
    <t>average mass of inflorescence per plant calculated by dividing total_mass_infl by num_infl</t>
  </si>
  <si>
    <t>inflorescences</t>
  </si>
  <si>
    <t>mass of dead above-ground tissue (leaves and stems), dried in an oven until mass stabilized. Dead above-ground tissue was collected early in the June 2018 sampling period before harvesting remaining live above-ground tissue and below-ground tissue.</t>
  </si>
  <si>
    <t>pH</t>
  </si>
  <si>
    <t>pH_temp</t>
  </si>
  <si>
    <t>conductivity</t>
  </si>
  <si>
    <t>cond_temp</t>
  </si>
  <si>
    <t>mean daily greenhouse air temperature in degrees Celcius.  Recorded by an Ibutton (DS1923) that was in a ziploc bag on Table #2.  It was positioned to occasionally be in sun and in shade.  Temperature was recorded at least every 4 hours (changed by Steve as the experiment continued).</t>
  </si>
  <si>
    <t>max daily greenhouse air temperature in degrees Celcius.  Recorded by an Ibutton (DS1923) that was in a ziploc bag on Table #2.  It was positioned to occasionally be in sun and in shade.  Temperature was recorded at least every 4 hours (changed by Steve as the experiment continued).  Max temp was usually fell between 1pm to 3pm in the afternoon.</t>
  </si>
  <si>
    <t>min daily greenhouse air temperature in degrees Celcius.  Recorded by an Ibutton (DS1923) that was in a ziploc bag on Table #2.  It was positioned to occasionally be in sun and in shade.  Temperature was recorded at least every 4 hours (changed by Steve as the experiment continued).  Min temp was usually fell between 1am to 5am in the night.</t>
  </si>
  <si>
    <t>pH_cond</t>
  </si>
  <si>
    <t>Callie Oliver</t>
  </si>
  <si>
    <t>mean daily greenhouse soil temperature in degrees Celcius.  Recorded by an Ibutton (DS1922L) that was buried in a dummy mesocosm (faithful technical replicate but not used in the experiment) in a sealed ziploc bag in the middle of the greenhouse.  It was positioned to occasionally be in sun and in shade.  Temperature was recorded at least every 4 hours (changed by Steve as the experiment continued).</t>
  </si>
  <si>
    <t>maximum daily greenhouse air temperature in degrees Celcius.  Recorded by an Ibutton (DS1922L) that was buried in a dummy mesocosm (faithful technical replicate but not used in the experiment) in a sealed ziploc bag in the middle of the greenhouse.  Temperature was recorded at least every 4 hours (changed by Steve as the experiment continued).  Max temp was usually fell between 1pm to 3pm in the afternoon.</t>
  </si>
  <si>
    <t>minimum daily greenhouse air temperature in degrees Celcius. Recorded by an Ibutton (DS1922L) that was buried in a dummy mesocosm (faithful technical replicate but not used in the experiment) in a sealed ziploc bag in the middle of the greenhouse.  Temperature was recorded at least every 4 hours (changed by Steve as the experiment continued).  Min temp was usually fell between 1am to 5am in the night.</t>
  </si>
  <si>
    <t xml:space="preserve">min daily greenhouse relative humidity.  Recorded by an Ibutton (DS1923) that was in a ziploc bag on Table #2.  It was positioned to occasionally be in sun and in shade.  Temperature was recorded at least every 4 hours (changed by Steve as the experiment continued).  </t>
  </si>
  <si>
    <t>pH of water in mesocosm normalized to 25C.  Measured by Oakton pH 1100 series meter (from Blum lab) up until August 2017.  After that we purchased and used an Oakton Multiparamter PCRTestr 35.  Up until March 2017 water was pulled out of the mesocosm via a syringe plunged into the soil surface.  Because that method was difficult,  especially with oiled mesocosms (the water didn't move easily through the soil matrix) we switched to measuring the water draining out of the mesocosm instead.</t>
  </si>
  <si>
    <t>tissue</t>
  </si>
  <si>
    <t>C:N</t>
  </si>
  <si>
    <t>Batch_ID</t>
  </si>
  <si>
    <t>percent_N</t>
  </si>
  <si>
    <t>percent_C</t>
  </si>
  <si>
    <t>CN</t>
  </si>
  <si>
    <t>percent of tissue that is carbon (organic and inorganic).  Measured by Debbie Grimm at the Tulane CIF facility (6th floor Boggs) on a Fisons EA112 Elemental Analyzer.</t>
  </si>
  <si>
    <t>percent of tissue that is nitrogen (organic and inorganic).  Measured by Debbie Grimm at the Tulane CIF facility (6th floor Boggs) on a Fisons EA112 Elemental Analyzer.</t>
  </si>
  <si>
    <t>ratio of percent_N and percent_C</t>
  </si>
  <si>
    <t>ID of batch that samples were processed in. Batch information (e.g. standards) is contained in the original data.</t>
  </si>
  <si>
    <t>month</t>
  </si>
  <si>
    <t>year</t>
  </si>
  <si>
    <t>mean_gh_air_temp</t>
  </si>
  <si>
    <t>mean_gh_soil_temp</t>
  </si>
  <si>
    <t>mean_gh_humidity</t>
  </si>
  <si>
    <t>min_air_temp</t>
  </si>
  <si>
    <t>min_soil_temp</t>
  </si>
  <si>
    <t>max_air_temp</t>
  </si>
  <si>
    <t>max_soil_temp</t>
  </si>
  <si>
    <t>sd</t>
  </si>
  <si>
    <t>original temperature in Celcius at which the pH of the water was measured, in case you want to back-calculate to the "unnormalized" pH.  In May 2018 the meter began reading "Error: Ur" for temperature. Error "Ur" means underange.  Most often caused by a dry electrode.  Or sensor not being submerged.  Apparently the meter should be stored wet, in a pH 4 buffer.  The error might indicate that temperature compensation wasn't working correctly, so numbers may be somewhat inaccurate.</t>
  </si>
  <si>
    <t>conductivity of water in mesocosm normalized to 25C, measured in milliSiemens (mS) per cm.  Measured by Thomas Scientific Traceable Conductivity meter (Cat no: 1227U14) up until August 2017.  After that we purchased and used an Oakton Multiparamter PCRTestr 35. Up until March 2017 water was pulled out of the mesocosm via a syringe plunged into the soil surface.  Because that method was difficult,  especially with oiled mesocosms (the water didn't move easily through the soil matrix) we switched to measuring the water draining out of the mesocosm instead.</t>
  </si>
  <si>
    <t>mass_ag_i</t>
  </si>
  <si>
    <t>mass_ag_o</t>
  </si>
  <si>
    <t>mass_bg_i</t>
  </si>
  <si>
    <t>Jeanell Sullivan</t>
  </si>
  <si>
    <t>num_stems_outside</t>
  </si>
  <si>
    <t>number of live stems. Measured by counting the number of live stems, regardless of size, with a clicker. Stems were counted once in the N16 sampling period because the number of stems per plant was low enough (&lt;61) that they could be counted confidently. For the J17, N17, and J18 sampling periods, live stems were counted three times and these values were averaged to obtain the number of live stems.  On May 1st, each plant had 1 stem in the 1 gallon buckets.  This can be verified in the picture "seedlings at beginning of inoculation.jpg".</t>
  </si>
  <si>
    <t>M16</t>
  </si>
  <si>
    <t>original tmperature in Celcius at which the conductivity of the water was measured, in case you want to back-calculate to the "unnormalized" conductivity.</t>
  </si>
  <si>
    <t>mean number of nodes per stem. The number of nodes per stem was measured for a sample of 20 haphazardly selected stems for each plant. These values were then averaged. For the N16 sampling period, however, the mean number of nodes per stem was measured by counting the total number of leaves per plant and dividing this value by the total number of stems per plant. Since the num_nodes for the N16 sampling period was measured using all the stems of the plant, this measurement cannot be correlated with other stem measurements.</t>
  </si>
  <si>
    <t>mass_dead</t>
  </si>
  <si>
    <t>dead_live_ratio</t>
  </si>
  <si>
    <t>S5_R69_J18</t>
  </si>
  <si>
    <t>S5_R68_J18</t>
  </si>
  <si>
    <t>S5_R66_J18</t>
  </si>
  <si>
    <t>S5_R60_J18</t>
  </si>
  <si>
    <t>S5_R49_J18</t>
  </si>
  <si>
    <t>S5_R47_J18</t>
  </si>
  <si>
    <t>S5_R30_J18</t>
  </si>
  <si>
    <t>S5_R29_J18</t>
  </si>
  <si>
    <t>S5_R27_J18</t>
  </si>
  <si>
    <t>S5_R19_J18</t>
  </si>
  <si>
    <t>S5_R09_J18</t>
  </si>
  <si>
    <t>S5_R08_J18</t>
  </si>
  <si>
    <t>S5_L69_J18</t>
  </si>
  <si>
    <t>S5_L68_J18</t>
  </si>
  <si>
    <t>S5_L66_J18</t>
  </si>
  <si>
    <t>S5_L60_J18</t>
  </si>
  <si>
    <t>S5_L49_J18</t>
  </si>
  <si>
    <t>S5_L47_J18</t>
  </si>
  <si>
    <t>S5_L30_J18</t>
  </si>
  <si>
    <t>S5_L29_J18</t>
  </si>
  <si>
    <t>S5_L27_J18</t>
  </si>
  <si>
    <t>S5_L19_J18</t>
  </si>
  <si>
    <t>S5_L09_J18</t>
  </si>
  <si>
    <t>S5_L08_J18</t>
  </si>
  <si>
    <t>S5_L1_PE</t>
  </si>
  <si>
    <t>S5_L2_PE</t>
  </si>
  <si>
    <t>S5_L08_N16</t>
  </si>
  <si>
    <t>S5_L09_N16</t>
  </si>
  <si>
    <t>S5_L19_N16</t>
  </si>
  <si>
    <t>S5_L27_N16</t>
  </si>
  <si>
    <t>S5_L29_N16</t>
  </si>
  <si>
    <t>S5_L30_N16</t>
  </si>
  <si>
    <t>S5_L47_N16</t>
  </si>
  <si>
    <t>S5_L49_N16</t>
  </si>
  <si>
    <t>S5_L60_N16</t>
  </si>
  <si>
    <t>S5_L66_N16</t>
  </si>
  <si>
    <t>S5_L68_N16</t>
  </si>
  <si>
    <t>S5_L69_N16</t>
  </si>
  <si>
    <t>S5_L08_J17</t>
  </si>
  <si>
    <t>S5_L09_J17</t>
  </si>
  <si>
    <t>S5_L19_J17</t>
  </si>
  <si>
    <t>S5_L27_J17</t>
  </si>
  <si>
    <t>S5_L29_J17</t>
  </si>
  <si>
    <t>S5_L30_J17</t>
  </si>
  <si>
    <t>S5_L47_J17</t>
  </si>
  <si>
    <t>S5_L49_J17</t>
  </si>
  <si>
    <t>S5_L60_J17</t>
  </si>
  <si>
    <t>S5_L66_J17</t>
  </si>
  <si>
    <t>S5_L68_J17</t>
  </si>
  <si>
    <t>S5_L69_J17</t>
  </si>
  <si>
    <t>S5_L08_N17</t>
  </si>
  <si>
    <t>S5_L09_N17</t>
  </si>
  <si>
    <t>S5_L19_N17</t>
  </si>
  <si>
    <t>S5_L27_N17</t>
  </si>
  <si>
    <t>S5_L29_N17</t>
  </si>
  <si>
    <t>S5_L30_N17</t>
  </si>
  <si>
    <t>S5_L47_N17</t>
  </si>
  <si>
    <t>S5_L49_N17</t>
  </si>
  <si>
    <t>S5_L60_N17</t>
  </si>
  <si>
    <t>S5_L66_N17</t>
  </si>
  <si>
    <t>S5_L68_N17</t>
  </si>
  <si>
    <t>S5_L69_N17</t>
  </si>
  <si>
    <t>S5_R1_PE</t>
  </si>
  <si>
    <t>S5_R2_PE</t>
  </si>
  <si>
    <t>S5_R08_N16</t>
  </si>
  <si>
    <t>S5_R09_N16</t>
  </si>
  <si>
    <t>S5_R19_N16</t>
  </si>
  <si>
    <t>S5_R27_N16</t>
  </si>
  <si>
    <t>S5_R29_N16</t>
  </si>
  <si>
    <t>S5_R30_N16</t>
  </si>
  <si>
    <t>S5_R47_N16</t>
  </si>
  <si>
    <t>S5_R49_N16</t>
  </si>
  <si>
    <t>S5_R60_N16</t>
  </si>
  <si>
    <t>S5_R66_N16</t>
  </si>
  <si>
    <t>S5_R68_N16</t>
  </si>
  <si>
    <t>S5_R69_N16</t>
  </si>
  <si>
    <t>S5_R08_J17</t>
  </si>
  <si>
    <t>S5_R09_J17</t>
  </si>
  <si>
    <t>S5_R19_J17</t>
  </si>
  <si>
    <t>S5_R27_J17</t>
  </si>
  <si>
    <t>S5_R29_J17</t>
  </si>
  <si>
    <t>S5_R30_J17</t>
  </si>
  <si>
    <t>S5_R47_J17</t>
  </si>
  <si>
    <t>S5_R49_J17</t>
  </si>
  <si>
    <t>S5_R60_J17</t>
  </si>
  <si>
    <t>S5_R66_J17</t>
  </si>
  <si>
    <t>S5_R68_J17</t>
  </si>
  <si>
    <t>S5_R69_J17</t>
  </si>
  <si>
    <t>S5_R08_N17</t>
  </si>
  <si>
    <t>S5_R09_N17</t>
  </si>
  <si>
    <t>S5_R19_N17</t>
  </si>
  <si>
    <t>S5_R27_N17</t>
  </si>
  <si>
    <t>S5_R29_N17</t>
  </si>
  <si>
    <t>S5_R30_N17</t>
  </si>
  <si>
    <t>S5_R47_N17</t>
  </si>
  <si>
    <t>S5_R49_N17</t>
  </si>
  <si>
    <t>S5_R60_N17</t>
  </si>
  <si>
    <t>S5_R66_N17</t>
  </si>
  <si>
    <t>S5_R68_N17</t>
  </si>
  <si>
    <t>S5_R69_N17</t>
  </si>
  <si>
    <t>S5_S03_N16</t>
  </si>
  <si>
    <t>S5_S04_N16</t>
  </si>
  <si>
    <t>S5_S08_N16</t>
  </si>
  <si>
    <t>S5_S09_N16</t>
  </si>
  <si>
    <t>S5_S19_N16</t>
  </si>
  <si>
    <t>S5_S21_N16</t>
  </si>
  <si>
    <t>S5_S22_N16</t>
  </si>
  <si>
    <t>S5_S23_N16</t>
  </si>
  <si>
    <t>S5_S27_N16</t>
  </si>
  <si>
    <t>S5_S29_N16</t>
  </si>
  <si>
    <t>S5_S30_N16</t>
  </si>
  <si>
    <t>S5_S31_N16</t>
  </si>
  <si>
    <t>S5_S42_N16</t>
  </si>
  <si>
    <t>S5_S44_N16</t>
  </si>
  <si>
    <t>S5_S47_N16</t>
  </si>
  <si>
    <t>S5_S49_N16</t>
  </si>
  <si>
    <t>S5_S60_N16</t>
  </si>
  <si>
    <t>S5_S61_N16</t>
  </si>
  <si>
    <t>S5_S62_N16</t>
  </si>
  <si>
    <t>S5_S63_N16</t>
  </si>
  <si>
    <t>S5_S65_N16</t>
  </si>
  <si>
    <t>S5_S66_N16</t>
  </si>
  <si>
    <t>S5_S68_N16</t>
  </si>
  <si>
    <t>S5_S69_N16</t>
  </si>
  <si>
    <t>S5_S03_J17</t>
  </si>
  <si>
    <t>S5_S04_J17</t>
  </si>
  <si>
    <t>S5_S08_J17</t>
  </si>
  <si>
    <t>S5_S09_J17</t>
  </si>
  <si>
    <t>S5_S19_J17</t>
  </si>
  <si>
    <t>S5_S21_J17</t>
  </si>
  <si>
    <t>S5_S22_J17</t>
  </si>
  <si>
    <t>S5_S23_J17</t>
  </si>
  <si>
    <t>S5_S27_J17</t>
  </si>
  <si>
    <t>S5_S29_J17</t>
  </si>
  <si>
    <t>S5_S30_J17</t>
  </si>
  <si>
    <t>S5_S31_J17</t>
  </si>
  <si>
    <t>S5_S42_J17</t>
  </si>
  <si>
    <t>S5_S44_J17</t>
  </si>
  <si>
    <t>S5_S47_J17</t>
  </si>
  <si>
    <t>S5_S49_J17</t>
  </si>
  <si>
    <t>S5_S60_J17</t>
  </si>
  <si>
    <t>S5_S61_J17</t>
  </si>
  <si>
    <t>S5_S62_J17</t>
  </si>
  <si>
    <t>S5_S63_J17</t>
  </si>
  <si>
    <t>S5_S65_J17</t>
  </si>
  <si>
    <t>S5_S66_J17</t>
  </si>
  <si>
    <t>S5_S68_J17</t>
  </si>
  <si>
    <t>S5_S69_J17</t>
  </si>
  <si>
    <t>S5_S03_N17</t>
  </si>
  <si>
    <t>S5_S04_N17</t>
  </si>
  <si>
    <t>S5_S08_N17</t>
  </si>
  <si>
    <t>S5_S09_N17</t>
  </si>
  <si>
    <t>S5_S19_N17</t>
  </si>
  <si>
    <t>S5_S21_N17</t>
  </si>
  <si>
    <t>S5_S22_N17</t>
  </si>
  <si>
    <t>S5_S23_N17</t>
  </si>
  <si>
    <t>S5_S27_N17</t>
  </si>
  <si>
    <t>S5_S29_N17</t>
  </si>
  <si>
    <t>S5_S30_N17</t>
  </si>
  <si>
    <t>S5_S31_N17</t>
  </si>
  <si>
    <t>S5_S42_N17</t>
  </si>
  <si>
    <t>S5_S44_N17</t>
  </si>
  <si>
    <t>S5_S47_N17</t>
  </si>
  <si>
    <t>S5_S49_N17</t>
  </si>
  <si>
    <t>S5_S60_N17</t>
  </si>
  <si>
    <t>S5_S61_N17</t>
  </si>
  <si>
    <t>S5_S62_N17</t>
  </si>
  <si>
    <t>S5_S63_N17</t>
  </si>
  <si>
    <t>S5_S65_N17</t>
  </si>
  <si>
    <t>S5_S66_N17</t>
  </si>
  <si>
    <t>S5_S68_N17</t>
  </si>
  <si>
    <t>S5_S69_N17</t>
  </si>
  <si>
    <t>S5_S03_J18</t>
  </si>
  <si>
    <t>S5_S04_J18</t>
  </si>
  <si>
    <t>S5_S08_J18</t>
  </si>
  <si>
    <t>S5_S09_J18</t>
  </si>
  <si>
    <t>S5_S19_J18</t>
  </si>
  <si>
    <t>S5_S21_J18</t>
  </si>
  <si>
    <t>S5_S22_J18</t>
  </si>
  <si>
    <t>S5_S23_J18</t>
  </si>
  <si>
    <t>S5_S27_J18</t>
  </si>
  <si>
    <t>S5_S29_J18</t>
  </si>
  <si>
    <t>S5_S30_J18</t>
  </si>
  <si>
    <t>S5_S31_J18</t>
  </si>
  <si>
    <t>S5_S42_J18</t>
  </si>
  <si>
    <t>S5_S44_J18</t>
  </si>
  <si>
    <t>S5_S47_J18</t>
  </si>
  <si>
    <t>S5_S49_J18</t>
  </si>
  <si>
    <t>S5_S60_J18</t>
  </si>
  <si>
    <t>S5_S61_J18</t>
  </si>
  <si>
    <t>S5_S62_J18</t>
  </si>
  <si>
    <t>S5_S63_J18</t>
  </si>
  <si>
    <t>S5_S65_J18</t>
  </si>
  <si>
    <t>S5_S66_J18</t>
  </si>
  <si>
    <t>S5_S68_J18</t>
  </si>
  <si>
    <t>S5_S69_J18</t>
  </si>
  <si>
    <t>S5_050216_O</t>
  </si>
  <si>
    <t>S5_050216_U</t>
  </si>
  <si>
    <t>S5_020317_O</t>
  </si>
  <si>
    <t>S5_020317_U</t>
  </si>
  <si>
    <t>S5_040117_O</t>
  </si>
  <si>
    <t>S5_040117_U</t>
  </si>
  <si>
    <t>S5_051817_O</t>
  </si>
  <si>
    <t>S5_051817_U</t>
  </si>
  <si>
    <t>S5_091817_O</t>
  </si>
  <si>
    <t>S5_091817_U</t>
  </si>
  <si>
    <t>S5_121317_O</t>
  </si>
  <si>
    <t>S5_121317_U</t>
  </si>
  <si>
    <t>S5_030318_O</t>
  </si>
  <si>
    <t>S5_030318_U</t>
  </si>
  <si>
    <t>S5_051418_O</t>
  </si>
  <si>
    <t>S5_051418_U</t>
  </si>
  <si>
    <t>Inoc</t>
  </si>
  <si>
    <t>Leaf</t>
  </si>
  <si>
    <t>Root</t>
  </si>
  <si>
    <t>Soil</t>
  </si>
  <si>
    <t>special_char</t>
  </si>
  <si>
    <t>hopanes</t>
  </si>
  <si>
    <t>total_relevant_PAHs</t>
  </si>
  <si>
    <t>total_methy_naph</t>
  </si>
  <si>
    <t>total_methy_dibenz</t>
  </si>
  <si>
    <t>total_methy_phen</t>
  </si>
  <si>
    <t>total_methy_chry</t>
  </si>
  <si>
    <t>naph_WR</t>
  </si>
  <si>
    <t>dibenz_WR</t>
  </si>
  <si>
    <t>phen_WR</t>
  </si>
  <si>
    <t>L19-J17</t>
  </si>
  <si>
    <t>L19-J18</t>
  </si>
  <si>
    <t>L19-N16</t>
  </si>
  <si>
    <t>L19-N17</t>
  </si>
  <si>
    <t>L27-J17</t>
  </si>
  <si>
    <t>L27-J18</t>
  </si>
  <si>
    <t>L27-N16</t>
  </si>
  <si>
    <t>L27-N17</t>
  </si>
  <si>
    <t>L29-J17</t>
  </si>
  <si>
    <t>L29-J18</t>
  </si>
  <si>
    <t>L29-N16</t>
  </si>
  <si>
    <t>L29-N17</t>
  </si>
  <si>
    <t>L30-J17</t>
  </si>
  <si>
    <t>L30-J18</t>
  </si>
  <si>
    <t>L30-N16</t>
  </si>
  <si>
    <t>L30-N17</t>
  </si>
  <si>
    <t>L47-J17</t>
  </si>
  <si>
    <t>L47-J18</t>
  </si>
  <si>
    <t>L47-N16</t>
  </si>
  <si>
    <t>L47-N17</t>
  </si>
  <si>
    <t>L49-J17</t>
  </si>
  <si>
    <t>L49-J18</t>
  </si>
  <si>
    <t>L49-N16</t>
  </si>
  <si>
    <t>L49-N17</t>
  </si>
  <si>
    <t>L60-J17</t>
  </si>
  <si>
    <t>L60-J18</t>
  </si>
  <si>
    <t>L60-N16</t>
  </si>
  <si>
    <t>L60-N17</t>
  </si>
  <si>
    <t>L66-J17</t>
  </si>
  <si>
    <t>L66-J18</t>
  </si>
  <si>
    <t>L66-N16</t>
  </si>
  <si>
    <t>L66-N17</t>
  </si>
  <si>
    <t>L68-J17</t>
  </si>
  <si>
    <t>L68-J18</t>
  </si>
  <si>
    <t>L68-N16</t>
  </si>
  <si>
    <t>L68-N17</t>
  </si>
  <si>
    <t>L69-J17</t>
  </si>
  <si>
    <t>L69-J18</t>
  </si>
  <si>
    <t>L69-N16</t>
  </si>
  <si>
    <t>L69-N17</t>
  </si>
  <si>
    <t>L8-J17</t>
  </si>
  <si>
    <t>L8-J18</t>
  </si>
  <si>
    <t>L8-N16</t>
  </si>
  <si>
    <t>L8-N17</t>
  </si>
  <si>
    <t>L9-J17</t>
  </si>
  <si>
    <t>L9-J18</t>
  </si>
  <si>
    <t>L9-N16</t>
  </si>
  <si>
    <t>L9-N17</t>
  </si>
  <si>
    <t>R19-J17</t>
  </si>
  <si>
    <t>R19-J18</t>
  </si>
  <si>
    <t>R19-N16</t>
  </si>
  <si>
    <t>R19-N17</t>
  </si>
  <si>
    <t>R27-J17</t>
  </si>
  <si>
    <t>R27-J18</t>
  </si>
  <si>
    <t>R27-N16</t>
  </si>
  <si>
    <t>R27-N17</t>
  </si>
  <si>
    <t>R29-J17</t>
  </si>
  <si>
    <t>R29-J18</t>
  </si>
  <si>
    <t>R29-N16</t>
  </si>
  <si>
    <t>R29-N17</t>
  </si>
  <si>
    <t>R30-J17</t>
  </si>
  <si>
    <t>R30-J18</t>
  </si>
  <si>
    <t>R30-N16</t>
  </si>
  <si>
    <t>R30-N17</t>
  </si>
  <si>
    <t>R47-J17</t>
  </si>
  <si>
    <t>R47-J18</t>
  </si>
  <si>
    <t>R47-N16</t>
  </si>
  <si>
    <t>R47-N17</t>
  </si>
  <si>
    <t>R49-J17</t>
  </si>
  <si>
    <t>R49-J18</t>
  </si>
  <si>
    <t>R49-N16</t>
  </si>
  <si>
    <t>R49-N17</t>
  </si>
  <si>
    <t>R60-J17</t>
  </si>
  <si>
    <t>R60-J18</t>
  </si>
  <si>
    <t>R60-N16</t>
  </si>
  <si>
    <t>R60-N17</t>
  </si>
  <si>
    <t>R66-J17</t>
  </si>
  <si>
    <t>R66-J18</t>
  </si>
  <si>
    <t>R66-N16</t>
  </si>
  <si>
    <t>R66-N17</t>
  </si>
  <si>
    <t>R68-J17</t>
  </si>
  <si>
    <t>R68-J18</t>
  </si>
  <si>
    <t>R68-N16</t>
  </si>
  <si>
    <t>R68-N17</t>
  </si>
  <si>
    <t>R69-J17</t>
  </si>
  <si>
    <t>R69-J18</t>
  </si>
  <si>
    <t>R69-N16</t>
  </si>
  <si>
    <t>R69-N17</t>
  </si>
  <si>
    <t>R8-J17</t>
  </si>
  <si>
    <t>R8-J18</t>
  </si>
  <si>
    <t>R8-N16</t>
  </si>
  <si>
    <t>R8-N17</t>
  </si>
  <si>
    <t>R9-J17</t>
  </si>
  <si>
    <t>R9-J18</t>
  </si>
  <si>
    <t>R9-N16</t>
  </si>
  <si>
    <t>R9-N17</t>
  </si>
  <si>
    <t>S19-J17</t>
  </si>
  <si>
    <t>S19-J18</t>
  </si>
  <si>
    <t>S19-N16</t>
  </si>
  <si>
    <t>S19-N17</t>
  </si>
  <si>
    <t>S21-J17</t>
  </si>
  <si>
    <t>S21-J18</t>
  </si>
  <si>
    <t>S21-N16</t>
  </si>
  <si>
    <t>S21-N17</t>
  </si>
  <si>
    <t>S22-J17</t>
  </si>
  <si>
    <t>S22-J18</t>
  </si>
  <si>
    <t>S22-N16</t>
  </si>
  <si>
    <t>S22-N17</t>
  </si>
  <si>
    <t>S23-J17</t>
  </si>
  <si>
    <t>S23-J18</t>
  </si>
  <si>
    <t>S23-N16</t>
  </si>
  <si>
    <t>S23-N17</t>
  </si>
  <si>
    <t>S27-J17</t>
  </si>
  <si>
    <t>S27-J18</t>
  </si>
  <si>
    <t>S27-N16</t>
  </si>
  <si>
    <t>S27-N17</t>
  </si>
  <si>
    <t>S29-J17</t>
  </si>
  <si>
    <t>S29-J18</t>
  </si>
  <si>
    <t>S29-N16</t>
  </si>
  <si>
    <t>S29-N17</t>
  </si>
  <si>
    <t>S30-J17</t>
  </si>
  <si>
    <t>S30-J18</t>
  </si>
  <si>
    <t>S30-N16</t>
  </si>
  <si>
    <t>S30-N17</t>
  </si>
  <si>
    <t>S31-J17</t>
  </si>
  <si>
    <t>S31-J18</t>
  </si>
  <si>
    <t>S31-N16</t>
  </si>
  <si>
    <t>S31-N17</t>
  </si>
  <si>
    <t>S3-J17</t>
  </si>
  <si>
    <t>S3-J18</t>
  </si>
  <si>
    <t>S3-N16</t>
  </si>
  <si>
    <t>S3-N17</t>
  </si>
  <si>
    <t>S42-J17</t>
  </si>
  <si>
    <t>S42-J18</t>
  </si>
  <si>
    <t>S42-N16</t>
  </si>
  <si>
    <t>S42-N17</t>
  </si>
  <si>
    <t>S44-J17</t>
  </si>
  <si>
    <t>S44-J18</t>
  </si>
  <si>
    <t>S44-N16</t>
  </si>
  <si>
    <t>S44-N17</t>
  </si>
  <si>
    <t>S47-J17</t>
  </si>
  <si>
    <t>S47-J18</t>
  </si>
  <si>
    <t>S47-N16</t>
  </si>
  <si>
    <t>S47-N17</t>
  </si>
  <si>
    <t>S49-J17</t>
  </si>
  <si>
    <t>S49-J18</t>
  </si>
  <si>
    <t>S49-N16</t>
  </si>
  <si>
    <t>S49-N17</t>
  </si>
  <si>
    <t>S4-J17</t>
  </si>
  <si>
    <t>S4-J18</t>
  </si>
  <si>
    <t>S4-N16</t>
  </si>
  <si>
    <t>S4-N17</t>
  </si>
  <si>
    <t>S60-J17</t>
  </si>
  <si>
    <t>S60-J18</t>
  </si>
  <si>
    <t>S60-N16</t>
  </si>
  <si>
    <t>S60-N17</t>
  </si>
  <si>
    <t>S61-J17</t>
  </si>
  <si>
    <t>S61-J18</t>
  </si>
  <si>
    <t>S61-N16</t>
  </si>
  <si>
    <t>S61-N17</t>
  </si>
  <si>
    <t>S62-J17</t>
  </si>
  <si>
    <t>S62-J18</t>
  </si>
  <si>
    <t>S62-N16</t>
  </si>
  <si>
    <t>S62-N17</t>
  </si>
  <si>
    <t>S63-J17</t>
  </si>
  <si>
    <t>S63-J18</t>
  </si>
  <si>
    <t>S63-N16</t>
  </si>
  <si>
    <t>S63-N17</t>
  </si>
  <si>
    <t>S65-J17</t>
  </si>
  <si>
    <t>S65-J18</t>
  </si>
  <si>
    <t>S65-N16</t>
  </si>
  <si>
    <t>S65-N17</t>
  </si>
  <si>
    <t>S66-J17</t>
  </si>
  <si>
    <t>S66-J18</t>
  </si>
  <si>
    <t>S66-N16</t>
  </si>
  <si>
    <t>S66-N17</t>
  </si>
  <si>
    <t>S68-J17</t>
  </si>
  <si>
    <t>S68-J18</t>
  </si>
  <si>
    <t>S68-N16</t>
  </si>
  <si>
    <t>S68-N17</t>
  </si>
  <si>
    <t>S69-J17</t>
  </si>
  <si>
    <t>S69-J18</t>
  </si>
  <si>
    <t>S69-N16</t>
  </si>
  <si>
    <t>S69-N17</t>
  </si>
  <si>
    <t>S8-J17</t>
  </si>
  <si>
    <t>S8-J18</t>
  </si>
  <si>
    <t>S8-N16</t>
  </si>
  <si>
    <t>S8-N17</t>
  </si>
  <si>
    <t>S9-J17</t>
  </si>
  <si>
    <t>S9-J18</t>
  </si>
  <si>
    <t>S9-N16</t>
  </si>
  <si>
    <t>S9-N17</t>
  </si>
  <si>
    <t>Stephen Formel</t>
  </si>
  <si>
    <t>S5_80_J18</t>
  </si>
  <si>
    <t>S5_79_J18</t>
  </si>
  <si>
    <t>S5_78_J18</t>
  </si>
  <si>
    <t>S5_77_J18</t>
  </si>
  <si>
    <t>S5_76_J18</t>
  </si>
  <si>
    <t>S5_75_J18</t>
  </si>
  <si>
    <t>S5_74_J18</t>
  </si>
  <si>
    <t>S5_73_J18</t>
  </si>
  <si>
    <t>S5_72_J18</t>
  </si>
  <si>
    <t>S5_71_J18</t>
  </si>
  <si>
    <t>S5_70_J18</t>
  </si>
  <si>
    <t>S5_69_J18</t>
  </si>
  <si>
    <t>S5_68_J18</t>
  </si>
  <si>
    <t>S5_67_J18</t>
  </si>
  <si>
    <t>S5_66_J18</t>
  </si>
  <si>
    <t>S5_65_J18</t>
  </si>
  <si>
    <t>S5_64_J18</t>
  </si>
  <si>
    <t>S5_63_J18</t>
  </si>
  <si>
    <t>S5_62_J18</t>
  </si>
  <si>
    <t>S5_61_J18</t>
  </si>
  <si>
    <t>S5_60_J18</t>
  </si>
  <si>
    <t>S5_59_J18</t>
  </si>
  <si>
    <t>S5_58_J18</t>
  </si>
  <si>
    <t>S5_57_J18</t>
  </si>
  <si>
    <t>S5_56_J18</t>
  </si>
  <si>
    <t>S5_55_J18</t>
  </si>
  <si>
    <t>S5_54_J18</t>
  </si>
  <si>
    <t>S5_53_J18</t>
  </si>
  <si>
    <t>S5_52_J18</t>
  </si>
  <si>
    <t>S5_51_J18</t>
  </si>
  <si>
    <t>S5_50_J18</t>
  </si>
  <si>
    <t>S5_49_J18</t>
  </si>
  <si>
    <t>S5_48_J18</t>
  </si>
  <si>
    <t>S5_47_J18</t>
  </si>
  <si>
    <t>S5_46_J18</t>
  </si>
  <si>
    <t>S5_45_J18</t>
  </si>
  <si>
    <t>S5_44_J18</t>
  </si>
  <si>
    <t>S5_43_J18</t>
  </si>
  <si>
    <t>S5_42_J18</t>
  </si>
  <si>
    <t>S5_41_J18</t>
  </si>
  <si>
    <t>S5_40_J18</t>
  </si>
  <si>
    <t>S5_39_J18</t>
  </si>
  <si>
    <t>S5_38_J18</t>
  </si>
  <si>
    <t>S5_37_J18</t>
  </si>
  <si>
    <t>S5_36_J18</t>
  </si>
  <si>
    <t>S5_35_J18</t>
  </si>
  <si>
    <t>S5_34_J18</t>
  </si>
  <si>
    <t>S5_33_J18</t>
  </si>
  <si>
    <t>S5_32_J18</t>
  </si>
  <si>
    <t>S5_31_J18</t>
  </si>
  <si>
    <t>S5_30_J18</t>
  </si>
  <si>
    <t>S5_29_J18</t>
  </si>
  <si>
    <t>S5_28_J18</t>
  </si>
  <si>
    <t>S5_27_J18</t>
  </si>
  <si>
    <t>S5_26_J18</t>
  </si>
  <si>
    <t>S5_25_J18</t>
  </si>
  <si>
    <t>S5_24_J18</t>
  </si>
  <si>
    <t>S5_23_J18</t>
  </si>
  <si>
    <t>S5_22_J18</t>
  </si>
  <si>
    <t>S5_21_J18</t>
  </si>
  <si>
    <t>S5_20_J18</t>
  </si>
  <si>
    <t>S5_19_J18</t>
  </si>
  <si>
    <t>S5_18_J18</t>
  </si>
  <si>
    <t>S5_17_J18</t>
  </si>
  <si>
    <t>S5_16_J18</t>
  </si>
  <si>
    <t>S5_15_J18</t>
  </si>
  <si>
    <t>S5_14_J18</t>
  </si>
  <si>
    <t>S5_13_J18</t>
  </si>
  <si>
    <t>S5_12_J18</t>
  </si>
  <si>
    <t>S5_11_J18</t>
  </si>
  <si>
    <t>S5_10_J18</t>
  </si>
  <si>
    <t>S5_09_J18</t>
  </si>
  <si>
    <t>S5_08_J18</t>
  </si>
  <si>
    <t>S5_07_J18</t>
  </si>
  <si>
    <t>S5_06_J18</t>
  </si>
  <si>
    <t>S5_05_J18</t>
  </si>
  <si>
    <t>S5_04_J18</t>
  </si>
  <si>
    <t>S5_03_J18</t>
  </si>
  <si>
    <t>S5_02_J18</t>
  </si>
  <si>
    <t>S5_01_J18</t>
  </si>
  <si>
    <t>S5_80_N17</t>
  </si>
  <si>
    <t>S5_79_N17</t>
  </si>
  <si>
    <t>S5_78_N17</t>
  </si>
  <si>
    <t>S5_77_N17</t>
  </si>
  <si>
    <t>S5_76_N17</t>
  </si>
  <si>
    <t>S5_75_N17</t>
  </si>
  <si>
    <t>S5_74_N17</t>
  </si>
  <si>
    <t>S5_73_N17</t>
  </si>
  <si>
    <t>S5_72_N17</t>
  </si>
  <si>
    <t>S5_71_N17</t>
  </si>
  <si>
    <t>S5_70_N17</t>
  </si>
  <si>
    <t>S5_69_N17</t>
  </si>
  <si>
    <t>S5_68_N17</t>
  </si>
  <si>
    <t>S5_67_N17</t>
  </si>
  <si>
    <t>S5_66_N17</t>
  </si>
  <si>
    <t>S5_65_N17</t>
  </si>
  <si>
    <t>S5_64_N17</t>
  </si>
  <si>
    <t>S5_63_N17</t>
  </si>
  <si>
    <t>S5_62_N17</t>
  </si>
  <si>
    <t>S5_61_N17</t>
  </si>
  <si>
    <t>S5_60_N17</t>
  </si>
  <si>
    <t>S5_59_N17</t>
  </si>
  <si>
    <t>S5_58_N17</t>
  </si>
  <si>
    <t>S5_57_N17</t>
  </si>
  <si>
    <t>S5_56_N17</t>
  </si>
  <si>
    <t>S5_55_N17</t>
  </si>
  <si>
    <t>S5_54_N17</t>
  </si>
  <si>
    <t>S5_53_N17</t>
  </si>
  <si>
    <t>S5_52_N17</t>
  </si>
  <si>
    <t>S5_51_N17</t>
  </si>
  <si>
    <t>S5_50_N17</t>
  </si>
  <si>
    <t>S5_49_N17</t>
  </si>
  <si>
    <t>S5_48_N17</t>
  </si>
  <si>
    <t>S5_47_N17</t>
  </si>
  <si>
    <t>S5_46_N17</t>
  </si>
  <si>
    <t>S5_45_N17</t>
  </si>
  <si>
    <t>S5_44_N17</t>
  </si>
  <si>
    <t>S5_43_N17</t>
  </si>
  <si>
    <t>S5_42_N17</t>
  </si>
  <si>
    <t>S5_41_N17</t>
  </si>
  <si>
    <t>S5_40_N17</t>
  </si>
  <si>
    <t>S5_39_N17</t>
  </si>
  <si>
    <t>S5_38_N17</t>
  </si>
  <si>
    <t>S5_37_N17</t>
  </si>
  <si>
    <t>S5_36_N17</t>
  </si>
  <si>
    <t>S5_35_N17</t>
  </si>
  <si>
    <t>S5_34_N17</t>
  </si>
  <si>
    <t>S5_33_N17</t>
  </si>
  <si>
    <t>S5_32_N17</t>
  </si>
  <si>
    <t>S5_31_N17</t>
  </si>
  <si>
    <t>S5_30_N17</t>
  </si>
  <si>
    <t>S5_29_N17</t>
  </si>
  <si>
    <t>S5_28_N17</t>
  </si>
  <si>
    <t>S5_27_N17</t>
  </si>
  <si>
    <t>S5_26_N17</t>
  </si>
  <si>
    <t>S5_25_N17</t>
  </si>
  <si>
    <t>S5_24_N17</t>
  </si>
  <si>
    <t>S5_23_N17</t>
  </si>
  <si>
    <t>S5_22_N17</t>
  </si>
  <si>
    <t>S5_21_N17</t>
  </si>
  <si>
    <t>S5_20_N17</t>
  </si>
  <si>
    <t>S5_19_N17</t>
  </si>
  <si>
    <t>S5_18_N17</t>
  </si>
  <si>
    <t>S5_17_N17</t>
  </si>
  <si>
    <t>S5_16_N17</t>
  </si>
  <si>
    <t>S5_15_N17</t>
  </si>
  <si>
    <t>S5_14_N17</t>
  </si>
  <si>
    <t>S5_13_N17</t>
  </si>
  <si>
    <t>S5_12_N17</t>
  </si>
  <si>
    <t>S5_11_N17</t>
  </si>
  <si>
    <t>S5_10_N17</t>
  </si>
  <si>
    <t>S5_09_N17</t>
  </si>
  <si>
    <t>S5_08_N17</t>
  </si>
  <si>
    <t>S5_07_N17</t>
  </si>
  <si>
    <t>S5_06_N17</t>
  </si>
  <si>
    <t>S5_05_N17</t>
  </si>
  <si>
    <t>S5_04_N17</t>
  </si>
  <si>
    <t>S5_03_N17</t>
  </si>
  <si>
    <t>S5_02_N17</t>
  </si>
  <si>
    <t>S5_01_N17</t>
  </si>
  <si>
    <t>S5_80_J17</t>
  </si>
  <si>
    <t>S5_79_J17</t>
  </si>
  <si>
    <t>S5_78_J17</t>
  </si>
  <si>
    <t>S5_77_J17</t>
  </si>
  <si>
    <t>S5_76_J17</t>
  </si>
  <si>
    <t>S5_75_J17</t>
  </si>
  <si>
    <t>S5_74_J17</t>
  </si>
  <si>
    <t>S5_73_J17</t>
  </si>
  <si>
    <t>S5_72_J17</t>
  </si>
  <si>
    <t>S5_71_J17</t>
  </si>
  <si>
    <t>S5_70_J17</t>
  </si>
  <si>
    <t>S5_69_J17</t>
  </si>
  <si>
    <t>S5_68_J17</t>
  </si>
  <si>
    <t>S5_67_J17</t>
  </si>
  <si>
    <t>S5_66_J17</t>
  </si>
  <si>
    <t>S5_65_J17</t>
  </si>
  <si>
    <t>S5_64_J17</t>
  </si>
  <si>
    <t>S5_63_J17</t>
  </si>
  <si>
    <t>S5_62_J17</t>
  </si>
  <si>
    <t>S5_61_J17</t>
  </si>
  <si>
    <t>S5_60_J17</t>
  </si>
  <si>
    <t>S5_59_J17</t>
  </si>
  <si>
    <t>S5_58_J17</t>
  </si>
  <si>
    <t>S5_57_J17</t>
  </si>
  <si>
    <t>S5_56_J17</t>
  </si>
  <si>
    <t>S5_55_J17</t>
  </si>
  <si>
    <t>S5_54_J17</t>
  </si>
  <si>
    <t>S5_53_J17</t>
  </si>
  <si>
    <t>S5_52_J17</t>
  </si>
  <si>
    <t>S5_51_J17</t>
  </si>
  <si>
    <t>S5_50_J17</t>
  </si>
  <si>
    <t>S5_49_J17</t>
  </si>
  <si>
    <t>S5_48_J17</t>
  </si>
  <si>
    <t>S5_47_J17</t>
  </si>
  <si>
    <t>S5_46_J17</t>
  </si>
  <si>
    <t>S5_45_J17</t>
  </si>
  <si>
    <t>S5_44_J17</t>
  </si>
  <si>
    <t>S5_43_J17</t>
  </si>
  <si>
    <t>S5_42_J17</t>
  </si>
  <si>
    <t>S5_41_J17</t>
  </si>
  <si>
    <t>S5_40_J17</t>
  </si>
  <si>
    <t>S5_39_J17</t>
  </si>
  <si>
    <t>S5_38_J17</t>
  </si>
  <si>
    <t>S5_37_J17</t>
  </si>
  <si>
    <t>S5_36_J17</t>
  </si>
  <si>
    <t>S5_35_J17</t>
  </si>
  <si>
    <t>S5_34_J17</t>
  </si>
  <si>
    <t>S5_33_J17</t>
  </si>
  <si>
    <t>S5_32_J17</t>
  </si>
  <si>
    <t>S5_31_J17</t>
  </si>
  <si>
    <t>S5_30_J17</t>
  </si>
  <si>
    <t>S5_29_J17</t>
  </si>
  <si>
    <t>S5_28_J17</t>
  </si>
  <si>
    <t>S5_27_J17</t>
  </si>
  <si>
    <t>S5_26_J17</t>
  </si>
  <si>
    <t>S5_25_J17</t>
  </si>
  <si>
    <t>S5_24_J17</t>
  </si>
  <si>
    <t>S5_23_J17</t>
  </si>
  <si>
    <t>S5_22_J17</t>
  </si>
  <si>
    <t>S5_21_J17</t>
  </si>
  <si>
    <t>S5_20_J17</t>
  </si>
  <si>
    <t>S5_19_J17</t>
  </si>
  <si>
    <t>S5_18_J17</t>
  </si>
  <si>
    <t>S5_17_J17</t>
  </si>
  <si>
    <t>S5_16_J17</t>
  </si>
  <si>
    <t>S5_15_J17</t>
  </si>
  <si>
    <t>S5_14_J17</t>
  </si>
  <si>
    <t>S5_13_J17</t>
  </si>
  <si>
    <t>S5_12_J17</t>
  </si>
  <si>
    <t>S5_11_J17</t>
  </si>
  <si>
    <t>S5_10_J17</t>
  </si>
  <si>
    <t>S5_09_J17</t>
  </si>
  <si>
    <t>S5_08_J17</t>
  </si>
  <si>
    <t>S5_07_J17</t>
  </si>
  <si>
    <t>S5_06_J17</t>
  </si>
  <si>
    <t>S5_05_J17</t>
  </si>
  <si>
    <t>S5_04_J17</t>
  </si>
  <si>
    <t>S5_03_J17</t>
  </si>
  <si>
    <t>S5_02_J17</t>
  </si>
  <si>
    <t>S5_01_J17</t>
  </si>
  <si>
    <t>S5_80_N16</t>
  </si>
  <si>
    <t>S5_79_N16</t>
  </si>
  <si>
    <t>S5_78_N16</t>
  </si>
  <si>
    <t>S5_77_N16</t>
  </si>
  <si>
    <t>S5_76_N16</t>
  </si>
  <si>
    <t>S5_75_N16</t>
  </si>
  <si>
    <t>S5_74_N16</t>
  </si>
  <si>
    <t>S5_73_N16</t>
  </si>
  <si>
    <t>S5_72_N16</t>
  </si>
  <si>
    <t>S5_71_N16</t>
  </si>
  <si>
    <t>S5_70_N16</t>
  </si>
  <si>
    <t>S5_69_N16</t>
  </si>
  <si>
    <t>S5_68_N16</t>
  </si>
  <si>
    <t>S5_67_N16</t>
  </si>
  <si>
    <t>S5_66_N16</t>
  </si>
  <si>
    <t>S5_65_N16</t>
  </si>
  <si>
    <t>S5_64_N16</t>
  </si>
  <si>
    <t>S5_63_N16</t>
  </si>
  <si>
    <t>S5_62_N16</t>
  </si>
  <si>
    <t>S5_61_N16</t>
  </si>
  <si>
    <t>S5_60_N16</t>
  </si>
  <si>
    <t>S5_59_N16</t>
  </si>
  <si>
    <t>S5_58_N16</t>
  </si>
  <si>
    <t>S5_57_N16</t>
  </si>
  <si>
    <t>S5_56_N16</t>
  </si>
  <si>
    <t>S5_55_N16</t>
  </si>
  <si>
    <t>S5_54_N16</t>
  </si>
  <si>
    <t>S5_53_N16</t>
  </si>
  <si>
    <t>S5_52_N16</t>
  </si>
  <si>
    <t>S5_51_N16</t>
  </si>
  <si>
    <t>S5_50_N16</t>
  </si>
  <si>
    <t>S5_49_N16</t>
  </si>
  <si>
    <t>S5_48_N16</t>
  </si>
  <si>
    <t>S5_47_N16</t>
  </si>
  <si>
    <t>S5_46_N16</t>
  </si>
  <si>
    <t>S5_45_N16</t>
  </si>
  <si>
    <t>S5_44_N16</t>
  </si>
  <si>
    <t>S5_43_N16</t>
  </si>
  <si>
    <t>S5_42_N16</t>
  </si>
  <si>
    <t>S5_41_N16</t>
  </si>
  <si>
    <t>S5_40_N16</t>
  </si>
  <si>
    <t>S5_39_N16</t>
  </si>
  <si>
    <t>S5_38_N16</t>
  </si>
  <si>
    <t>S5_37_N16</t>
  </si>
  <si>
    <t>S5_36_N16</t>
  </si>
  <si>
    <t>S5_35_N16</t>
  </si>
  <si>
    <t>S5_34_N16</t>
  </si>
  <si>
    <t>S5_33_N16</t>
  </si>
  <si>
    <t>S5_32_N16</t>
  </si>
  <si>
    <t>S5_31_N16</t>
  </si>
  <si>
    <t>S5_30_N16</t>
  </si>
  <si>
    <t>S5_29_N16</t>
  </si>
  <si>
    <t>S5_28_N16</t>
  </si>
  <si>
    <t>S5_27_N16</t>
  </si>
  <si>
    <t>S5_26_N16</t>
  </si>
  <si>
    <t>S5_25_N16</t>
  </si>
  <si>
    <t>S5_24_N16</t>
  </si>
  <si>
    <t>S5_23_N16</t>
  </si>
  <si>
    <t>S5_22_N16</t>
  </si>
  <si>
    <t>S5_21_N16</t>
  </si>
  <si>
    <t>S5_20_N16</t>
  </si>
  <si>
    <t>S5_19_N16</t>
  </si>
  <si>
    <t>S5_18_N16</t>
  </si>
  <si>
    <t>S5_17_N16</t>
  </si>
  <si>
    <t>S5_16_N16</t>
  </si>
  <si>
    <t>S5_15_N16</t>
  </si>
  <si>
    <t>S5_14_N16</t>
  </si>
  <si>
    <t>S5_13_N16</t>
  </si>
  <si>
    <t>S5_12_N16</t>
  </si>
  <si>
    <t>S5_11_N16</t>
  </si>
  <si>
    <t>S5_10_N16</t>
  </si>
  <si>
    <t>S5_09_N16</t>
  </si>
  <si>
    <t>S5_08_N16</t>
  </si>
  <si>
    <t>S5_07_N16</t>
  </si>
  <si>
    <t>S5_06_N16</t>
  </si>
  <si>
    <t>S5_05_N16</t>
  </si>
  <si>
    <t>S5_04_N16</t>
  </si>
  <si>
    <t>S5_03_N16</t>
  </si>
  <si>
    <t>S5_02_N16</t>
  </si>
  <si>
    <t>S5_01_N16</t>
  </si>
  <si>
    <t>S5_80_M16</t>
  </si>
  <si>
    <t>S5_79_M16</t>
  </si>
  <si>
    <t>S5_78_M16</t>
  </si>
  <si>
    <t>S5_77_M16</t>
  </si>
  <si>
    <t>S5_76_M16</t>
  </si>
  <si>
    <t>S5_75_M16</t>
  </si>
  <si>
    <t>S5_74_M16</t>
  </si>
  <si>
    <t>S5_73_M16</t>
  </si>
  <si>
    <t>S5_72_M16</t>
  </si>
  <si>
    <t>S5_71_M16</t>
  </si>
  <si>
    <t>S5_70_M16</t>
  </si>
  <si>
    <t>S5_69_M16</t>
  </si>
  <si>
    <t>S5_68_M16</t>
  </si>
  <si>
    <t>S5_67_M16</t>
  </si>
  <si>
    <t>S5_66_M16</t>
  </si>
  <si>
    <t>S5_65_M16</t>
  </si>
  <si>
    <t>S5_64_M16</t>
  </si>
  <si>
    <t>S5_63_M16</t>
  </si>
  <si>
    <t>S5_62_M16</t>
  </si>
  <si>
    <t>S5_61_M16</t>
  </si>
  <si>
    <t>S5_60_M16</t>
  </si>
  <si>
    <t>S5_59_M16</t>
  </si>
  <si>
    <t>S5_58_M16</t>
  </si>
  <si>
    <t>S5_57_M16</t>
  </si>
  <si>
    <t>S5_56_M16</t>
  </si>
  <si>
    <t>S5_55_M16</t>
  </si>
  <si>
    <t>S5_54_M16</t>
  </si>
  <si>
    <t>S5_53_M16</t>
  </si>
  <si>
    <t>S5_52_M16</t>
  </si>
  <si>
    <t>S5_51_M16</t>
  </si>
  <si>
    <t>S5_50_M16</t>
  </si>
  <si>
    <t>S5_49_M16</t>
  </si>
  <si>
    <t>S5_48_M16</t>
  </si>
  <si>
    <t>S5_47_M16</t>
  </si>
  <si>
    <t>S5_46_M16</t>
  </si>
  <si>
    <t>S5_45_M16</t>
  </si>
  <si>
    <t>S5_44_M16</t>
  </si>
  <si>
    <t>S5_43_M16</t>
  </si>
  <si>
    <t>S5_42_M16</t>
  </si>
  <si>
    <t>S5_41_M16</t>
  </si>
  <si>
    <t>S5_40_M16</t>
  </si>
  <si>
    <t>S5_39_M16</t>
  </si>
  <si>
    <t>S5_38_M16</t>
  </si>
  <si>
    <t>S5_37_M16</t>
  </si>
  <si>
    <t>S5_36_M16</t>
  </si>
  <si>
    <t>S5_35_M16</t>
  </si>
  <si>
    <t>S5_34_M16</t>
  </si>
  <si>
    <t>S5_33_M16</t>
  </si>
  <si>
    <t>S5_32_M16</t>
  </si>
  <si>
    <t>S5_31_M16</t>
  </si>
  <si>
    <t>S5_30_M16</t>
  </si>
  <si>
    <t>S5_29_M16</t>
  </si>
  <si>
    <t>S5_28_M16</t>
  </si>
  <si>
    <t>S5_27_M16</t>
  </si>
  <si>
    <t>S5_26_M16</t>
  </si>
  <si>
    <t>S5_25_M16</t>
  </si>
  <si>
    <t>S5_24_M16</t>
  </si>
  <si>
    <t>S5_23_M16</t>
  </si>
  <si>
    <t>S5_22_M16</t>
  </si>
  <si>
    <t>S5_21_M16</t>
  </si>
  <si>
    <t>S5_20_M16</t>
  </si>
  <si>
    <t>S5_19_M16</t>
  </si>
  <si>
    <t>S5_18_M16</t>
  </si>
  <si>
    <t>S5_17_M16</t>
  </si>
  <si>
    <t>S5_16_M16</t>
  </si>
  <si>
    <t>S5_15_M16</t>
  </si>
  <si>
    <t>S5_14_M16</t>
  </si>
  <si>
    <t>S5_13_M16</t>
  </si>
  <si>
    <t>S5_12_M16</t>
  </si>
  <si>
    <t>S5_11_M16</t>
  </si>
  <si>
    <t>S5_10_M16</t>
  </si>
  <si>
    <t>S5_09_M16</t>
  </si>
  <si>
    <t>S5_08_M16</t>
  </si>
  <si>
    <t>S5_07_M16</t>
  </si>
  <si>
    <t>S5_06_M16</t>
  </si>
  <si>
    <t>S5_05_M16</t>
  </si>
  <si>
    <t>S5_04_M16</t>
  </si>
  <si>
    <t>S5_03_M16</t>
  </si>
  <si>
    <t>S5_02_M16</t>
  </si>
  <si>
    <t>S5_01_M16</t>
  </si>
  <si>
    <t>sampleID_stem</t>
  </si>
  <si>
    <t>sampleID_ITS</t>
  </si>
  <si>
    <t>sampleID_16S</t>
  </si>
  <si>
    <t>PCR1_16S</t>
  </si>
  <si>
    <t>PCR2_16S</t>
  </si>
  <si>
    <t>DNA_ext_date_ITS</t>
  </si>
  <si>
    <t>DNA_ext_date_16S</t>
  </si>
  <si>
    <t>PCR1_ITS</t>
  </si>
  <si>
    <t>PCR2_ITS</t>
  </si>
  <si>
    <t>Various</t>
  </si>
  <si>
    <t>DNA_pur_conc_ITS</t>
  </si>
  <si>
    <t xml:space="preserve">S5_06_N16 </t>
  </si>
  <si>
    <t xml:space="preserve">S5_07_N16 </t>
  </si>
  <si>
    <t xml:space="preserve">S5_08_N16 </t>
  </si>
  <si>
    <t xml:space="preserve">S5_09_N16 </t>
  </si>
  <si>
    <t xml:space="preserve">S5_10_N16 </t>
  </si>
  <si>
    <t xml:space="preserve">S5_16_N16 </t>
  </si>
  <si>
    <t xml:space="preserve">S5_17_N16 </t>
  </si>
  <si>
    <t xml:space="preserve">S5_18_N16 </t>
  </si>
  <si>
    <t xml:space="preserve">S5_19_N16 </t>
  </si>
  <si>
    <t xml:space="preserve">S5_20_N16 </t>
  </si>
  <si>
    <t xml:space="preserve">S5_26_N16 </t>
  </si>
  <si>
    <t xml:space="preserve">S5_27_N16 </t>
  </si>
  <si>
    <t xml:space="preserve">S5_28_N16 </t>
  </si>
  <si>
    <t xml:space="preserve">S5_29_N16 </t>
  </si>
  <si>
    <t xml:space="preserve">S5_30_N16 </t>
  </si>
  <si>
    <t xml:space="preserve">S5_36_N16 </t>
  </si>
  <si>
    <t xml:space="preserve">S5_37_N16 </t>
  </si>
  <si>
    <t xml:space="preserve">S5_38_N16 </t>
  </si>
  <si>
    <t xml:space="preserve">S5_39_N16 </t>
  </si>
  <si>
    <t xml:space="preserve">S5_40_N16 </t>
  </si>
  <si>
    <t xml:space="preserve">S5_46_N16 </t>
  </si>
  <si>
    <t xml:space="preserve">S5_47_N16 </t>
  </si>
  <si>
    <t xml:space="preserve">S5_48_N16 </t>
  </si>
  <si>
    <t xml:space="preserve">S5_49_N16 </t>
  </si>
  <si>
    <t xml:space="preserve">S5_50_N16 </t>
  </si>
  <si>
    <t xml:space="preserve">S5_56_N16 </t>
  </si>
  <si>
    <t xml:space="preserve">S5_57_N16 </t>
  </si>
  <si>
    <t xml:space="preserve">S5_58_N16 </t>
  </si>
  <si>
    <t xml:space="preserve">S5_59_N16 </t>
  </si>
  <si>
    <t xml:space="preserve">S5_60_N16 </t>
  </si>
  <si>
    <t xml:space="preserve">S5_66_N16 </t>
  </si>
  <si>
    <t xml:space="preserve">S5_67_N16 </t>
  </si>
  <si>
    <t xml:space="preserve">S5_68_N16 </t>
  </si>
  <si>
    <t xml:space="preserve">S5_69_N16 </t>
  </si>
  <si>
    <t xml:space="preserve">S5_70_N16 </t>
  </si>
  <si>
    <t xml:space="preserve">S5_76_N16 </t>
  </si>
  <si>
    <t xml:space="preserve">S5_77_N16 </t>
  </si>
  <si>
    <t xml:space="preserve">S5_78_N16 </t>
  </si>
  <si>
    <t xml:space="preserve">S5_79_N16 </t>
  </si>
  <si>
    <t xml:space="preserve">S5_80_N16 </t>
  </si>
  <si>
    <t>S5_17_NA</t>
  </si>
  <si>
    <t>S5_18_NA</t>
  </si>
  <si>
    <t>S5_26_NA</t>
  </si>
  <si>
    <t>S5_36_NA</t>
  </si>
  <si>
    <t>S5_40_NA</t>
  </si>
  <si>
    <t>S5_58_NA</t>
  </si>
  <si>
    <t>S5_67_NA</t>
  </si>
  <si>
    <t>S5_79_NA</t>
  </si>
  <si>
    <t xml:space="preserve">S5_06_J17 </t>
  </si>
  <si>
    <t xml:space="preserve">S5_07_J17 </t>
  </si>
  <si>
    <t xml:space="preserve">S5_08_J17 </t>
  </si>
  <si>
    <t xml:space="preserve">S5_09_J17 </t>
  </si>
  <si>
    <t xml:space="preserve">S5_10_J17 </t>
  </si>
  <si>
    <t xml:space="preserve">S5_16_J17 </t>
  </si>
  <si>
    <t xml:space="preserve">S5_17_J17 </t>
  </si>
  <si>
    <t xml:space="preserve">S5_18_J17 </t>
  </si>
  <si>
    <t xml:space="preserve">S5_19_J17 </t>
  </si>
  <si>
    <t xml:space="preserve">S5_20_J17 </t>
  </si>
  <si>
    <t xml:space="preserve">S5_26_J17 </t>
  </si>
  <si>
    <t xml:space="preserve">S5_27_J17 </t>
  </si>
  <si>
    <t xml:space="preserve">S5_28_J17 </t>
  </si>
  <si>
    <t xml:space="preserve">S5_29_J17 </t>
  </si>
  <si>
    <t xml:space="preserve">S5_30_J17 </t>
  </si>
  <si>
    <t xml:space="preserve">S5_36_J17 </t>
  </si>
  <si>
    <t xml:space="preserve">S5_37_J17 </t>
  </si>
  <si>
    <t xml:space="preserve">S5_38_J17 </t>
  </si>
  <si>
    <t xml:space="preserve">S5_39_J17 </t>
  </si>
  <si>
    <t xml:space="preserve">S5_40_J17 </t>
  </si>
  <si>
    <t xml:space="preserve">S5_46_J17 </t>
  </si>
  <si>
    <t xml:space="preserve">S5_47_J17 </t>
  </si>
  <si>
    <t xml:space="preserve">S5_48_J17 </t>
  </si>
  <si>
    <t xml:space="preserve">S5_49_J17 </t>
  </si>
  <si>
    <t xml:space="preserve">S5_50_J17 </t>
  </si>
  <si>
    <t xml:space="preserve">S5_56_J17 </t>
  </si>
  <si>
    <t xml:space="preserve">S5_57_J17 </t>
  </si>
  <si>
    <t xml:space="preserve">S5_58_J17 </t>
  </si>
  <si>
    <t xml:space="preserve">S5_59_J17 </t>
  </si>
  <si>
    <t xml:space="preserve">S5_60_J17 </t>
  </si>
  <si>
    <t xml:space="preserve">S5_66_J17 </t>
  </si>
  <si>
    <t xml:space="preserve">S5_67_J17 </t>
  </si>
  <si>
    <t xml:space="preserve">S5_68_J17 </t>
  </si>
  <si>
    <t xml:space="preserve">S5_69_J17 </t>
  </si>
  <si>
    <t xml:space="preserve">S5_70_J17 </t>
  </si>
  <si>
    <t xml:space="preserve">S5_76_J17 </t>
  </si>
  <si>
    <t xml:space="preserve">S5_77_J17 </t>
  </si>
  <si>
    <t xml:space="preserve">S5_78_J17 </t>
  </si>
  <si>
    <t xml:space="preserve">S5_79_J17 </t>
  </si>
  <si>
    <t xml:space="preserve">S5_80_J17 </t>
  </si>
  <si>
    <t xml:space="preserve">S5_06_N17 </t>
  </si>
  <si>
    <t xml:space="preserve">S5_07_N17 </t>
  </si>
  <si>
    <t xml:space="preserve">S5_08_N17 </t>
  </si>
  <si>
    <t xml:space="preserve">S5_09_N17 </t>
  </si>
  <si>
    <t xml:space="preserve">S5_10_N17 </t>
  </si>
  <si>
    <t xml:space="preserve">S5_16_N17 </t>
  </si>
  <si>
    <t xml:space="preserve">S5_17_N17 </t>
  </si>
  <si>
    <t xml:space="preserve">S5_18_N17 </t>
  </si>
  <si>
    <t xml:space="preserve">S5_19_N17 </t>
  </si>
  <si>
    <t xml:space="preserve">S5_20_N17 </t>
  </si>
  <si>
    <t xml:space="preserve">S5_26_N17 </t>
  </si>
  <si>
    <t xml:space="preserve">S5_27_N17 </t>
  </si>
  <si>
    <t xml:space="preserve">S5_28_N17 </t>
  </si>
  <si>
    <t xml:space="preserve">S5_29_N17 </t>
  </si>
  <si>
    <t xml:space="preserve">S5_30_N17 </t>
  </si>
  <si>
    <t xml:space="preserve">S5_36_N17 </t>
  </si>
  <si>
    <t xml:space="preserve">S5_37_N17 </t>
  </si>
  <si>
    <t xml:space="preserve">S5_38_N17 </t>
  </si>
  <si>
    <t xml:space="preserve">S5_39_N17 </t>
  </si>
  <si>
    <t xml:space="preserve">S5_40_N17 </t>
  </si>
  <si>
    <t xml:space="preserve">S5_46_N17 </t>
  </si>
  <si>
    <t xml:space="preserve">S5_47_N17 </t>
  </si>
  <si>
    <t xml:space="preserve">S5_48_N17 </t>
  </si>
  <si>
    <t xml:space="preserve">S5_49_N17 </t>
  </si>
  <si>
    <t xml:space="preserve">S5_50_N17 </t>
  </si>
  <si>
    <t xml:space="preserve">S5_56_N17 </t>
  </si>
  <si>
    <t xml:space="preserve">S5_57_N17 </t>
  </si>
  <si>
    <t xml:space="preserve">S5_58_N17 </t>
  </si>
  <si>
    <t xml:space="preserve">S5_59_N17 </t>
  </si>
  <si>
    <t xml:space="preserve">S5_60_N17 </t>
  </si>
  <si>
    <t xml:space="preserve">S5_66_N17 </t>
  </si>
  <si>
    <t xml:space="preserve">S5_67_N17 </t>
  </si>
  <si>
    <t xml:space="preserve">S5_68_N17 </t>
  </si>
  <si>
    <t xml:space="preserve">S5_69_N17 </t>
  </si>
  <si>
    <t xml:space="preserve">S5_70_N17 </t>
  </si>
  <si>
    <t xml:space="preserve">S5_76_N17 </t>
  </si>
  <si>
    <t xml:space="preserve">S5_77_N17 </t>
  </si>
  <si>
    <t xml:space="preserve">S5_78_N17 </t>
  </si>
  <si>
    <t xml:space="preserve">S5_79_N17 </t>
  </si>
  <si>
    <t xml:space="preserve">S5_80_N17 </t>
  </si>
  <si>
    <t>Cr_mean</t>
  </si>
  <si>
    <t>Cr_sd</t>
  </si>
  <si>
    <t>Mn_mean</t>
  </si>
  <si>
    <t>Mn_sd</t>
  </si>
  <si>
    <t>Co_mean</t>
  </si>
  <si>
    <t>Co_sd</t>
  </si>
  <si>
    <t>Cu_mean</t>
  </si>
  <si>
    <t>Cu_sd</t>
  </si>
  <si>
    <t>Zn_mean</t>
  </si>
  <si>
    <t>Zn_sd</t>
  </si>
  <si>
    <t>CTL</t>
  </si>
  <si>
    <t>sample_key</t>
  </si>
  <si>
    <t>stem that is common to all sample IDs.  Used for coordinating data from diferent sheets. Read as Project_mesocosmID_sampling period</t>
  </si>
  <si>
    <t>convenience factor to separate samples into certain groups.  Pre-exp = samples taken when seedlings were moved to greenhouse, exp_sam = samples taken during experiment, O_inoc = soil inoculum from oiled site, U_inoc = soil inoculum from unoiled site, HM_control = control for heavy metal data</t>
  </si>
  <si>
    <t>microbial</t>
  </si>
  <si>
    <t>sampleID used by Tulane University in prepping ITS libraries</t>
  </si>
  <si>
    <t>sampleID used by Duke University in prepping 16S libraries. Differences are not important, just the result of miscommunication.</t>
  </si>
  <si>
    <t>concentration of purified DNA library that was ultimately pooled for sequencing.  Used with decontam package.  Only available for ITS sequences.</t>
  </si>
  <si>
    <t>date of DNA extraction for ITS library prep.  Used for checking for batch effects.</t>
  </si>
  <si>
    <t>date of PCR1 (amplicon creation) for ITS library prep.  Used for checking for batch effects.</t>
  </si>
  <si>
    <t>date of PCR2 (indexing) for ITS library prep.  Used for checking for batch effects.</t>
  </si>
  <si>
    <t>date of DNA extraction for 16S library prep.  Used for checking for batch effects.</t>
  </si>
  <si>
    <t>date of PCR1 (amplicon creation) for 16S library prep.  Used for checking for batch effects.</t>
  </si>
  <si>
    <t>date of PCR2 (indexing) for 16S library prep.  Used for checking for batch effects.</t>
  </si>
  <si>
    <t>tissue from which sample was extracted.  Soil, Root, or Leaf</t>
  </si>
  <si>
    <t>number of live stems growing betwen the experimental space (trade pot) and the 5 gallon bucket. Measured by counting the number of live stems, regardless of size, with a clicker. Only available for J18</t>
  </si>
  <si>
    <t>person who collected data.  Useful for testing for batch effects</t>
  </si>
  <si>
    <t>date the data was collected</t>
  </si>
  <si>
    <t>plant_morphology, inflorescences</t>
  </si>
  <si>
    <t>batch in which samples were analyzed by Fisons EA112 Elemental Analyzer</t>
  </si>
  <si>
    <t>percent nitrogen (by mass), mean of 2 technical replicates</t>
  </si>
  <si>
    <t>percent carbon (by mass), mean of 2 technical replicates</t>
  </si>
  <si>
    <t>mass_bg_o</t>
  </si>
  <si>
    <t>total_live_mass</t>
  </si>
  <si>
    <t>biomass</t>
  </si>
  <si>
    <t xml:space="preserve">mass of live above-ground tissue that was growing inside the trade pot(leaves and stems), dried in an oven until mass is stable. This plant tissue was harvested mid-June 2018. All above-ground plant tissue remaining in the pot by the time the plant was harvested (between 6/11/17 and 6/22/17) was included in this measurement under the assumption that the dead tissue had been collected previously. </t>
  </si>
  <si>
    <t xml:space="preserve">mass of live above-ground tissue that was growing outside the trade pot(leaves and stems), dried in an oven until mass is stable. This plant tissue was harvested mid-June 2018. All above-ground plant tissue remaining in the pot by the time the plant was harvested (between 6/11/17 and 6/22/17) was included in this measurement under the assumption that the dead tissue had been collected previously. </t>
  </si>
  <si>
    <t xml:space="preserve">mass of below-ground tissue that was growing inside the trade pot (roots). Tissue was harvested from the pots by picking roots out of the dirt by hand and washing them in water to remove dirt and sand. As a time-sensitive process, harvesting the below-ground tissue was not perfect. Some smaller roots may have been left out of each sample and some wood chips or small clumps of sand and dirt from the soil may have been included. However, neither of these errors should have a significant effect on the mass measurements, but this should be taken into account when analyzing the data. </t>
  </si>
  <si>
    <t xml:space="preserve">mass of below-ground tissue that was growing outside the trade pot  (roots). Tissue was harvested from the pots by picking roots out of the dirt by hand and washing them in water to remove dirt and sand. As a time-sensitive process, harvesting the below-ground tissue was not perfect. Some smaller roots may have been left out of each sample and some wood chips or small clumps of sand and dirt from the soil may have been included. However, neither of these errors should have a significant effect on the mass measurements, but this should be taken into account when analyzing the data. </t>
  </si>
  <si>
    <t>sum of above and below ground live tissue</t>
  </si>
  <si>
    <t>ratio of mass_dead to total_live_mass</t>
  </si>
  <si>
    <t>total_ag</t>
  </si>
  <si>
    <t>total_bg</t>
  </si>
  <si>
    <t>sum of mass_ag_i and mass_ag_o</t>
  </si>
  <si>
    <t>sum of mass_bg_i and mass_bg_o</t>
  </si>
  <si>
    <t>heavy_metal</t>
  </si>
  <si>
    <t>average Chromium in ppb for two technical replicates</t>
  </si>
  <si>
    <t>standard devitation of Chromium in ppb for two technical replicates</t>
  </si>
  <si>
    <t>standard devitation of Manganese in ppb for two technical replicates</t>
  </si>
  <si>
    <t>average Manganese in ppb for two technical replicates</t>
  </si>
  <si>
    <t>average Cobalt in ppb for two technical replicates</t>
  </si>
  <si>
    <t>standard devitation of Cobalt in ppb for two technical replicates</t>
  </si>
  <si>
    <t>average Copper in ppb for two technical replicates</t>
  </si>
  <si>
    <t>standard devitation of Copper in ppb for two technical replicates</t>
  </si>
  <si>
    <t>average Zinc in ppb for two technical replicates</t>
  </si>
  <si>
    <t>standard devitation of Zinc in ppb for two technical replicates</t>
  </si>
  <si>
    <t>meso_chem_sumary</t>
  </si>
  <si>
    <t>number of samples for calculating mesocosm conditions</t>
  </si>
  <si>
    <t>average conductivity of water in mesocosm normalized to 25C, measured in milliSiemens (mS) per cm for combination of treatments including all measurments over the course of the experiments, not just the ones that corresponded to sampling period</t>
  </si>
  <si>
    <t>average pH of water in mesocosm normalized to 25C.  for combination of treatments including all measurments over the course of the experiments, not just the ones that corresponded to sampling period</t>
  </si>
  <si>
    <t>gh_env_summary</t>
  </si>
  <si>
    <t>month for which average was calculated</t>
  </si>
  <si>
    <t>year for which average was calculated</t>
  </si>
  <si>
    <t>microbial, oil</t>
  </si>
  <si>
    <t>Prev-Oiled Inoc.</t>
  </si>
  <si>
    <t>Not Prev-Oiled Inoc.</t>
  </si>
  <si>
    <t>Heavy Metal Control</t>
  </si>
  <si>
    <t>Pre-Experiment</t>
  </si>
  <si>
    <t>Experimental Sample</t>
  </si>
  <si>
    <t>sampleID</t>
  </si>
  <si>
    <t>description</t>
  </si>
  <si>
    <t>NC_S5_01</t>
  </si>
  <si>
    <t>NC_S5_02</t>
  </si>
  <si>
    <t>NC_S5_03</t>
  </si>
  <si>
    <t>NC_S5_04</t>
  </si>
  <si>
    <t>NC_S5_05</t>
  </si>
  <si>
    <t>ITS1 Sequences</t>
  </si>
  <si>
    <t>16S Sequences</t>
  </si>
  <si>
    <t>Sample Name</t>
  </si>
  <si>
    <t>Organism</t>
  </si>
  <si>
    <t>BioProject</t>
  </si>
  <si>
    <t>SRA_Accession</t>
  </si>
  <si>
    <t>Link to original R1 file</t>
  </si>
  <si>
    <t>Link to original R2 file</t>
  </si>
  <si>
    <t>https://sra-pub-src-2.s3.amazonaws.com/SRR10755354/L19-J17_S26_L001_R1_001.fastq.gz.1</t>
  </si>
  <si>
    <t>https://sra-pub-src-2.s3.amazonaws.com/SRR10755354/L19-J17_S26_L001_R2_001.fastq.gz.1</t>
  </si>
  <si>
    <t>L8</t>
  </si>
  <si>
    <t>https://sra-pub-src-2.s3.amazonaws.com/SRR10755332/L19-J18_S74_L001_R1_001.fastq.gz.1</t>
  </si>
  <si>
    <t>https://sra-pub-src-2.s3.amazonaws.com/SRR10755332/L19-J18_S74_L001_R2_001.fastq.gz.1</t>
  </si>
  <si>
    <t>SAMN13668208</t>
  </si>
  <si>
    <t>https://sra-pub-src-2.s3.amazonaws.com/SRR10755355/L19-N16_S14_L001_R1_001.fastq.gz.1</t>
  </si>
  <si>
    <t>https://sra-pub-src-2.s3.amazonaws.com/SRR10755355/L19-N16_S14_L001_R2_001.fastq.gz.1</t>
  </si>
  <si>
    <t>https://sra-pub-src-2.s3.amazonaws.com/SRR10755343/L19-N17_S2_L001_R1_001.fastq.gz.1</t>
  </si>
  <si>
    <t>https://sra-pub-src-2.s3.amazonaws.com/SRR10755343/L19-N17_S2_L001_R2_001.fastq.gz.1</t>
  </si>
  <si>
    <t>https://sra-pub-src-2.s3.amazonaws.com/SRR10755310/L27-J17_S29_L001_R1_001.fastq.gz.1</t>
  </si>
  <si>
    <t>https://sra-pub-src-2.s3.amazonaws.com/SRR10755310/L27-J17_S29_L001_R2_001.fastq.gz.1</t>
  </si>
  <si>
    <t>L9</t>
  </si>
  <si>
    <t>https://sra-pub-src-2.s3.amazonaws.com/SRR10755294/L27-J18_S77_L001_R1_001.fastq.gz.1</t>
  </si>
  <si>
    <t>https://sra-pub-src-2.s3.amazonaws.com/SRR10755294/L27-J18_S77_L001_R2_001.fastq.gz.1</t>
  </si>
  <si>
    <t>SAMN13668212</t>
  </si>
  <si>
    <t>https://sra-pub-src-2.s3.amazonaws.com/SRR10755321/L27-N16_S17_L001_R1_001.fastq.gz.1</t>
  </si>
  <si>
    <t>https://sra-pub-src-2.s3.amazonaws.com/SRR10755321/L27-N16_S17_L001_R2_001.fastq.gz.1</t>
  </si>
  <si>
    <t>https://sra-pub-src-2.s3.amazonaws.com/SRR10755299/L27-N17_S5_L001_R1_001.fastq.gz.1</t>
  </si>
  <si>
    <t>https://sra-pub-src-2.s3.amazonaws.com/SRR10755299/L27-N17_S5_L001_R2_001.fastq.gz.1</t>
  </si>
  <si>
    <t>https://sra-pub-src-2.s3.amazonaws.com/SRR10755354/L30-J17_S27_L001_R1_001.fastq.gz.1</t>
  </si>
  <si>
    <t>https://sra-pub-src-2.s3.amazonaws.com/SRR10755354/L30-J17_S27_L001_R2_001.fastq.gz.1</t>
  </si>
  <si>
    <t>L19</t>
  </si>
  <si>
    <t>https://sra-pub-src-2.s3.amazonaws.com/SRR10755332/L30-J18_S75_L001_R1_001.fastq.gz.1</t>
  </si>
  <si>
    <t>https://sra-pub-src-2.s3.amazonaws.com/SRR10755332/L30-J18_S75_L001_R2_001.fastq.gz.1</t>
  </si>
  <si>
    <t>https://sra-pub-src-2.s3.amazonaws.com/SRR10755355/L30-N16_S15_L001_R1_001.fastq.gz.1</t>
  </si>
  <si>
    <t>https://sra-pub-src-2.s3.amazonaws.com/SRR10755355/L30-N16_S15_L001_R2_001.fastq.gz.1</t>
  </si>
  <si>
    <t>https://sra-pub-src-2.s3.amazonaws.com/SRR10755343/L30-N17_S3_L001_R1_001.fastq.gz.1</t>
  </si>
  <si>
    <t>https://sra-pub-src-2.s3.amazonaws.com/SRR10755343/L30-N17_S3_L001_R2_001.fastq.gz.1</t>
  </si>
  <si>
    <t>https://sra-pub-src-2.s3.amazonaws.com/SRR10755310/L29-J17_S30_L001_R1_001.fastq.gz.1</t>
  </si>
  <si>
    <t>https://sra-pub-src-2.s3.amazonaws.com/SRR10755310/L29-J17_S30_L001_R2_001.fastq.gz.1</t>
  </si>
  <si>
    <t>L27</t>
  </si>
  <si>
    <t>https://sra-pub-src-2.s3.amazonaws.com/SRR10755294/L29-J18_S78_L001_R1_001.fastq.gz.1</t>
  </si>
  <si>
    <t>https://sra-pub-src-2.s3.amazonaws.com/SRR10755294/L29-J18_S78_L001_R2_001.fastq.gz.1</t>
  </si>
  <si>
    <t>https://sra-pub-src-2.s3.amazonaws.com/SRR10755321/L29-N16_S18_L001_R1_001.fastq.gz.1</t>
  </si>
  <si>
    <t>https://sra-pub-src-2.s3.amazonaws.com/SRR10755321/L29-N16_S18_L001_R2_001.fastq.gz.1</t>
  </si>
  <si>
    <t>https://sra-pub-src-2.s3.amazonaws.com/SRR10755299/L29-N17_S6_L001_R1_001.fastq.gz.1</t>
  </si>
  <si>
    <t>https://sra-pub-src-2.s3.amazonaws.com/SRR10755299/L29-N17_S6_L001_R2_001.fastq.gz.1</t>
  </si>
  <si>
    <t>https://sra-pub-src-2.s3.amazonaws.com/SRR10755310/L9-J17_S28_L001_R1_001.fastq.gz.1</t>
  </si>
  <si>
    <t>https://sra-pub-src-2.s3.amazonaws.com/SRR10755310/L9-J17_S28_L001_R2_001.fastq.gz.1</t>
  </si>
  <si>
    <t>L29</t>
  </si>
  <si>
    <t>https://sra-pub-src-2.s3.amazonaws.com/SRR10755294/L9-J18_S76_L001_R1_001.fastq.gz.1</t>
  </si>
  <si>
    <t>https://sra-pub-src-2.s3.amazonaws.com/SRR10755294/L9-J18_S76_L001_R2_001.fastq.gz.1</t>
  </si>
  <si>
    <t>https://sra-pub-src-2.s3.amazonaws.com/SRR10755321/L9-N16_S16_L001_R1_001.fastq.gz.1</t>
  </si>
  <si>
    <t>https://sra-pub-src-2.s3.amazonaws.com/SRR10755321/L9-N16_S16_L001_R2_001.fastq.gz.1</t>
  </si>
  <si>
    <t>https://sra-pub-src-2.s3.amazonaws.com/SRR10755299/L9-N17_S4_L001_R1_001.fastq.gz.1</t>
  </si>
  <si>
    <t>https://sra-pub-src-2.s3.amazonaws.com/SRR10755299/L9-N17_S4_L001_R2_001.fastq.gz.1</t>
  </si>
  <si>
    <t>https://sra-pub-src-2.s3.amazonaws.com/SRR10755354/L8-J17_S25_L001_R1_001.fastq.gz.1</t>
  </si>
  <si>
    <t>https://sra-pub-src-2.s3.amazonaws.com/SRR10755354/L8-J17_S25_L001_R2_001.fastq.gz.1</t>
  </si>
  <si>
    <t>L30</t>
  </si>
  <si>
    <t>https://sra-pub-src-2.s3.amazonaws.com/SRR10755332/L8-J18_S73_L001_R1_001.fastq.gz.1</t>
  </si>
  <si>
    <t>https://sra-pub-src-2.s3.amazonaws.com/SRR10755332/L8-J18_S73_L001_R2_001.fastq.gz.1</t>
  </si>
  <si>
    <t>https://sra-pub-src-2.s3.amazonaws.com/SRR10755355/L8-N16_S13_L001_R1_001.fastq.gz.1</t>
  </si>
  <si>
    <t>https://sra-pub-src-2.s3.amazonaws.com/SRR10755355/L8-N16_S13_L001_R2_001.fastq.gz.1</t>
  </si>
  <si>
    <t>https://sra-pub-src-2.s3.amazonaws.com/SRR10755343/L8-N17_S1_L001_R1_001.fastq.gz.1</t>
  </si>
  <si>
    <t>https://sra-pub-src-2.s3.amazonaws.com/SRR10755343/L8-N17_S1_L001_R2_001.fastq.gz.1</t>
  </si>
  <si>
    <t>https://sra-pub-src-2.s3.amazonaws.com/SRR10755350/L47-J17_S34_L001_R1_001.fastq.gz.1</t>
  </si>
  <si>
    <t>https://sra-pub-src-2.s3.amazonaws.com/SRR10755350/L47-J17_S34_L001_R2_001.fastq.gz.1</t>
  </si>
  <si>
    <t>L47</t>
  </si>
  <si>
    <t>https://sra-pub-src-2.s3.amazonaws.com/SRR10755348/L47-J18_S82_L001_R1_001.fastq.gz.1</t>
  </si>
  <si>
    <t>https://sra-pub-src-2.s3.amazonaws.com/SRR10755348/L47-J18_S82_L001_R2_001.fastq.gz.1</t>
  </si>
  <si>
    <t>SAMN13668220</t>
  </si>
  <si>
    <t>https://sra-pub-src-2.s3.amazonaws.com/SRR10755351/L47-N16_S22_L001_R1_001.fastq.gz.1</t>
  </si>
  <si>
    <t>https://sra-pub-src-2.s3.amazonaws.com/SRR10755351/L47-N16_S22_L001_R2_001.fastq.gz.1</t>
  </si>
  <si>
    <t>https://sra-pub-src-2.s3.amazonaws.com/SRR10755349/L47-N17_S10_L001_R1_001.fastq.gz.1</t>
  </si>
  <si>
    <t>https://sra-pub-src-2.s3.amazonaws.com/SRR10755349/L47-N17_S10_L001_R2_001.fastq.gz.1</t>
  </si>
  <si>
    <t>https://sra-pub-src-2.s3.amazonaws.com/SRR10755292/L49-J17_S31_L001_R1_001.fastq.gz.1</t>
  </si>
  <si>
    <t>https://sra-pub-src-2.s3.amazonaws.com/SRR10755292/L49-J17_S31_L001_R2_001.fastq.gz.1</t>
  </si>
  <si>
    <t>L49</t>
  </si>
  <si>
    <t>https://sra-pub-src-2.s3.amazonaws.com/SRR10755352/L49-J18_S79_L001_R1_001.fastq.gz.1</t>
  </si>
  <si>
    <t>https://sra-pub-src-2.s3.amazonaws.com/SRR10755352/L49-J18_S79_L001_R2_001.fastq.gz.1</t>
  </si>
  <si>
    <t>SAMN13668216</t>
  </si>
  <si>
    <t>https://sra-pub-src-2.s3.amazonaws.com/SRR10755293/L49-N16_S19_L001_R1_001.fastq.gz.1</t>
  </si>
  <si>
    <t>https://sra-pub-src-2.s3.amazonaws.com/SRR10755293/L49-N16_S19_L001_R2_001.fastq.gz.1</t>
  </si>
  <si>
    <t>https://sra-pub-src-2.s3.amazonaws.com/SRR10755353/L49-N17_S7_L001_R1_001.fastq.gz.1</t>
  </si>
  <si>
    <t>https://sra-pub-src-2.s3.amazonaws.com/SRR10755353/L49-N17_S7_L001_R2_001.fastq.gz.1</t>
  </si>
  <si>
    <t>https://sra-pub-src-2.s3.amazonaws.com/SRR10755350/L60-J17_S35_L001_R1_001.fastq.gz.1</t>
  </si>
  <si>
    <t>https://sra-pub-src-2.s3.amazonaws.com/SRR10755350/L60-J17_S35_L001_R2_001.fastq.gz.1</t>
  </si>
  <si>
    <t>L60</t>
  </si>
  <si>
    <t>https://sra-pub-src-2.s3.amazonaws.com/SRR10755348/L60-J18_S83_L001_R1_001.fastq.gz.1</t>
  </si>
  <si>
    <t>https://sra-pub-src-2.s3.amazonaws.com/SRR10755348/L60-J18_S83_L001_R2_001.fastq.gz.1</t>
  </si>
  <si>
    <t>https://sra-pub-src-2.s3.amazonaws.com/SRR10755351/L60-N16_S23_L001_R1_001.fastq.gz.1</t>
  </si>
  <si>
    <t>https://sra-pub-src-2.s3.amazonaws.com/SRR10755351/L60-N16_S23_L001_R2_001.fastq.gz.1</t>
  </si>
  <si>
    <t>https://sra-pub-src-2.s3.amazonaws.com/SRR10755349/L60-N17_S11_L001_R1_001.fastq.gz.1</t>
  </si>
  <si>
    <t>https://sra-pub-src-2.s3.amazonaws.com/SRR10755349/L60-N17_S11_L001_R2_001.fastq.gz.1</t>
  </si>
  <si>
    <t>https://sra-pub-src-2.s3.amazonaws.com/SRR10755292/L66-J17_S32_L001_R1_001.fastq.gz.1</t>
  </si>
  <si>
    <t>https://sra-pub-src-2.s3.amazonaws.com/SRR10755292/L66-J17_S32_L001_R2_001.fastq.gz.1</t>
  </si>
  <si>
    <t>L66</t>
  </si>
  <si>
    <t>https://sra-pub-src-2.s3.amazonaws.com/SRR10755352/L66-J18_S80_L001_R1_001.fastq.gz.1</t>
  </si>
  <si>
    <t>https://sra-pub-src-2.s3.amazonaws.com/SRR10755352/L66-J18_S80_L001_R2_001.fastq.gz.1</t>
  </si>
  <si>
    <t>https://sra-pub-src-2.s3.amazonaws.com/SRR10755293/L66-N16_S20_L001_R1_001.fastq.gz.1</t>
  </si>
  <si>
    <t>https://sra-pub-src-2.s3.amazonaws.com/SRR10755293/L66-N16_S20_L001_R2_001.fastq.gz.1</t>
  </si>
  <si>
    <t>https://sra-pub-src-2.s3.amazonaws.com/SRR10755353/L66-N17_S8_L001_R1_001.fastq.gz.1</t>
  </si>
  <si>
    <t>https://sra-pub-src-2.s3.amazonaws.com/SRR10755353/L66-N17_S8_L001_R2_001.fastq.gz.1</t>
  </si>
  <si>
    <t>https://sra-pub-src-2.s3.amazonaws.com/SRR10755292/L68-J17_S33_L001_R1_001.fastq.gz.1</t>
  </si>
  <si>
    <t>https://sra-pub-src-2.s3.amazonaws.com/SRR10755292/L68-J17_S33_L001_R2_001.fastq.gz.1</t>
  </si>
  <si>
    <t>L68</t>
  </si>
  <si>
    <t>https://sra-pub-src-2.s3.amazonaws.com/SRR10755352/L68-J18_S81_L001_R1_001.fastq.gz.1</t>
  </si>
  <si>
    <t>https://sra-pub-src-2.s3.amazonaws.com/SRR10755352/L68-J18_S81_L001_R2_001.fastq.gz.1</t>
  </si>
  <si>
    <t>https://sra-pub-src-2.s3.amazonaws.com/SRR10755293/L68-N16_S21_L001_R1_001.fastq.gz.1</t>
  </si>
  <si>
    <t>https://sra-pub-src-2.s3.amazonaws.com/SRR10755293/L68-N16_S21_L001_R2_001.fastq.gz.1</t>
  </si>
  <si>
    <t>https://sra-pub-src-2.s3.amazonaws.com/SRR10755353/L68-N17_S9_L001_R1_001.fastq.gz.1</t>
  </si>
  <si>
    <t>https://sra-pub-src-2.s3.amazonaws.com/SRR10755353/L68-N17_S9_L001_R2_001.fastq.gz.1</t>
  </si>
  <si>
    <t>https://sra-pub-src-2.s3.amazonaws.com/SRR10755350/L69-J17_S36_L001_R1_001.fastq.gz.1</t>
  </si>
  <si>
    <t>https://sra-pub-src-2.s3.amazonaws.com/SRR10755350/L69-J17_S36_L001_R2_001.fastq.gz.1</t>
  </si>
  <si>
    <t>L69</t>
  </si>
  <si>
    <t>https://sra-pub-src-2.s3.amazonaws.com/SRR10755348/L69-J18_S84_L001_R1_001.fastq.gz.1</t>
  </si>
  <si>
    <t>https://sra-pub-src-2.s3.amazonaws.com/SRR10755348/L69-J18_S84_L001_R2_001.fastq.gz.1</t>
  </si>
  <si>
    <t>https://sra-pub-src-2.s3.amazonaws.com/SRR10755351/L69-N16_S24_L001_R1_001.fastq.gz.1</t>
  </si>
  <si>
    <t>https://sra-pub-src-2.s3.amazonaws.com/SRR10755351/L69-N16_S24_L001_R2_001.fastq.gz.1</t>
  </si>
  <si>
    <t>https://sra-pub-src-2.s3.amazonaws.com/SRR10755349/L69-N17_S12_L001_R1_001.fastq.gz.1</t>
  </si>
  <si>
    <t>https://sra-pub-src-2.s3.amazonaws.com/SRR10755349/L69-N17_S12_L001_R2_001.fastq.gz.1</t>
  </si>
  <si>
    <t>https://sra-pub-src-2.s3.amazonaws.com/SRR10755346/R19-J17_S62_L001_R1_001.fastq.gz.1</t>
  </si>
  <si>
    <t>https://sra-pub-src-2.s3.amazonaws.com/SRR10755346/R19-J17_S62_L001_R2_001.fastq.gz.1</t>
  </si>
  <si>
    <t>R8</t>
  </si>
  <si>
    <t>https://sra-pub-src-2.s3.amazonaws.com/SRR10755344/R19-J18_S86_L001_R1_001.fastq.gz.1</t>
  </si>
  <si>
    <t>https://sra-pub-src-2.s3.amazonaws.com/SRR10755344/R19-J18_S86_L001_R2_001.fastq.gz.1</t>
  </si>
  <si>
    <t>SAMN13668224</t>
  </si>
  <si>
    <t>https://sra-pub-src-2.s3.amazonaws.com/SRR10755347/R19-N16_S50_L001_R1_001.fastq.gz.1</t>
  </si>
  <si>
    <t>https://sra-pub-src-2.s3.amazonaws.com/SRR10755347/R19-N16_S50_L001_R2_001.fastq.gz.1</t>
  </si>
  <si>
    <t>https://sra-pub-src-2.s3.amazonaws.com/SRR10755345/R19-N17_S38_L001_R1_001.fastq.gz.1</t>
  </si>
  <si>
    <t>https://sra-pub-src-2.s3.amazonaws.com/SRR10755345/R19-N17_S38_L001_R2_001.fastq.gz.1</t>
  </si>
  <si>
    <t>https://sra-pub-src-2.s3.amazonaws.com/SRR10755341/R27-J17_S65_L001_R1_001.fastq.gz.1</t>
  </si>
  <si>
    <t>https://sra-pub-src-2.s3.amazonaws.com/SRR10755341/R27-J17_S65_L001_R2_001.fastq.gz.1</t>
  </si>
  <si>
    <t>R9</t>
  </si>
  <si>
    <t>https://sra-pub-src-2.s3.amazonaws.com/SRR10755339/R27-J18_S89_L001_R1_001.fastq.gz.1</t>
  </si>
  <si>
    <t>https://sra-pub-src-2.s3.amazonaws.com/SRR10755339/R27-J18_S89_L001_R2_001.fastq.gz.1</t>
  </si>
  <si>
    <t>SAMN13668228</t>
  </si>
  <si>
    <t>https://sra-pub-src-2.s3.amazonaws.com/SRR10755342/R27-N16_S53_L001_R1_001.fastq.gz.1</t>
  </si>
  <si>
    <t>https://sra-pub-src-2.s3.amazonaws.com/SRR10755342/R27-N16_S53_L001_R2_001.fastq.gz.1</t>
  </si>
  <si>
    <t>https://sra-pub-src-2.s3.amazonaws.com/SRR10755340/R27-N17_S41_L001_R1_001.fastq.gz.1</t>
  </si>
  <si>
    <t>https://sra-pub-src-2.s3.amazonaws.com/SRR10755340/R27-N17_S41_L001_R2_001.fastq.gz.1</t>
  </si>
  <si>
    <t>https://sra-pub-src-2.s3.amazonaws.com/SRR10755346/R30-J17_S63_L001_R1_001.fastq.gz.1</t>
  </si>
  <si>
    <t>https://sra-pub-src-2.s3.amazonaws.com/SRR10755346/R30-J17_S63_L001_R2_001.fastq.gz.1</t>
  </si>
  <si>
    <t>R19</t>
  </si>
  <si>
    <t>https://sra-pub-src-2.s3.amazonaws.com/SRR10755344/R30-J18_S87_L001_R1_001.fastq.gz.1</t>
  </si>
  <si>
    <t>https://sra-pub-src-2.s3.amazonaws.com/SRR10755344/R30-J18_S87_L001_R2_001.fastq.gz.1</t>
  </si>
  <si>
    <t>https://sra-pub-src-2.s3.amazonaws.com/SRR10755347/R30-N16_S51_L001_R1_001.fastq.gz.1</t>
  </si>
  <si>
    <t>https://sra-pub-src-2.s3.amazonaws.com/SRR10755347/R30-N16_S51_L001_R2_001.fastq.gz.1</t>
  </si>
  <si>
    <t>https://sra-pub-src-2.s3.amazonaws.com/SRR10755345/R30-N17_S39_L001_R1_001.fastq.gz.1</t>
  </si>
  <si>
    <t>https://sra-pub-src-2.s3.amazonaws.com/SRR10755345/R30-N17_S39_L001_R2_001.fastq.gz.1</t>
  </si>
  <si>
    <t>https://sra-pub-src-2.s3.amazonaws.com/SRR10755341/R29-J17_S66_L001_R1_001.fastq.gz.1</t>
  </si>
  <si>
    <t>https://sra-pub-src-2.s3.amazonaws.com/SRR10755341/R29-J17_S66_L001_R2_001.fastq.gz.1</t>
  </si>
  <si>
    <t>R27</t>
  </si>
  <si>
    <t>https://sra-pub-src-2.s3.amazonaws.com/SRR10755339/R29-J18_S90_L001_R1_001.fastq.gz.1</t>
  </si>
  <si>
    <t>https://sra-pub-src-2.s3.amazonaws.com/SRR10755339/R29-J18_S90_L001_R2_001.fastq.gz.1</t>
  </si>
  <si>
    <t>https://sra-pub-src-2.s3.amazonaws.com/SRR10755342/R29-N16_S54_L001_R1_001.fastq.gz.1</t>
  </si>
  <si>
    <t>https://sra-pub-src-2.s3.amazonaws.com/SRR10755342/R29-N16_S54_L001_R2_001.fastq.gz.1</t>
  </si>
  <si>
    <t>https://sra-pub-src-2.s3.amazonaws.com/SRR10755340/R29-N17_S42_L001_R1_001.fastq.gz.1</t>
  </si>
  <si>
    <t>https://sra-pub-src-2.s3.amazonaws.com/SRR10755340/R29-N17_S42_L001_R2_001.fastq.gz.1</t>
  </si>
  <si>
    <t>https://sra-pub-src-2.s3.amazonaws.com/SRR10755341/R9-J17_S64_L001_R1_001.fastq.gz.1</t>
  </si>
  <si>
    <t>https://sra-pub-src-2.s3.amazonaws.com/SRR10755341/R9-J17_S64_L001_R2_001.fastq.gz.1</t>
  </si>
  <si>
    <t>R29</t>
  </si>
  <si>
    <t>https://sra-pub-src-2.s3.amazonaws.com/SRR10755339/R9-J18_S88_L001_R1_001.fastq.gz.1</t>
  </si>
  <si>
    <t>https://sra-pub-src-2.s3.amazonaws.com/SRR10755339/R9-J18_S88_L001_R2_001.fastq.gz.1</t>
  </si>
  <si>
    <t>https://sra-pub-src-2.s3.amazonaws.com/SRR10755342/R9-N16_S52_L001_R1_001.fastq.gz.1</t>
  </si>
  <si>
    <t>https://sra-pub-src-2.s3.amazonaws.com/SRR10755342/R9-N16_S52_L001_R2_001.fastq.gz.1</t>
  </si>
  <si>
    <t>https://sra-pub-src-2.s3.amazonaws.com/SRR10755340/R9-N17_S40_L001_R1_001.fastq.gz.1</t>
  </si>
  <si>
    <t>https://sra-pub-src-2.s3.amazonaws.com/SRR10755340/R9-N17_S40_L001_R2_001.fastq.gz.1</t>
  </si>
  <si>
    <t>https://sra-pub-src-2.s3.amazonaws.com/SRR10755346/R8-J17_S61_L001_R1_001.fastq.gz.1</t>
  </si>
  <si>
    <t>https://sra-pub-src-2.s3.amazonaws.com/SRR10755346/R8-J17_S61_L001_R2_001.fastq.gz.1</t>
  </si>
  <si>
    <t>R30</t>
  </si>
  <si>
    <t>https://sra-pub-src-2.s3.amazonaws.com/SRR10755344/R8-J18_S85_L001_R1_001.fastq.gz.1</t>
  </si>
  <si>
    <t>https://sra-pub-src-2.s3.amazonaws.com/SRR10755344/R8-J18_S85_L001_R2_001.fastq.gz.1</t>
  </si>
  <si>
    <t>https://sra-pub-src-2.s3.amazonaws.com/SRR10755347/R8-N16_S49_L001_R1_001.fastq.gz.1</t>
  </si>
  <si>
    <t>https://sra-pub-src-2.s3.amazonaws.com/SRR10755347/R8-N16_S49_L001_R2_001.fastq.gz.1</t>
  </si>
  <si>
    <t>https://sra-pub-src-2.s3.amazonaws.com/SRR10755345/R8-N17_S37_L001_R1_001.fastq.gz.1</t>
  </si>
  <si>
    <t>https://sra-pub-src-2.s3.amazonaws.com/SRR10755345/R8-N17_S37_L001_R2_001.fastq.gz.1</t>
  </si>
  <si>
    <t>https://sra-pub-src-2.s3.amazonaws.com/SRR10755333/R47-J17_S70_L001_R1_001.fastq.gz.1</t>
  </si>
  <si>
    <t>https://sra-pub-src-2.s3.amazonaws.com/SRR10755333/R47-J17_S70_L001_R2_001.fastq.gz.1</t>
  </si>
  <si>
    <t>R47</t>
  </si>
  <si>
    <t>https://sra-pub-src-2.s3.amazonaws.com/SRR10755330/R47-J18_S94_L001_R1_001.fastq.gz.1</t>
  </si>
  <si>
    <t>https://sra-pub-src-2.s3.amazonaws.com/SRR10755330/R47-J18_S94_L001_R2_001.fastq.gz.1</t>
  </si>
  <si>
    <t>SAMN13668236</t>
  </si>
  <si>
    <t>https://sra-pub-src-2.s3.amazonaws.com/SRR10755334/R47-N16_S58_L001_R1_001.fastq.gz.1</t>
  </si>
  <si>
    <t>https://sra-pub-src-2.s3.amazonaws.com/SRR10755334/R47-N16_S58_L001_R2_001.fastq.gz.1</t>
  </si>
  <si>
    <t>https://sra-pub-src-2.s3.amazonaws.com/SRR10755331/R47-N17_S46_L001_R1_001.fastq.gz.1</t>
  </si>
  <si>
    <t>https://sra-pub-src-2.s3.amazonaws.com/SRR10755331/R47-N17_S46_L001_R2_001.fastq.gz.1</t>
  </si>
  <si>
    <t>https://sra-pub-src-2.s3.amazonaws.com/SRR10755337/R49-J17_S67_L001_R1_001.fastq.gz.1</t>
  </si>
  <si>
    <t>https://sra-pub-src-2.s3.amazonaws.com/SRR10755337/R49-J17_S67_L001_R2_001.fastq.gz.1</t>
  </si>
  <si>
    <t>R49</t>
  </si>
  <si>
    <t>https://sra-pub-src-2.s3.amazonaws.com/SRR10755335/R49-J18_S91_L001_R1_001.fastq.gz.1</t>
  </si>
  <si>
    <t>https://sra-pub-src-2.s3.amazonaws.com/SRR10755335/R49-J18_S91_L001_R2_001.fastq.gz.1</t>
  </si>
  <si>
    <t>SAMN13668232</t>
  </si>
  <si>
    <t>https://sra-pub-src-2.s3.amazonaws.com/SRR10755338/R49-N16_S55_L001_R1_001.fastq.gz.1</t>
  </si>
  <si>
    <t>https://sra-pub-src-2.s3.amazonaws.com/SRR10755338/R49-N16_S55_L001_R2_001.fastq.gz.1</t>
  </si>
  <si>
    <t>https://sra-pub-src-2.s3.amazonaws.com/SRR10755336/R49-N17_S43_L001_R1_001.fastq.gz.1</t>
  </si>
  <si>
    <t>https://sra-pub-src-2.s3.amazonaws.com/SRR10755336/R49-N17_S43_L001_R2_001.fastq.gz.1</t>
  </si>
  <si>
    <t>https://sra-pub-src-2.s3.amazonaws.com/SRR10755333/R60-J17_S71_L001_R1_001.fastq.gz.1</t>
  </si>
  <si>
    <t>https://sra-pub-src-2.s3.amazonaws.com/SRR10755333/R60-J17_S71_L001_R2_001.fastq.gz.1</t>
  </si>
  <si>
    <t>R60</t>
  </si>
  <si>
    <t>https://sra-pub-src-2.s3.amazonaws.com/SRR10755330/R60-J18_S95_L001_R1_001.fastq.gz.1</t>
  </si>
  <si>
    <t>https://sra-pub-src-2.s3.amazonaws.com/SRR10755330/R60-J18_S95_L001_R2_001.fastq.gz.1</t>
  </si>
  <si>
    <t>https://sra-pub-src-2.s3.amazonaws.com/SRR10755334/R60-N16_S59_L001_R1_001.fastq.gz.1</t>
  </si>
  <si>
    <t>https://sra-pub-src-2.s3.amazonaws.com/SRR10755334/R60-N16_S59_L001_R2_001.fastq.gz.1</t>
  </si>
  <si>
    <t>https://sra-pub-src-2.s3.amazonaws.com/SRR10755331/R60-N17_S47_L001_R1_001.fastq.gz.1</t>
  </si>
  <si>
    <t>https://sra-pub-src-2.s3.amazonaws.com/SRR10755331/R60-N17_S47_L001_R2_001.fastq.gz.1</t>
  </si>
  <si>
    <t>https://sra-pub-src-2.s3.amazonaws.com/SRR10755337/R66-J17_S68_L001_R1_001.fastq.gz.1</t>
  </si>
  <si>
    <t>https://sra-pub-src-2.s3.amazonaws.com/SRR10755337/R66-J17_S68_L001_R2_001.fastq.gz.1</t>
  </si>
  <si>
    <t>R66</t>
  </si>
  <si>
    <t>https://sra-pub-src-2.s3.amazonaws.com/SRR10755335/R66-J18_S92_L001_R1_001.fastq.gz.1</t>
  </si>
  <si>
    <t>https://sra-pub-src-2.s3.amazonaws.com/SRR10755335/R66-J18_S92_L001_R2_001.fastq.gz.1</t>
  </si>
  <si>
    <t>https://sra-pub-src-2.s3.amazonaws.com/SRR10755338/R66-N16_S56_L001_R1_001.fastq.gz.1</t>
  </si>
  <si>
    <t>https://sra-pub-src-2.s3.amazonaws.com/SRR10755338/R66-N16_S56_L001_R2_001.fastq.gz.1</t>
  </si>
  <si>
    <t>https://sra-pub-src-2.s3.amazonaws.com/SRR10755336/R66-N17_S44_L001_R1_001.fastq.gz.1</t>
  </si>
  <si>
    <t>https://sra-pub-src-2.s3.amazonaws.com/SRR10755336/R66-N17_S44_L001_R2_001.fastq.gz.1</t>
  </si>
  <si>
    <t>https://sra-pub-src-2.s3.amazonaws.com/SRR10755337/R68-J17_S69_L001_R1_001.fastq.gz.1</t>
  </si>
  <si>
    <t>https://sra-pub-src-2.s3.amazonaws.com/SRR10755337/R68-J17_S69_L001_R2_001.fastq.gz.1</t>
  </si>
  <si>
    <t>R68</t>
  </si>
  <si>
    <t>https://sra-pub-src-2.s3.amazonaws.com/SRR10755335/R68-J18_S93_L001_R1_001.fastq.gz.1</t>
  </si>
  <si>
    <t>https://sra-pub-src-2.s3.amazonaws.com/SRR10755335/R68-J18_S93_L001_R2_001.fastq.gz.1</t>
  </si>
  <si>
    <t>https://sra-pub-src-2.s3.amazonaws.com/SRR10755338/R68-N16_S57_L001_R1_001.fastq.gz.1</t>
  </si>
  <si>
    <t>https://sra-pub-src-2.s3.amazonaws.com/SRR10755338/R68-N16_S57_L001_R2_001.fastq.gz.1</t>
  </si>
  <si>
    <t>https://sra-pub-src-2.s3.amazonaws.com/SRR10755336/R68-N17_S45_L001_R1_001.fastq.gz.1</t>
  </si>
  <si>
    <t>https://sra-pub-src-2.s3.amazonaws.com/SRR10755336/R68-N17_S45_L001_R2_001.fastq.gz.1</t>
  </si>
  <si>
    <t>https://sra-pub-src-2.s3.amazonaws.com/SRR10755333/R69-J17_S72_L001_R1_001.fastq.gz.1</t>
  </si>
  <si>
    <t>https://sra-pub-src-2.s3.amazonaws.com/SRR10755333/R69-J17_S72_L001_R2_001.fastq.gz.1</t>
  </si>
  <si>
    <t>R69</t>
  </si>
  <si>
    <t>https://sra-pub-src-2.s3.amazonaws.com/SRR10755330/R69-J18_S96_L001_R1_001.fastq.gz.1</t>
  </si>
  <si>
    <t>https://sra-pub-src-2.s3.amazonaws.com/SRR10755330/R69-J18_S96_L001_R2_001.fastq.gz.1</t>
  </si>
  <si>
    <t>https://sra-pub-src-2.s3.amazonaws.com/SRR10755334/R69-N16_S60_L001_R1_001.fastq.gz.1</t>
  </si>
  <si>
    <t>https://sra-pub-src-2.s3.amazonaws.com/SRR10755334/R69-N16_S60_L001_R2_001.fastq.gz.1</t>
  </si>
  <si>
    <t>https://sra-pub-src-2.s3.amazonaws.com/SRR10755331/R69-N17_S48_L001_R1_001.fastq.gz.1</t>
  </si>
  <si>
    <t>https://sra-pub-src-2.s3.amazonaws.com/SRR10755331/R69-N17_S48_L001_R2_001.fastq.gz.1</t>
  </si>
  <si>
    <t>https://sra-pub-src-2.s3.amazonaws.com/SRR10755328/S21-J17_S38_L001_R1_001.fastq.gz.1</t>
  </si>
  <si>
    <t>https://sra-pub-src-2.s3.amazonaws.com/SRR10755328/S21-J17_S38_L001_R2_001.fastq.gz.1</t>
  </si>
  <si>
    <t>https://sra-pub-src-2.s3.amazonaws.com/SRR10755326/S21-J18_S86_L001_R1_001.fastq.gz.1</t>
  </si>
  <si>
    <t>https://sra-pub-src-2.s3.amazonaws.com/SRR10755326/S21-J18_S86_L001_R2_001.fastq.gz.1</t>
  </si>
  <si>
    <t>https://sra-pub-src-2.s3.amazonaws.com/SRR10755329/S21-N16_S14_L001_R1_001.fastq.gz.1</t>
  </si>
  <si>
    <t>https://sra-pub-src-2.s3.amazonaws.com/SRR10755329/S21-N16_S14_L001_R2_001.fastq.gz.1</t>
  </si>
  <si>
    <t>https://sra-pub-src-2.s3.amazonaws.com/SRR10755327/S21-N17_S62_L001_R1_001.fastq.gz.1</t>
  </si>
  <si>
    <t>https://sra-pub-src-2.s3.amazonaws.com/SRR10755327/S21-N17_S62_L001_R2_001.fastq.gz.1</t>
  </si>
  <si>
    <t>https://sra-pub-src-2.s3.amazonaws.com/SRR10755324/S22-J17_S41_L001_R1_001.fastq.gz.1</t>
  </si>
  <si>
    <t>https://sra-pub-src-2.s3.amazonaws.com/SRR10755324/S22-J17_S41_L001_R2_001.fastq.gz.1</t>
  </si>
  <si>
    <t>https://sra-pub-src-2.s3.amazonaws.com/SRR10755322/S22-J18_S89_L001_R1_001.fastq.gz.1</t>
  </si>
  <si>
    <t>https://sra-pub-src-2.s3.amazonaws.com/SRR10755322/S22-J18_S89_L001_R2_001.fastq.gz.1</t>
  </si>
  <si>
    <t>https://sra-pub-src-2.s3.amazonaws.com/SRR10755325/S22-N16_S17_L001_R1_001.fastq.gz.1</t>
  </si>
  <si>
    <t>https://sra-pub-src-2.s3.amazonaws.com/SRR10755325/S22-N16_S17_L001_R2_001.fastq.gz.1</t>
  </si>
  <si>
    <t>https://sra-pub-src-2.s3.amazonaws.com/SRR10755323/S22-N17_S65_L001_R1_001.fastq.gz.1</t>
  </si>
  <si>
    <t>https://sra-pub-src-2.s3.amazonaws.com/SRR10755323/S22-N17_S65_L001_R2_001.fastq.gz.1</t>
  </si>
  <si>
    <t>https://sra-pub-src-2.s3.amazonaws.com/SRR10755311/S19-J17_S50_L001_R1_001.fastq.gz.1</t>
  </si>
  <si>
    <t>https://sra-pub-src-2.s3.amazonaws.com/SRR10755311/S19-J17_S50_L001_R2_001.fastq.gz.1</t>
  </si>
  <si>
    <t>https://sra-pub-src-2.s3.amazonaws.com/SRR10755308/S19-J18_S2_L001_R1_001.fastq.gz.1</t>
  </si>
  <si>
    <t>https://sra-pub-src-2.s3.amazonaws.com/SRR10755308/S19-J18_S2_L001_R2_001.fastq.gz.1</t>
  </si>
  <si>
    <t>https://sra-pub-src-2.s3.amazonaws.com/SRR10755312/S19-N16_S26_L001_R1_001.fastq.gz.1</t>
  </si>
  <si>
    <t>https://sra-pub-src-2.s3.amazonaws.com/SRR10755312/S19-N16_S26_L001_R2_001.fastq.gz.1</t>
  </si>
  <si>
    <t>https://sra-pub-src-2.s3.amazonaws.com/SRR10755309/S19-N17_S74_L001_R1_001.fastq.gz.1</t>
  </si>
  <si>
    <t>https://sra-pub-src-2.s3.amazonaws.com/SRR10755309/S19-N17_S74_L001_R2_001.fastq.gz.1</t>
  </si>
  <si>
    <t>https://sra-pub-src-2.s3.amazonaws.com/SRR10755306/S27-J17_S53_L001_R1_001.fastq.gz.1</t>
  </si>
  <si>
    <t>https://sra-pub-src-2.s3.amazonaws.com/SRR10755306/S27-J17_S53_L001_R2_001.fastq.gz.1</t>
  </si>
  <si>
    <t>https://sra-pub-src-2.s3.amazonaws.com/SRR10755304/S27-J18_S5_L001_R1_001.fastq.gz.1</t>
  </si>
  <si>
    <t>https://sra-pub-src-2.s3.amazonaws.com/SRR10755304/S27-J18_S5_L001_R2_001.fastq.gz.1</t>
  </si>
  <si>
    <t>https://sra-pub-src-2.s3.amazonaws.com/SRR10755307/S9-N16_S28_L001_R1_001.fastq.gz.1</t>
  </si>
  <si>
    <t>https://sra-pub-src-2.s3.amazonaws.com/SRR10755307/S9-N16_S28_L001_R2_001.fastq.gz.1</t>
  </si>
  <si>
    <t>https://sra-pub-src-2.s3.amazonaws.com/SRR10755305/S27-N17_S77_L001_R1_001.fastq.gz.1</t>
  </si>
  <si>
    <t>https://sra-pub-src-2.s3.amazonaws.com/SRR10755305/S27-N17_S77_L001_R2_001.fastq.gz.1</t>
  </si>
  <si>
    <t>https://sra-pub-src-2.s3.amazonaws.com/SRR10755315/S42-J17_S46_L001_R1_001.fastq.gz.1</t>
  </si>
  <si>
    <t>https://sra-pub-src-2.s3.amazonaws.com/SRR10755315/S42-J17_S46_L001_R2_001.fastq.gz.1</t>
  </si>
  <si>
    <t>https://sra-pub-src-2.s3.amazonaws.com/SRR10755313/S42-J18_S94_L001_R1_001.fastq.gz.1</t>
  </si>
  <si>
    <t>https://sra-pub-src-2.s3.amazonaws.com/SRR10755313/S42-J18_S94_L001_R2_001.fastq.gz.1</t>
  </si>
  <si>
    <t>https://sra-pub-src-2.s3.amazonaws.com/SRR10755316/S42-N16_S22_L001_R1_001.fastq.gz.1</t>
  </si>
  <si>
    <t>https://sra-pub-src-2.s3.amazonaws.com/SRR10755316/S42-N16_S22_L001_R2_001.fastq.gz.1</t>
  </si>
  <si>
    <t>https://sra-pub-src-2.s3.amazonaws.com/SRR10755314/S42-N17_S70_L001_R1_001.fastq.gz.1</t>
  </si>
  <si>
    <t>https://sra-pub-src-2.s3.amazonaws.com/SRR10755314/S42-N17_S70_L001_R2_001.fastq.gz.1</t>
  </si>
  <si>
    <t>https://sra-pub-src-2.s3.amazonaws.com/SRR10755319/S44-J17_S43_L001_R1_001.fastq.gz.1</t>
  </si>
  <si>
    <t>https://sra-pub-src-2.s3.amazonaws.com/SRR10755319/S44-J17_S43_L001_R2_001.fastq.gz.1</t>
  </si>
  <si>
    <t>https://sra-pub-src-2.s3.amazonaws.com/SRR10755317/S44-J18_S91_L001_R1_001.fastq.gz.1</t>
  </si>
  <si>
    <t>https://sra-pub-src-2.s3.amazonaws.com/SRR10755317/S44-J18_S91_L001_R2_001.fastq.gz.1</t>
  </si>
  <si>
    <t>https://sra-pub-src-2.s3.amazonaws.com/SRR10755320/S44-N16_S19_L001_R1_001.fastq.gz.1</t>
  </si>
  <si>
    <t>https://sra-pub-src-2.s3.amazonaws.com/SRR10755320/S44-N16_S19_L001_R2_001.fastq.gz.1</t>
  </si>
  <si>
    <t>https://sra-pub-src-2.s3.amazonaws.com/SRR10755318/S44-N17_S67_L001_R1_001.fastq.gz.1</t>
  </si>
  <si>
    <t>https://sra-pub-src-2.s3.amazonaws.com/SRR10755318/S44-N17_S67_L001_R2_001.fastq.gz.1</t>
  </si>
  <si>
    <t>https://sra-pub-src-2.s3.amazonaws.com/SRR10755297/S47-J17_S58_L001_R1_001.fastq.gz.1</t>
  </si>
  <si>
    <t>https://sra-pub-src-2.s3.amazonaws.com/SRR10755297/S47-J17_S58_L001_R2_001.fastq.gz.1</t>
  </si>
  <si>
    <t>https://sra-pub-src-2.s3.amazonaws.com/SRR10755295/S47-J18_S10_L001_R1_001.fastq.gz.1</t>
  </si>
  <si>
    <t>https://sra-pub-src-2.s3.amazonaws.com/SRR10755295/S47-J18_S10_L001_R2_001.fastq.gz.1</t>
  </si>
  <si>
    <t>https://sra-pub-src-2.s3.amazonaws.com/SRR10755298/S47-N16_S34_L001_R1_001.fastq.gz.1</t>
  </si>
  <si>
    <t>https://sra-pub-src-2.s3.amazonaws.com/SRR10755298/S47-N16_S34_L001_R2_001.fastq.gz.1</t>
  </si>
  <si>
    <t>https://sra-pub-src-2.s3.amazonaws.com/SRR10755296/S47-N17_S82_L001_R1_001.fastq.gz.1</t>
  </si>
  <si>
    <t>https://sra-pub-src-2.s3.amazonaws.com/SRR10755296/S47-N17_S82_L001_R2_001.fastq.gz.1</t>
  </si>
  <si>
    <t>https://sra-pub-src-2.s3.amazonaws.com/SRR10755302/S49-J17_S55_L001_R1_001.fastq.gz.1</t>
  </si>
  <si>
    <t>https://sra-pub-src-2.s3.amazonaws.com/SRR10755302/S49-J17_S55_L001_R2_001.fastq.gz.1</t>
  </si>
  <si>
    <t>https://sra-pub-src-2.s3.amazonaws.com/SRR10755300/S49-J18_S7_L001_R1_001.fastq.gz.1</t>
  </si>
  <si>
    <t>https://sra-pub-src-2.s3.amazonaws.com/SRR10755300/S49-J18_S7_L001_R2_001.fastq.gz.1</t>
  </si>
  <si>
    <t>https://sra-pub-src-2.s3.amazonaws.com/SRR10755303/S49-N16_S31_L001_R1_001.fastq.gz.1</t>
  </si>
  <si>
    <t>https://sra-pub-src-2.s3.amazonaws.com/SRR10755303/S49-N16_S31_L001_R2_001.fastq.gz.1</t>
  </si>
  <si>
    <t>https://sra-pub-src-2.s3.amazonaws.com/SRR10755301/S49-N17_S79_L001_R1_001.fastq.gz.1</t>
  </si>
  <si>
    <t>https://sra-pub-src-2.s3.amazonaws.com/SRR10755301/S49-N17_S79_L001_R2_001.fastq.gz.1</t>
  </si>
  <si>
    <t>https://sra-pub-src-2.s3.amazonaws.com/SRR10755311/S30-J17_S51_L001_R1_001.fastq.gz.1</t>
  </si>
  <si>
    <t>https://sra-pub-src-2.s3.amazonaws.com/SRR10755311/S30-J17_S51_L001_R2_001.fastq.gz.1</t>
  </si>
  <si>
    <t>https://sra-pub-src-2.s3.amazonaws.com/SRR10755308/S30-J18_S3_L001_R1_001.fastq.gz.1</t>
  </si>
  <si>
    <t>https://sra-pub-src-2.s3.amazonaws.com/SRR10755308/S30-J18_S3_L001_R2_001.fastq.gz.1</t>
  </si>
  <si>
    <t>https://sra-pub-src-2.s3.amazonaws.com/SRR10755312/S30-N16_S27_L001_R1_001.fastq.gz.1</t>
  </si>
  <si>
    <t>https://sra-pub-src-2.s3.amazonaws.com/SRR10755312/S30-N16_S27_L001_R2_001.fastq.gz.1</t>
  </si>
  <si>
    <t>https://sra-pub-src-2.s3.amazonaws.com/SRR10755309/S30-N17_S75_L001_R1_001.fastq.gz.1</t>
  </si>
  <si>
    <t>https://sra-pub-src-2.s3.amazonaws.com/SRR10755309/S30-N17_S75_L001_R2_001.fastq.gz.1</t>
  </si>
  <si>
    <t>https://sra-pub-src-2.s3.amazonaws.com/SRR10755328/S3-J17_S37_L001_R1_001.fastq.gz.1</t>
  </si>
  <si>
    <t>https://sra-pub-src-2.s3.amazonaws.com/SRR10755328/S3-J17_S37_L001_R2_001.fastq.gz.1</t>
  </si>
  <si>
    <t>https://sra-pub-src-2.s3.amazonaws.com/SRR10755326/S3-J18_S85_L001_R1_001.fastq.gz.1</t>
  </si>
  <si>
    <t>https://sra-pub-src-2.s3.amazonaws.com/SRR10755326/S3-J18_S85_L001_R2_001.fastq.gz.1</t>
  </si>
  <si>
    <t>https://sra-pub-src-2.s3.amazonaws.com/SRR10755329/S3-N16_S13_L001_R1_001.fastq.gz.1</t>
  </si>
  <si>
    <t>https://sra-pub-src-2.s3.amazonaws.com/SRR10755329/S3-N16_S13_L001_R2_001.fastq.gz.1</t>
  </si>
  <si>
    <t>https://sra-pub-src-2.s3.amazonaws.com/SRR10755327/S3-N17_S61_L001_R1_001.fastq.gz.1</t>
  </si>
  <si>
    <t>https://sra-pub-src-2.s3.amazonaws.com/SRR10755327/S3-N17_S61_L001_R2_001.fastq.gz.1</t>
  </si>
  <si>
    <t>https://sra-pub-src-2.s3.amazonaws.com/SRR10755324/S23-J17_S42_L001_R1_001.fastq.gz.1</t>
  </si>
  <si>
    <t>https://sra-pub-src-2.s3.amazonaws.com/SRR10755324/S23-J17_S42_L001_R2_001.fastq.gz.1</t>
  </si>
  <si>
    <t>https://sra-pub-src-2.s3.amazonaws.com/SRR10755322/S23-J18_S90_L001_R1_001.fastq.gz.1</t>
  </si>
  <si>
    <t>https://sra-pub-src-2.s3.amazonaws.com/SRR10755322/S23-J18_S90_L001_R2_001.fastq.gz.1</t>
  </si>
  <si>
    <t>https://sra-pub-src-2.s3.amazonaws.com/SRR10755325/S23-N16_S18_L001_R1_001.fastq.gz.1</t>
  </si>
  <si>
    <t>https://sra-pub-src-2.s3.amazonaws.com/SRR10755325/S23-N16_S18_L001_R2_001.fastq.gz.1</t>
  </si>
  <si>
    <t>https://sra-pub-src-2.s3.amazonaws.com/SRR10755323/S23-N17_S66_L001_R1_001.fastq.gz.1</t>
  </si>
  <si>
    <t>https://sra-pub-src-2.s3.amazonaws.com/SRR10755323/S23-N17_S66_L001_R2_001.fastq.gz.1</t>
  </si>
  <si>
    <t>https://sra-pub-src-2.s3.amazonaws.com/SRR10755324/S4-J17_S40_L001_R1_001.fastq.gz.1</t>
  </si>
  <si>
    <t>https://sra-pub-src-2.s3.amazonaws.com/SRR10755324/S4-J17_S40_L001_R2_001.fastq.gz.1</t>
  </si>
  <si>
    <t>https://sra-pub-src-2.s3.amazonaws.com/SRR10755322/S4-J18_S88_L001_R1_001.fastq.gz.1</t>
  </si>
  <si>
    <t>https://sra-pub-src-2.s3.amazonaws.com/SRR10755322/S4-J18_S88_L001_R2_001.fastq.gz.1</t>
  </si>
  <si>
    <t>https://sra-pub-src-2.s3.amazonaws.com/SRR10755325/S4-N16_S16_L001_R1_001.fastq.gz.1</t>
  </si>
  <si>
    <t>https://sra-pub-src-2.s3.amazonaws.com/SRR10755325/S4-N16_S16_L001_R2_001.fastq.gz.1</t>
  </si>
  <si>
    <t>https://sra-pub-src-2.s3.amazonaws.com/SRR10755323/S4-N17_S64_L001_R1_001.fastq.gz.1</t>
  </si>
  <si>
    <t>https://sra-pub-src-2.s3.amazonaws.com/SRR10755323/S4-N17_S64_L001_R2_001.fastq.gz.1</t>
  </si>
  <si>
    <t>https://sra-pub-src-2.s3.amazonaws.com/SRR10755306/S29-J17_S54_L001_R1_001.fastq.gz.1</t>
  </si>
  <si>
    <t>https://sra-pub-src-2.s3.amazonaws.com/SRR10755306/S29-J17_S54_L001_R2_001.fastq.gz.1</t>
  </si>
  <si>
    <t>https://sra-pub-src-2.s3.amazonaws.com/SRR10755304/S29-J18_S6_L001_R1_001.fastq.gz.1</t>
  </si>
  <si>
    <t>https://sra-pub-src-2.s3.amazonaws.com/SRR10755304/S29-J18_S6_L001_R2_001.fastq.gz.1</t>
  </si>
  <si>
    <t>https://sra-pub-src-2.s3.amazonaws.com/SRR10755307/S29-N16_S30_L001_R1_001.fastq.gz.1</t>
  </si>
  <si>
    <t>https://sra-pub-src-2.s3.amazonaws.com/SRR10755307/S29-N16_S30_L001_R2_001.fastq.gz.1</t>
  </si>
  <si>
    <t>https://sra-pub-src-2.s3.amazonaws.com/SRR10755305/S29-N17_S78_L001_R1_001.fastq.gz.1</t>
  </si>
  <si>
    <t>https://sra-pub-src-2.s3.amazonaws.com/SRR10755305/S29-N17_S78_L001_R2_001.fastq.gz.1</t>
  </si>
  <si>
    <t>https://sra-pub-src-2.s3.amazonaws.com/SRR10755306/S9-J17_S52_L001_R1_001.fastq.gz.1</t>
  </si>
  <si>
    <t>https://sra-pub-src-2.s3.amazonaws.com/SRR10755306/S9-J17_S52_L001_R2_001.fastq.gz.1</t>
  </si>
  <si>
    <t>https://sra-pub-src-2.s3.amazonaws.com/SRR10755304/S9-J18_S4_L001_R1_001.fastq.gz.1</t>
  </si>
  <si>
    <t>https://sra-pub-src-2.s3.amazonaws.com/SRR10755304/S9-J18_S4_L001_R2_001.fastq.gz.1</t>
  </si>
  <si>
    <t>https://sra-pub-src-2.s3.amazonaws.com/SRR10755307/S27-N16_S29_L001_R1_001.fastq.gz.1</t>
  </si>
  <si>
    <t>https://sra-pub-src-2.s3.amazonaws.com/SRR10755307/S27-N16_S29_L001_R2_001.fastq.gz.1</t>
  </si>
  <si>
    <t>https://sra-pub-src-2.s3.amazonaws.com/SRR10755305/S9-N17_S76_L001_R1_001.fastq.gz.1</t>
  </si>
  <si>
    <t>https://sra-pub-src-2.s3.amazonaws.com/SRR10755305/S9-N17_S76_L001_R2_001.fastq.gz.1</t>
  </si>
  <si>
    <t>https://sra-pub-src-2.s3.amazonaws.com/SRR10755311/S8-J17_S49_L001_R1_001.fastq.gz.1</t>
  </si>
  <si>
    <t>https://sra-pub-src-2.s3.amazonaws.com/SRR10755311/S8-J17_S49_L001_R2_001.fastq.gz.1</t>
  </si>
  <si>
    <t>https://sra-pub-src-2.s3.amazonaws.com/SRR10755308/S8-J18_S1_L001_R1_001.fastq.gz.1</t>
  </si>
  <si>
    <t>https://sra-pub-src-2.s3.amazonaws.com/SRR10755308/S8-J18_S1_L001_R2_001.fastq.gz.1</t>
  </si>
  <si>
    <t>https://sra-pub-src-2.s3.amazonaws.com/SRR10755312/S8-N16_S25_L001_R1_001.fastq.gz.1</t>
  </si>
  <si>
    <t>https://sra-pub-src-2.s3.amazonaws.com/SRR10755312/S8-N16_S25_L001_R2_001.fastq.gz.1</t>
  </si>
  <si>
    <t>https://sra-pub-src-2.s3.amazonaws.com/SRR10755309/S8-N17_S73_L001_R1_001.fastq.gz.1</t>
  </si>
  <si>
    <t>https://sra-pub-src-2.s3.amazonaws.com/SRR10755309/S8-N17_S73_L001_R2_001.fastq.gz.1</t>
  </si>
  <si>
    <t>https://sra-pub-src-2.s3.amazonaws.com/SRR10755328/S31-J17_S39_L001_R1_001.fastq.gz.1</t>
  </si>
  <si>
    <t>https://sra-pub-src-2.s3.amazonaws.com/SRR10755328/S31-J17_S39_L001_R2_001.fastq.gz.1</t>
  </si>
  <si>
    <t>https://sra-pub-src-2.s3.amazonaws.com/SRR10755326/S31-J18_S87_L001_R1_001.fastq.gz.1</t>
  </si>
  <si>
    <t>https://sra-pub-src-2.s3.amazonaws.com/SRR10755326/S31-J18_S87_L001_R2_001.fastq.gz.1</t>
  </si>
  <si>
    <t>https://sra-pub-src-2.s3.amazonaws.com/SRR10755329/S31-N16_S15_L001_R1_001.fastq.gz.1</t>
  </si>
  <si>
    <t>https://sra-pub-src-2.s3.amazonaws.com/SRR10755329/S31-N16_S15_L001_R2_001.fastq.gz.1</t>
  </si>
  <si>
    <t>https://sra-pub-src-2.s3.amazonaws.com/SRR10755327/S31-N17_S63_L001_R1_001.fastq.gz.1</t>
  </si>
  <si>
    <t>https://sra-pub-src-2.s3.amazonaws.com/SRR10755327/S31-N17_S63_L001_R2_001.fastq.gz.1</t>
  </si>
  <si>
    <t>https://sra-pub-src-2.s3.amazonaws.com/SRR10755297/S60-J17_S59_L001_R1_001.fastq.gz.1</t>
  </si>
  <si>
    <t>https://sra-pub-src-2.s3.amazonaws.com/SRR10755297/S60-J17_S59_L001_R2_001.fastq.gz.1</t>
  </si>
  <si>
    <t>https://sra-pub-src-2.s3.amazonaws.com/SRR10755295/S60-J18_S11_L001_R1_001.fastq.gz.1</t>
  </si>
  <si>
    <t>https://sra-pub-src-2.s3.amazonaws.com/SRR10755295/S60-J18_S11_L001_R2_001.fastq.gz.1</t>
  </si>
  <si>
    <t>https://sra-pub-src-2.s3.amazonaws.com/SRR10755298/S60-N16_S35_L001_R1_001.fastq.gz.1</t>
  </si>
  <si>
    <t>https://sra-pub-src-2.s3.amazonaws.com/SRR10755298/S60-N16_S35_L001_R2_001.fastq.gz.1</t>
  </si>
  <si>
    <t>https://sra-pub-src-2.s3.amazonaws.com/SRR10755296/S60-N17_S83_L001_R1_001.fastq.gz.1</t>
  </si>
  <si>
    <t>https://sra-pub-src-2.s3.amazonaws.com/SRR10755296/S60-N17_S83_L001_R2_001.fastq.gz.1</t>
  </si>
  <si>
    <t>https://sra-pub-src-2.s3.amazonaws.com/SRR10755315/S61-J17_S47_L001_R1_001.fastq.gz.1</t>
  </si>
  <si>
    <t>https://sra-pub-src-2.s3.amazonaws.com/SRR10755315/S61-J17_S47_L001_R2_001.fastq.gz.1</t>
  </si>
  <si>
    <t>https://sra-pub-src-2.s3.amazonaws.com/SRR10755313/S61-J18_S95_L001_R1_001.fastq.gz.1</t>
  </si>
  <si>
    <t>https://sra-pub-src-2.s3.amazonaws.com/SRR10755313/S61-J18_S95_L001_R2_001.fastq.gz.1</t>
  </si>
  <si>
    <t>https://sra-pub-src-2.s3.amazonaws.com/SRR10755316/S61-N16_S23_L001_R1_001.fastq.gz.1</t>
  </si>
  <si>
    <t>https://sra-pub-src-2.s3.amazonaws.com/SRR10755316/S61-N16_S23_L001_R2_001.fastq.gz.1</t>
  </si>
  <si>
    <t>https://sra-pub-src-2.s3.amazonaws.com/SRR10755314/S61-N17_S71_L001_R1_001.fastq.gz.1</t>
  </si>
  <si>
    <t>https://sra-pub-src-2.s3.amazonaws.com/SRR10755314/S61-N17_S71_L001_R2_001.fastq.gz.1</t>
  </si>
  <si>
    <t>https://sra-pub-src-2.s3.amazonaws.com/SRR10755319/S62-J17_S44_L001_R1_001.fastq.gz.1</t>
  </si>
  <si>
    <t>https://sra-pub-src-2.s3.amazonaws.com/SRR10755319/S62-J17_S44_L001_R2_001.fastq.gz.1</t>
  </si>
  <si>
    <t>https://sra-pub-src-2.s3.amazonaws.com/SRR10755317/S62-J18_S92_L001_R1_001.fastq.gz.1</t>
  </si>
  <si>
    <t>https://sra-pub-src-2.s3.amazonaws.com/SRR10755317/S62-J18_S92_L001_R2_001.fastq.gz.1</t>
  </si>
  <si>
    <t>https://sra-pub-src-2.s3.amazonaws.com/SRR10755320/S62-N16_S20_L001_R1_001.fastq.gz.1</t>
  </si>
  <si>
    <t>https://sra-pub-src-2.s3.amazonaws.com/SRR10755320/S62-N16_S20_L001_R2_001.fastq.gz.1</t>
  </si>
  <si>
    <t>https://sra-pub-src-2.s3.amazonaws.com/SRR10755318/S62-N17_S68_L001_R1_001.fastq.gz.1</t>
  </si>
  <si>
    <t>https://sra-pub-src-2.s3.amazonaws.com/SRR10755318/S62-N17_S68_L001_R2_001.fastq.gz.1</t>
  </si>
  <si>
    <t>https://sra-pub-src-2.s3.amazonaws.com/SRR10755315/S63-J17_S48_L001_R1_001.fastq.gz.1</t>
  </si>
  <si>
    <t>https://sra-pub-src-2.s3.amazonaws.com/SRR10755315/S63-J17_S48_L001_R2_001.fastq.gz.1</t>
  </si>
  <si>
    <t>https://sra-pub-src-2.s3.amazonaws.com/SRR10755313/S63-J18_S96_L001_R1_001.fastq.gz.1</t>
  </si>
  <si>
    <t>https://sra-pub-src-2.s3.amazonaws.com/SRR10755313/S63-J18_S96_L001_R2_001.fastq.gz.1</t>
  </si>
  <si>
    <t>https://sra-pub-src-2.s3.amazonaws.com/SRR10755316/S63-N16_S24_L001_R1_001.fastq.gz.1</t>
  </si>
  <si>
    <t>https://sra-pub-src-2.s3.amazonaws.com/SRR10755316/S63-N16_S24_L001_R2_001.fastq.gz.1</t>
  </si>
  <si>
    <t>https://sra-pub-src-2.s3.amazonaws.com/SRR10755314/S63-N17_S72_L001_R1_001.fastq.gz.1</t>
  </si>
  <si>
    <t>https://sra-pub-src-2.s3.amazonaws.com/SRR10755314/S63-N17_S72_L001_R2_001.fastq.gz.1</t>
  </si>
  <si>
    <t>https://sra-pub-src-2.s3.amazonaws.com/SRR10755319/S65-J17_S45_L001_R1_001.fastq.gz.1</t>
  </si>
  <si>
    <t>https://sra-pub-src-2.s3.amazonaws.com/SRR10755319/S65-J17_S45_L001_R2_001.fastq.gz.1</t>
  </si>
  <si>
    <t>https://sra-pub-src-2.s3.amazonaws.com/SRR10755317/S65-J18_S93_L001_R1_001.fastq.gz.1</t>
  </si>
  <si>
    <t>https://sra-pub-src-2.s3.amazonaws.com/SRR10755317/S65-J18_S93_L001_R2_001.fastq.gz.1</t>
  </si>
  <si>
    <t>https://sra-pub-src-2.s3.amazonaws.com/SRR10755320/S65-N16_S21_L001_R1_001.fastq.gz.1</t>
  </si>
  <si>
    <t>https://sra-pub-src-2.s3.amazonaws.com/SRR10755320/S65-N16_S21_L001_R2_001.fastq.gz.1</t>
  </si>
  <si>
    <t>https://sra-pub-src-2.s3.amazonaws.com/SRR10755318/S65-N17_S69_L001_R1_001.fastq.gz.1</t>
  </si>
  <si>
    <t>https://sra-pub-src-2.s3.amazonaws.com/SRR10755318/S65-N17_S69_L001_R2_001.fastq.gz.1</t>
  </si>
  <si>
    <t>https://sra-pub-src-2.s3.amazonaws.com/SRR10755302/S66-J17_S56_L001_R1_001.fastq.gz.1</t>
  </si>
  <si>
    <t>https://sra-pub-src-2.s3.amazonaws.com/SRR10755302/S66-J17_S56_L001_R2_001.fastq.gz.1</t>
  </si>
  <si>
    <t>https://sra-pub-src-2.s3.amazonaws.com/SRR10755300/S66-J18_S8_L001_R1_001.fastq.gz.1</t>
  </si>
  <si>
    <t>https://sra-pub-src-2.s3.amazonaws.com/SRR10755300/S66-J18_S8_L001_R2_001.fastq.gz.1</t>
  </si>
  <si>
    <t>https://sra-pub-src-2.s3.amazonaws.com/SRR10755303/S66-N16_S32_L001_R1_001.fastq.gz.1</t>
  </si>
  <si>
    <t>https://sra-pub-src-2.s3.amazonaws.com/SRR10755303/S66-N16_S32_L001_R2_001.fastq.gz.1</t>
  </si>
  <si>
    <t>https://sra-pub-src-2.s3.amazonaws.com/SRR10755301/S66-N17_S80_L001_R1_001.fastq.gz.1</t>
  </si>
  <si>
    <t>https://sra-pub-src-2.s3.amazonaws.com/SRR10755301/S66-N17_S80_L001_R2_001.fastq.gz.1</t>
  </si>
  <si>
    <t>https://sra-pub-src-2.s3.amazonaws.com/SRR10755302/S68-J17_S57_L001_R1_001.fastq.gz.1</t>
  </si>
  <si>
    <t>https://sra-pub-src-2.s3.amazonaws.com/SRR10755302/S68-J17_S57_L001_R2_001.fastq.gz.1</t>
  </si>
  <si>
    <t>https://sra-pub-src-2.s3.amazonaws.com/SRR10755300/S68-J18_S9_L001_R1_001.fastq.gz.1</t>
  </si>
  <si>
    <t>https://sra-pub-src-2.s3.amazonaws.com/SRR10755300/S68-J18_S9_L001_R2_001.fastq.gz.1</t>
  </si>
  <si>
    <t>https://sra-pub-src-2.s3.amazonaws.com/SRR10755303/S68-N16_S33_L001_R1_001.fastq.gz.1</t>
  </si>
  <si>
    <t>https://sra-pub-src-2.s3.amazonaws.com/SRR10755303/S68-N16_S33_L001_R2_001.fastq.gz.1</t>
  </si>
  <si>
    <t>https://sra-pub-src-2.s3.amazonaws.com/SRR10755301/S68-N17_S81_L001_R1_001.fastq.gz.1</t>
  </si>
  <si>
    <t>https://sra-pub-src-2.s3.amazonaws.com/SRR10755301/S68-N17_S81_L001_R2_001.fastq.gz.1</t>
  </si>
  <si>
    <t>https://sra-pub-src-2.s3.amazonaws.com/SRR10755297/S69-J17_S60_L001_R1_001.fastq.gz.1</t>
  </si>
  <si>
    <t>https://sra-pub-src-2.s3.amazonaws.com/SRR10755297/S69-J17_S60_L001_R2_001.fastq.gz.1</t>
  </si>
  <si>
    <t>https://sra-pub-src-2.s3.amazonaws.com/SRR10755295/S69-J18_S12_L001_R1_001.fastq.gz.1</t>
  </si>
  <si>
    <t>https://sra-pub-src-2.s3.amazonaws.com/SRR10755295/S69-J18_S12_L001_R2_001.fastq.gz.1</t>
  </si>
  <si>
    <t>https://sra-pub-src-2.s3.amazonaws.com/SRR10755298/S69-N16_S36_L001_R1_001.fastq.gz.1</t>
  </si>
  <si>
    <t>https://sra-pub-src-2.s3.amazonaws.com/SRR10755298/S69-N16_S36_L001_R2_001.fastq.gz.1</t>
  </si>
  <si>
    <t>https://sra-pub-src-2.s3.amazonaws.com/SRR10755296/S69-N17_S84_L001_R1_001.fastq.gz.1</t>
  </si>
  <si>
    <t>https://sra-pub-src-2.s3.amazonaws.com/SRR10755296/S69-N17_S84_L001_R2_001.fastq.gz.1</t>
  </si>
  <si>
    <t>GeoChip Results</t>
  </si>
  <si>
    <t>https://sra-pub-src-1.s3.amazonaws.com/SRR10870024/S5_S09_N17_S137_L001_R1_001.fastq.gz.1</t>
  </si>
  <si>
    <t>https://sra-pub-src-1.s3.amazonaws.com/SRR10870218/S5_S47_N16_S175_L001_R1_001.fastq.gz.1</t>
  </si>
  <si>
    <t>https://sra-pub-src-1.s3.amazonaws.com/SRR10870035/S5_S61_J17_S229_L001_R1_001.fastq.gz.1</t>
  </si>
  <si>
    <t>https://sra-pub-src-1.s3.amazonaws.com/SRR10870071/S5_R30_N17_S98_L001_R1_001.fastq.gz.1</t>
  </si>
  <si>
    <t>https://sra-pub-src-1.s3.amazonaws.com/SRR10870204/S5_S27_N17_S157_L001_R1_001.fastq.gz.1</t>
  </si>
  <si>
    <t>https://sra-pub-src-1.s3.amazonaws.com/SRR10870172/S5_S44_J18_S236_L001_R1_001.fastq.gz.1</t>
  </si>
  <si>
    <t>https://sra-pub-src-1.s3.amazonaws.com/SRR10870196/S5_S49_N17_S180_L001_R1_001.fastq.gz.1</t>
  </si>
  <si>
    <t>https://sra-pub-src-1.s3.amazonaws.com/SRR10870089/S5_R09_J17_S77_L001_R1_001.fastq.gz.1</t>
  </si>
  <si>
    <t>https://sra-pub-src-1.s3.amazonaws.com/SRR10870119/S5_L08_J18_S24_L001_R1_001.fastq.gz.1</t>
  </si>
  <si>
    <t>https://sra-pub-src-1.s3.amazonaws.com/SRR10870052/S5_R69_J18_S119_L001_R1_001.fastq.gz.1</t>
  </si>
  <si>
    <t>https://sra-pub-src-1.s3.amazonaws.com/SRR10870236/S5_L1_PE_S31_L001_R1_001.fastq.gz.1</t>
  </si>
  <si>
    <t>https://sra-pub-src-1.s3.amazonaws.com/SRR10870158/S5_020317_O_S7_L001_R1_001.fastq.gz.1</t>
  </si>
  <si>
    <t>https://sra-pub-src-1.s3.amazonaws.com/SRR10870192/S5_S63_N17_S193_L001_R1_001.fastq.gz.1</t>
  </si>
  <si>
    <t>https://sra-pub-src-1.s3.amazonaws.com/SRR10870173/S5_S42_J18_S170_L001_R1_001.fastq.gz.1</t>
  </si>
  <si>
    <t>https://sra-pub-src-1.s3.amazonaws.com/SRR10870051/S5_S09_J17_S134_L001_R1_001.fastq.gz.1</t>
  </si>
  <si>
    <t>https://sra-pub-src-1.s3.amazonaws.com/SRR10870140/NC_S5_02_S2_L001_R1_001.fastq.gz.1</t>
  </si>
  <si>
    <t>https://sra-pub-src-1.s3.amazonaws.com/SRR10870142/S5_051418_U_S16_L001_R1_001.fastq.gz.1</t>
  </si>
  <si>
    <t>https://sra-pub-src-1.s3.amazonaws.com/SRR10870200/S5_L19_J17_S32_L001_R1_001.fastq.gz.1</t>
  </si>
  <si>
    <t>https://sra-pub-src-1.s3.amazonaws.com/SRR10870046/S5_S23_J17_S150_L001_R1_001.fastq.gz.1</t>
  </si>
  <si>
    <t>https://sra-pub-src-1.s3.amazonaws.com/SRR10870023/S5_S19_N17_S141_L001_R1_001.fastq.gz.1</t>
  </si>
  <si>
    <t>https://sra-pub-src-1.s3.amazonaws.com/SRR10870064/S5_R08_J18_S74_L001_R1_001.fastq.gz.1</t>
  </si>
  <si>
    <t>https://sra-pub-src-1.s3.amazonaws.com/SRR10870123/S5_L60_N17_S60_L001_R1_001.fastq.gz.1</t>
  </si>
  <si>
    <t>https://sra-pub-src-1.s3.amazonaws.com/SRR10870148/S5_121317_O_S21_L001_R1_001.fastq.gz.1</t>
  </si>
  <si>
    <t>https://sra-pub-src-1.s3.amazonaws.com/SRR10870088/S5_R19_J17_S82_L001_R1_001.fastq.gz.1</t>
  </si>
  <si>
    <t>https://sra-pub-src-1.s3.amazonaws.com/SRR10870197/S5_S47_N17_S176_L001_R1_001.fastq.gz.1</t>
  </si>
  <si>
    <t>https://sra-pub-src-1.s3.amazonaws.com/SRR10870185/S5_S04_J18_S127_L001_R1_001.fastq.gz.1</t>
  </si>
  <si>
    <t>https://sra-pub-src-1.s3.amazonaws.com/SRR10870079/S5_R68_J17_S114_L001_R1_001.fastq.gz.1</t>
  </si>
  <si>
    <t>https://sra-pub-src-1.s3.amazonaws.com/SRR10870220/S5_S42_N16_S171_L001_R1_001.fastq.gz.1</t>
  </si>
  <si>
    <t>https://sra-pub-src-1.s3.amazonaws.com/SRR10870060/S5_R27_J18_S88_L001_R1_001.fastq.gz.1</t>
  </si>
  <si>
    <t>https://sra-pub-src-1.s3.amazonaws.com/SRR10870124/S5_L49_N17_S56_L001_R1_001.fastq.gz.1</t>
  </si>
  <si>
    <t>https://sra-pub-src-1.s3.amazonaws.com/SRR10870186/S5_S03_J18_S123_L001_R1_001.fastq.gz.1</t>
  </si>
  <si>
    <t>https://sra-pub-src-1.s3.amazonaws.com/SRR10870181/S5_S21_J18_S143_L001_R1_001.fastq.gz.1</t>
  </si>
  <si>
    <t>https://sra-pub-src-1.s3.amazonaws.com/SRR10870068/S5_R60_N17_S109_L001_R1_001.fastq.gz.1</t>
  </si>
  <si>
    <t>https://sra-pub-src-1.s3.amazonaws.com/SRR10870161/S5_S69_J18_S238_L001_R1_001.fastq.gz.1</t>
  </si>
  <si>
    <t>https://sra-pub-src-1.s3.amazonaws.com/SRR10870066/S5_R68_N17_S117_L001_R1_001.fastq.gz.1</t>
  </si>
  <si>
    <t>https://sra-pub-src-1.s3.amazonaws.com/SRR10870171/S5_S47_J18_S174_L001_R1_001.fastq.gz.1</t>
  </si>
  <si>
    <t>https://sra-pub-src-1.s3.amazonaws.com/SRR10870145/S5_030318_U_S10_L001_R1_001.fastq.gz.1</t>
  </si>
  <si>
    <t>https://sra-pub-src-1.s3.amazonaws.com/SRR10870212/S5_L68_N16_S67_L001_R1_001.fastq.gz.1</t>
  </si>
  <si>
    <t>https://sra-pub-src-1.s3.amazonaws.com/SRR10870099/S5_R29_N16_S93_L001_R1_001.fastq.gz.1</t>
  </si>
  <si>
    <t>https://sra-pub-src-1.s3.amazonaws.com/SRR10870150/S5_091817_O_S19_L001_R1_001.fastq.gz.1</t>
  </si>
  <si>
    <t>https://sra-pub-src-1.s3.amazonaws.com/SRR10870042/S5_S31_J17_S165_L001_R1_001.fastq.gz.1</t>
  </si>
  <si>
    <t>https://sra-pub-src-1.s3.amazonaws.com/SRR10870061/S5_R19_J18_S83_L001_R1_001.fastq.gz.1</t>
  </si>
  <si>
    <t>https://sra-pub-src-1.s3.amazonaws.com/SRR10870155/S5_L47_J17_S49_L001_R1_001.fastq.gz.1</t>
  </si>
  <si>
    <t>https://sra-pub-src-1.s3.amazonaws.com/SRR10870072/S5_R29_N17_S94_L001_R1_001.fastq.gz.1</t>
  </si>
  <si>
    <t>https://sra-pub-src-1.s3.amazonaws.com/SRR10870085/S5_R30_J17_S95_L001_R1_001.fastq.gz.1</t>
  </si>
  <si>
    <t>https://sra-pub-src-1.s3.amazonaws.com/SRR10870103/S5_R08_N16_S75_L001_R1_001.fastq.gz.1</t>
  </si>
  <si>
    <t>https://sra-pub-src-1.s3.amazonaws.com/SRR10870203/S5_S29_N17_S160_L001_R1_001.fastq.gz.1</t>
  </si>
  <si>
    <t>https://sra-pub-src-1.s3.amazonaws.com/SRR10870096/S5_R49_N16_S105_L001_R1_001.fastq.gz.1</t>
  </si>
  <si>
    <t>https://sra-pub-src-1.s3.amazonaws.com/SRR10870177/S5_S27_J18_S155_L001_R1_001.fastq.gz.1</t>
  </si>
  <si>
    <t>https://sra-pub-src-1.s3.amazonaws.com/SRR10870128/S5_L09_N16_S29_L001_R1_001.fastq.gz.1</t>
  </si>
  <si>
    <t>https://sra-pub-src-1.s3.amazonaws.com/SRR10870157/S5_020317_U_S8_L001_R1_001.fastq.gz.1</t>
  </si>
  <si>
    <t>https://sra-pub-src-1.s3.amazonaws.com/SRR10870130/S5_L19_N17_S35_L001_R1_001.fastq.gz.1</t>
  </si>
  <si>
    <t>https://sra-pub-src-1.s3.amazonaws.com/SRR10870055/S5_R60_J18_S232_L001_R1_001.fastq.gz.1</t>
  </si>
  <si>
    <t>https://sra-pub-src-1.s3.amazonaws.com/SRR10870227/S5_S22_N16_S148_L001_R1_001.fastq.gz.1</t>
  </si>
  <si>
    <t>https://sra-pub-src-1.s3.amazonaws.com/SRR10870219/S5_S44_N16_S172_L001_R1_001.fastq.gz.1</t>
  </si>
  <si>
    <t>https://sra-pub-src-1.s3.amazonaws.com/SRR10870087/S5_R27_J17_S87_L001_R1_001.fastq.gz.1</t>
  </si>
  <si>
    <t>https://sra-pub-src-1.s3.amazonaws.com/SRR10870195/S5_S60_N17_S184_L001_R1_001.fastq.gz.1</t>
  </si>
  <si>
    <t>https://sra-pub-src-1.s3.amazonaws.com/SRR10870206/S5_S04_J17_S126_L001_R1_001.fastq.gz.1</t>
  </si>
  <si>
    <t>https://sra-pub-src-1.s3.amazonaws.com/SRR10870091/S5_R69_N16_S120_L001_R1_001.fastq.gz.1</t>
  </si>
  <si>
    <t>https://sra-pub-src-1.s3.amazonaws.com/SRR10870170/S5_S49_J18_S178_L001_R1_001.fastq.gz.1</t>
  </si>
  <si>
    <t>https://sra-pub-src-1.s3.amazonaws.com/SRR10870180/S5_S22_J18_S147_L001_R1_001.fastq.gz.1</t>
  </si>
  <si>
    <t>https://sra-pub-src-1.s3.amazonaws.com/SRR10870049/S5_S21_J17_S142_L001_R1_001.fastq.gz.1</t>
  </si>
  <si>
    <t>https://sra-pub-src-1.s3.amazonaws.com/SRR10870231/S5_S08_N16_S132_L001_R1_001.fastq.gz.1</t>
  </si>
  <si>
    <t>https://sra-pub-src-1.s3.amazonaws.com/SRR10870205/S5_S08_J17_S130_L001_R1_001.fastq.gz.1</t>
  </si>
  <si>
    <t>https://sra-pub-src-1.s3.amazonaws.com/SRR10870043/S5_S30_J17_S161_L001_R1_001.fastq.gz.1</t>
  </si>
  <si>
    <t>https://sra-pub-src-1.s3.amazonaws.com/SRR10870232/S5_S04_N16_S128_L001_R1_001.fastq.gz.1</t>
  </si>
  <si>
    <t>https://sra-pub-src-1.s3.amazonaws.com/SRR10870025/S5_S08_N17_S133_L001_R1_001.fastq.gz.1</t>
  </si>
  <si>
    <t>https://sra-pub-src-1.s3.amazonaws.com/SRR10870230/S5_S09_N16_S136_L001_R1_001.fastq.gz.1</t>
  </si>
  <si>
    <t>https://sra-pub-src-1.s3.amazonaws.com/SRR10870054/S5_R66_J18_S111_L001_R1_001.fastq.gz.1</t>
  </si>
  <si>
    <t>https://sra-pub-src-1.s3.amazonaws.com/SRR10870137/NC_S5_05_S5_L001_R1_001.fastq.gz.1</t>
  </si>
  <si>
    <t>https://sra-pub-src-1.s3.amazonaws.com/SRR10870229/S5_S19_N16_S140_L001_R1_001.fastq.gz.1</t>
  </si>
  <si>
    <t>https://sra-pub-src-1.s3.amazonaws.com/SRR10870187/S5_S69_N17_S208_L001_R1_001.fastq.gz.1</t>
  </si>
  <si>
    <t>https://sra-pub-src-1.s3.amazonaws.com/SRR10870136/S5_L60_J17_S59_L001_R1_001.fastq.gz.1</t>
  </si>
  <si>
    <t>https://sra-pub-src-1.s3.amazonaws.com/SRR10870194/S5_S61_N17_S231_L001_R1_001.fastq.gz.1</t>
  </si>
  <si>
    <t>https://sra-pub-src-1.s3.amazonaws.com/SRR10870115/S5_L27_J18_S38_L001_R1_001.fastq.gz.1</t>
  </si>
  <si>
    <t>https://sra-pub-src-1.s3.amazonaws.com/SRR10870178/S5_L29_J17_S41_L001_R1_001.fastq.gz.1</t>
  </si>
  <si>
    <t>https://sra-pub-src-1.s3.amazonaws.com/SRR10870147/S5_121317_U_S22_L001_R1_001.fastq.gz.1</t>
  </si>
  <si>
    <t>https://sra-pub-src-1.s3.amazonaws.com/SRR10870189/S5_L27_J17_S37_L001_R1_001.fastq.gz.1</t>
  </si>
  <si>
    <t>https://sra-pub-src-1.s3.amazonaws.com/SRR10870135/S5_L66_J17_S61_L001_R1_001.fastq.gz.1</t>
  </si>
  <si>
    <t>https://sra-pub-src-1.s3.amazonaws.com/SRR10870141/NC_S5_01_S1_L001_R1_001.fastq.gz.1</t>
  </si>
  <si>
    <t>https://sra-pub-src-1.s3.amazonaws.com/SRR10870225/S5_S27_N16_S156_L001_R1_001.fastq.gz.1</t>
  </si>
  <si>
    <t>https://sra-pub-src-1.s3.amazonaws.com/SRR10870131/S5_L09_N17_S30_L001_R1_001.fastq.gz.1</t>
  </si>
  <si>
    <t>https://sra-pub-src-1.s3.amazonaws.com/SRR10870120/S5_L69_N17_S72_L001_R1_001.fastq.gz.1</t>
  </si>
  <si>
    <t>https://sra-pub-src-1.s3.amazonaws.com/SRR10870176/S5_S29_J18_S158_L001_R1_001.fastq.gz.1</t>
  </si>
  <si>
    <t>https://sra-pub-src-1.s3.amazonaws.com/SRR10870168/S5_S61_J18_S230_L001_R1_001.fastq.gz.1</t>
  </si>
  <si>
    <t>https://sra-pub-src-1.s3.amazonaws.com/SRR10870151/S5_051817_U_S18_L001_R1_001.fastq.gz.1</t>
  </si>
  <si>
    <t>https://sra-pub-src-1.s3.amazonaws.com/SRR10870101/S5_R19_N16_S84_L001_R1_001.fastq.gz.1</t>
  </si>
  <si>
    <t>https://sra-pub-src-1.s3.amazonaws.com/SRR10870075/S5_R19_N17_S85_L001_R1_001.fastq.gz.1</t>
  </si>
  <si>
    <t>https://sra-pub-src-1.s3.amazonaws.com/SRR10870153/S5_040117_U_S12_L001_R1_001.fastq.gz.1</t>
  </si>
  <si>
    <t>https://sra-pub-src-1.s3.amazonaws.com/SRR10870202/S5_S30_N17_S164_L001_R1_001.fastq.gz.1</t>
  </si>
  <si>
    <t>https://sra-pub-src-1.s3.amazonaws.com/SRR10870100/S5_R27_N16_S89_L001_R1_001.fastq.gz.1</t>
  </si>
  <si>
    <t>https://sra-pub-src-1.s3.amazonaws.com/SRR10870193/S5_S62_N17_S189_L001_R1_001.fastq.gz.1</t>
  </si>
  <si>
    <t>https://sra-pub-src-1.s3.amazonaws.com/SRR10870047/S5_S22_J17_S146_L001_R1_001.fastq.gz.1</t>
  </si>
  <si>
    <t>https://sra-pub-src-1.s3.amazonaws.com/SRR10870077/S5_R08_N17_S76_L001_R1_001.fastq.gz.1</t>
  </si>
  <si>
    <t>https://sra-pub-src-1.s3.amazonaws.com/SRR10870163/S5_S66_J18_S199_L001_R1_001.fastq.gz.1</t>
  </si>
  <si>
    <t>https://sra-pub-src-1.s3.amazonaws.com/SRR10870104/S5_R2_PE_S86_L001_R1_001.fastq.gz.1</t>
  </si>
  <si>
    <t>https://sra-pub-src-1.s3.amazonaws.com/SRR10870110/S5_L60_J18_S58_L001_R1_001.fastq.gz.1</t>
  </si>
  <si>
    <t>https://sra-pub-src-1.s3.amazonaws.com/SRR10870146/S5_030318_O_S9_L001_R1_001.fastq.gz.1</t>
  </si>
  <si>
    <t>https://sra-pub-src-1.s3.amazonaws.com/SRR10870036/S5_S60_J17_S181_L001_R1_001.fastq.gz.1</t>
  </si>
  <si>
    <t>https://sra-pub-src-1.s3.amazonaws.com/SRR10870022/S5_S21_N17_S145_L001_R1_001.fastq.gz.1</t>
  </si>
  <si>
    <t>https://sra-pub-src-1.s3.amazonaws.com/SRR10870092/S5_R68_N16_S116_L001_R1_001.fastq.gz.1</t>
  </si>
  <si>
    <t>https://sra-pub-src-1.s3.amazonaws.com/SRR10870086/S5_R29_J17_S91_L001_R1_001.fastq.gz.1</t>
  </si>
  <si>
    <t>https://sra-pub-src-1.s3.amazonaws.com/SRR10870031/S5_S66_J17_S198_L001_R1_001.fastq.gz.1</t>
  </si>
  <si>
    <t>https://sra-pub-src-1.s3.amazonaws.com/SRR10870122/S5_L66_N17_S64_L001_R1_001.fastq.gz.1</t>
  </si>
  <si>
    <t>https://sra-pub-src-1.s3.amazonaws.com/SRR10870167/S5_L30_J17_S45_L001_R1_001.fastq.gz.1</t>
  </si>
  <si>
    <t>https://sra-pub-src-1.s3.amazonaws.com/SRR10870210/S5_S66_N16_S200_L001_R1_001.fastq.gz.1</t>
  </si>
  <si>
    <t>https://sra-pub-src-1.s3.amazonaws.com/SRR10870034/S5_S62_J17_S186_L001_R1_001.fastq.gz.1</t>
  </si>
  <si>
    <t>https://sra-pub-src-1.s3.amazonaws.com/SRR10870105/S5_R1_PE_S81_L001_R1_001.fastq.gz.1</t>
  </si>
  <si>
    <t>https://sra-pub-src-1.s3.amazonaws.com/SRR10870201/S5_S31_N17_S168_L001_R1_001.fastq.gz.1</t>
  </si>
  <si>
    <t>https://sra-pub-src-1.s3.amazonaws.com/SRR10870169/S5_S60_J18_S182_L001_R1_001.fastq.gz.1</t>
  </si>
  <si>
    <t>https://sra-pub-src-1.s3.amazonaws.com/SRR10870062/S5_L49_N16_S55_L001_R1_001.fastq.gz.1</t>
  </si>
  <si>
    <t>https://sra-pub-src-1.s3.amazonaws.com/SRR10870063/S5_R09_J18_S78_L001_R1_001.fastq.gz.1</t>
  </si>
  <si>
    <t>https://sra-pub-src-1.s3.amazonaws.com/SRR10870073/S5_L47_N16_S51_L001_R1_001.fastq.gz.1</t>
  </si>
  <si>
    <t>https://sra-pub-src-1.s3.amazonaws.com/SRR10870109/S5_L66_J18_S62_L001_R1_001.fastq.gz.1</t>
  </si>
  <si>
    <t>https://sra-pub-src-1.s3.amazonaws.com/SRR10870235/S5_L2_PE_S36_L001_R1_001.fastq.gz.1</t>
  </si>
  <si>
    <t>https://sra-pub-src-1.s3.amazonaws.com/SRR10870216/S5_S60_N16_S183_L001_R1_001.fastq.gz.1</t>
  </si>
  <si>
    <t>https://sra-pub-src-1.s3.amazonaws.com/SRR10870040/S5_S44_J17_S235_L001_R1_001.fastq.gz.1</t>
  </si>
  <si>
    <t>https://sra-pub-src-1.s3.amazonaws.com/SRR10870113/S5_L30_J18_S46_L001_R1_001.fastq.gz.1</t>
  </si>
  <si>
    <t>https://sra-pub-src-1.s3.amazonaws.com/SRR10870076/S5_R09_N17_S80_L001_R1_001.fastq.gz.1</t>
  </si>
  <si>
    <t>https://sra-pub-src-1.s3.amazonaws.com/SRR10870222/S5_S30_N16_S163_L001_R1_001.fastq.gz.1</t>
  </si>
  <si>
    <t>https://sra-pub-src-1.s3.amazonaws.com/SRR10870138/NC_S5_04_S4_L001_R1_001.fastq.gz.1</t>
  </si>
  <si>
    <t>https://sra-pub-src-1.s3.amazonaws.com/SRR10870021/S5_S22_N17_S149_L001_R1_001.fastq.gz.1</t>
  </si>
  <si>
    <t>https://sra-pub-src-1.s3.amazonaws.com/SRR10870175/S5_S30_J18_S162_L001_R1_001.fastq.gz.1</t>
  </si>
  <si>
    <t>https://sra-pub-src-1.s3.amazonaws.com/SRR10870162/S5_S68_J18_S203_L001_R1_001.fastq.gz.1</t>
  </si>
  <si>
    <t>https://sra-pub-src-1.s3.amazonaws.com/SRR10870233/S5_S03_N16_S124_L001_R1_001.fastq.gz.1</t>
  </si>
  <si>
    <t>https://sra-pub-src-1.s3.amazonaws.com/SRR10870020/S5_S23_N17_S153_L001_R1_001.fastq.gz.1</t>
  </si>
  <si>
    <t>https://sra-pub-src-1.s3.amazonaws.com/SRR10870093/S5_R66_N16_S112_L001_R1_001.fastq.gz.1</t>
  </si>
  <si>
    <t>https://sra-pub-src-1.s3.amazonaws.com/SRR10870207/S5_S03_J17_S122_L001_R1_001.fastq.gz.1</t>
  </si>
  <si>
    <t>https://sra-pub-src-1.s3.amazonaws.com/SRR10870030/S5_S68_J17_S202_L001_R1_001.fastq.gz.1</t>
  </si>
  <si>
    <t>https://sra-pub-src-1.s3.amazonaws.com/SRR10870033/S5_S63_J17_S190_L001_R1_001.fastq.gz.1</t>
  </si>
  <si>
    <t>https://sra-pub-src-1.s3.amazonaws.com/SRR10870143/S5_051418_O_S15_L001_R1_001.fastq.gz.1</t>
  </si>
  <si>
    <t>https://sra-pub-src-1.s3.amazonaws.com/SRR10870048/S5_L69_N16_S71_L001_R1_001.fastq.gz.1</t>
  </si>
  <si>
    <t>https://sra-pub-src-1.s3.amazonaws.com/SRR10870045/S5_S27_J17_S154_L001_R1_001.fastq.gz.1</t>
  </si>
  <si>
    <t>https://sra-pub-src-1.s3.amazonaws.com/SRR10870028/S5_S03_N17_S125_L001_R1_001.fastq.gz.1</t>
  </si>
  <si>
    <t>https://sra-pub-src-1.s3.amazonaws.com/SRR10870108/S5_L68_J18_S66_L001_R1_001.fastq.gz.1</t>
  </si>
  <si>
    <t>https://sra-pub-src-1.s3.amazonaws.com/SRR10870133/S5_L69_J17_S69_L001_R1_001.fastq.gz.1</t>
  </si>
  <si>
    <t>https://sra-pub-src-1.s3.amazonaws.com/SRR10870234/S5_L60_N16_S57_L001_R1_001.fastq.gz.1</t>
  </si>
  <si>
    <t>https://sra-pub-src-1.s3.amazonaws.com/SRR10870126/S5_L30_N17_S48_L001_R1_001.fastq.gz.1</t>
  </si>
  <si>
    <t>https://sra-pub-src-1.s3.amazonaws.com/SRR10870097/S5_R47_N16_S101_L001_R1_001.fastq.gz.1</t>
  </si>
  <si>
    <t>https://sra-pub-src-1.s3.amazonaws.com/SRR10870129/S5_L27_N17_S40_L001_R1_001.fastq.gz.1</t>
  </si>
  <si>
    <t>https://sra-pub-src-1.s3.amazonaws.com/SRR10870217/S5_S49_N16_S179_L001_R1_001.fastq.gz.1</t>
  </si>
  <si>
    <t>https://sra-pub-src-1.s3.amazonaws.com/SRR10870038/S5_S49_J17_S177_L001_R1_001.fastq.gz.1</t>
  </si>
  <si>
    <t>https://sra-pub-src-1.s3.amazonaws.com/SRR10870144/S5_L49_J17_S53_L001_R1_001.fastq.gz.1</t>
  </si>
  <si>
    <t>https://sra-pub-src-1.s3.amazonaws.com/SRR10870184/S5_S08_J18_S131_L001_R1_001.fastq.gz.1</t>
  </si>
  <si>
    <t>https://sra-pub-src-1.s3.amazonaws.com/SRR10870111/S5_L49_J18_S54_L001_R1_001.fastq.gz.1</t>
  </si>
  <si>
    <t>https://sra-pub-src-1.s3.amazonaws.com/SRR10870160/S5_050216_O_S13_L001_R1_001.fastq.gz.1</t>
  </si>
  <si>
    <t>https://sra-pub-src-1.s3.amazonaws.com/SRR10870139/NC_S5_03_S3_L001_R1_001.fastq.gz.1</t>
  </si>
  <si>
    <t>https://sra-pub-src-1.s3.amazonaws.com/SRR10870117/S5_L19_N16_S34_L001_R1_001.fastq.gz.1</t>
  </si>
  <si>
    <t>https://sra-pub-src-1.s3.amazonaws.com/SRR10870159/S5_050216_U_S14_L001_R1_001.fastq.gz.1</t>
  </si>
  <si>
    <t>https://sra-pub-src-1.s3.amazonaws.com/SRR10870121/S5_L68_N17_S68_L001_R1_001.fastq.gz.1</t>
  </si>
  <si>
    <t>https://sra-pub-src-1.s3.amazonaws.com/SRR10870226/S5_S23_N16_S152_L001_R1_001.fastq.gz.1</t>
  </si>
  <si>
    <t>https://sra-pub-src-1.s3.amazonaws.com/SRR10870116/S5_L19_J18_S33_L001_R1_001.fastq.gz.1</t>
  </si>
  <si>
    <t>https://sra-pub-src-1.s3.amazonaws.com/SRR10870223/S5_L66_N16_S63_L001_R1_001.fastq.gz.1</t>
  </si>
  <si>
    <t>https://sra-pub-src-1.s3.amazonaws.com/SRR10870134/S5_L68_J17_S65_L001_R1_001.fastq.gz.1</t>
  </si>
  <si>
    <t>https://sra-pub-src-1.s3.amazonaws.com/SRR10870156/S5_L08_N16_S25_L001_R1_001.fastq.gz.1</t>
  </si>
  <si>
    <t>https://sra-pub-src-1.s3.amazonaws.com/SRR10870106/S5_L27_N16_S39_L001_R1_001.fastq.gz.1</t>
  </si>
  <si>
    <t>https://sra-pub-src-1.s3.amazonaws.com/SRR10870211/S5_S65_N16_S196_L001_R1_001.fastq.gz.1</t>
  </si>
  <si>
    <t>https://sra-pub-src-1.s3.amazonaws.com/SRR10870026/S5_L09_J17_S27_L001_R1_001.fastq.gz.1</t>
  </si>
  <si>
    <t>https://sra-pub-src-1.s3.amazonaws.com/SRR10870070/S5_R47_N17_S102_L001_R1_001.fastq.gz.1</t>
  </si>
  <si>
    <t>https://sra-pub-src-1.s3.amazonaws.com/SRR10870154/S5_040117_O_S11_L001_R1_001.fastq.gz.1</t>
  </si>
  <si>
    <t>https://sra-pub-src-1.s3.amazonaws.com/SRR10870149/S5_091817_U_S20_L001_R1_001.fastq.gz.1</t>
  </si>
  <si>
    <t>https://sra-pub-src-1.s3.amazonaws.com/SRR10870215/S5_S61_N16_S185_L001_R1_001.fastq.gz.1</t>
  </si>
  <si>
    <t>https://sra-pub-src-1.s3.amazonaws.com/SRR10870188/S5_S68_N17_S205_L001_R1_001.fastq.gz.1</t>
  </si>
  <si>
    <t>https://sra-pub-src-1.s3.amazonaws.com/SRR10870080/S5_R66_J17_S110_L001_R1_001.fastq.gz.1</t>
  </si>
  <si>
    <t>https://sra-pub-src-1.s3.amazonaws.com/SRR10870069/S5_R49_N17_S106_L001_R1_001.fastq.gz.1</t>
  </si>
  <si>
    <t>https://sra-pub-src-1.s3.amazonaws.com/SRR10870190/S5_S66_N17_S201_L001_R1_001.fastq.gz.1</t>
  </si>
  <si>
    <t>https://sra-pub-src-1.s3.amazonaws.com/SRR10870182/S5_S19_J18_S139_L001_R1_001.fastq.gz.1</t>
  </si>
  <si>
    <t>https://sra-pub-src-1.s3.amazonaws.com/SRR10870228/S5_S21_N16_S144_L001_R1_001.fastq.gz.1</t>
  </si>
  <si>
    <t>https://sra-pub-src-1.s3.amazonaws.com/SRR10870213/S5_S63_N16_S192_L001_R1_001.fastq.gz.1</t>
  </si>
  <si>
    <t>https://sra-pub-src-1.s3.amazonaws.com/SRR10870037/S5_L08_J17_S23_L001_R1_001.fastq.gz.1</t>
  </si>
  <si>
    <t>https://sra-pub-src-1.s3.amazonaws.com/SRR10870224/S5_S29_N16_S159_L001_R1_001.fastq.gz.1</t>
  </si>
  <si>
    <t>https://sra-pub-src-1.s3.amazonaws.com/SRR10870221/S5_S31_N16_S167_L001_R1_001.fastq.gz.1</t>
  </si>
  <si>
    <t>https://sra-pub-src-1.s3.amazonaws.com/SRR10870166/S5_S62_J18_S187_L001_R1_001.fastq.gz.1</t>
  </si>
  <si>
    <t>https://sra-pub-src-1.s3.amazonaws.com/SRR10870058/S5_R30_J18_S96_L001_R1_001.fastq.gz.1</t>
  </si>
  <si>
    <t>https://sra-pub-src-1.s3.amazonaws.com/SRR10870114/S5_L29_J18_S42_L001_R1_001.fastq.gz.1</t>
  </si>
  <si>
    <t>https://sra-pub-src-1.s3.amazonaws.com/SRR10870078/S5_R69_J17_S118_L001_R1_001.fastq.gz.1</t>
  </si>
  <si>
    <t>https://sra-pub-src-1.s3.amazonaws.com/SRR10870074/S5_R27_N17_S90_L001_R1_001.fastq.gz.1</t>
  </si>
  <si>
    <t>https://sra-pub-src-1.s3.amazonaws.com/SRR10870098/S5_R30_N16_S97_L001_R1_001.fastq.gz.1</t>
  </si>
  <si>
    <t>https://sra-pub-src-1.s3.amazonaws.com/SRR10870127/S5_L29_N17_S44_L001_R1_001.fastq.gz.1</t>
  </si>
  <si>
    <t>https://sra-pub-src-1.s3.amazonaws.com/SRR10870209/S5_S68_N16_S204_L001_R1_001.fastq.gz.1</t>
  </si>
  <si>
    <t>https://sra-pub-src-1.s3.amazonaws.com/SRR10870056/S5_R49_J18_S104_L001_R1_001.fastq.gz.1</t>
  </si>
  <si>
    <t>https://sra-pub-src-1.s3.amazonaws.com/SRR10870050/S5_S19_J17_S138_L001_R1_001.fastq.gz.1</t>
  </si>
  <si>
    <t>https://sra-pub-src-1.s3.amazonaws.com/SRR10870183/S5_S09_J18_S135_L001_R1_001.fastq.gz.1</t>
  </si>
  <si>
    <t>https://sra-pub-src-1.s3.amazonaws.com/SRR10870102/S5_R09_N16_S79_L001_R1_001.fastq.gz.1</t>
  </si>
  <si>
    <t>https://sra-pub-src-1.s3.amazonaws.com/SRR10870198/S5_S44_N17_S237_L001_R1_001.fastq.gz.1</t>
  </si>
  <si>
    <t>https://sra-pub-src-1.s3.amazonaws.com/SRR10870112/S5_L47_J18_S50_L001_R1_001.fastq.gz.1</t>
  </si>
  <si>
    <t>https://sra-pub-src-1.s3.amazonaws.com/SRR10870125/S5_L47_N17_S52_L001_R1_001.fastq.gz.1</t>
  </si>
  <si>
    <t>https://sra-pub-src-1.s3.amazonaws.com/SRR10870044/S5_S29_J17_S233_L001_R1_001.fastq.gz.1</t>
  </si>
  <si>
    <t>https://sra-pub-src-1.s3.amazonaws.com/SRR10870094/S5_R60_N16_S108_L001_R1_001.fastq.gz.1</t>
  </si>
  <si>
    <t>https://sra-pub-src-1.s3.amazonaws.com/SRR10870082/S5_R49_J17_S103_L001_R1_001.fastq.gz.1</t>
  </si>
  <si>
    <t>https://sra-pub-src-1.s3.amazonaws.com/SRR10870118/S5_L09_J18_S28_L001_R1_001.fastq.gz.1</t>
  </si>
  <si>
    <t>https://sra-pub-src-1.s3.amazonaws.com/SRR10870107/S5_L69_J18_S70_L001_R1_001.fastq.gz.1</t>
  </si>
  <si>
    <t>https://sra-pub-src-1.s3.amazonaws.com/SRR10870174/S5_S31_J18_S166_L001_R1_001.fastq.gz.1</t>
  </si>
  <si>
    <t>https://sra-pub-src-1.s3.amazonaws.com/SRR10870041/S5_S42_J17_S169_L001_R1_001.fastq.gz.1</t>
  </si>
  <si>
    <t>https://sra-pub-src-1.s3.amazonaws.com/SRR10870057/S5_R47_J18_S100_L001_R1_001.fastq.gz.1</t>
  </si>
  <si>
    <t>https://sra-pub-src-1.s3.amazonaws.com/SRR10870090/S5_R08_J17_S73_L001_R1_001.fastq.gz.1</t>
  </si>
  <si>
    <t>https://sra-pub-src-1.s3.amazonaws.com/SRR10870081/S5_R60_J17_S107_L001_R1_001.fastq.gz.1</t>
  </si>
  <si>
    <t>https://sra-pub-src-1.s3.amazonaws.com/SRR10870208/S5_S69_N16_S207_L001_R1_001.fastq.gz.1</t>
  </si>
  <si>
    <t>https://sra-pub-src-1.s3.amazonaws.com/SRR10870165/S5_S63_J18_S191_L001_R1_001.fastq.gz.1</t>
  </si>
  <si>
    <t>https://sra-pub-src-1.s3.amazonaws.com/SRR10870027/S5_S04_N17_S129_L001_R1_001.fastq.gz.1</t>
  </si>
  <si>
    <t>https://sra-pub-src-1.s3.amazonaws.com/SRR10870095/S5_L29_N16_S43_L001_R1_001.fastq.gz.1</t>
  </si>
  <si>
    <t>https://sra-pub-src-1.s3.amazonaws.com/SRR10870059/S5_R29_J18_S92_L001_R1_001.fastq.gz.1</t>
  </si>
  <si>
    <t>https://sra-pub-src-1.s3.amazonaws.com/SRR10870053/S5_R68_J18_S115_L001_R1_001.fastq.gz.1</t>
  </si>
  <si>
    <t>https://sra-pub-src-1.s3.amazonaws.com/SRR10870214/S5_S62_N16_S188_L001_R1_001.fastq.gz.1</t>
  </si>
  <si>
    <t>https://sra-pub-src-1.s3.amazonaws.com/SRR10870029/S5_S69_J17_S206_L001_R1_001.fastq.gz.1</t>
  </si>
  <si>
    <t>https://sra-pub-src-1.s3.amazonaws.com/SRR10870164/S5_S65_J18_S195_L001_R1_001.fastq.gz.1</t>
  </si>
  <si>
    <t>https://sra-pub-src-1.s3.amazonaws.com/SRR10870039/S5_S47_J17_S173_L001_R1_001.fastq.gz.1</t>
  </si>
  <si>
    <t>https://sra-pub-src-1.s3.amazonaws.com/SRR10870067/S5_R66_N17_S113_L001_R1_001.fastq.gz.1</t>
  </si>
  <si>
    <t>https://sra-pub-src-1.s3.amazonaws.com/SRR10870032/S5_S65_J17_S194_L001_R1_001.fastq.gz.1</t>
  </si>
  <si>
    <t>https://sra-pub-src-1.s3.amazonaws.com/SRR10870191/S5_S65_N17_S197_L001_R1_001.fastq.gz.1</t>
  </si>
  <si>
    <t>https://sra-pub-src-1.s3.amazonaws.com/SRR10870083/S5_R47_J17_S99_L001_R1_001.fastq.gz.1</t>
  </si>
  <si>
    <t>https://sra-pub-src-1.s3.amazonaws.com/SRR10870132/S5_L08_N17_S26_L001_R1_001.fastq.gz.1</t>
  </si>
  <si>
    <t>https://sra-pub-src-1.s3.amazonaws.com/SRR10870199/S5_S42_N17_S234_L001_R1_001.fastq.gz.1</t>
  </si>
  <si>
    <t>https://sra-pub-src-1.s3.amazonaws.com/SRR10870084/S5_L30_N16_S47_L001_R1_001.fastq.gz.1</t>
  </si>
  <si>
    <t>https://sra-pub-src-1.s3.amazonaws.com/SRR10870065/S5_R69_N17_S121_L001_R1_001.fastq.gz.1</t>
  </si>
  <si>
    <t>https://sra-pub-src-1.s3.amazonaws.com/SRR10870152/S5_051817_O_S17_L001_R1_001.fastq.gz.1</t>
  </si>
  <si>
    <t>https://sra-pub-src-1.s3.amazonaws.com/SRR10870179/S5_S23_J18_S151_L001_R1_001.fastq.gz.1</t>
  </si>
  <si>
    <t>https://sra-pub-src-1.s3.amazonaws.com/SRR10870020/S5_S23_N17_S153_L001_R2_001.fastq.gz.1</t>
  </si>
  <si>
    <t>https://sra-pub-src-1.s3.amazonaws.com/SRR10870021/S5_S22_N17_S149_L001_R2_001.fastq.gz.1</t>
  </si>
  <si>
    <t>https://sra-pub-src-1.s3.amazonaws.com/SRR10870022/S5_S21_N17_S145_L001_R2_001.fastq.gz.1</t>
  </si>
  <si>
    <t>https://sra-pub-src-1.s3.amazonaws.com/SRR10870023/S5_S19_N17_S141_L001_R2_001.fastq.gz.1</t>
  </si>
  <si>
    <t>https://sra-pub-src-1.s3.amazonaws.com/SRR10870024/S5_S09_N17_S137_L001_R2_001.fastq.gz.1</t>
  </si>
  <si>
    <t>https://sra-pub-src-1.s3.amazonaws.com/SRR10870025/S5_S08_N17_S133_L001_R2_001.fastq.gz.1</t>
  </si>
  <si>
    <t>https://sra-pub-src-1.s3.amazonaws.com/SRR10870026/S5_L09_J17_S27_L001_R2_001.fastq.gz.1</t>
  </si>
  <si>
    <t>https://sra-pub-src-1.s3.amazonaws.com/SRR10870027/S5_S04_N17_S129_L001_R2_001.fastq.gz.1</t>
  </si>
  <si>
    <t>https://sra-pub-src-1.s3.amazonaws.com/SRR10870028/S5_S03_N17_S125_L001_R2_001.fastq.gz.1</t>
  </si>
  <si>
    <t>https://sra-pub-src-1.s3.amazonaws.com/SRR10870029/S5_S69_J17_S206_L001_R2_001.fastq.gz.1</t>
  </si>
  <si>
    <t>https://sra-pub-src-1.s3.amazonaws.com/SRR10870030/S5_S68_J17_S202_L001_R2_001.fastq.gz.1</t>
  </si>
  <si>
    <t>https://sra-pub-src-1.s3.amazonaws.com/SRR10870031/S5_S66_J17_S198_L001_R2_001.fastq.gz.1</t>
  </si>
  <si>
    <t>https://sra-pub-src-1.s3.amazonaws.com/SRR10870032/S5_S65_J17_S194_L001_R2_001.fastq.gz.1</t>
  </si>
  <si>
    <t>https://sra-pub-src-1.s3.amazonaws.com/SRR10870033/S5_S63_J17_S190_L001_R2_001.fastq.gz.1</t>
  </si>
  <si>
    <t>https://sra-pub-src-1.s3.amazonaws.com/SRR10870034/S5_S62_J17_S186_L001_R2_001.fastq.gz.1</t>
  </si>
  <si>
    <t>https://sra-pub-src-1.s3.amazonaws.com/SRR10870035/S5_S61_J17_S229_L001_R2_001.fastq.gz.1</t>
  </si>
  <si>
    <t>https://sra-pub-src-1.s3.amazonaws.com/SRR10870036/S5_S60_J17_S181_L001_R2_001.fastq.gz.1</t>
  </si>
  <si>
    <t>https://sra-pub-src-1.s3.amazonaws.com/SRR10870037/S5_L08_J17_S23_L001_R2_001.fastq.gz.1</t>
  </si>
  <si>
    <t>https://sra-pub-src-1.s3.amazonaws.com/SRR10870038/S5_S49_J17_S177_L001_R2_001.fastq.gz.1</t>
  </si>
  <si>
    <t>https://sra-pub-src-1.s3.amazonaws.com/SRR10870039/S5_S47_J17_S173_L001_R2_001.fastq.gz.1</t>
  </si>
  <si>
    <t>https://sra-pub-src-1.s3.amazonaws.com/SRR10870040/S5_S44_J17_S235_L001_R2_001.fastq.gz.1</t>
  </si>
  <si>
    <t>https://sra-pub-src-1.s3.amazonaws.com/SRR10870041/S5_S42_J17_S169_L001_R2_001.fastq.gz.1</t>
  </si>
  <si>
    <t>https://sra-pub-src-1.s3.amazonaws.com/SRR10870042/S5_S31_J17_S165_L001_R2_001.fastq.gz.1</t>
  </si>
  <si>
    <t>https://sra-pub-src-1.s3.amazonaws.com/SRR10870043/S5_S30_J17_S161_L001_R2_001.fastq.gz.1</t>
  </si>
  <si>
    <t>https://sra-pub-src-1.s3.amazonaws.com/SRR10870044/S5_S29_J17_S233_L001_R2_001.fastq.gz.1</t>
  </si>
  <si>
    <t>https://sra-pub-src-1.s3.amazonaws.com/SRR10870045/S5_S27_J17_S154_L001_R2_001.fastq.gz.1</t>
  </si>
  <si>
    <t>https://sra-pub-src-1.s3.amazonaws.com/SRR10870046/S5_S23_J17_S150_L001_R2_001.fastq.gz.1</t>
  </si>
  <si>
    <t>https://sra-pub-src-1.s3.amazonaws.com/SRR10870047/S5_S22_J17_S146_L001_R2_001.fastq.gz.1</t>
  </si>
  <si>
    <t>https://sra-pub-src-1.s3.amazonaws.com/SRR10870048/S5_L69_N16_S71_L001_R2_001.fastq.gz.1</t>
  </si>
  <si>
    <t>https://sra-pub-src-1.s3.amazonaws.com/SRR10870049/S5_S21_J17_S142_L001_R2_001.fastq.gz.1</t>
  </si>
  <si>
    <t>https://sra-pub-src-1.s3.amazonaws.com/SRR10870050/S5_S19_J17_S138_L001_R2_001.fastq.gz.1</t>
  </si>
  <si>
    <t>https://sra-pub-src-1.s3.amazonaws.com/SRR10870051/S5_S09_J17_S134_L001_R2_001.fastq.gz.1</t>
  </si>
  <si>
    <t>https://sra-pub-src-1.s3.amazonaws.com/SRR10870052/S5_R69_J18_S119_L001_R2_001.fastq.gz.1</t>
  </si>
  <si>
    <t>https://sra-pub-src-1.s3.amazonaws.com/SRR10870053/S5_R68_J18_S115_L001_R2_001.fastq.gz.1</t>
  </si>
  <si>
    <t>https://sra-pub-src-1.s3.amazonaws.com/SRR10870054/S5_R66_J18_S111_L001_R2_001.fastq.gz.1</t>
  </si>
  <si>
    <t>https://sra-pub-src-1.s3.amazonaws.com/SRR10870055/S5_R60_J18_S232_L001_R2_001.fastq.gz.1</t>
  </si>
  <si>
    <t>https://sra-pub-src-1.s3.amazonaws.com/SRR10870056/S5_R49_J18_S104_L001_R2_001.fastq.gz.1</t>
  </si>
  <si>
    <t>https://sra-pub-src-1.s3.amazonaws.com/SRR10870057/S5_R47_J18_S100_L001_R2_001.fastq.gz.1</t>
  </si>
  <si>
    <t>https://sra-pub-src-1.s3.amazonaws.com/SRR10870058/S5_R30_J18_S96_L001_R2_001.fastq.gz.1</t>
  </si>
  <si>
    <t>https://sra-pub-src-1.s3.amazonaws.com/SRR10870059/S5_R29_J18_S92_L001_R2_001.fastq.gz.1</t>
  </si>
  <si>
    <t>https://sra-pub-src-1.s3.amazonaws.com/SRR10870060/S5_R27_J18_S88_L001_R2_001.fastq.gz.1</t>
  </si>
  <si>
    <t>https://sra-pub-src-1.s3.amazonaws.com/SRR10870061/S5_R19_J18_S83_L001_R2_001.fastq.gz.1</t>
  </si>
  <si>
    <t>https://sra-pub-src-1.s3.amazonaws.com/SRR10870062/S5_L49_N16_S55_L001_R2_001.fastq.gz.1</t>
  </si>
  <si>
    <t>https://sra-pub-src-1.s3.amazonaws.com/SRR10870063/S5_R09_J18_S78_L001_R2_001.fastq.gz.1</t>
  </si>
  <si>
    <t>https://sra-pub-src-1.s3.amazonaws.com/SRR10870064/S5_R08_J18_S74_L001_R2_001.fastq.gz.1</t>
  </si>
  <si>
    <t>https://sra-pub-src-1.s3.amazonaws.com/SRR10870065/S5_R69_N17_S121_L001_R2_001.fastq.gz.1</t>
  </si>
  <si>
    <t>https://sra-pub-src-1.s3.amazonaws.com/SRR10870066/S5_R68_N17_S117_L001_R2_001.fastq.gz.1</t>
  </si>
  <si>
    <t>https://sra-pub-src-1.s3.amazonaws.com/SRR10870067/S5_R66_N17_S113_L001_R2_001.fastq.gz.1</t>
  </si>
  <si>
    <t>https://sra-pub-src-1.s3.amazonaws.com/SRR10870068/S5_R60_N17_S109_L001_R2_001.fastq.gz.1</t>
  </si>
  <si>
    <t>https://sra-pub-src-1.s3.amazonaws.com/SRR10870069/S5_R49_N17_S106_L001_R2_001.fastq.gz.1</t>
  </si>
  <si>
    <t>https://sra-pub-src-1.s3.amazonaws.com/SRR10870070/S5_R47_N17_S102_L001_R2_001.fastq.gz.1</t>
  </si>
  <si>
    <t>https://sra-pub-src-1.s3.amazonaws.com/SRR10870071/S5_R30_N17_S98_L001_R2_001.fastq.gz.1</t>
  </si>
  <si>
    <t>https://sra-pub-src-1.s3.amazonaws.com/SRR10870072/S5_R29_N17_S94_L001_R2_001.fastq.gz.1</t>
  </si>
  <si>
    <t>https://sra-pub-src-1.s3.amazonaws.com/SRR10870073/S5_L47_N16_S51_L001_R2_001.fastq.gz.1</t>
  </si>
  <si>
    <t>https://sra-pub-src-1.s3.amazonaws.com/SRR10870074/S5_R27_N17_S90_L001_R2_001.fastq.gz.1</t>
  </si>
  <si>
    <t>https://sra-pub-src-1.s3.amazonaws.com/SRR10870075/S5_R19_N17_S85_L001_R2_001.fastq.gz.1</t>
  </si>
  <si>
    <t>https://sra-pub-src-1.s3.amazonaws.com/SRR10870076/S5_R09_N17_S80_L001_R2_001.fastq.gz.1</t>
  </si>
  <si>
    <t>https://sra-pub-src-1.s3.amazonaws.com/SRR10870077/S5_R08_N17_S76_L001_R2_001.fastq.gz.1</t>
  </si>
  <si>
    <t>https://sra-pub-src-1.s3.amazonaws.com/SRR10870078/S5_R69_J17_S118_L001_R2_001.fastq.gz.1</t>
  </si>
  <si>
    <t>https://sra-pub-src-1.s3.amazonaws.com/SRR10870079/S5_R68_J17_S114_L001_R2_001.fastq.gz.1</t>
  </si>
  <si>
    <t>https://sra-pub-src-1.s3.amazonaws.com/SRR10870080/S5_R66_J17_S110_L001_R2_001.fastq.gz.1</t>
  </si>
  <si>
    <t>https://sra-pub-src-1.s3.amazonaws.com/SRR10870081/S5_R60_J17_S107_L001_R2_001.fastq.gz.1</t>
  </si>
  <si>
    <t>https://sra-pub-src-1.s3.amazonaws.com/SRR10870082/S5_R49_J17_S103_L001_R2_001.fastq.gz.1</t>
  </si>
  <si>
    <t>https://sra-pub-src-1.s3.amazonaws.com/SRR10870083/S5_R47_J17_S99_L001_R2_001.fastq.gz.1</t>
  </si>
  <si>
    <t>https://sra-pub-src-1.s3.amazonaws.com/SRR10870084/S5_L30_N16_S47_L001_R2_001.fastq.gz.1</t>
  </si>
  <si>
    <t>https://sra-pub-src-1.s3.amazonaws.com/SRR10870085/S5_R30_J17_S95_L001_R2_001.fastq.gz.1</t>
  </si>
  <si>
    <t>https://sra-pub-src-1.s3.amazonaws.com/SRR10870086/S5_R29_J17_S91_L001_R2_001.fastq.gz.1</t>
  </si>
  <si>
    <t>https://sra-pub-src-1.s3.amazonaws.com/SRR10870087/S5_R27_J17_S87_L001_R2_001.fastq.gz.1</t>
  </si>
  <si>
    <t>https://sra-pub-src-1.s3.amazonaws.com/SRR10870088/S5_R19_J17_S82_L001_R2_001.fastq.gz.1</t>
  </si>
  <si>
    <t>https://sra-pub-src-1.s3.amazonaws.com/SRR10870089/S5_R09_J17_S77_L001_R2_001.fastq.gz.1</t>
  </si>
  <si>
    <t>https://sra-pub-src-1.s3.amazonaws.com/SRR10870090/S5_R08_J17_S73_L001_R2_001.fastq.gz.1</t>
  </si>
  <si>
    <t>https://sra-pub-src-1.s3.amazonaws.com/SRR10870091/S5_R69_N16_S120_L001_R2_001.fastq.gz.1</t>
  </si>
  <si>
    <t>https://sra-pub-src-1.s3.amazonaws.com/SRR10870092/S5_R68_N16_S116_L001_R2_001.fastq.gz.1</t>
  </si>
  <si>
    <t>https://sra-pub-src-1.s3.amazonaws.com/SRR10870093/S5_R66_N16_S112_L001_R2_001.fastq.gz.1</t>
  </si>
  <si>
    <t>https://sra-pub-src-1.s3.amazonaws.com/SRR10870094/S5_R60_N16_S108_L001_R2_001.fastq.gz.1</t>
  </si>
  <si>
    <t>https://sra-pub-src-1.s3.amazonaws.com/SRR10870095/S5_L29_N16_S43_L001_R2_001.fastq.gz.1</t>
  </si>
  <si>
    <t>https://sra-pub-src-1.s3.amazonaws.com/SRR10870096/S5_R49_N16_S105_L001_R2_001.fastq.gz.1</t>
  </si>
  <si>
    <t>https://sra-pub-src-1.s3.amazonaws.com/SRR10870097/S5_R47_N16_S101_L001_R2_001.fastq.gz.1</t>
  </si>
  <si>
    <t>https://sra-pub-src-1.s3.amazonaws.com/SRR10870098/S5_R30_N16_S97_L001_R2_001.fastq.gz.1</t>
  </si>
  <si>
    <t>https://sra-pub-src-1.s3.amazonaws.com/SRR10870099/S5_R29_N16_S93_L001_R2_001.fastq.gz.1</t>
  </si>
  <si>
    <t>https://sra-pub-src-1.s3.amazonaws.com/SRR10870100/S5_R27_N16_S89_L001_R2_001.fastq.gz.1</t>
  </si>
  <si>
    <t>https://sra-pub-src-1.s3.amazonaws.com/SRR10870101/S5_R19_N16_S84_L001_R2_001.fastq.gz.1</t>
  </si>
  <si>
    <t>https://sra-pub-src-1.s3.amazonaws.com/SRR10870102/S5_R09_N16_S79_L001_R2_001.fastq.gz.1</t>
  </si>
  <si>
    <t>https://sra-pub-src-1.s3.amazonaws.com/SRR10870103/S5_R08_N16_S75_L001_R2_001.fastq.gz.1</t>
  </si>
  <si>
    <t>https://sra-pub-src-1.s3.amazonaws.com/SRR10870104/S5_R2_PE_S86_L001_R2_001.fastq.gz.1</t>
  </si>
  <si>
    <t>https://sra-pub-src-1.s3.amazonaws.com/SRR10870106/S5_L27_N16_S39_L001_R2_001.fastq.gz.1</t>
  </si>
  <si>
    <t>https://sra-pub-src-1.s3.amazonaws.com/SRR10870107/S5_L69_J18_S70_L001_R2_001.fastq.gz.1</t>
  </si>
  <si>
    <t>https://sra-pub-src-1.s3.amazonaws.com/SRR10870108/S5_L68_J18_S66_L001_R2_001.fastq.gz.1</t>
  </si>
  <si>
    <t>https://sra-pub-src-1.s3.amazonaws.com/SRR10870109/S5_L66_J18_S62_L001_R2_001.fastq.gz.1</t>
  </si>
  <si>
    <t>https://sra-pub-src-1.s3.amazonaws.com/SRR10870110/S5_L60_J18_S58_L001_R2_001.fastq.gz.1</t>
  </si>
  <si>
    <t>https://sra-pub-src-1.s3.amazonaws.com/SRR10870111/S5_L49_J18_S54_L001_R2_001.fastq.gz.1</t>
  </si>
  <si>
    <t>https://sra-pub-src-1.s3.amazonaws.com/SRR10870112/S5_L47_J18_S50_L001_R2_001.fastq.gz.1</t>
  </si>
  <si>
    <t>https://sra-pub-src-1.s3.amazonaws.com/SRR10870113/S5_L30_J18_S46_L001_R2_001.fastq.gz.1</t>
  </si>
  <si>
    <t>https://sra-pub-src-1.s3.amazonaws.com/SRR10870114/S5_L29_J18_S42_L001_R2_001.fastq.gz.1</t>
  </si>
  <si>
    <t>https://sra-pub-src-1.s3.amazonaws.com/SRR10870115/S5_L27_J18_S38_L001_R2_001.fastq.gz.1</t>
  </si>
  <si>
    <t>https://sra-pub-src-1.s3.amazonaws.com/SRR10870116/S5_L19_J18_S33_L001_R2_001.fastq.gz.1</t>
  </si>
  <si>
    <t>https://sra-pub-src-1.s3.amazonaws.com/SRR10870117/S5_L19_N16_S34_L001_R2_001.fastq.gz.1</t>
  </si>
  <si>
    <t>https://sra-pub-src-1.s3.amazonaws.com/SRR10870118/S5_L09_J18_S28_L001_R2_001.fastq.gz.1</t>
  </si>
  <si>
    <t>https://sra-pub-src-1.s3.amazonaws.com/SRR10870119/S5_L08_J18_S24_L001_R2_001.fastq.gz.1</t>
  </si>
  <si>
    <t>https://sra-pub-src-1.s3.amazonaws.com/SRR10870120/S5_L69_N17_S72_L001_R2_001.fastq.gz.1</t>
  </si>
  <si>
    <t>https://sra-pub-src-1.s3.amazonaws.com/SRR10870121/S5_L68_N17_S68_L001_R2_001.fastq.gz.1</t>
  </si>
  <si>
    <t>https://sra-pub-src-1.s3.amazonaws.com/SRR10870122/S5_L66_N17_S64_L001_R2_001.fastq.gz.1</t>
  </si>
  <si>
    <t>https://sra-pub-src-1.s3.amazonaws.com/SRR10870123/S5_L60_N17_S60_L001_R2_001.fastq.gz.1</t>
  </si>
  <si>
    <t>https://sra-pub-src-1.s3.amazonaws.com/SRR10870124/S5_L49_N17_S56_L001_R2_001.fastq.gz.1</t>
  </si>
  <si>
    <t>https://sra-pub-src-1.s3.amazonaws.com/SRR10870125/S5_L47_N17_S52_L001_R2_001.fastq.gz.1</t>
  </si>
  <si>
    <t>https://sra-pub-src-1.s3.amazonaws.com/SRR10870126/S5_L30_N17_S48_L001_R2_001.fastq.gz.1</t>
  </si>
  <si>
    <t>https://sra-pub-src-1.s3.amazonaws.com/SRR10870127/S5_L29_N17_S44_L001_R2_001.fastq.gz.1</t>
  </si>
  <si>
    <t>https://sra-pub-src-1.s3.amazonaws.com/SRR10870128/S5_L09_N16_S29_L001_R2_001.fastq.gz.1</t>
  </si>
  <si>
    <t>https://sra-pub-src-1.s3.amazonaws.com/SRR10870129/S5_L27_N17_S40_L001_R2_001.fastq.gz.1</t>
  </si>
  <si>
    <t>https://sra-pub-src-1.s3.amazonaws.com/SRR10870130/S5_L19_N17_S35_L001_R2_001.fastq.gz.1</t>
  </si>
  <si>
    <t>https://sra-pub-src-1.s3.amazonaws.com/SRR10870131/S5_L09_N17_S30_L001_R2_001.fastq.gz.1</t>
  </si>
  <si>
    <t>https://sra-pub-src-1.s3.amazonaws.com/SRR10870132/S5_L08_N17_S26_L001_R2_001.fastq.gz.1</t>
  </si>
  <si>
    <t>https://sra-pub-src-1.s3.amazonaws.com/SRR10870133/S5_L69_J17_S69_L001_R2_001.fastq.gz.1</t>
  </si>
  <si>
    <t>https://sra-pub-src-1.s3.amazonaws.com/SRR10870134/S5_L68_J17_S65_L001_R2_001.fastq.gz.1</t>
  </si>
  <si>
    <t>https://sra-pub-src-1.s3.amazonaws.com/SRR10870135/S5_L66_J17_S61_L001_R2_001.fastq.gz.1</t>
  </si>
  <si>
    <t>https://sra-pub-src-1.s3.amazonaws.com/SRR10870136/S5_L60_J17_S59_L001_R2_001.fastq.gz.1</t>
  </si>
  <si>
    <t>https://sra-pub-src-1.s3.amazonaws.com/SRR10870137/NC_S5_05_S5_L001_R2_001.fastq.gz.1</t>
  </si>
  <si>
    <t>https://sra-pub-src-1.s3.amazonaws.com/SRR10870138/NC_S5_04_S4_L001_R2_001.fastq.gz.1</t>
  </si>
  <si>
    <t>https://sra-pub-src-1.s3.amazonaws.com/SRR10870139/NC_S5_03_S3_L001_R2_001.fastq.gz.1</t>
  </si>
  <si>
    <t>https://sra-pub-src-1.s3.amazonaws.com/SRR10870140/NC_S5_02_S2_L001_R2_001.fastq.gz.1</t>
  </si>
  <si>
    <t>https://sra-pub-src-1.s3.amazonaws.com/SRR10870141/NC_S5_01_S1_L001_R2_001.fastq.gz.1</t>
  </si>
  <si>
    <t>https://sra-pub-src-1.s3.amazonaws.com/SRR10870142/S5_051418_U_S16_L001_R2_001.fastq.gz.1</t>
  </si>
  <si>
    <t>https://sra-pub-src-1.s3.amazonaws.com/SRR10870143/S5_051418_O_S15_L001_R2_001.fastq.gz.1</t>
  </si>
  <si>
    <t>https://sra-pub-src-1.s3.amazonaws.com/SRR10870144/S5_L49_J17_S53_L001_R2_001.fastq.gz.1</t>
  </si>
  <si>
    <t>https://sra-pub-src-1.s3.amazonaws.com/SRR10870145/S5_030318_U_S10_L001_R2_001.fastq.gz.1</t>
  </si>
  <si>
    <t>https://sra-pub-src-1.s3.amazonaws.com/SRR10870146/S5_030318_O_S9_L001_R2_001.fastq.gz.1</t>
  </si>
  <si>
    <t>https://sra-pub-src-1.s3.amazonaws.com/SRR10870147/S5_121317_U_S22_L001_R2_001.fastq.gz.1</t>
  </si>
  <si>
    <t>https://sra-pub-src-1.s3.amazonaws.com/SRR10870148/S5_121317_O_S21_L001_R2_001.fastq.gz.1</t>
  </si>
  <si>
    <t>https://sra-pub-src-1.s3.amazonaws.com/SRR10870149/S5_091817_U_S20_L001_R2_001.fastq.gz.1</t>
  </si>
  <si>
    <t>https://sra-pub-src-1.s3.amazonaws.com/SRR10870150/S5_091817_O_S19_L001_R2_001.fastq.gz.1</t>
  </si>
  <si>
    <t>https://sra-pub-src-1.s3.amazonaws.com/SRR10870151/S5_051817_U_S18_L001_R2_001.fastq.gz.1</t>
  </si>
  <si>
    <t>https://sra-pub-src-1.s3.amazonaws.com/SRR10870152/S5_051817_O_S17_L001_R2_001.fastq.gz.1</t>
  </si>
  <si>
    <t>https://sra-pub-src-1.s3.amazonaws.com/SRR10870153/S5_040117_U_S12_L001_R2_001.fastq.gz.1</t>
  </si>
  <si>
    <t>https://sra-pub-src-1.s3.amazonaws.com/SRR10870154/S5_040117_O_S11_L001_R2_001.fastq.gz.1</t>
  </si>
  <si>
    <t>https://sra-pub-src-1.s3.amazonaws.com/SRR10870155/S5_L47_J17_S49_L001_R2_001.fastq.gz.1</t>
  </si>
  <si>
    <t>https://sra-pub-src-1.s3.amazonaws.com/SRR10870156/S5_L08_N16_S25_L001_R2_001.fastq.gz.1</t>
  </si>
  <si>
    <t>https://sra-pub-src-1.s3.amazonaws.com/SRR10870157/S5_020317_U_S8_L001_R2_001.fastq.gz.1</t>
  </si>
  <si>
    <t>https://sra-pub-src-1.s3.amazonaws.com/SRR10870158/S5_020317_O_S7_L001_R2_001.fastq.gz.1</t>
  </si>
  <si>
    <t>https://sra-pub-src-1.s3.amazonaws.com/SRR10870159/S5_050216_U_S14_L001_R2_001.fastq.gz.1</t>
  </si>
  <si>
    <t>https://sra-pub-src-1.s3.amazonaws.com/SRR10870160/S5_050216_O_S13_L001_R2_001.fastq.gz.1</t>
  </si>
  <si>
    <t>https://sra-pub-src-1.s3.amazonaws.com/SRR10870161/S5_S69_J18_S238_L001_R2_001.fastq.gz.1</t>
  </si>
  <si>
    <t>https://sra-pub-src-1.s3.amazonaws.com/SRR10870162/S5_S68_J18_S203_L001_R2_001.fastq.gz.1</t>
  </si>
  <si>
    <t>https://sra-pub-src-1.s3.amazonaws.com/SRR10870163/S5_S66_J18_S199_L001_R2_001.fastq.gz.1</t>
  </si>
  <si>
    <t>https://sra-pub-src-1.s3.amazonaws.com/SRR10870164/S5_S65_J18_S195_L001_R2_001.fastq.gz.1</t>
  </si>
  <si>
    <t>https://sra-pub-src-1.s3.amazonaws.com/SRR10870165/S5_S63_J18_S191_L001_R2_001.fastq.gz.1</t>
  </si>
  <si>
    <t>https://sra-pub-src-1.s3.amazonaws.com/SRR10870166/S5_S62_J18_S187_L001_R2_001.fastq.gz.1</t>
  </si>
  <si>
    <t>https://sra-pub-src-1.s3.amazonaws.com/SRR10870167/S5_L30_J17_S45_L001_R2_001.fastq.gz.1</t>
  </si>
  <si>
    <t>https://sra-pub-src-1.s3.amazonaws.com/SRR10870168/S5_S61_J18_S230_L001_R2_001.fastq.gz.1</t>
  </si>
  <si>
    <t>https://sra-pub-src-1.s3.amazonaws.com/SRR10870169/S5_S60_J18_S182_L001_R2_001.fastq.gz.1</t>
  </si>
  <si>
    <t>https://sra-pub-src-1.s3.amazonaws.com/SRR10870170/S5_S49_J18_S178_L001_R2_001.fastq.gz.1</t>
  </si>
  <si>
    <t>https://sra-pub-src-1.s3.amazonaws.com/SRR10870171/S5_S47_J18_S174_L001_R2_001.fastq.gz.1</t>
  </si>
  <si>
    <t>https://sra-pub-src-1.s3.amazonaws.com/SRR10870172/S5_S44_J18_S236_L001_R2_001.fastq.gz.1</t>
  </si>
  <si>
    <t>https://sra-pub-src-1.s3.amazonaws.com/SRR10870173/S5_S42_J18_S170_L001_R2_001.fastq.gz.1</t>
  </si>
  <si>
    <t>https://sra-pub-src-1.s3.amazonaws.com/SRR10870174/S5_S31_J18_S166_L001_R2_001.fastq.gz.1</t>
  </si>
  <si>
    <t>https://sra-pub-src-1.s3.amazonaws.com/SRR10870175/S5_S30_J18_S162_L001_R2_001.fastq.gz.1</t>
  </si>
  <si>
    <t>https://sra-pub-src-1.s3.amazonaws.com/SRR10870176/S5_S29_J18_S158_L001_R2_001.fastq.gz.1</t>
  </si>
  <si>
    <t>https://sra-pub-src-1.s3.amazonaws.com/SRR10870177/S5_S27_J18_S155_L001_R2_001.fastq.gz.1</t>
  </si>
  <si>
    <t>https://sra-pub-src-1.s3.amazonaws.com/SRR10870178/S5_L29_J17_S41_L001_R2_001.fastq.gz.1</t>
  </si>
  <si>
    <t>https://sra-pub-src-1.s3.amazonaws.com/SRR10870179/S5_S23_J18_S151_L001_R2_001.fastq.gz.1</t>
  </si>
  <si>
    <t>https://sra-pub-src-1.s3.amazonaws.com/SRR10870180/S5_S22_J18_S147_L001_R2_001.fastq.gz.1</t>
  </si>
  <si>
    <t>https://sra-pub-src-1.s3.amazonaws.com/SRR10870181/S5_S21_J18_S143_L001_R2_001.fastq.gz.1</t>
  </si>
  <si>
    <t>https://sra-pub-src-1.s3.amazonaws.com/SRR10870182/S5_S19_J18_S139_L001_R2_001.fastq.gz.1</t>
  </si>
  <si>
    <t>https://sra-pub-src-1.s3.amazonaws.com/SRR10870183/S5_S09_J18_S135_L001_R2_001.fastq.gz.1</t>
  </si>
  <si>
    <t>https://sra-pub-src-1.s3.amazonaws.com/SRR10870184/S5_S08_J18_S131_L001_R2_001.fastq.gz.1</t>
  </si>
  <si>
    <t>https://sra-pub-src-1.s3.amazonaws.com/SRR10870185/S5_S04_J18_S127_L001_R2_001.fastq.gz.1</t>
  </si>
  <si>
    <t>https://sra-pub-src-1.s3.amazonaws.com/SRR10870186/S5_S03_J18_S123_L001_R2_001.fastq.gz.1</t>
  </si>
  <si>
    <t>https://sra-pub-src-1.s3.amazonaws.com/SRR10870187/S5_S69_N17_S208_L001_R2_001.fastq.gz.1</t>
  </si>
  <si>
    <t>https://sra-pub-src-1.s3.amazonaws.com/SRR10870188/S5_S68_N17_S205_L001_R2_001.fastq.gz.1</t>
  </si>
  <si>
    <t>https://sra-pub-src-1.s3.amazonaws.com/SRR10870189/S5_L27_J17_S37_L001_R2_001.fastq.gz.1</t>
  </si>
  <si>
    <t>https://sra-pub-src-1.s3.amazonaws.com/SRR10870190/S5_S66_N17_S201_L001_R2_001.fastq.gz.1</t>
  </si>
  <si>
    <t>https://sra-pub-src-1.s3.amazonaws.com/SRR10870191/S5_S65_N17_S197_L001_R2_001.fastq.gz.1</t>
  </si>
  <si>
    <t>https://sra-pub-src-1.s3.amazonaws.com/SRR10870192/S5_S63_N17_S193_L001_R2_001.fastq.gz.1</t>
  </si>
  <si>
    <t>https://sra-pub-src-1.s3.amazonaws.com/SRR10870193/S5_S62_N17_S189_L001_R2_001.fastq.gz.1</t>
  </si>
  <si>
    <t>https://sra-pub-src-1.s3.amazonaws.com/SRR10870194/S5_S61_N17_S231_L001_R2_001.fastq.gz.1</t>
  </si>
  <si>
    <t>https://sra-pub-src-1.s3.amazonaws.com/SRR10870195/S5_S60_N17_S184_L001_R2_001.fastq.gz.1</t>
  </si>
  <si>
    <t>https://sra-pub-src-1.s3.amazonaws.com/SRR10870196/S5_S49_N17_S180_L001_R2_001.fastq.gz.1</t>
  </si>
  <si>
    <t>https://sra-pub-src-1.s3.amazonaws.com/SRR10870197/S5_S47_N17_S176_L001_R2_001.fastq.gz.1</t>
  </si>
  <si>
    <t>https://sra-pub-src-1.s3.amazonaws.com/SRR10870198/S5_S44_N17_S237_L001_R2_001.fastq.gz.1</t>
  </si>
  <si>
    <t>https://sra-pub-src-1.s3.amazonaws.com/SRR10870199/S5_S42_N17_S234_L001_R2_001.fastq.gz.1</t>
  </si>
  <si>
    <t>https://sra-pub-src-1.s3.amazonaws.com/SRR10870200/S5_L19_J17_S32_L001_R2_001.fastq.gz.1</t>
  </si>
  <si>
    <t>https://sra-pub-src-1.s3.amazonaws.com/SRR10870201/S5_S31_N17_S168_L001_R2_001.fastq.gz.1</t>
  </si>
  <si>
    <t>https://sra-pub-src-1.s3.amazonaws.com/SRR10870202/S5_S30_N17_S164_L001_R2_001.fastq.gz.1</t>
  </si>
  <si>
    <t>https://sra-pub-src-1.s3.amazonaws.com/SRR10870203/S5_S29_N17_S160_L001_R2_001.fastq.gz.1</t>
  </si>
  <si>
    <t>https://sra-pub-src-1.s3.amazonaws.com/SRR10870204/S5_S27_N17_S157_L001_R2_001.fastq.gz.1</t>
  </si>
  <si>
    <t>https://sra-pub-src-1.s3.amazonaws.com/SRR10870205/S5_S08_J17_S130_L001_R2_001.fastq.gz.1</t>
  </si>
  <si>
    <t>https://sra-pub-src-1.s3.amazonaws.com/SRR10870206/S5_S04_J17_S126_L001_R2_001.fastq.gz.1</t>
  </si>
  <si>
    <t>https://sra-pub-src-1.s3.amazonaws.com/SRR10870207/S5_S03_J17_S122_L001_R2_001.fastq.gz.1</t>
  </si>
  <si>
    <t>https://sra-pub-src-1.s3.amazonaws.com/SRR10870208/S5_S69_N16_S207_L001_R2_001.fastq.gz.1</t>
  </si>
  <si>
    <t>https://sra-pub-src-1.s3.amazonaws.com/SRR10870209/S5_S68_N16_S204_L001_R2_001.fastq.gz.1</t>
  </si>
  <si>
    <t>https://sra-pub-src-1.s3.amazonaws.com/SRR10870210/S5_S66_N16_S200_L001_R2_001.fastq.gz.1</t>
  </si>
  <si>
    <t>https://sra-pub-src-1.s3.amazonaws.com/SRR10870211/S5_S65_N16_S196_L001_R2_001.fastq.gz.1</t>
  </si>
  <si>
    <t>https://sra-pub-src-1.s3.amazonaws.com/SRR10870212/S5_L68_N16_S67_L001_R2_001.fastq.gz.1</t>
  </si>
  <si>
    <t>https://sra-pub-src-1.s3.amazonaws.com/SRR10870213/S5_S63_N16_S192_L001_R2_001.fastq.gz.1</t>
  </si>
  <si>
    <t>https://sra-pub-src-1.s3.amazonaws.com/SRR10870214/S5_S62_N16_S188_L001_R2_001.fastq.gz.1</t>
  </si>
  <si>
    <t>https://sra-pub-src-1.s3.amazonaws.com/SRR10870215/S5_S61_N16_S185_L001_R2_001.fastq.gz.1</t>
  </si>
  <si>
    <t>https://sra-pub-src-1.s3.amazonaws.com/SRR10870216/S5_S60_N16_S183_L001_R2_001.fastq.gz.1</t>
  </si>
  <si>
    <t>https://sra-pub-src-1.s3.amazonaws.com/SRR10870217/S5_S49_N16_S179_L001_R2_001.fastq.gz.1</t>
  </si>
  <si>
    <t>https://sra-pub-src-1.s3.amazonaws.com/SRR10870218/S5_S47_N16_S175_L001_R2_001.fastq.gz.1</t>
  </si>
  <si>
    <t>https://sra-pub-src-1.s3.amazonaws.com/SRR10870219/S5_S44_N16_S172_L001_R2_001.fastq.gz.1</t>
  </si>
  <si>
    <t>https://sra-pub-src-1.s3.amazonaws.com/SRR10870220/S5_S42_N16_S171_L001_R2_001.fastq.gz.1</t>
  </si>
  <si>
    <t>https://sra-pub-src-1.s3.amazonaws.com/SRR10870221/S5_S31_N16_S167_L001_R2_001.fastq.gz.1</t>
  </si>
  <si>
    <t>https://sra-pub-src-1.s3.amazonaws.com/SRR10870222/S5_S30_N16_S163_L001_R2_001.fastq.gz.1</t>
  </si>
  <si>
    <t>https://sra-pub-src-1.s3.amazonaws.com/SRR10870223/S5_L66_N16_S63_L001_R2_001.fastq.gz.1</t>
  </si>
  <si>
    <t>https://sra-pub-src-1.s3.amazonaws.com/SRR10870224/S5_S29_N16_S159_L001_R2_001.fastq.gz.1</t>
  </si>
  <si>
    <t>https://sra-pub-src-1.s3.amazonaws.com/SRR10870225/S5_S27_N16_S156_L001_R2_001.fastq.gz.1</t>
  </si>
  <si>
    <t>https://sra-pub-src-1.s3.amazonaws.com/SRR10870226/S5_S23_N16_S152_L001_R2_001.fastq.gz.1</t>
  </si>
  <si>
    <t>https://sra-pub-src-1.s3.amazonaws.com/SRR10870227/S5_S22_N16_S148_L001_R2_001.fastq.gz.1</t>
  </si>
  <si>
    <t>https://sra-pub-src-1.s3.amazonaws.com/SRR10870228/S5_S21_N16_S144_L001_R2_001.fastq.gz.1</t>
  </si>
  <si>
    <t>https://sra-pub-src-1.s3.amazonaws.com/SRR10870229/S5_S19_N16_S140_L001_R2_001.fastq.gz.1</t>
  </si>
  <si>
    <t>https://sra-pub-src-1.s3.amazonaws.com/SRR10870230/S5_S09_N16_S136_L001_R2_001.fastq.gz.1</t>
  </si>
  <si>
    <t>https://sra-pub-src-1.s3.amazonaws.com/SRR10870231/S5_S08_N16_S132_L001_R2_001.fastq.gz.1</t>
  </si>
  <si>
    <t>https://sra-pub-src-1.s3.amazonaws.com/SRR10870232/S5_S04_N16_S128_L001_R2_001.fastq.gz.1</t>
  </si>
  <si>
    <t>https://sra-pub-src-1.s3.amazonaws.com/SRR10870233/S5_S03_N16_S124_L001_R2_001.fastq.gz.1</t>
  </si>
  <si>
    <t>https://sra-pub-src-1.s3.amazonaws.com/SRR10870234/S5_L60_N16_S57_L001_R2_001.fastq.gz.1</t>
  </si>
  <si>
    <t>https://sra-pub-src-1.s3.amazonaws.com/SRR10870235/S5_L2_PE_S36_L001_R2_001.fastq.gz.1</t>
  </si>
  <si>
    <t>https://sra-pub-src-1.s3.amazonaws.com/SRR10870236/S5_L1_PE_S31_L001_R2_001.fastq.gz.1</t>
  </si>
  <si>
    <t>https://sra-pub-src-1.s3.amazonaws.com/SRR10870105/S5_R1_PE_S81_L001_R2_001.fastq.gz.1</t>
  </si>
  <si>
    <t>SRR Index</t>
  </si>
  <si>
    <t>sheet_metadata</t>
  </si>
  <si>
    <t>Sheet Name</t>
  </si>
  <si>
    <t>column_header_metadata</t>
  </si>
  <si>
    <t>sample_sets_metadata</t>
  </si>
  <si>
    <t>ncbi</t>
  </si>
  <si>
    <t>oil</t>
  </si>
  <si>
    <t>meso_chem_summary</t>
  </si>
  <si>
    <t>list of all column headers on all sheets, description of data in each column and how it was collected</t>
  </si>
  <si>
    <t>list of all sheets in the excel workbook and a general description of the data on each sheet</t>
  </si>
  <si>
    <t>lists of sample subsets that were collected from the experiment.  For example, heavy metal data was only collected in June of 2018.</t>
  </si>
  <si>
    <t>key of sample names and basic experimental design information that applies to all sample sets.  This information should be used to coordinate data sets in R.</t>
  </si>
  <si>
    <t>metadata that is particular to the samples taken for micorbial sequencing and library prep</t>
  </si>
  <si>
    <t>metadata about the storage of microbial sequence data on NCBI databases</t>
  </si>
  <si>
    <t>measurements of plant morphology (height, diameter, etc) taken every 6 months</t>
  </si>
  <si>
    <t>measurements of plant inflorescences taken each November during the experiment (two times total)</t>
  </si>
  <si>
    <t>measurements of plant tissue carbon and nitrogen content. Taken every 6 months.</t>
  </si>
  <si>
    <t>measurements of plant biomass, taken at the end of the experiment in June 2018</t>
  </si>
  <si>
    <t>measurements of heavy metal content of plant tissue taken at the end of the experiment in June 2018</t>
  </si>
  <si>
    <t>pH and conductivity data for each mesocosm.  Only data points that correspond to the 6-month sampling periods are included here.</t>
  </si>
  <si>
    <t>polycyclic aromatic hydrocarbon content data for plant and soil tissue.  Taken every 6 months.</t>
  </si>
  <si>
    <t>pH and conductivity data for each treatment group.  All data (taken more frequently than every 6 months) averaged to describe mesocosm conditions during the experiment.</t>
  </si>
  <si>
    <t>soil and air temperature and humidity in the greenhouse, taken with ibutton data loggers. All data (taken more frequently than every 6 months) averaged to describe greenhouse conditions during the experiment.</t>
  </si>
  <si>
    <t>Data Set</t>
  </si>
  <si>
    <t>plant morphology</t>
  </si>
  <si>
    <t xml:space="preserve">Measured for all 10 replicates per treatment every time point.  </t>
  </si>
  <si>
    <t>Because of budgetary constraints, only 3 replicates were sequenced for each treatment and time point, instead of the complete 10 per treatment.  Sequencing was done for soil, roots and leaves.  ITS1 (fungal) sequences were extracted and library prep done at Tulane University.  16s (bacterial) sequences were extracted and library prep done at Duke University.  Miscommunications caused the ITS and 16S samples to be named slightly differently, but the column_header_metadata sheet clarifies the differences.</t>
  </si>
  <si>
    <t>Carbon/Nitrogen</t>
  </si>
  <si>
    <t>Measured for all 10 replicates per treatment every time point for root and leaf tissue.  In a few cases, there was not enough tissue for analysis.</t>
  </si>
  <si>
    <t>Biomass</t>
  </si>
  <si>
    <t>Measured for all 10 replicates per treatment for the June 2018 final harvest.</t>
  </si>
  <si>
    <t>Heavy Metals</t>
  </si>
  <si>
    <t>Oil</t>
  </si>
  <si>
    <t>S5_L06_N16</t>
  </si>
  <si>
    <t>S5_L07_N16</t>
  </si>
  <si>
    <t>S5_L10_N16</t>
  </si>
  <si>
    <t>S5_L16_N16</t>
  </si>
  <si>
    <t>S5_L17_N16</t>
  </si>
  <si>
    <t>S5_L18_N16</t>
  </si>
  <si>
    <t>S5_L20_N16</t>
  </si>
  <si>
    <t>S5_L26_N16</t>
  </si>
  <si>
    <t>S5_L28_N16</t>
  </si>
  <si>
    <t>S5_L36_N16</t>
  </si>
  <si>
    <t>S5_L37_N16</t>
  </si>
  <si>
    <t>S5_L38_N16</t>
  </si>
  <si>
    <t>S5_L39_N16</t>
  </si>
  <si>
    <t>S5_L45_N16</t>
  </si>
  <si>
    <t>S5_L46_N16</t>
  </si>
  <si>
    <t>S5_L48_N16</t>
  </si>
  <si>
    <t>S5_L50_N16</t>
  </si>
  <si>
    <t>S5_L56_N16</t>
  </si>
  <si>
    <t>S5_L57_N16</t>
  </si>
  <si>
    <t>S5_L58_N16</t>
  </si>
  <si>
    <t>S5_L59_N16</t>
  </si>
  <si>
    <t>S5_L67_N16</t>
  </si>
  <si>
    <t>S5_L70_N16</t>
  </si>
  <si>
    <t>S5_L76_N16</t>
  </si>
  <si>
    <t>S5_L77_N16</t>
  </si>
  <si>
    <t>S5_L78_N16</t>
  </si>
  <si>
    <t>S5_L79_N16</t>
  </si>
  <si>
    <t>S5_L80_N16</t>
  </si>
  <si>
    <t>S5_R06_N16</t>
  </si>
  <si>
    <t>S5_R07_N16</t>
  </si>
  <si>
    <t>S5_R10_N16</t>
  </si>
  <si>
    <t>S5_R16_N16</t>
  </si>
  <si>
    <t>S5_R17_N16</t>
  </si>
  <si>
    <t>S5_R18_N16</t>
  </si>
  <si>
    <t>S5_R20_N16</t>
  </si>
  <si>
    <t>S5_R26_N16</t>
  </si>
  <si>
    <t>S5_R28_N16</t>
  </si>
  <si>
    <t>S5_R36_N16</t>
  </si>
  <si>
    <t>S5_R37_N16</t>
  </si>
  <si>
    <t>S5_R38_N16</t>
  </si>
  <si>
    <t>S5_R39_N16</t>
  </si>
  <si>
    <t>S5_R45_N16</t>
  </si>
  <si>
    <t>S5_R46_N16</t>
  </si>
  <si>
    <t>S5_R48_N16</t>
  </si>
  <si>
    <t>S5_R50_N16</t>
  </si>
  <si>
    <t>S5_R56_N16</t>
  </si>
  <si>
    <t>S5_R57_N16</t>
  </si>
  <si>
    <t>S5_R58_N16</t>
  </si>
  <si>
    <t>S5_R59_N16</t>
  </si>
  <si>
    <t>S5_R67_N16</t>
  </si>
  <si>
    <t>S5_R70_N16</t>
  </si>
  <si>
    <t>S5_R76_N16</t>
  </si>
  <si>
    <t>S5_R77_N16</t>
  </si>
  <si>
    <t>S5_R78_N16</t>
  </si>
  <si>
    <t>S5_R79_N16</t>
  </si>
  <si>
    <t>S5_R80_N16</t>
  </si>
  <si>
    <t>S5_S01_N16</t>
  </si>
  <si>
    <t>S5_S02_N16</t>
  </si>
  <si>
    <t>S5_S05_N16</t>
  </si>
  <si>
    <t>S5_S06_N16</t>
  </si>
  <si>
    <t>S5_S07_N16</t>
  </si>
  <si>
    <t>S5_S10_N16</t>
  </si>
  <si>
    <t>S5_S11_N16</t>
  </si>
  <si>
    <t>S5_S12_N16</t>
  </si>
  <si>
    <t>S5_S13_N16</t>
  </si>
  <si>
    <t>S5_S14_N16</t>
  </si>
  <si>
    <t>S5_S15_N16</t>
  </si>
  <si>
    <t>S5_S16_N16</t>
  </si>
  <si>
    <t>S5_S17_N16</t>
  </si>
  <si>
    <t>S5_S18_N16</t>
  </si>
  <si>
    <t>S5_S20_N16</t>
  </si>
  <si>
    <t>S5_S24_N16</t>
  </si>
  <si>
    <t>S5_S25_N16</t>
  </si>
  <si>
    <t>S5_S26_N16</t>
  </si>
  <si>
    <t>S5_S28_N16</t>
  </si>
  <si>
    <t>S5_S32_N16</t>
  </si>
  <si>
    <t>S5_S33_N16</t>
  </si>
  <si>
    <t>S5_S34_N16</t>
  </si>
  <si>
    <t>S5_S35_N16</t>
  </si>
  <si>
    <t>S5_S36_N16</t>
  </si>
  <si>
    <t>S5_S37_N16</t>
  </si>
  <si>
    <t>S5_S38_N16</t>
  </si>
  <si>
    <t>S5_S39_N16</t>
  </si>
  <si>
    <t>S5_S40_N16</t>
  </si>
  <si>
    <t>S5_S41_N16</t>
  </si>
  <si>
    <t>S5_S43_N16</t>
  </si>
  <si>
    <t>S5_S45_N16</t>
  </si>
  <si>
    <t>S5_S46_N16</t>
  </si>
  <si>
    <t>S5_S48_N16</t>
  </si>
  <si>
    <t>S5_S50_N16</t>
  </si>
  <si>
    <t>S5_S51_N16</t>
  </si>
  <si>
    <t>S5_S52_N16</t>
  </si>
  <si>
    <t>S5_S53_N16</t>
  </si>
  <si>
    <t>S5_S54_N16</t>
  </si>
  <si>
    <t>S5_S55_N16</t>
  </si>
  <si>
    <t>S5_S56_N16</t>
  </si>
  <si>
    <t>S5_S57_N16</t>
  </si>
  <si>
    <t>S5_S58_N16</t>
  </si>
  <si>
    <t>S5_S59_N16</t>
  </si>
  <si>
    <t>S5_S64_N16</t>
  </si>
  <si>
    <t>S5_S67_N16</t>
  </si>
  <si>
    <t>S5_S70_N16</t>
  </si>
  <si>
    <t>S5_S71_N16</t>
  </si>
  <si>
    <t>S5_S72_N16</t>
  </si>
  <si>
    <t>S5_S73_N16</t>
  </si>
  <si>
    <t>S5_S74_N16</t>
  </si>
  <si>
    <t>S5_S75_N16</t>
  </si>
  <si>
    <t>S5_S76_N16</t>
  </si>
  <si>
    <t>S5_S77_N16</t>
  </si>
  <si>
    <t>S5_S78_N16</t>
  </si>
  <si>
    <t>S5_S79_N16</t>
  </si>
  <si>
    <t>S5_S80_N16</t>
  </si>
  <si>
    <t>Measured for 3 replicates per treatment and time point, for soil, roots.  Replicate numbers correspond to the microbial samples described above.  However, initially the plan was to analyze all 10 replicates and include leaf tissue.  Consequently, for the November 2016 sampling period we have complete sample sets (10 rpelicates) and include leaf tissue, but leaf tissue proved to not be accumulating much oil.</t>
  </si>
  <si>
    <t>Measured for 3 replicates per treatment for the June 2018 final harvest, but only for roots and leaves.  Replicate numbers correspond to the microbial samples described above.</t>
  </si>
  <si>
    <t>CN, oil, microbial</t>
  </si>
  <si>
    <t>Leaf, Root, or Soil tissue.  For ITS sequencing, inoculum was also sequenced and is labeled as Inoc.</t>
  </si>
  <si>
    <t>total measured hopanes by GC/MS (an Agilent 6890 N gas chromatograph equipped with a 5973 N mass selective detector) in µg/g</t>
  </si>
  <si>
    <t>Weathering ratio to examine the degradation of 3-ring PAHs vs 4-ring PAHs.  The ratio of total_methy_naph / (total_methy_naph + total_methy_chry)</t>
  </si>
  <si>
    <t>Weathering ratio to examine the degradation of 3-ring PAHs vs 4-ring PAHs.  The ratio of total_methy_dibenz / (total_methy_dibenz + total_methy_chry)</t>
  </si>
  <si>
    <t>Weathering ratio to examine the degradation of 3-ring PAHs vs 4-ring PAHs.  The ratio of total_methy_phen / (total_methy_phen + total_methy_chry)</t>
  </si>
  <si>
    <t>mean stem height in cm.  This was recorded by measuring the height, from soil surface to tip of unfurled leaf to the nearest 0.5 cm, of 20 haphazardly selected stems that the collector thought were representative of the plant.  These values were then averaged.  Care was taken to sample stems on throughout the entire mesocosm.  However, for sampling period N16 height was only recorded for 5 stems that were seen as representative of the plant height.  Out of inexperience Steve measured stems to the closest half-inch and then converted the values to cm by multiplying by 2.54.  For N16 he also did not measure height, diameter, or number of leaves for the same stem, so these numbers cannot be correlated except at the mesocosm level.</t>
  </si>
  <si>
    <t>mean_MSY_air_temp</t>
  </si>
  <si>
    <t>min_MSY_air_temp</t>
  </si>
  <si>
    <t>max_MSY_air_temp</t>
  </si>
  <si>
    <t>MSY-gh_mean_air</t>
  </si>
  <si>
    <t>MSY-gh_min_air</t>
  </si>
  <si>
    <t>MSY-gh_max_air</t>
  </si>
  <si>
    <t>MSY-gh_mean_soil</t>
  </si>
  <si>
    <t>geochip</t>
  </si>
  <si>
    <t>mean air temperature for each month, recorded at MSY (New Orleans airport).  National Weather Service data.</t>
  </si>
  <si>
    <t>min air temperature (°C) for each month, recorded at MSY (New Orleans airport).  National Weather Service data.</t>
  </si>
  <si>
    <t>max air temperature (°C) for each month, recorded at MSY (New Orleans airport).  National Weather Service data.</t>
  </si>
  <si>
    <t>difference between the monthly air temperature (°C) mean measured at the airport and in the greenhouse</t>
  </si>
  <si>
    <t>difference between the monthly air temperature (°C) min measured at the airport and in the greenhouse</t>
  </si>
  <si>
    <t>difference between the monthly air temperature (°C) max measured at the airport and in the greenhouse</t>
  </si>
  <si>
    <t>difference between the monthly air temperature (°C) max measured at the airport and in the greenhouse soil</t>
  </si>
  <si>
    <t>geo_series_acc</t>
  </si>
  <si>
    <t>ncbi_acc</t>
  </si>
  <si>
    <t>sample_ID_geochip</t>
  </si>
  <si>
    <t>sampleID given by Duke University in processing the Geochip</t>
  </si>
  <si>
    <t>microbial, CN, heavy_metal, geochip</t>
  </si>
  <si>
    <t>Links to raw data in ncbi for geochip microarray analyses</t>
  </si>
  <si>
    <t>project accession ID on NCBI gene expression omnibus</t>
  </si>
  <si>
    <t>sample accession ID on NCBI gene expression omnibus</t>
  </si>
  <si>
    <t>mean monthly air temperature in °C recorded at the New Orleans airport (MSY) by the National Weather Service</t>
  </si>
  <si>
    <t>min monthly air temperature in °C recorded at the New Orleans airport (MSY) by the National Weather Service</t>
  </si>
  <si>
    <t>max monthly air temperature in °C recorded at the New Orleans airport (MSY) by the National Weather Service</t>
  </si>
  <si>
    <t>Difference between the mean MSY air temp and the mean greenhouse air temp</t>
  </si>
  <si>
    <t>Difference between the min MSY air temp and the min greenhouse air temp</t>
  </si>
  <si>
    <t>Difference between the max MSY air temp and the max greenhouse air temp</t>
  </si>
  <si>
    <t>Difference between the mean MSY air temp and the mean greenhouse soil temp</t>
  </si>
  <si>
    <r>
      <t xml:space="preserve">Unit = </t>
    </r>
    <r>
      <rPr>
        <sz val="11"/>
        <color theme="1"/>
        <rFont val="Calibri"/>
        <family val="2"/>
      </rPr>
      <t>µ</t>
    </r>
    <r>
      <rPr>
        <sz val="11"/>
        <color theme="1"/>
        <rFont val="Calibri"/>
        <family val="2"/>
        <scheme val="minor"/>
      </rPr>
      <t>g/g.  Sum of C1-C2-C3- and C4 naphthalenes, C1-, C2- C3- and C4 phenanthrenes, C1-, C2- and C3-dibenzothiophenes and C1-, C2- and C3-chrysenes in µg/g as measured by GC/MS (an Agilent 6890 N gas chromatograph equipped with a 5973 N mass selective detector)</t>
    </r>
  </si>
  <si>
    <t>Unit = µg/g.  Sum of C1-C2-C3- and C4 naphthalenes in µg/g as measured by GC/MS (an Agilent 6890 N gas chromatograph equipped with a 5973 N mass selective detector)</t>
  </si>
  <si>
    <t>Unit = µg/g.  Sum of C1-, C2- and C3-dibenzothiophenes in µg/g as measured by GC/MS (an Agilent 6890 N gas chromatograph equipped with a 5973 N mass selective detector)</t>
  </si>
  <si>
    <t>Unit = µg/g.  Sum of C1-, C2- C3- and C4 phenanthrenes in µg/g as measured by GC/MS (an Agilent 6890 N gas chromatograph equipped with a 5973 N mass selective detector)</t>
  </si>
  <si>
    <t>Unit = µg/g.  Sum of C1-, C2- and C3-chrysenes in µg/g as measured by GC/MS (an Agilent 6890 N gas chromatograph equipped with a 5973 N mass selective detector)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</si>
</sst>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3" x14ac:knownFonts="1">
    <font>
      <sz val="11"/>
      <color theme="1"/>
      <name val="Calibri"/>
      <family val="2"/>
      <scheme val="minor"/>
    </font>
    <font>
      <b/>
      <sz val="11"/>
      <color theme="1"/>
      <name val="Calibri"/>
      <family val="2"/>
      <scheme val="minor"/>
    </font>
    <font>
      <sz val="11"/>
      <color rgb="FF000000"/>
      <name val="Calibri"/>
      <family val="2"/>
      <scheme val="minor"/>
    </font>
    <font>
      <sz val="10"/>
      <name val="Arial"/>
      <family val="2"/>
    </font>
    <font>
      <u/>
      <sz val="11"/>
      <color theme="10"/>
      <name val="Calibri"/>
      <family val="2"/>
      <scheme val="minor"/>
    </font>
    <font>
      <u/>
      <sz val="11"/>
      <color theme="11"/>
      <name val="Calibri"/>
      <family val="2"/>
      <scheme val="minor"/>
    </font>
    <font>
      <sz val="8"/>
      <name val="Calibri"/>
      <family val="2"/>
      <scheme val="minor"/>
    </font>
    <font>
      <b/>
      <sz val="10"/>
      <name val="Arial"/>
      <family val="2"/>
    </font>
    <font>
      <sz val="12"/>
      <color rgb="FF3F3F76"/>
      <name val="Calibri"/>
      <family val="2"/>
      <scheme val="minor"/>
    </font>
    <font>
      <b/>
      <sz val="12"/>
      <color rgb="FF3F3F76"/>
      <name val="Calibri"/>
      <family val="2"/>
      <scheme val="minor"/>
    </font>
    <font>
      <sz val="11"/>
      <color theme="1"/>
      <name val="Cambria"/>
      <family val="1"/>
    </font>
    <font>
      <sz val="11"/>
      <color theme="1"/>
      <name val="Arial"/>
      <family val="2"/>
    </font>
    <font>
      <sz val="11"/>
      <color theme="1"/>
      <name val="Calibri"/>
      <family val="2"/>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2" borderId="1" applyNumberFormat="0" applyAlignment="0" applyProtection="0"/>
    <xf numFmtId="0" fontId="4" fillId="0" borderId="0" applyNumberFormat="0" applyFill="0" applyBorder="0" applyAlignment="0" applyProtection="0"/>
  </cellStyleXfs>
  <cellXfs count="33">
    <xf numFmtId="0" fontId="0" fillId="0" borderId="0" xfId="0"/>
    <xf numFmtId="14" fontId="0" fillId="0" borderId="0" xfId="0" applyNumberFormat="1"/>
    <xf numFmtId="0" fontId="1" fillId="0" borderId="0" xfId="0" applyFont="1"/>
    <xf numFmtId="14" fontId="2" fillId="0" borderId="0" xfId="0" applyNumberFormat="1" applyFont="1"/>
    <xf numFmtId="14" fontId="2" fillId="0" borderId="0" xfId="0" applyNumberFormat="1" applyFont="1" applyFill="1"/>
    <xf numFmtId="0" fontId="0" fillId="0" borderId="0" xfId="0" applyFill="1"/>
    <xf numFmtId="14" fontId="0" fillId="0" borderId="0" xfId="0" applyNumberFormat="1" applyFill="1"/>
    <xf numFmtId="0" fontId="0" fillId="0" borderId="0" xfId="0" applyNumberFormat="1"/>
    <xf numFmtId="2" fontId="0" fillId="0" borderId="0" xfId="0" applyNumberFormat="1"/>
    <xf numFmtId="164" fontId="0" fillId="0" borderId="0" xfId="0" applyNumberFormat="1"/>
    <xf numFmtId="165" fontId="0" fillId="0" borderId="0" xfId="0" applyNumberFormat="1"/>
    <xf numFmtId="0" fontId="0" fillId="0" borderId="0" xfId="0" applyAlignment="1">
      <alignment wrapText="1"/>
    </xf>
    <xf numFmtId="0" fontId="0" fillId="0" borderId="0" xfId="0" applyFont="1"/>
    <xf numFmtId="0" fontId="3" fillId="0" borderId="0" xfId="0" applyFont="1"/>
    <xf numFmtId="14" fontId="3" fillId="0" borderId="0" xfId="0" applyNumberFormat="1" applyFont="1"/>
    <xf numFmtId="165" fontId="1" fillId="0" borderId="0" xfId="0" applyNumberFormat="1" applyFont="1"/>
    <xf numFmtId="14" fontId="1" fillId="0" borderId="0" xfId="0" applyNumberFormat="1" applyFont="1"/>
    <xf numFmtId="0" fontId="7" fillId="0" borderId="0" xfId="0" applyFont="1"/>
    <xf numFmtId="164" fontId="1" fillId="0" borderId="0" xfId="0" applyNumberFormat="1" applyFont="1"/>
    <xf numFmtId="14" fontId="0" fillId="0" borderId="0" xfId="0" applyNumberFormat="1" applyFont="1"/>
    <xf numFmtId="0" fontId="0" fillId="0" borderId="0" xfId="0" applyFont="1" applyAlignment="1">
      <alignment wrapText="1"/>
    </xf>
    <xf numFmtId="0" fontId="0" fillId="0" borderId="0" xfId="0" applyFont="1" applyAlignment="1">
      <alignment vertical="top" wrapText="1"/>
    </xf>
    <xf numFmtId="2" fontId="0" fillId="0" borderId="0" xfId="0" applyNumberFormat="1" applyFont="1"/>
    <xf numFmtId="165" fontId="0" fillId="0" borderId="0" xfId="0" applyNumberFormat="1" applyFont="1"/>
    <xf numFmtId="164" fontId="0" fillId="0" borderId="0" xfId="0" applyNumberFormat="1" applyFont="1"/>
    <xf numFmtId="0" fontId="0" fillId="0" borderId="0" xfId="0" applyFont="1" applyFill="1" applyAlignment="1">
      <alignment wrapText="1"/>
    </xf>
    <xf numFmtId="0" fontId="4" fillId="0" borderId="0" xfId="16"/>
    <xf numFmtId="2" fontId="1" fillId="0" borderId="0" xfId="0" applyNumberFormat="1" applyFont="1"/>
    <xf numFmtId="0" fontId="9" fillId="2" borderId="1" xfId="15" applyFont="1"/>
    <xf numFmtId="0" fontId="9" fillId="2" borderId="1" xfId="15" applyFont="1" applyAlignment="1">
      <alignment wrapText="1"/>
    </xf>
    <xf numFmtId="166" fontId="10" fillId="0" borderId="0" xfId="0" applyNumberFormat="1" applyFont="1"/>
    <xf numFmtId="166" fontId="10" fillId="0" borderId="0" xfId="0" applyNumberFormat="1" applyFont="1" applyAlignment="1">
      <alignment horizontal="right"/>
    </xf>
    <xf numFmtId="0" fontId="11" fillId="0" borderId="0" xfId="0" applyFont="1" applyAlignment="1">
      <alignment vertical="center"/>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cellStyle name="Input" xfId="15"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hyperlink" Target="https://github.com/sformel/S5/blob/master/join_example.R"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github.com/sformel/S5/blob/master/join_example.R"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github.com/sformel/S5/blob/master/join_example.R"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github.com/sformel/S5/blob/master/join_example.R" TargetMode="External"/></Relationships>
</file>

<file path=xl/drawings/drawing1.xml><?xml version="1.0" encoding="utf-8"?>
<xdr:wsDr xmlns:xdr="http://schemas.openxmlformats.org/drawingml/2006/spreadsheetDrawing" xmlns:a="http://schemas.openxmlformats.org/drawingml/2006/main">
  <xdr:oneCellAnchor>
    <xdr:from>
      <xdr:col>0</xdr:col>
      <xdr:colOff>1266825</xdr:colOff>
      <xdr:row>4</xdr:row>
      <xdr:rowOff>38100</xdr:rowOff>
    </xdr:from>
    <xdr:ext cx="4095750" cy="436786"/>
    <xdr:sp macro="" textlink="">
      <xdr:nvSpPr>
        <xdr:cNvPr id="3" name="TextBox 2">
          <a:hlinkClick xmlns:r="http://schemas.openxmlformats.org/officeDocument/2006/relationships" r:id="rId1"/>
          <a:extLst>
            <a:ext uri="{FF2B5EF4-FFF2-40B4-BE49-F238E27FC236}">
              <a16:creationId xmlns:a16="http://schemas.microsoft.com/office/drawing/2014/main" id="{60322DFA-E983-4F52-824C-6534AA8219B3}"/>
            </a:ext>
          </a:extLst>
        </xdr:cNvPr>
        <xdr:cNvSpPr txBox="1"/>
      </xdr:nvSpPr>
      <xdr:spPr>
        <a:xfrm>
          <a:off x="1266825" y="828675"/>
          <a:ext cx="4095750" cy="43678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Script on github explaining the basics of coordinating data in R</a:t>
          </a:r>
          <a:r>
            <a:rPr lang="en-US"/>
            <a:t> </a:t>
          </a:r>
          <a:r>
            <a:rPr lang="en-US" sz="1100" b="0" i="0" u="sng" strike="noStrike">
              <a:solidFill>
                <a:schemeClr val="tx1"/>
              </a:solidFill>
              <a:effectLst/>
              <a:latin typeface="+mn-lt"/>
              <a:ea typeface="+mn-ea"/>
              <a:cs typeface="+mn-cs"/>
            </a:rPr>
            <a:t>join_example.R</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1209675</xdr:colOff>
      <xdr:row>3</xdr:row>
      <xdr:rowOff>114300</xdr:rowOff>
    </xdr:from>
    <xdr:ext cx="4095750" cy="436786"/>
    <xdr:sp macro="" textlink="">
      <xdr:nvSpPr>
        <xdr:cNvPr id="4" name="TextBox 3">
          <a:hlinkClick xmlns:r="http://schemas.openxmlformats.org/officeDocument/2006/relationships" r:id="rId1"/>
          <a:extLst>
            <a:ext uri="{FF2B5EF4-FFF2-40B4-BE49-F238E27FC236}">
              <a16:creationId xmlns:a16="http://schemas.microsoft.com/office/drawing/2014/main" id="{C9381725-E4A2-467B-9D80-F1FF151F544B}"/>
            </a:ext>
          </a:extLst>
        </xdr:cNvPr>
        <xdr:cNvSpPr txBox="1"/>
      </xdr:nvSpPr>
      <xdr:spPr>
        <a:xfrm>
          <a:off x="1209675" y="695325"/>
          <a:ext cx="4095750" cy="43678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Script on github explaining the basics of coordinating data in R</a:t>
          </a:r>
          <a:r>
            <a:rPr lang="en-US"/>
            <a:t> </a:t>
          </a:r>
          <a:r>
            <a:rPr lang="en-US" sz="1100" b="0" i="0" u="sng" strike="noStrike">
              <a:solidFill>
                <a:schemeClr val="tx1"/>
              </a:solidFill>
              <a:effectLst/>
              <a:latin typeface="+mn-lt"/>
              <a:ea typeface="+mn-ea"/>
              <a:cs typeface="+mn-cs"/>
            </a:rPr>
            <a:t>join_example.R</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638175</xdr:colOff>
      <xdr:row>1</xdr:row>
      <xdr:rowOff>438150</xdr:rowOff>
    </xdr:from>
    <xdr:ext cx="4095750" cy="436786"/>
    <xdr:sp macro="" textlink="">
      <xdr:nvSpPr>
        <xdr:cNvPr id="4" name="TextBox 3">
          <a:hlinkClick xmlns:r="http://schemas.openxmlformats.org/officeDocument/2006/relationships" r:id="rId1"/>
          <a:extLst>
            <a:ext uri="{FF2B5EF4-FFF2-40B4-BE49-F238E27FC236}">
              <a16:creationId xmlns:a16="http://schemas.microsoft.com/office/drawing/2014/main" id="{B02D4AD7-629A-489D-A45B-09A09724F875}"/>
            </a:ext>
          </a:extLst>
        </xdr:cNvPr>
        <xdr:cNvSpPr txBox="1"/>
      </xdr:nvSpPr>
      <xdr:spPr>
        <a:xfrm>
          <a:off x="638175" y="676275"/>
          <a:ext cx="4095750" cy="43678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Script on github explaining the basics of coordinating data in R</a:t>
          </a:r>
          <a:r>
            <a:rPr lang="en-US"/>
            <a:t> </a:t>
          </a:r>
          <a:r>
            <a:rPr lang="en-US" sz="1100" b="0" i="0" u="sng" strike="noStrike">
              <a:solidFill>
                <a:schemeClr val="tx1"/>
              </a:solidFill>
              <a:effectLst/>
              <a:latin typeface="+mn-lt"/>
              <a:ea typeface="+mn-ea"/>
              <a:cs typeface="+mn-cs"/>
            </a:rPr>
            <a:t>join_example.R</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79375</xdr:colOff>
      <xdr:row>258</xdr:row>
      <xdr:rowOff>127000</xdr:rowOff>
    </xdr:from>
    <xdr:ext cx="4095750" cy="436786"/>
    <xdr:sp macro="" textlink="">
      <xdr:nvSpPr>
        <xdr:cNvPr id="2" name="TextBox 1">
          <a:hlinkClick xmlns:r="http://schemas.openxmlformats.org/officeDocument/2006/relationships" r:id="rId1"/>
          <a:extLst>
            <a:ext uri="{FF2B5EF4-FFF2-40B4-BE49-F238E27FC236}">
              <a16:creationId xmlns:a16="http://schemas.microsoft.com/office/drawing/2014/main" id="{1022E89D-DCB5-43D5-BCB5-23A6AEA12FF0}"/>
            </a:ext>
          </a:extLst>
        </xdr:cNvPr>
        <xdr:cNvSpPr txBox="1"/>
      </xdr:nvSpPr>
      <xdr:spPr>
        <a:xfrm>
          <a:off x="1349375" y="2032000"/>
          <a:ext cx="4095750" cy="43678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Script on github explaining the basics of coordinating data in R</a:t>
          </a:r>
          <a:r>
            <a:rPr lang="en-US"/>
            <a:t> </a:t>
          </a:r>
          <a:r>
            <a:rPr lang="en-US" sz="1100" b="0" i="0" u="sng" strike="noStrike">
              <a:solidFill>
                <a:schemeClr val="tx1"/>
              </a:solidFill>
              <a:effectLst/>
              <a:latin typeface="+mn-lt"/>
              <a:ea typeface="+mn-ea"/>
              <a:cs typeface="+mn-cs"/>
            </a:rPr>
            <a:t>join_example.R</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ra-pub-src-2.s3.amazonaws.com/SRR10755354/L19-J17_S26_L001_R1_001.fastq.gz.1"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63A0-B174-4C39-8CBF-E0FBF05329AE}">
  <dimension ref="A1:B17"/>
  <sheetViews>
    <sheetView workbookViewId="0">
      <selection activeCell="B10" sqref="B10"/>
    </sheetView>
  </sheetViews>
  <sheetFormatPr baseColWidth="10" defaultColWidth="8.83203125" defaultRowHeight="15" x14ac:dyDescent="0.2"/>
  <cols>
    <col min="1" max="1" width="26.5" customWidth="1"/>
    <col min="2" max="2" width="95.33203125" customWidth="1"/>
  </cols>
  <sheetData>
    <row r="1" spans="1:2" ht="17.25" customHeight="1" x14ac:dyDescent="0.2">
      <c r="A1" s="28" t="s">
        <v>1999</v>
      </c>
      <c r="B1" s="29" t="s">
        <v>13</v>
      </c>
    </row>
    <row r="2" spans="1:2" ht="16" x14ac:dyDescent="0.2">
      <c r="A2" t="s">
        <v>1998</v>
      </c>
      <c r="B2" s="11" t="s">
        <v>2006</v>
      </c>
    </row>
    <row r="3" spans="1:2" ht="16" x14ac:dyDescent="0.2">
      <c r="A3" t="s">
        <v>2000</v>
      </c>
      <c r="B3" s="11" t="s">
        <v>2005</v>
      </c>
    </row>
    <row r="4" spans="1:2" ht="32" x14ac:dyDescent="0.2">
      <c r="A4" t="s">
        <v>2001</v>
      </c>
      <c r="B4" s="11" t="s">
        <v>2007</v>
      </c>
    </row>
    <row r="5" spans="1:2" ht="32" x14ac:dyDescent="0.2">
      <c r="A5" t="s">
        <v>1073</v>
      </c>
      <c r="B5" s="11" t="s">
        <v>2008</v>
      </c>
    </row>
    <row r="6" spans="1:2" ht="16" x14ac:dyDescent="0.2">
      <c r="A6" t="s">
        <v>1076</v>
      </c>
      <c r="B6" s="11" t="s">
        <v>2009</v>
      </c>
    </row>
    <row r="7" spans="1:2" ht="16" x14ac:dyDescent="0.2">
      <c r="A7" t="s">
        <v>2002</v>
      </c>
      <c r="B7" s="11" t="s">
        <v>2010</v>
      </c>
    </row>
    <row r="8" spans="1:2" ht="16" x14ac:dyDescent="0.2">
      <c r="A8" t="s">
        <v>25</v>
      </c>
      <c r="B8" s="11" t="s">
        <v>2011</v>
      </c>
    </row>
    <row r="9" spans="1:2" ht="16" x14ac:dyDescent="0.2">
      <c r="A9" t="s">
        <v>55</v>
      </c>
      <c r="B9" s="11" t="s">
        <v>2012</v>
      </c>
    </row>
    <row r="10" spans="1:2" ht="16" x14ac:dyDescent="0.2">
      <c r="A10" t="s">
        <v>76</v>
      </c>
      <c r="B10" s="11" t="s">
        <v>2013</v>
      </c>
    </row>
    <row r="11" spans="1:2" ht="16" x14ac:dyDescent="0.2">
      <c r="A11" t="s">
        <v>1096</v>
      </c>
      <c r="B11" s="11" t="s">
        <v>2014</v>
      </c>
    </row>
    <row r="12" spans="1:2" ht="16" x14ac:dyDescent="0.2">
      <c r="A12" t="s">
        <v>1107</v>
      </c>
      <c r="B12" s="11" t="s">
        <v>2015</v>
      </c>
    </row>
    <row r="13" spans="1:2" ht="32" x14ac:dyDescent="0.2">
      <c r="A13" t="s">
        <v>64</v>
      </c>
      <c r="B13" s="11" t="s">
        <v>2016</v>
      </c>
    </row>
    <row r="14" spans="1:2" ht="16" x14ac:dyDescent="0.2">
      <c r="A14" t="s">
        <v>2003</v>
      </c>
      <c r="B14" s="11" t="s">
        <v>2017</v>
      </c>
    </row>
    <row r="15" spans="1:2" ht="32" x14ac:dyDescent="0.2">
      <c r="A15" t="s">
        <v>2004</v>
      </c>
      <c r="B15" s="11" t="s">
        <v>2018</v>
      </c>
    </row>
    <row r="16" spans="1:2" ht="32" x14ac:dyDescent="0.2">
      <c r="A16" t="s">
        <v>1122</v>
      </c>
      <c r="B16" s="11" t="s">
        <v>2019</v>
      </c>
    </row>
    <row r="17" spans="1:2" ht="16" x14ac:dyDescent="0.2">
      <c r="A17" t="s">
        <v>2158</v>
      </c>
      <c r="B17" s="11" t="s">
        <v>2171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21"/>
  <sheetViews>
    <sheetView workbookViewId="0">
      <pane ySplit="1" topLeftCell="A2" activePane="bottomLeft" state="frozen"/>
      <selection pane="bottomLeft" activeCell="A2" sqref="A2"/>
    </sheetView>
  </sheetViews>
  <sheetFormatPr baseColWidth="10" defaultColWidth="8.6640625" defaultRowHeight="15" x14ac:dyDescent="0.2"/>
  <cols>
    <col min="1" max="1" width="15.83203125" customWidth="1"/>
    <col min="2" max="2" width="11.6640625" customWidth="1"/>
    <col min="4" max="4" width="14.6640625" customWidth="1"/>
    <col min="5" max="5" width="15.83203125" customWidth="1"/>
    <col min="6" max="6" width="14.83203125" customWidth="1"/>
  </cols>
  <sheetData>
    <row r="1" spans="1:6" x14ac:dyDescent="0.2">
      <c r="A1" s="2" t="s">
        <v>923</v>
      </c>
      <c r="B1" s="16" t="s">
        <v>73</v>
      </c>
      <c r="C1" s="17" t="s">
        <v>71</v>
      </c>
      <c r="D1" s="2" t="s">
        <v>74</v>
      </c>
      <c r="E1" s="2" t="s">
        <v>75</v>
      </c>
      <c r="F1" s="2" t="s">
        <v>72</v>
      </c>
    </row>
    <row r="2" spans="1:6" x14ac:dyDescent="0.2">
      <c r="A2" t="s">
        <v>934</v>
      </c>
      <c r="B2" s="1">
        <v>43195</v>
      </c>
      <c r="C2" t="s">
        <v>317</v>
      </c>
      <c r="D2">
        <v>1.8642059559999999</v>
      </c>
      <c r="E2">
        <v>41.005487440000003</v>
      </c>
      <c r="F2">
        <v>21.996221666400473</v>
      </c>
    </row>
    <row r="3" spans="1:6" x14ac:dyDescent="0.2">
      <c r="A3" t="s">
        <v>935</v>
      </c>
      <c r="B3" s="1">
        <v>43195</v>
      </c>
      <c r="C3" t="s">
        <v>317</v>
      </c>
      <c r="D3">
        <v>1.870028019</v>
      </c>
      <c r="E3">
        <v>41.994794849999998</v>
      </c>
      <c r="F3">
        <v>22.456773066136609</v>
      </c>
    </row>
    <row r="4" spans="1:6" x14ac:dyDescent="0.2">
      <c r="A4" t="s">
        <v>936</v>
      </c>
      <c r="B4" s="1">
        <v>43195</v>
      </c>
      <c r="C4" t="s">
        <v>317</v>
      </c>
      <c r="D4">
        <v>1.4949111340000001</v>
      </c>
      <c r="E4">
        <v>42.354106899999998</v>
      </c>
      <c r="F4">
        <v>28.332190413667757</v>
      </c>
    </row>
    <row r="5" spans="1:6" x14ac:dyDescent="0.2">
      <c r="A5" t="s">
        <v>937</v>
      </c>
      <c r="B5" s="1">
        <v>43195</v>
      </c>
      <c r="C5" t="s">
        <v>317</v>
      </c>
      <c r="D5">
        <v>1.662596285</v>
      </c>
      <c r="E5">
        <v>42.738304139999997</v>
      </c>
      <c r="F5">
        <v>25.705761841035269</v>
      </c>
    </row>
    <row r="6" spans="1:6" x14ac:dyDescent="0.2">
      <c r="A6" t="s">
        <v>938</v>
      </c>
      <c r="B6" s="1">
        <v>43195</v>
      </c>
      <c r="C6" t="s">
        <v>317</v>
      </c>
      <c r="D6">
        <v>1.8169646260000001</v>
      </c>
      <c r="E6">
        <v>41.373374939999998</v>
      </c>
      <c r="F6">
        <v>22.77060012504613</v>
      </c>
    </row>
    <row r="7" spans="1:6" x14ac:dyDescent="0.2">
      <c r="A7" t="s">
        <v>939</v>
      </c>
      <c r="B7" s="1">
        <v>43195</v>
      </c>
      <c r="C7" t="s">
        <v>317</v>
      </c>
      <c r="D7">
        <v>1.58420831</v>
      </c>
      <c r="E7">
        <v>41.031568530000001</v>
      </c>
      <c r="F7">
        <v>25.900361884858437</v>
      </c>
    </row>
    <row r="8" spans="1:6" x14ac:dyDescent="0.2">
      <c r="A8" t="s">
        <v>940</v>
      </c>
      <c r="B8" s="1">
        <v>43195</v>
      </c>
      <c r="C8" t="s">
        <v>317</v>
      </c>
      <c r="D8">
        <v>1.6063755150000001</v>
      </c>
      <c r="E8">
        <v>44.464542389999998</v>
      </c>
      <c r="F8">
        <v>27.68004241523813</v>
      </c>
    </row>
    <row r="9" spans="1:6" x14ac:dyDescent="0.2">
      <c r="A9" t="s">
        <v>941</v>
      </c>
      <c r="B9" s="1">
        <v>43195</v>
      </c>
      <c r="C9" t="s">
        <v>317</v>
      </c>
      <c r="D9">
        <v>1.5859787460000001</v>
      </c>
      <c r="E9">
        <v>43.943170549999998</v>
      </c>
      <c r="F9">
        <v>27.707288424153948</v>
      </c>
    </row>
    <row r="10" spans="1:6" x14ac:dyDescent="0.2">
      <c r="A10" t="s">
        <v>942</v>
      </c>
      <c r="B10" s="1">
        <v>43195</v>
      </c>
      <c r="C10" t="s">
        <v>317</v>
      </c>
      <c r="D10">
        <v>2.6962037090000002</v>
      </c>
      <c r="E10">
        <v>42.36941719</v>
      </c>
      <c r="F10">
        <v>15.714471814043483</v>
      </c>
    </row>
    <row r="11" spans="1:6" x14ac:dyDescent="0.2">
      <c r="A11" t="s">
        <v>943</v>
      </c>
      <c r="B11" s="1">
        <v>43195</v>
      </c>
      <c r="C11" t="s">
        <v>317</v>
      </c>
      <c r="D11">
        <v>1.598425567</v>
      </c>
      <c r="E11">
        <v>41.59223557</v>
      </c>
      <c r="F11">
        <v>26.020752188081083</v>
      </c>
    </row>
    <row r="12" spans="1:6" x14ac:dyDescent="0.2">
      <c r="A12" t="s">
        <v>944</v>
      </c>
      <c r="B12" s="1">
        <v>43195</v>
      </c>
      <c r="C12" t="s">
        <v>317</v>
      </c>
      <c r="D12">
        <v>1.8871289490000001</v>
      </c>
      <c r="E12">
        <v>42.865123750000002</v>
      </c>
      <c r="F12">
        <v>22.714464622417278</v>
      </c>
    </row>
    <row r="13" spans="1:6" x14ac:dyDescent="0.2">
      <c r="A13" t="s">
        <v>945</v>
      </c>
      <c r="B13" s="1">
        <v>43195</v>
      </c>
      <c r="C13" t="s">
        <v>317</v>
      </c>
      <c r="D13">
        <v>1.4433614610000001</v>
      </c>
      <c r="E13">
        <v>41.728914260000003</v>
      </c>
      <c r="F13">
        <v>28.910924524123761</v>
      </c>
    </row>
    <row r="14" spans="1:6" x14ac:dyDescent="0.2">
      <c r="A14" t="s">
        <v>946</v>
      </c>
      <c r="B14" s="1">
        <v>43195</v>
      </c>
      <c r="C14" t="s">
        <v>317</v>
      </c>
      <c r="D14">
        <v>1.55460453</v>
      </c>
      <c r="E14">
        <v>41.825601579999997</v>
      </c>
      <c r="F14">
        <v>26.904335329577354</v>
      </c>
    </row>
    <row r="15" spans="1:6" x14ac:dyDescent="0.2">
      <c r="A15" t="s">
        <v>947</v>
      </c>
      <c r="B15" s="1">
        <v>43195</v>
      </c>
      <c r="C15" t="s">
        <v>317</v>
      </c>
      <c r="D15">
        <v>1.7890602950000001</v>
      </c>
      <c r="E15">
        <v>41.765230180000003</v>
      </c>
      <c r="F15">
        <v>23.344786252718219</v>
      </c>
    </row>
    <row r="16" spans="1:6" x14ac:dyDescent="0.2">
      <c r="A16" t="s">
        <v>948</v>
      </c>
      <c r="B16" s="1">
        <v>43195</v>
      </c>
      <c r="C16" t="s">
        <v>317</v>
      </c>
      <c r="D16">
        <v>1.6829960939999999</v>
      </c>
      <c r="E16">
        <v>41.324405669999997</v>
      </c>
      <c r="F16">
        <v>24.554071050624792</v>
      </c>
    </row>
    <row r="17" spans="1:6" x14ac:dyDescent="0.2">
      <c r="A17" t="s">
        <v>949</v>
      </c>
      <c r="B17" s="1">
        <v>43195</v>
      </c>
      <c r="C17" t="s">
        <v>317</v>
      </c>
      <c r="D17">
        <v>1.971688747</v>
      </c>
      <c r="E17">
        <v>41.397184369999998</v>
      </c>
      <c r="F17">
        <v>20.995800900617503</v>
      </c>
    </row>
    <row r="18" spans="1:6" x14ac:dyDescent="0.2">
      <c r="A18" t="s">
        <v>950</v>
      </c>
      <c r="B18" s="1">
        <v>43195</v>
      </c>
      <c r="C18" t="s">
        <v>317</v>
      </c>
      <c r="D18">
        <v>1.2806352379999999</v>
      </c>
      <c r="E18">
        <v>40.77290344</v>
      </c>
      <c r="F18">
        <v>31.838030244799498</v>
      </c>
    </row>
    <row r="19" spans="1:6" x14ac:dyDescent="0.2">
      <c r="A19" t="s">
        <v>951</v>
      </c>
      <c r="B19" s="1">
        <v>43195</v>
      </c>
      <c r="C19" t="s">
        <v>317</v>
      </c>
      <c r="D19">
        <v>2.0745117660000001</v>
      </c>
      <c r="E19">
        <v>41.248527529999997</v>
      </c>
      <c r="F19">
        <v>19.883486903298671</v>
      </c>
    </row>
    <row r="20" spans="1:6" x14ac:dyDescent="0.2">
      <c r="A20" t="s">
        <v>952</v>
      </c>
      <c r="B20" s="1">
        <v>43195</v>
      </c>
      <c r="C20" t="s">
        <v>317</v>
      </c>
      <c r="D20">
        <v>1.457727432</v>
      </c>
      <c r="E20">
        <v>42.24343872</v>
      </c>
      <c r="F20">
        <v>28.978969451128503</v>
      </c>
    </row>
    <row r="21" spans="1:6" x14ac:dyDescent="0.2">
      <c r="A21" t="s">
        <v>953</v>
      </c>
      <c r="B21" s="1">
        <v>43195</v>
      </c>
      <c r="C21" t="s">
        <v>317</v>
      </c>
      <c r="D21">
        <v>1.988813698</v>
      </c>
      <c r="E21">
        <v>41.317636489999998</v>
      </c>
      <c r="F21">
        <v>20.775016046777047</v>
      </c>
    </row>
    <row r="22" spans="1:6" x14ac:dyDescent="0.2">
      <c r="A22" t="s">
        <v>954</v>
      </c>
      <c r="B22" s="1">
        <v>43196</v>
      </c>
      <c r="C22" t="s">
        <v>317</v>
      </c>
      <c r="D22">
        <v>1.578012824</v>
      </c>
      <c r="E22">
        <v>41.067228319999998</v>
      </c>
      <c r="F22">
        <v>26.024648022759035</v>
      </c>
    </row>
    <row r="23" spans="1:6" x14ac:dyDescent="0.2">
      <c r="A23" t="s">
        <v>955</v>
      </c>
      <c r="B23" s="1">
        <v>43196</v>
      </c>
      <c r="C23" t="s">
        <v>317</v>
      </c>
      <c r="D23">
        <v>1.6359478240000001</v>
      </c>
      <c r="E23">
        <v>40.773569109999997</v>
      </c>
      <c r="F23">
        <v>24.923514376091738</v>
      </c>
    </row>
    <row r="24" spans="1:6" x14ac:dyDescent="0.2">
      <c r="A24" t="s">
        <v>956</v>
      </c>
      <c r="B24" s="1">
        <v>43196</v>
      </c>
      <c r="C24" t="s">
        <v>317</v>
      </c>
      <c r="D24">
        <v>1.4798458809999999</v>
      </c>
      <c r="E24">
        <v>41.313682559999997</v>
      </c>
      <c r="F24">
        <v>27.917557558144122</v>
      </c>
    </row>
    <row r="25" spans="1:6" x14ac:dyDescent="0.2">
      <c r="A25" t="s">
        <v>957</v>
      </c>
      <c r="B25" s="1">
        <v>43196</v>
      </c>
      <c r="C25" t="s">
        <v>317</v>
      </c>
      <c r="D25">
        <v>1.5076228380000001</v>
      </c>
      <c r="E25">
        <v>41.250991820000003</v>
      </c>
      <c r="F25">
        <v>27.361612453896775</v>
      </c>
    </row>
    <row r="26" spans="1:6" x14ac:dyDescent="0.2">
      <c r="A26" t="s">
        <v>958</v>
      </c>
      <c r="B26" s="1">
        <v>43196</v>
      </c>
      <c r="C26" t="s">
        <v>317</v>
      </c>
      <c r="D26">
        <v>1.4192643760000001</v>
      </c>
      <c r="E26">
        <v>40.889406200000003</v>
      </c>
      <c r="F26">
        <v>28.81028150318345</v>
      </c>
    </row>
    <row r="27" spans="1:6" x14ac:dyDescent="0.2">
      <c r="A27" t="s">
        <v>959</v>
      </c>
      <c r="B27" s="1">
        <v>43196</v>
      </c>
      <c r="C27" t="s">
        <v>317</v>
      </c>
      <c r="D27">
        <v>1.256757796</v>
      </c>
      <c r="E27">
        <v>41.696613309999996</v>
      </c>
      <c r="F27">
        <v>33.177922940053911</v>
      </c>
    </row>
    <row r="28" spans="1:6" x14ac:dyDescent="0.2">
      <c r="A28" t="s">
        <v>960</v>
      </c>
      <c r="B28" s="1">
        <v>43196</v>
      </c>
      <c r="C28" t="s">
        <v>317</v>
      </c>
      <c r="D28">
        <v>1.4677389860000001</v>
      </c>
      <c r="E28">
        <v>41.600358960000001</v>
      </c>
      <c r="F28">
        <v>28.343158665678448</v>
      </c>
    </row>
    <row r="29" spans="1:6" x14ac:dyDescent="0.2">
      <c r="A29" t="s">
        <v>961</v>
      </c>
      <c r="B29" s="1">
        <v>43196</v>
      </c>
      <c r="C29" t="s">
        <v>317</v>
      </c>
      <c r="D29">
        <v>1.4907949570000001</v>
      </c>
      <c r="E29">
        <v>42.457605360000002</v>
      </c>
      <c r="F29">
        <v>28.479842355678159</v>
      </c>
    </row>
    <row r="30" spans="1:6" x14ac:dyDescent="0.2">
      <c r="A30" t="s">
        <v>962</v>
      </c>
      <c r="B30" s="1">
        <v>43196</v>
      </c>
      <c r="C30" t="s">
        <v>317</v>
      </c>
      <c r="D30">
        <v>1.525866985</v>
      </c>
      <c r="E30">
        <v>42.67733192</v>
      </c>
      <c r="F30">
        <v>27.969234762622509</v>
      </c>
    </row>
    <row r="31" spans="1:6" x14ac:dyDescent="0.2">
      <c r="A31" t="s">
        <v>963</v>
      </c>
      <c r="B31" s="1">
        <v>43196</v>
      </c>
      <c r="C31" t="s">
        <v>317</v>
      </c>
      <c r="D31">
        <v>1.6735320090000001</v>
      </c>
      <c r="E31">
        <v>42.24826813</v>
      </c>
      <c r="F31">
        <v>25.244971654438189</v>
      </c>
    </row>
    <row r="32" spans="1:6" x14ac:dyDescent="0.2">
      <c r="A32" t="s">
        <v>964</v>
      </c>
      <c r="B32" s="1">
        <v>43196</v>
      </c>
      <c r="C32" t="s">
        <v>317</v>
      </c>
      <c r="D32">
        <v>2.2213337420000001</v>
      </c>
      <c r="E32">
        <v>41.216924669999997</v>
      </c>
      <c r="F32">
        <v>18.555034703110358</v>
      </c>
    </row>
    <row r="33" spans="1:6" x14ac:dyDescent="0.2">
      <c r="A33" t="s">
        <v>965</v>
      </c>
      <c r="B33" s="1">
        <v>43196</v>
      </c>
      <c r="C33" t="s">
        <v>317</v>
      </c>
      <c r="D33">
        <v>2.0121580959999998</v>
      </c>
      <c r="E33">
        <v>42.433513640000001</v>
      </c>
      <c r="F33">
        <v>21.088558460865595</v>
      </c>
    </row>
    <row r="34" spans="1:6" x14ac:dyDescent="0.2">
      <c r="A34" t="s">
        <v>966</v>
      </c>
      <c r="B34" s="1">
        <v>43196</v>
      </c>
      <c r="C34" t="s">
        <v>317</v>
      </c>
      <c r="D34">
        <v>1.5701164599999999</v>
      </c>
      <c r="E34">
        <v>40.243793490000002</v>
      </c>
      <c r="F34">
        <v>25.631088212399227</v>
      </c>
    </row>
    <row r="35" spans="1:6" x14ac:dyDescent="0.2">
      <c r="A35" t="s">
        <v>967</v>
      </c>
      <c r="B35" s="1">
        <v>43196</v>
      </c>
      <c r="C35" t="s">
        <v>317</v>
      </c>
      <c r="D35">
        <v>1.796991467</v>
      </c>
      <c r="E35">
        <v>42.436645509999998</v>
      </c>
      <c r="F35">
        <v>23.615385097429623</v>
      </c>
    </row>
    <row r="36" spans="1:6" x14ac:dyDescent="0.2">
      <c r="A36" t="s">
        <v>968</v>
      </c>
      <c r="B36" s="1">
        <v>43196</v>
      </c>
      <c r="C36" t="s">
        <v>317</v>
      </c>
      <c r="D36">
        <v>1.4939869050000001</v>
      </c>
      <c r="E36">
        <v>42.010103229999999</v>
      </c>
      <c r="F36">
        <v>28.119458804761074</v>
      </c>
    </row>
    <row r="37" spans="1:6" x14ac:dyDescent="0.2">
      <c r="A37" t="s">
        <v>969</v>
      </c>
      <c r="B37" s="1">
        <v>43196</v>
      </c>
      <c r="C37" t="s">
        <v>317</v>
      </c>
      <c r="D37">
        <v>1.934535801</v>
      </c>
      <c r="E37">
        <v>44.17449379</v>
      </c>
      <c r="F37">
        <v>22.834673706821722</v>
      </c>
    </row>
    <row r="38" spans="1:6" x14ac:dyDescent="0.2">
      <c r="A38" t="s">
        <v>970</v>
      </c>
      <c r="B38" s="1">
        <v>43196</v>
      </c>
      <c r="C38" t="s">
        <v>317</v>
      </c>
      <c r="D38">
        <v>2.22326684</v>
      </c>
      <c r="E38">
        <v>43.114643100000002</v>
      </c>
      <c r="F38">
        <v>19.392473419879732</v>
      </c>
    </row>
    <row r="39" spans="1:6" x14ac:dyDescent="0.2">
      <c r="A39" t="s">
        <v>971</v>
      </c>
      <c r="B39" s="1">
        <v>43196</v>
      </c>
      <c r="C39" t="s">
        <v>317</v>
      </c>
      <c r="D39">
        <v>1.588083804</v>
      </c>
      <c r="E39">
        <v>42.624099729999998</v>
      </c>
      <c r="F39">
        <v>26.83995619289119</v>
      </c>
    </row>
    <row r="40" spans="1:6" x14ac:dyDescent="0.2">
      <c r="A40" t="s">
        <v>972</v>
      </c>
      <c r="B40" s="1">
        <v>43196</v>
      </c>
      <c r="C40" t="s">
        <v>317</v>
      </c>
      <c r="D40">
        <v>2.1930264230000001</v>
      </c>
      <c r="E40">
        <v>42.546957020000001</v>
      </c>
      <c r="F40">
        <v>19.401023432174124</v>
      </c>
    </row>
    <row r="41" spans="1:6" x14ac:dyDescent="0.2">
      <c r="A41" t="s">
        <v>973</v>
      </c>
      <c r="B41" s="1">
        <v>43196</v>
      </c>
      <c r="C41" t="s">
        <v>317</v>
      </c>
      <c r="D41">
        <v>1.7290190459999999</v>
      </c>
      <c r="E41">
        <v>41.623521799999999</v>
      </c>
      <c r="F41">
        <v>24.07348947155554</v>
      </c>
    </row>
    <row r="42" spans="1:6" x14ac:dyDescent="0.2">
      <c r="A42" t="s">
        <v>934</v>
      </c>
      <c r="B42" s="1">
        <v>43199</v>
      </c>
      <c r="C42" t="s">
        <v>318</v>
      </c>
      <c r="D42">
        <v>0.5119420737</v>
      </c>
      <c r="E42">
        <v>39.763956069999999</v>
      </c>
      <c r="F42">
        <v>77.672764386429051</v>
      </c>
    </row>
    <row r="43" spans="1:6" x14ac:dyDescent="0.2">
      <c r="A43" t="s">
        <v>935</v>
      </c>
      <c r="B43" s="1">
        <v>43199</v>
      </c>
      <c r="C43" t="s">
        <v>318</v>
      </c>
      <c r="D43">
        <v>0.58634698389999995</v>
      </c>
      <c r="E43">
        <v>39.874681469999999</v>
      </c>
      <c r="F43">
        <v>68.005264058458138</v>
      </c>
    </row>
    <row r="44" spans="1:6" x14ac:dyDescent="0.2">
      <c r="A44" t="s">
        <v>936</v>
      </c>
      <c r="B44" s="1">
        <v>43199</v>
      </c>
      <c r="C44" t="s">
        <v>318</v>
      </c>
      <c r="D44">
        <v>0.56645223499999997</v>
      </c>
      <c r="E44">
        <v>40.439590449999997</v>
      </c>
      <c r="F44">
        <v>71.390998130672045</v>
      </c>
    </row>
    <row r="45" spans="1:6" x14ac:dyDescent="0.2">
      <c r="A45" t="s">
        <v>937</v>
      </c>
      <c r="B45" s="1">
        <v>43199</v>
      </c>
      <c r="C45" t="s">
        <v>318</v>
      </c>
      <c r="D45">
        <v>0.63900327680000002</v>
      </c>
      <c r="E45">
        <v>37.318759919999998</v>
      </c>
      <c r="F45">
        <v>58.40151572756379</v>
      </c>
    </row>
    <row r="46" spans="1:6" x14ac:dyDescent="0.2">
      <c r="A46" t="s">
        <v>938</v>
      </c>
      <c r="B46" s="1">
        <v>43199</v>
      </c>
      <c r="C46" t="s">
        <v>318</v>
      </c>
      <c r="D46">
        <v>0.43174719810000001</v>
      </c>
      <c r="E46">
        <v>40.804037090000001</v>
      </c>
      <c r="F46">
        <v>94.509095298283995</v>
      </c>
    </row>
    <row r="47" spans="1:6" x14ac:dyDescent="0.2">
      <c r="A47" t="s">
        <v>939</v>
      </c>
      <c r="B47" s="1">
        <v>43199</v>
      </c>
      <c r="C47" t="s">
        <v>318</v>
      </c>
      <c r="D47">
        <v>0.424753353</v>
      </c>
      <c r="E47">
        <v>37.51967621</v>
      </c>
      <c r="F47">
        <v>88.33285469084926</v>
      </c>
    </row>
    <row r="48" spans="1:6" x14ac:dyDescent="0.2">
      <c r="A48" t="s">
        <v>974</v>
      </c>
      <c r="B48" s="14" t="s">
        <v>11</v>
      </c>
      <c r="C48" s="14" t="s">
        <v>11</v>
      </c>
      <c r="D48" s="14" t="s">
        <v>11</v>
      </c>
      <c r="E48" s="14" t="s">
        <v>11</v>
      </c>
      <c r="F48" s="14" t="s">
        <v>11</v>
      </c>
    </row>
    <row r="49" spans="1:6" x14ac:dyDescent="0.2">
      <c r="A49" t="s">
        <v>975</v>
      </c>
      <c r="B49" s="14" t="s">
        <v>11</v>
      </c>
      <c r="C49" s="14" t="s">
        <v>11</v>
      </c>
      <c r="D49" s="14" t="s">
        <v>11</v>
      </c>
      <c r="E49" s="14" t="s">
        <v>11</v>
      </c>
      <c r="F49" s="14" t="s">
        <v>11</v>
      </c>
    </row>
    <row r="50" spans="1:6" x14ac:dyDescent="0.2">
      <c r="A50" t="s">
        <v>942</v>
      </c>
      <c r="B50" s="1">
        <v>43199</v>
      </c>
      <c r="C50" t="s">
        <v>318</v>
      </c>
      <c r="D50">
        <v>0.87780582900000004</v>
      </c>
      <c r="E50">
        <v>40.391735079999997</v>
      </c>
      <c r="F50">
        <v>46.014430236826321</v>
      </c>
    </row>
    <row r="51" spans="1:6" x14ac:dyDescent="0.2">
      <c r="A51" t="s">
        <v>943</v>
      </c>
      <c r="B51" s="1">
        <v>43199</v>
      </c>
      <c r="C51" t="s">
        <v>318</v>
      </c>
      <c r="D51">
        <v>0.35423670709999999</v>
      </c>
      <c r="E51">
        <v>40.761823649999997</v>
      </c>
      <c r="F51">
        <v>115.0694516773866</v>
      </c>
    </row>
    <row r="52" spans="1:6" x14ac:dyDescent="0.2">
      <c r="A52" t="s">
        <v>976</v>
      </c>
      <c r="B52" s="14" t="s">
        <v>11</v>
      </c>
      <c r="C52" s="14" t="s">
        <v>11</v>
      </c>
      <c r="D52" s="14" t="s">
        <v>11</v>
      </c>
      <c r="E52" s="14" t="s">
        <v>11</v>
      </c>
      <c r="F52" s="14" t="s">
        <v>11</v>
      </c>
    </row>
    <row r="53" spans="1:6" x14ac:dyDescent="0.2">
      <c r="A53" t="s">
        <v>945</v>
      </c>
      <c r="B53" s="1">
        <v>43199</v>
      </c>
      <c r="C53" t="s">
        <v>318</v>
      </c>
      <c r="D53">
        <v>0.57877856490000001</v>
      </c>
      <c r="E53">
        <v>35.579032900000001</v>
      </c>
      <c r="F53">
        <v>61.472616744449169</v>
      </c>
    </row>
    <row r="54" spans="1:6" x14ac:dyDescent="0.2">
      <c r="A54" t="s">
        <v>946</v>
      </c>
      <c r="B54" s="1">
        <v>43199</v>
      </c>
      <c r="C54" t="s">
        <v>318</v>
      </c>
      <c r="D54">
        <v>0.41697812080000002</v>
      </c>
      <c r="E54">
        <v>42.83831215</v>
      </c>
      <c r="F54">
        <v>102.7351556667095</v>
      </c>
    </row>
    <row r="55" spans="1:6" x14ac:dyDescent="0.2">
      <c r="A55" t="s">
        <v>947</v>
      </c>
      <c r="B55" s="1">
        <v>43199</v>
      </c>
      <c r="C55" t="s">
        <v>318</v>
      </c>
      <c r="D55">
        <v>0.57885441179999997</v>
      </c>
      <c r="E55">
        <v>37.89095116</v>
      </c>
      <c r="F55">
        <v>65.45851666254849</v>
      </c>
    </row>
    <row r="56" spans="1:6" x14ac:dyDescent="0.2">
      <c r="A56" t="s">
        <v>948</v>
      </c>
      <c r="B56" s="1">
        <v>43199</v>
      </c>
      <c r="C56" t="s">
        <v>318</v>
      </c>
      <c r="D56">
        <v>0.70549440379999995</v>
      </c>
      <c r="E56">
        <v>37.615575790000001</v>
      </c>
      <c r="F56">
        <v>53.318035674544646</v>
      </c>
    </row>
    <row r="57" spans="1:6" x14ac:dyDescent="0.2">
      <c r="A57" t="s">
        <v>977</v>
      </c>
      <c r="B57" s="14" t="s">
        <v>11</v>
      </c>
      <c r="C57" s="14" t="s">
        <v>11</v>
      </c>
      <c r="D57" s="14" t="s">
        <v>11</v>
      </c>
      <c r="E57" s="14" t="s">
        <v>11</v>
      </c>
      <c r="F57" s="14" t="s">
        <v>11</v>
      </c>
    </row>
    <row r="58" spans="1:6" x14ac:dyDescent="0.2">
      <c r="A58" t="s">
        <v>950</v>
      </c>
      <c r="B58" s="1">
        <v>43199</v>
      </c>
      <c r="C58" t="s">
        <v>318</v>
      </c>
      <c r="D58">
        <v>0.41430202129999999</v>
      </c>
      <c r="E58">
        <v>36.84794617</v>
      </c>
      <c r="F58">
        <v>88.939817513750569</v>
      </c>
    </row>
    <row r="59" spans="1:6" x14ac:dyDescent="0.2">
      <c r="A59" t="s">
        <v>951</v>
      </c>
      <c r="B59" s="1">
        <v>43199</v>
      </c>
      <c r="C59" t="s">
        <v>318</v>
      </c>
      <c r="D59">
        <v>0.52987894420000003</v>
      </c>
      <c r="E59">
        <v>39.418203349999999</v>
      </c>
      <c r="F59">
        <v>74.3909600135419</v>
      </c>
    </row>
    <row r="60" spans="1:6" x14ac:dyDescent="0.2">
      <c r="A60" t="s">
        <v>952</v>
      </c>
      <c r="B60" s="1">
        <v>43199</v>
      </c>
      <c r="C60" t="s">
        <v>318</v>
      </c>
      <c r="D60">
        <v>0.62987467649999995</v>
      </c>
      <c r="E60">
        <v>39.431163789999999</v>
      </c>
      <c r="F60">
        <v>62.601601971213718</v>
      </c>
    </row>
    <row r="61" spans="1:6" x14ac:dyDescent="0.2">
      <c r="A61" t="s">
        <v>978</v>
      </c>
      <c r="B61" s="14" t="s">
        <v>11</v>
      </c>
      <c r="C61" s="14" t="s">
        <v>11</v>
      </c>
      <c r="D61" s="14" t="s">
        <v>11</v>
      </c>
      <c r="E61" s="14" t="s">
        <v>11</v>
      </c>
      <c r="F61" s="14" t="s">
        <v>11</v>
      </c>
    </row>
    <row r="62" spans="1:6" x14ac:dyDescent="0.2">
      <c r="A62" t="s">
        <v>954</v>
      </c>
      <c r="B62" s="1">
        <v>43200</v>
      </c>
      <c r="C62" t="s">
        <v>318</v>
      </c>
      <c r="D62">
        <v>0.52516582609999996</v>
      </c>
      <c r="E62">
        <v>39.90258789</v>
      </c>
      <c r="F62">
        <v>75.980930035614904</v>
      </c>
    </row>
    <row r="63" spans="1:6" x14ac:dyDescent="0.2">
      <c r="A63" t="s">
        <v>955</v>
      </c>
      <c r="B63" s="1">
        <v>43200</v>
      </c>
      <c r="C63" t="s">
        <v>318</v>
      </c>
      <c r="D63">
        <v>0.50623260439999995</v>
      </c>
      <c r="E63">
        <v>40.22311783</v>
      </c>
      <c r="F63">
        <v>79.455802491571021</v>
      </c>
    </row>
    <row r="64" spans="1:6" x14ac:dyDescent="0.2">
      <c r="A64" t="s">
        <v>956</v>
      </c>
      <c r="B64" s="1">
        <v>43200</v>
      </c>
      <c r="C64" t="s">
        <v>318</v>
      </c>
      <c r="D64">
        <v>0.42310865219999999</v>
      </c>
      <c r="E64">
        <v>41.18486214</v>
      </c>
      <c r="F64">
        <v>97.338737758858812</v>
      </c>
    </row>
    <row r="65" spans="1:6" x14ac:dyDescent="0.2">
      <c r="A65" t="s">
        <v>957</v>
      </c>
      <c r="B65" s="1">
        <v>43200</v>
      </c>
      <c r="C65" t="s">
        <v>318</v>
      </c>
      <c r="D65">
        <v>0.55680516359999999</v>
      </c>
      <c r="E65">
        <v>38.954084399999999</v>
      </c>
      <c r="F65">
        <v>69.95999129775312</v>
      </c>
    </row>
    <row r="66" spans="1:6" x14ac:dyDescent="0.2">
      <c r="A66" t="s">
        <v>958</v>
      </c>
      <c r="B66" s="1">
        <v>43200</v>
      </c>
      <c r="C66" t="s">
        <v>318</v>
      </c>
      <c r="D66">
        <v>0.53059679270000004</v>
      </c>
      <c r="E66">
        <v>39.081861500000002</v>
      </c>
      <c r="F66">
        <v>73.656422424130497</v>
      </c>
    </row>
    <row r="67" spans="1:6" x14ac:dyDescent="0.2">
      <c r="A67" t="s">
        <v>959</v>
      </c>
      <c r="B67" s="1">
        <v>43200</v>
      </c>
      <c r="C67" t="s">
        <v>318</v>
      </c>
      <c r="D67">
        <v>0.50439348819999996</v>
      </c>
      <c r="E67">
        <v>44.643466949999997</v>
      </c>
      <c r="F67">
        <v>88.509205599216941</v>
      </c>
    </row>
    <row r="68" spans="1:6" x14ac:dyDescent="0.2">
      <c r="A68" t="s">
        <v>960</v>
      </c>
      <c r="B68" s="1">
        <v>43200</v>
      </c>
      <c r="C68" t="s">
        <v>318</v>
      </c>
      <c r="D68">
        <v>0.63860714439999999</v>
      </c>
      <c r="E68">
        <v>46.423097609999999</v>
      </c>
      <c r="F68">
        <v>72.694297295431255</v>
      </c>
    </row>
    <row r="69" spans="1:6" x14ac:dyDescent="0.2">
      <c r="A69" t="s">
        <v>979</v>
      </c>
      <c r="B69" s="14" t="s">
        <v>11</v>
      </c>
      <c r="C69" s="14" t="s">
        <v>11</v>
      </c>
      <c r="D69" s="14" t="s">
        <v>11</v>
      </c>
      <c r="E69" s="14" t="s">
        <v>11</v>
      </c>
      <c r="F69" s="14" t="s">
        <v>11</v>
      </c>
    </row>
    <row r="70" spans="1:6" x14ac:dyDescent="0.2">
      <c r="A70" t="s">
        <v>962</v>
      </c>
      <c r="B70" s="1">
        <v>43200</v>
      </c>
      <c r="C70" t="s">
        <v>318</v>
      </c>
      <c r="D70">
        <v>0.70880898830000005</v>
      </c>
      <c r="E70">
        <v>43.451232910000002</v>
      </c>
      <c r="F70">
        <v>61.301752132422834</v>
      </c>
    </row>
    <row r="71" spans="1:6" x14ac:dyDescent="0.2">
      <c r="A71" t="s">
        <v>963</v>
      </c>
      <c r="B71" s="1">
        <v>43200</v>
      </c>
      <c r="C71" t="s">
        <v>318</v>
      </c>
      <c r="D71">
        <v>0.92625060680000004</v>
      </c>
      <c r="E71">
        <v>44.651948930000003</v>
      </c>
      <c r="F71">
        <v>48.207200731844097</v>
      </c>
    </row>
    <row r="72" spans="1:6" x14ac:dyDescent="0.2">
      <c r="A72" t="s">
        <v>964</v>
      </c>
      <c r="B72" s="1">
        <v>43200</v>
      </c>
      <c r="C72" t="s">
        <v>318</v>
      </c>
      <c r="D72">
        <v>0.72602614759999995</v>
      </c>
      <c r="E72">
        <v>39.205421450000003</v>
      </c>
      <c r="F72">
        <v>54.000013056830028</v>
      </c>
    </row>
    <row r="73" spans="1:6" x14ac:dyDescent="0.2">
      <c r="A73" t="s">
        <v>980</v>
      </c>
      <c r="B73" s="14" t="s">
        <v>11</v>
      </c>
      <c r="C73" s="14" t="s">
        <v>11</v>
      </c>
      <c r="D73" s="14" t="s">
        <v>11</v>
      </c>
      <c r="E73" s="14" t="s">
        <v>11</v>
      </c>
      <c r="F73" s="14" t="s">
        <v>11</v>
      </c>
    </row>
    <row r="74" spans="1:6" x14ac:dyDescent="0.2">
      <c r="A74" t="s">
        <v>966</v>
      </c>
      <c r="B74" s="1">
        <v>43200</v>
      </c>
      <c r="C74" t="s">
        <v>318</v>
      </c>
      <c r="D74">
        <v>0.44051715730000002</v>
      </c>
      <c r="E74">
        <v>40.282436369999999</v>
      </c>
      <c r="F74">
        <v>91.443512931249899</v>
      </c>
    </row>
    <row r="75" spans="1:6" x14ac:dyDescent="0.2">
      <c r="A75" t="s">
        <v>967</v>
      </c>
      <c r="B75" s="1">
        <v>43200</v>
      </c>
      <c r="C75" t="s">
        <v>318</v>
      </c>
      <c r="D75">
        <v>0.49150963130000003</v>
      </c>
      <c r="E75">
        <v>40.162981029999997</v>
      </c>
      <c r="F75">
        <v>81.713517848617585</v>
      </c>
    </row>
    <row r="76" spans="1:6" x14ac:dyDescent="0.2">
      <c r="A76" t="s">
        <v>968</v>
      </c>
      <c r="B76" s="1">
        <v>43200</v>
      </c>
      <c r="C76" t="s">
        <v>318</v>
      </c>
      <c r="D76">
        <v>0.47820031639999999</v>
      </c>
      <c r="E76">
        <v>38.962989810000003</v>
      </c>
      <c r="F76">
        <v>81.478385675948928</v>
      </c>
    </row>
    <row r="77" spans="1:6" x14ac:dyDescent="0.2">
      <c r="A77" t="s">
        <v>969</v>
      </c>
      <c r="B77" s="1">
        <v>43200</v>
      </c>
      <c r="C77" t="s">
        <v>318</v>
      </c>
      <c r="D77">
        <v>0.6661570966</v>
      </c>
      <c r="E77">
        <v>34.254274369999997</v>
      </c>
      <c r="F77">
        <v>51.420715240940055</v>
      </c>
    </row>
    <row r="78" spans="1:6" x14ac:dyDescent="0.2">
      <c r="A78" t="s">
        <v>970</v>
      </c>
      <c r="B78" s="1">
        <v>43200</v>
      </c>
      <c r="C78" t="s">
        <v>318</v>
      </c>
      <c r="D78">
        <v>0.68385800720000001</v>
      </c>
      <c r="E78">
        <v>38.506420140000003</v>
      </c>
      <c r="F78">
        <v>56.307624879119793</v>
      </c>
    </row>
    <row r="79" spans="1:6" x14ac:dyDescent="0.2">
      <c r="A79" t="s">
        <v>971</v>
      </c>
      <c r="B79" s="1">
        <v>43200</v>
      </c>
      <c r="C79" t="s">
        <v>318</v>
      </c>
      <c r="D79">
        <v>0.41191372279999999</v>
      </c>
      <c r="E79">
        <v>31.796759609999999</v>
      </c>
      <c r="F79">
        <v>77.192765984731594</v>
      </c>
    </row>
    <row r="80" spans="1:6" x14ac:dyDescent="0.2">
      <c r="A80" t="s">
        <v>981</v>
      </c>
      <c r="B80" s="14" t="s">
        <v>11</v>
      </c>
      <c r="C80" s="14" t="s">
        <v>11</v>
      </c>
      <c r="D80" s="14" t="s">
        <v>11</v>
      </c>
      <c r="E80" s="14" t="s">
        <v>11</v>
      </c>
      <c r="F80" s="14" t="s">
        <v>11</v>
      </c>
    </row>
    <row r="81" spans="1:6" x14ac:dyDescent="0.2">
      <c r="A81" t="s">
        <v>973</v>
      </c>
      <c r="B81" s="1">
        <v>43200</v>
      </c>
      <c r="C81" t="s">
        <v>318</v>
      </c>
      <c r="D81">
        <v>0.53914070130000002</v>
      </c>
      <c r="E81">
        <v>39.39379692</v>
      </c>
      <c r="F81">
        <v>73.06774803870664</v>
      </c>
    </row>
    <row r="82" spans="1:6" x14ac:dyDescent="0.2">
      <c r="A82" t="s">
        <v>982</v>
      </c>
      <c r="B82" s="1">
        <v>43201</v>
      </c>
      <c r="C82" t="s">
        <v>317</v>
      </c>
      <c r="D82">
        <v>1.136017799</v>
      </c>
      <c r="E82">
        <v>41.692642210000002</v>
      </c>
      <c r="F82">
        <v>36.700694519663948</v>
      </c>
    </row>
    <row r="83" spans="1:6" x14ac:dyDescent="0.2">
      <c r="A83" t="s">
        <v>983</v>
      </c>
      <c r="B83" s="1">
        <v>43201</v>
      </c>
      <c r="C83" t="s">
        <v>317</v>
      </c>
      <c r="D83">
        <v>1.4240678550000001</v>
      </c>
      <c r="E83">
        <v>42.313095089999997</v>
      </c>
      <c r="F83">
        <v>29.712836324080914</v>
      </c>
    </row>
    <row r="84" spans="1:6" x14ac:dyDescent="0.2">
      <c r="A84" t="s">
        <v>984</v>
      </c>
      <c r="B84" s="1">
        <v>43201</v>
      </c>
      <c r="C84" t="s">
        <v>317</v>
      </c>
      <c r="D84">
        <v>1.0639868379999999</v>
      </c>
      <c r="E84">
        <v>41.250921249999998</v>
      </c>
      <c r="F84">
        <v>38.770142427269384</v>
      </c>
    </row>
    <row r="85" spans="1:6" x14ac:dyDescent="0.2">
      <c r="A85" t="s">
        <v>985</v>
      </c>
      <c r="B85" s="1">
        <v>43201</v>
      </c>
      <c r="C85" t="s">
        <v>317</v>
      </c>
      <c r="D85">
        <v>1.2287527920000001</v>
      </c>
      <c r="E85">
        <v>42.045492170000003</v>
      </c>
      <c r="F85">
        <v>34.218023709686918</v>
      </c>
    </row>
    <row r="86" spans="1:6" x14ac:dyDescent="0.2">
      <c r="A86" t="s">
        <v>986</v>
      </c>
      <c r="B86" s="1">
        <v>43201</v>
      </c>
      <c r="C86" t="s">
        <v>317</v>
      </c>
      <c r="D86">
        <v>1.1674825550000001</v>
      </c>
      <c r="E86">
        <v>42.29926682</v>
      </c>
      <c r="F86">
        <v>36.231176764778297</v>
      </c>
    </row>
    <row r="87" spans="1:6" x14ac:dyDescent="0.2">
      <c r="A87" t="s">
        <v>987</v>
      </c>
      <c r="B87" s="1">
        <v>43201</v>
      </c>
      <c r="C87" t="s">
        <v>317</v>
      </c>
      <c r="D87">
        <v>1.4495859149999999</v>
      </c>
      <c r="E87">
        <v>41.478445049999998</v>
      </c>
      <c r="F87">
        <v>28.613995638885605</v>
      </c>
    </row>
    <row r="88" spans="1:6" x14ac:dyDescent="0.2">
      <c r="A88" t="s">
        <v>988</v>
      </c>
      <c r="B88" s="1">
        <v>43201</v>
      </c>
      <c r="C88" t="s">
        <v>317</v>
      </c>
      <c r="D88">
        <v>1.234092414</v>
      </c>
      <c r="E88">
        <v>42.004188540000001</v>
      </c>
      <c r="F88">
        <v>34.03650169427263</v>
      </c>
    </row>
    <row r="89" spans="1:6" x14ac:dyDescent="0.2">
      <c r="A89" t="s">
        <v>989</v>
      </c>
      <c r="B89" s="1">
        <v>43201</v>
      </c>
      <c r="C89" t="s">
        <v>317</v>
      </c>
      <c r="D89">
        <v>1.47894901</v>
      </c>
      <c r="E89">
        <v>41.466709139999999</v>
      </c>
      <c r="F89">
        <v>28.037957265342094</v>
      </c>
    </row>
    <row r="90" spans="1:6" x14ac:dyDescent="0.2">
      <c r="A90" t="s">
        <v>990</v>
      </c>
      <c r="B90" s="1">
        <v>43201</v>
      </c>
      <c r="C90" t="s">
        <v>317</v>
      </c>
      <c r="D90">
        <v>1.4467895630000001</v>
      </c>
      <c r="E90">
        <v>42.27331161</v>
      </c>
      <c r="F90">
        <v>29.218700971510948</v>
      </c>
    </row>
    <row r="91" spans="1:6" x14ac:dyDescent="0.2">
      <c r="A91" t="s">
        <v>991</v>
      </c>
      <c r="B91" s="1">
        <v>43201</v>
      </c>
      <c r="C91" t="s">
        <v>317</v>
      </c>
      <c r="D91">
        <v>1.4116479159999999</v>
      </c>
      <c r="E91">
        <v>42.492527010000003</v>
      </c>
      <c r="F91">
        <v>30.101363469161246</v>
      </c>
    </row>
    <row r="92" spans="1:6" x14ac:dyDescent="0.2">
      <c r="A92" t="s">
        <v>992</v>
      </c>
      <c r="B92" s="1">
        <v>43201</v>
      </c>
      <c r="C92" t="s">
        <v>317</v>
      </c>
      <c r="D92">
        <v>1.2640883919999999</v>
      </c>
      <c r="E92">
        <v>43.014158250000001</v>
      </c>
      <c r="F92">
        <v>34.027808911324932</v>
      </c>
    </row>
    <row r="93" spans="1:6" x14ac:dyDescent="0.2">
      <c r="A93" t="s">
        <v>993</v>
      </c>
      <c r="B93" s="1">
        <v>43201</v>
      </c>
      <c r="C93" t="s">
        <v>317</v>
      </c>
      <c r="D93">
        <v>1.2436536549999999</v>
      </c>
      <c r="E93">
        <v>42.108112339999998</v>
      </c>
      <c r="F93">
        <v>33.858391498877559</v>
      </c>
    </row>
    <row r="94" spans="1:6" x14ac:dyDescent="0.2">
      <c r="A94" t="s">
        <v>994</v>
      </c>
      <c r="B94" s="1">
        <v>43201</v>
      </c>
      <c r="C94" t="s">
        <v>317</v>
      </c>
      <c r="D94">
        <v>1.4624812599999999</v>
      </c>
      <c r="E94">
        <v>41.24492455</v>
      </c>
      <c r="F94">
        <v>28.202019183480001</v>
      </c>
    </row>
    <row r="95" spans="1:6" x14ac:dyDescent="0.2">
      <c r="A95" t="s">
        <v>995</v>
      </c>
      <c r="B95" s="1">
        <v>43201</v>
      </c>
      <c r="C95" t="s">
        <v>317</v>
      </c>
      <c r="D95">
        <v>1.347104788</v>
      </c>
      <c r="E95">
        <v>41.925376890000003</v>
      </c>
      <c r="F95">
        <v>31.122580265077346</v>
      </c>
    </row>
    <row r="96" spans="1:6" x14ac:dyDescent="0.2">
      <c r="A96" t="s">
        <v>996</v>
      </c>
      <c r="B96" s="1">
        <v>43201</v>
      </c>
      <c r="C96" t="s">
        <v>317</v>
      </c>
      <c r="D96">
        <v>1.453765988</v>
      </c>
      <c r="E96">
        <v>41.748991009999997</v>
      </c>
      <c r="F96">
        <v>28.717820718474531</v>
      </c>
    </row>
    <row r="97" spans="1:6" x14ac:dyDescent="0.2">
      <c r="A97" t="s">
        <v>997</v>
      </c>
      <c r="B97" s="1">
        <v>43201</v>
      </c>
      <c r="C97" t="s">
        <v>317</v>
      </c>
      <c r="D97">
        <v>1.373720109</v>
      </c>
      <c r="E97">
        <v>41.845308299999999</v>
      </c>
      <c r="F97">
        <v>30.461305782632319</v>
      </c>
    </row>
    <row r="98" spans="1:6" x14ac:dyDescent="0.2">
      <c r="A98" t="s">
        <v>998</v>
      </c>
      <c r="B98" s="1">
        <v>43201</v>
      </c>
      <c r="C98" t="s">
        <v>317</v>
      </c>
      <c r="D98">
        <v>1.2609246970000001</v>
      </c>
      <c r="E98">
        <v>41.157447810000001</v>
      </c>
      <c r="F98">
        <v>32.640686559571762</v>
      </c>
    </row>
    <row r="99" spans="1:6" x14ac:dyDescent="0.2">
      <c r="A99" t="s">
        <v>999</v>
      </c>
      <c r="B99" s="1">
        <v>43201</v>
      </c>
      <c r="C99" t="s">
        <v>317</v>
      </c>
      <c r="D99">
        <v>1.166601598</v>
      </c>
      <c r="E99">
        <v>41.741006849999998</v>
      </c>
      <c r="F99">
        <v>35.780001434560006</v>
      </c>
    </row>
    <row r="100" spans="1:6" x14ac:dyDescent="0.2">
      <c r="A100" t="s">
        <v>1000</v>
      </c>
      <c r="B100" s="1">
        <v>43201</v>
      </c>
      <c r="C100" t="s">
        <v>317</v>
      </c>
      <c r="D100">
        <v>1.3247795099999999</v>
      </c>
      <c r="E100">
        <v>41.27795982</v>
      </c>
      <c r="F100">
        <v>31.158362209270585</v>
      </c>
    </row>
    <row r="101" spans="1:6" x14ac:dyDescent="0.2">
      <c r="A101" t="s">
        <v>1001</v>
      </c>
      <c r="B101" s="1">
        <v>43201</v>
      </c>
      <c r="C101" t="s">
        <v>317</v>
      </c>
      <c r="D101">
        <v>1.5044568780000001</v>
      </c>
      <c r="E101">
        <v>41.356380459999997</v>
      </c>
      <c r="F101">
        <v>27.489242838903088</v>
      </c>
    </row>
    <row r="102" spans="1:6" x14ac:dyDescent="0.2">
      <c r="A102" t="s">
        <v>1002</v>
      </c>
      <c r="B102" s="1">
        <v>43203</v>
      </c>
      <c r="C102" t="s">
        <v>317</v>
      </c>
      <c r="D102">
        <v>1.3922793870000001</v>
      </c>
      <c r="E102">
        <v>40.675531390000003</v>
      </c>
      <c r="F102">
        <v>29.215063994910672</v>
      </c>
    </row>
    <row r="103" spans="1:6" x14ac:dyDescent="0.2">
      <c r="A103" t="s">
        <v>1003</v>
      </c>
      <c r="B103" s="1">
        <v>43203</v>
      </c>
      <c r="C103" t="s">
        <v>317</v>
      </c>
      <c r="D103">
        <v>1.1366721989999999</v>
      </c>
      <c r="E103">
        <v>40.929395679999999</v>
      </c>
      <c r="F103">
        <v>36.008090737160714</v>
      </c>
    </row>
    <row r="104" spans="1:6" x14ac:dyDescent="0.2">
      <c r="A104" t="s">
        <v>1004</v>
      </c>
      <c r="B104" s="1">
        <v>43203</v>
      </c>
      <c r="C104" t="s">
        <v>317</v>
      </c>
      <c r="D104">
        <v>1.245964289</v>
      </c>
      <c r="E104">
        <v>42.75577354</v>
      </c>
      <c r="F104">
        <v>34.315408489207513</v>
      </c>
    </row>
    <row r="105" spans="1:6" x14ac:dyDescent="0.2">
      <c r="A105" t="s">
        <v>1005</v>
      </c>
      <c r="B105" s="1">
        <v>43203</v>
      </c>
      <c r="C105" t="s">
        <v>317</v>
      </c>
      <c r="D105">
        <v>1.272943377</v>
      </c>
      <c r="E105">
        <v>41.590597150000001</v>
      </c>
      <c r="F105">
        <v>32.672778618023322</v>
      </c>
    </row>
    <row r="106" spans="1:6" x14ac:dyDescent="0.2">
      <c r="A106" t="s">
        <v>1006</v>
      </c>
      <c r="B106" s="1">
        <v>43203</v>
      </c>
      <c r="C106" t="s">
        <v>317</v>
      </c>
      <c r="D106">
        <v>1.047051489</v>
      </c>
      <c r="E106">
        <v>41.26732063</v>
      </c>
      <c r="F106">
        <v>39.412885673285167</v>
      </c>
    </row>
    <row r="107" spans="1:6" x14ac:dyDescent="0.2">
      <c r="A107" t="s">
        <v>1007</v>
      </c>
      <c r="B107" s="1">
        <v>43203</v>
      </c>
      <c r="C107" t="s">
        <v>317</v>
      </c>
      <c r="D107">
        <v>1.225744784</v>
      </c>
      <c r="E107">
        <v>42.525857930000001</v>
      </c>
      <c r="F107">
        <v>34.693892631730755</v>
      </c>
    </row>
    <row r="108" spans="1:6" x14ac:dyDescent="0.2">
      <c r="A108" t="s">
        <v>1008</v>
      </c>
      <c r="B108" s="1">
        <v>43203</v>
      </c>
      <c r="C108" t="s">
        <v>317</v>
      </c>
      <c r="D108">
        <v>1.4027124639999999</v>
      </c>
      <c r="E108">
        <v>41.833423609999997</v>
      </c>
      <c r="F108">
        <v>29.823235113137198</v>
      </c>
    </row>
    <row r="109" spans="1:6" x14ac:dyDescent="0.2">
      <c r="A109" t="s">
        <v>1009</v>
      </c>
      <c r="B109" s="1">
        <v>43203</v>
      </c>
      <c r="C109" t="s">
        <v>317</v>
      </c>
      <c r="D109">
        <v>1.6587045789999999</v>
      </c>
      <c r="E109">
        <v>41.145429610000001</v>
      </c>
      <c r="F109">
        <v>24.805761152962972</v>
      </c>
    </row>
    <row r="110" spans="1:6" x14ac:dyDescent="0.2">
      <c r="A110" t="s">
        <v>1010</v>
      </c>
      <c r="B110" s="1">
        <v>43203</v>
      </c>
      <c r="C110" t="s">
        <v>317</v>
      </c>
      <c r="D110">
        <v>1.221595287</v>
      </c>
      <c r="E110">
        <v>43.336187359999997</v>
      </c>
      <c r="F110">
        <v>35.475077401800746</v>
      </c>
    </row>
    <row r="111" spans="1:6" x14ac:dyDescent="0.2">
      <c r="A111" t="s">
        <v>1011</v>
      </c>
      <c r="B111" s="1">
        <v>43203</v>
      </c>
      <c r="C111" t="s">
        <v>317</v>
      </c>
      <c r="D111">
        <v>1.371481299</v>
      </c>
      <c r="E111">
        <v>41.726240160000003</v>
      </c>
      <c r="F111">
        <v>30.424213724550395</v>
      </c>
    </row>
    <row r="112" spans="1:6" x14ac:dyDescent="0.2">
      <c r="A112" t="s">
        <v>1012</v>
      </c>
      <c r="B112" s="1">
        <v>43203</v>
      </c>
      <c r="C112" t="s">
        <v>317</v>
      </c>
      <c r="D112">
        <v>1.260219038</v>
      </c>
      <c r="E112">
        <v>42.59505463</v>
      </c>
      <c r="F112">
        <v>33.799723179550952</v>
      </c>
    </row>
    <row r="113" spans="1:6" x14ac:dyDescent="0.2">
      <c r="A113" t="s">
        <v>1013</v>
      </c>
      <c r="B113" s="1">
        <v>43203</v>
      </c>
      <c r="C113" t="s">
        <v>317</v>
      </c>
      <c r="D113">
        <v>1.414980114</v>
      </c>
      <c r="E113">
        <v>42.095867159999997</v>
      </c>
      <c r="F113">
        <v>29.750147541649476</v>
      </c>
    </row>
    <row r="114" spans="1:6" x14ac:dyDescent="0.2">
      <c r="A114" t="s">
        <v>1014</v>
      </c>
      <c r="B114" s="1">
        <v>43203</v>
      </c>
      <c r="C114" t="s">
        <v>317</v>
      </c>
      <c r="D114">
        <v>1.206242263</v>
      </c>
      <c r="E114">
        <v>41.42464828</v>
      </c>
      <c r="F114">
        <v>34.341897602704044</v>
      </c>
    </row>
    <row r="115" spans="1:6" x14ac:dyDescent="0.2">
      <c r="A115" t="s">
        <v>1015</v>
      </c>
      <c r="B115" s="1">
        <v>43203</v>
      </c>
      <c r="C115" t="s">
        <v>317</v>
      </c>
      <c r="D115">
        <v>1.3995870349999999</v>
      </c>
      <c r="E115">
        <v>42.644264219999997</v>
      </c>
      <c r="F115">
        <v>30.469176373872312</v>
      </c>
    </row>
    <row r="116" spans="1:6" x14ac:dyDescent="0.2">
      <c r="A116" t="s">
        <v>1016</v>
      </c>
      <c r="B116" s="1">
        <v>43203</v>
      </c>
      <c r="C116" t="s">
        <v>317</v>
      </c>
      <c r="D116">
        <v>1.2486214040000001</v>
      </c>
      <c r="E116">
        <v>41.483470920000002</v>
      </c>
      <c r="F116">
        <v>33.22341807300942</v>
      </c>
    </row>
    <row r="117" spans="1:6" x14ac:dyDescent="0.2">
      <c r="A117" t="s">
        <v>1017</v>
      </c>
      <c r="B117" s="1">
        <v>43203</v>
      </c>
      <c r="C117" t="s">
        <v>317</v>
      </c>
      <c r="D117">
        <v>1.1146677730000001</v>
      </c>
      <c r="E117">
        <v>42.037931440000001</v>
      </c>
      <c r="F117">
        <v>37.71341780776504</v>
      </c>
    </row>
    <row r="118" spans="1:6" x14ac:dyDescent="0.2">
      <c r="A118" t="s">
        <v>1018</v>
      </c>
      <c r="B118" s="1">
        <v>43203</v>
      </c>
      <c r="C118" t="s">
        <v>317</v>
      </c>
      <c r="D118">
        <v>1.332938373</v>
      </c>
      <c r="E118">
        <v>42.076995850000003</v>
      </c>
      <c r="F118">
        <v>31.56709770107279</v>
      </c>
    </row>
    <row r="119" spans="1:6" x14ac:dyDescent="0.2">
      <c r="A119" t="s">
        <v>1019</v>
      </c>
      <c r="B119" s="1">
        <v>43203</v>
      </c>
      <c r="C119" t="s">
        <v>317</v>
      </c>
      <c r="D119">
        <v>1.261226237</v>
      </c>
      <c r="E119">
        <v>41.245025630000001</v>
      </c>
      <c r="F119">
        <v>32.702321296539914</v>
      </c>
    </row>
    <row r="120" spans="1:6" x14ac:dyDescent="0.2">
      <c r="A120" t="s">
        <v>1020</v>
      </c>
      <c r="B120" s="1">
        <v>43203</v>
      </c>
      <c r="C120" t="s">
        <v>317</v>
      </c>
      <c r="D120">
        <v>1.5209689740000001</v>
      </c>
      <c r="E120">
        <v>41.309043879999997</v>
      </c>
      <c r="F120">
        <v>27.159688715648972</v>
      </c>
    </row>
    <row r="121" spans="1:6" x14ac:dyDescent="0.2">
      <c r="A121" t="s">
        <v>1021</v>
      </c>
      <c r="B121" s="1">
        <v>43203</v>
      </c>
      <c r="C121" t="s">
        <v>317</v>
      </c>
      <c r="D121">
        <v>1.1913293</v>
      </c>
      <c r="E121">
        <v>41.183994290000001</v>
      </c>
      <c r="F121">
        <v>34.569782082921996</v>
      </c>
    </row>
    <row r="122" spans="1:6" x14ac:dyDescent="0.2">
      <c r="A122" t="s">
        <v>982</v>
      </c>
      <c r="B122" s="1">
        <v>43216</v>
      </c>
      <c r="C122" t="s">
        <v>318</v>
      </c>
      <c r="D122">
        <v>0.43697527050000001</v>
      </c>
      <c r="E122">
        <v>37.63384628</v>
      </c>
      <c r="F122">
        <v>86.123515037677635</v>
      </c>
    </row>
    <row r="123" spans="1:6" x14ac:dyDescent="0.2">
      <c r="A123" t="s">
        <v>983</v>
      </c>
      <c r="B123" s="1">
        <v>43206</v>
      </c>
      <c r="C123" t="s">
        <v>318</v>
      </c>
      <c r="D123">
        <v>0.4749314785</v>
      </c>
      <c r="E123">
        <v>38.413915629999998</v>
      </c>
      <c r="F123">
        <v>80.883069177315008</v>
      </c>
    </row>
    <row r="124" spans="1:6" x14ac:dyDescent="0.2">
      <c r="A124" t="s">
        <v>984</v>
      </c>
      <c r="B124" s="1">
        <v>43206</v>
      </c>
      <c r="C124" t="s">
        <v>318</v>
      </c>
      <c r="D124">
        <v>0.41169793900000001</v>
      </c>
      <c r="E124">
        <v>39.915447239999999</v>
      </c>
      <c r="F124">
        <v>96.953235512796667</v>
      </c>
    </row>
    <row r="125" spans="1:6" x14ac:dyDescent="0.2">
      <c r="A125" t="s">
        <v>985</v>
      </c>
      <c r="B125" s="1">
        <v>43206</v>
      </c>
      <c r="C125" t="s">
        <v>318</v>
      </c>
      <c r="D125">
        <v>0.65055087209999996</v>
      </c>
      <c r="E125">
        <v>34.636848450000002</v>
      </c>
      <c r="F125">
        <v>53.242336511195653</v>
      </c>
    </row>
    <row r="126" spans="1:6" x14ac:dyDescent="0.2">
      <c r="A126" t="s">
        <v>986</v>
      </c>
      <c r="B126" s="1">
        <v>43206</v>
      </c>
      <c r="C126" t="s">
        <v>318</v>
      </c>
      <c r="D126">
        <v>0.3978469074</v>
      </c>
      <c r="E126">
        <v>39.213579180000004</v>
      </c>
      <c r="F126">
        <v>98.564494157483054</v>
      </c>
    </row>
    <row r="127" spans="1:6" x14ac:dyDescent="0.2">
      <c r="A127" t="s">
        <v>987</v>
      </c>
      <c r="B127" s="1">
        <v>43206</v>
      </c>
      <c r="C127" t="s">
        <v>318</v>
      </c>
      <c r="D127">
        <v>0.50632190700000002</v>
      </c>
      <c r="E127">
        <v>39.602661130000001</v>
      </c>
      <c r="F127">
        <v>78.216369038126572</v>
      </c>
    </row>
    <row r="128" spans="1:6" x14ac:dyDescent="0.2">
      <c r="A128" t="s">
        <v>988</v>
      </c>
      <c r="B128" s="1">
        <v>43206</v>
      </c>
      <c r="C128" t="s">
        <v>318</v>
      </c>
      <c r="D128">
        <v>0.64603462820000002</v>
      </c>
      <c r="E128">
        <v>39.817768100000002</v>
      </c>
      <c r="F128">
        <v>61.634108083248407</v>
      </c>
    </row>
    <row r="129" spans="1:6" x14ac:dyDescent="0.2">
      <c r="A129" t="s">
        <v>989</v>
      </c>
      <c r="B129" s="1">
        <v>43206</v>
      </c>
      <c r="C129" t="s">
        <v>318</v>
      </c>
      <c r="D129">
        <v>0.4953400791</v>
      </c>
      <c r="E129">
        <v>37.862678529999997</v>
      </c>
      <c r="F129">
        <v>76.43774474860578</v>
      </c>
    </row>
    <row r="130" spans="1:6" x14ac:dyDescent="0.2">
      <c r="A130" t="s">
        <v>990</v>
      </c>
      <c r="B130" s="1">
        <v>43206</v>
      </c>
      <c r="C130" t="s">
        <v>318</v>
      </c>
      <c r="D130">
        <v>0.4527158141</v>
      </c>
      <c r="E130">
        <v>40.76783752</v>
      </c>
      <c r="F130">
        <v>90.051719534133241</v>
      </c>
    </row>
    <row r="131" spans="1:6" x14ac:dyDescent="0.2">
      <c r="A131" t="s">
        <v>991</v>
      </c>
      <c r="B131" s="1">
        <v>43206</v>
      </c>
      <c r="C131" t="s">
        <v>318</v>
      </c>
      <c r="D131">
        <v>0.49853022400000002</v>
      </c>
      <c r="E131">
        <v>40.10084724</v>
      </c>
      <c r="F131">
        <v>80.438146594698736</v>
      </c>
    </row>
    <row r="132" spans="1:6" x14ac:dyDescent="0.2">
      <c r="A132" t="s">
        <v>992</v>
      </c>
      <c r="B132" s="1">
        <v>43206</v>
      </c>
      <c r="C132" t="s">
        <v>318</v>
      </c>
      <c r="D132">
        <v>0.55724924799999997</v>
      </c>
      <c r="E132">
        <v>39.717174530000001</v>
      </c>
      <c r="F132">
        <v>71.27362607046534</v>
      </c>
    </row>
    <row r="133" spans="1:6" x14ac:dyDescent="0.2">
      <c r="A133" t="s">
        <v>993</v>
      </c>
      <c r="B133" s="1">
        <v>43206</v>
      </c>
      <c r="C133" t="s">
        <v>318</v>
      </c>
      <c r="D133">
        <v>0.52327388529999996</v>
      </c>
      <c r="E133">
        <v>37.498363490000003</v>
      </c>
      <c r="F133">
        <v>71.661064202547934</v>
      </c>
    </row>
    <row r="134" spans="1:6" x14ac:dyDescent="0.2">
      <c r="A134" t="s">
        <v>994</v>
      </c>
      <c r="B134" s="1">
        <v>43206</v>
      </c>
      <c r="C134" t="s">
        <v>318</v>
      </c>
      <c r="D134">
        <v>0.4389484823</v>
      </c>
      <c r="E134">
        <v>42.121301649999999</v>
      </c>
      <c r="F134">
        <v>95.959556413757298</v>
      </c>
    </row>
    <row r="135" spans="1:6" x14ac:dyDescent="0.2">
      <c r="A135" t="s">
        <v>995</v>
      </c>
      <c r="B135" s="1">
        <v>43206</v>
      </c>
      <c r="C135" t="s">
        <v>318</v>
      </c>
      <c r="D135">
        <v>0.48881922659999999</v>
      </c>
      <c r="E135">
        <v>40.236808779999997</v>
      </c>
      <c r="F135">
        <v>82.3142924632253</v>
      </c>
    </row>
    <row r="136" spans="1:6" x14ac:dyDescent="0.2">
      <c r="A136" t="s">
        <v>996</v>
      </c>
      <c r="B136" s="1">
        <v>43206</v>
      </c>
      <c r="C136" t="s">
        <v>318</v>
      </c>
      <c r="D136">
        <v>0.39506901799999999</v>
      </c>
      <c r="E136">
        <v>39.219326019999997</v>
      </c>
      <c r="F136">
        <v>99.272087238184795</v>
      </c>
    </row>
    <row r="137" spans="1:6" x14ac:dyDescent="0.2">
      <c r="A137" t="s">
        <v>997</v>
      </c>
      <c r="B137" s="1">
        <v>43206</v>
      </c>
      <c r="C137" t="s">
        <v>318</v>
      </c>
      <c r="D137">
        <v>0.54643997550000001</v>
      </c>
      <c r="E137">
        <v>35.765327450000001</v>
      </c>
      <c r="F137">
        <v>65.45152085052753</v>
      </c>
    </row>
    <row r="138" spans="1:6" x14ac:dyDescent="0.2">
      <c r="A138" t="s">
        <v>998</v>
      </c>
      <c r="B138" s="1">
        <v>43206</v>
      </c>
      <c r="C138" t="s">
        <v>318</v>
      </c>
      <c r="D138">
        <v>0.43163838980000002</v>
      </c>
      <c r="E138">
        <v>31.18750095</v>
      </c>
      <c r="F138">
        <v>72.253770023678271</v>
      </c>
    </row>
    <row r="139" spans="1:6" x14ac:dyDescent="0.2">
      <c r="A139" t="s">
        <v>999</v>
      </c>
      <c r="B139" s="1">
        <v>43206</v>
      </c>
      <c r="C139" t="s">
        <v>318</v>
      </c>
      <c r="D139">
        <v>0.51404780149999996</v>
      </c>
      <c r="E139">
        <v>39.785497669999998</v>
      </c>
      <c r="F139">
        <v>77.396494166311498</v>
      </c>
    </row>
    <row r="140" spans="1:6" x14ac:dyDescent="0.2">
      <c r="A140" t="s">
        <v>1000</v>
      </c>
      <c r="B140" s="1">
        <v>43206</v>
      </c>
      <c r="C140" t="s">
        <v>318</v>
      </c>
      <c r="D140">
        <v>0.53992104529999996</v>
      </c>
      <c r="E140">
        <v>35.049831390000001</v>
      </c>
      <c r="F140">
        <v>64.916586777100022</v>
      </c>
    </row>
    <row r="141" spans="1:6" x14ac:dyDescent="0.2">
      <c r="A141" t="s">
        <v>1001</v>
      </c>
      <c r="B141" s="1">
        <v>43206</v>
      </c>
      <c r="C141" t="s">
        <v>318</v>
      </c>
      <c r="D141">
        <v>0.51477548480000002</v>
      </c>
      <c r="E141">
        <v>40.359659190000002</v>
      </c>
      <c r="F141">
        <v>78.402449964532579</v>
      </c>
    </row>
    <row r="142" spans="1:6" x14ac:dyDescent="0.2">
      <c r="A142" t="s">
        <v>1002</v>
      </c>
      <c r="B142" s="1">
        <v>43207</v>
      </c>
      <c r="C142" t="s">
        <v>318</v>
      </c>
      <c r="D142">
        <v>0.48759211600000002</v>
      </c>
      <c r="E142">
        <v>31.188590999999999</v>
      </c>
      <c r="F142">
        <v>63.964510451600489</v>
      </c>
    </row>
    <row r="143" spans="1:6" x14ac:dyDescent="0.2">
      <c r="A143" t="s">
        <v>1003</v>
      </c>
      <c r="B143" s="1">
        <v>43207</v>
      </c>
      <c r="C143" t="s">
        <v>318</v>
      </c>
      <c r="D143">
        <v>0.51833894849999995</v>
      </c>
      <c r="E143">
        <v>39.31501007</v>
      </c>
      <c r="F143">
        <v>75.848072354531936</v>
      </c>
    </row>
    <row r="144" spans="1:6" x14ac:dyDescent="0.2">
      <c r="A144" t="s">
        <v>1004</v>
      </c>
      <c r="B144" s="1">
        <v>43207</v>
      </c>
      <c r="C144" t="s">
        <v>318</v>
      </c>
      <c r="D144">
        <v>0.46551856400000002</v>
      </c>
      <c r="E144">
        <v>29.66201401</v>
      </c>
      <c r="F144">
        <v>63.718219430664853</v>
      </c>
    </row>
    <row r="145" spans="1:6" x14ac:dyDescent="0.2">
      <c r="A145" t="s">
        <v>1005</v>
      </c>
      <c r="B145" s="1">
        <v>43207</v>
      </c>
      <c r="C145" t="s">
        <v>318</v>
      </c>
      <c r="D145">
        <v>0.57612642650000001</v>
      </c>
      <c r="E145">
        <v>38.900541310000001</v>
      </c>
      <c r="F145">
        <v>67.520841816479319</v>
      </c>
    </row>
    <row r="146" spans="1:6" x14ac:dyDescent="0.2">
      <c r="A146" t="s">
        <v>1006</v>
      </c>
      <c r="B146" s="1">
        <v>43207</v>
      </c>
      <c r="C146" t="s">
        <v>318</v>
      </c>
      <c r="D146">
        <v>0.52239939570000005</v>
      </c>
      <c r="E146">
        <v>34.173200610000002</v>
      </c>
      <c r="F146">
        <v>65.415850192952277</v>
      </c>
    </row>
    <row r="147" spans="1:6" x14ac:dyDescent="0.2">
      <c r="A147" t="s">
        <v>1007</v>
      </c>
      <c r="B147" s="1">
        <v>43207</v>
      </c>
      <c r="C147" t="s">
        <v>318</v>
      </c>
      <c r="D147">
        <v>0.60115772489999997</v>
      </c>
      <c r="E147">
        <v>36.97834778</v>
      </c>
      <c r="F147">
        <v>61.511889889048987</v>
      </c>
    </row>
    <row r="148" spans="1:6" x14ac:dyDescent="0.2">
      <c r="A148" t="s">
        <v>1008</v>
      </c>
      <c r="B148" s="1">
        <v>43207</v>
      </c>
      <c r="C148" t="s">
        <v>318</v>
      </c>
      <c r="D148">
        <v>0.5205478966</v>
      </c>
      <c r="E148">
        <v>37.676565170000003</v>
      </c>
      <c r="F148">
        <v>72.37867142694742</v>
      </c>
    </row>
    <row r="149" spans="1:6" x14ac:dyDescent="0.2">
      <c r="A149" t="s">
        <v>1009</v>
      </c>
      <c r="B149" s="1">
        <v>43207</v>
      </c>
      <c r="C149" t="s">
        <v>318</v>
      </c>
      <c r="D149">
        <v>0.58660122749999999</v>
      </c>
      <c r="E149">
        <v>36.940618520000001</v>
      </c>
      <c r="F149">
        <v>62.973987759001069</v>
      </c>
    </row>
    <row r="150" spans="1:6" x14ac:dyDescent="0.2">
      <c r="A150" t="s">
        <v>1010</v>
      </c>
      <c r="B150" s="1">
        <v>43207</v>
      </c>
      <c r="C150" t="s">
        <v>318</v>
      </c>
      <c r="D150">
        <v>0.54989755149999997</v>
      </c>
      <c r="E150">
        <v>36.722377780000002</v>
      </c>
      <c r="F150">
        <v>66.780398784881669</v>
      </c>
    </row>
    <row r="151" spans="1:6" x14ac:dyDescent="0.2">
      <c r="A151" t="s">
        <v>1011</v>
      </c>
      <c r="B151" s="1">
        <v>43207</v>
      </c>
      <c r="C151" t="s">
        <v>318</v>
      </c>
      <c r="D151">
        <v>0.58780774469999997</v>
      </c>
      <c r="E151">
        <v>37.700622559999999</v>
      </c>
      <c r="F151">
        <v>64.13767579609096</v>
      </c>
    </row>
    <row r="152" spans="1:6" x14ac:dyDescent="0.2">
      <c r="A152" t="s">
        <v>1012</v>
      </c>
      <c r="B152" s="1">
        <v>43207</v>
      </c>
      <c r="C152" t="s">
        <v>318</v>
      </c>
      <c r="D152">
        <v>0.54478865860000003</v>
      </c>
      <c r="E152">
        <v>36.890838619999997</v>
      </c>
      <c r="F152">
        <v>67.715871168834923</v>
      </c>
    </row>
    <row r="153" spans="1:6" x14ac:dyDescent="0.2">
      <c r="A153" t="s">
        <v>1013</v>
      </c>
      <c r="B153" s="1">
        <v>43207</v>
      </c>
      <c r="C153" t="s">
        <v>318</v>
      </c>
      <c r="D153">
        <v>0.51215565200000002</v>
      </c>
      <c r="E153">
        <v>40.287826539999998</v>
      </c>
      <c r="F153">
        <v>78.663246969302207</v>
      </c>
    </row>
    <row r="154" spans="1:6" x14ac:dyDescent="0.2">
      <c r="A154" t="s">
        <v>1014</v>
      </c>
      <c r="B154" s="1">
        <v>43207</v>
      </c>
      <c r="C154" t="s">
        <v>318</v>
      </c>
      <c r="D154">
        <v>0.58156120779999998</v>
      </c>
      <c r="E154">
        <v>39.838729860000001</v>
      </c>
      <c r="F154">
        <v>68.503072979552343</v>
      </c>
    </row>
    <row r="155" spans="1:6" x14ac:dyDescent="0.2">
      <c r="A155" t="s">
        <v>1015</v>
      </c>
      <c r="B155" s="1">
        <v>43207</v>
      </c>
      <c r="C155" t="s">
        <v>318</v>
      </c>
      <c r="D155">
        <v>0.5451671481</v>
      </c>
      <c r="E155">
        <v>36.246452329999997</v>
      </c>
      <c r="F155">
        <v>66.48686087620105</v>
      </c>
    </row>
    <row r="156" spans="1:6" x14ac:dyDescent="0.2">
      <c r="A156" t="s">
        <v>1016</v>
      </c>
      <c r="B156" s="1">
        <v>43207</v>
      </c>
      <c r="C156" t="s">
        <v>318</v>
      </c>
      <c r="D156">
        <v>0.75836884979999997</v>
      </c>
      <c r="E156">
        <v>38.347427369999998</v>
      </c>
      <c r="F156">
        <v>50.565667854254741</v>
      </c>
    </row>
    <row r="157" spans="1:6" x14ac:dyDescent="0.2">
      <c r="A157" t="s">
        <v>1017</v>
      </c>
      <c r="B157" s="1">
        <v>43207</v>
      </c>
      <c r="C157" t="s">
        <v>318</v>
      </c>
      <c r="D157">
        <v>0.47509914640000001</v>
      </c>
      <c r="E157">
        <v>38.03379631</v>
      </c>
      <c r="F157">
        <v>80.054440421953998</v>
      </c>
    </row>
    <row r="158" spans="1:6" x14ac:dyDescent="0.2">
      <c r="A158" t="s">
        <v>1018</v>
      </c>
      <c r="B158" s="1">
        <v>43207</v>
      </c>
      <c r="C158" t="s">
        <v>318</v>
      </c>
      <c r="D158">
        <v>0.66384130720000001</v>
      </c>
      <c r="E158">
        <v>37.874252319999997</v>
      </c>
      <c r="F158">
        <v>57.053172059673237</v>
      </c>
    </row>
    <row r="159" spans="1:6" x14ac:dyDescent="0.2">
      <c r="A159" t="s">
        <v>1019</v>
      </c>
      <c r="B159" s="1">
        <v>43207</v>
      </c>
      <c r="C159" t="s">
        <v>318</v>
      </c>
      <c r="D159">
        <v>0.48261387649999998</v>
      </c>
      <c r="E159">
        <v>38.757081990000003</v>
      </c>
      <c r="F159">
        <v>80.306605087846052</v>
      </c>
    </row>
    <row r="160" spans="1:6" x14ac:dyDescent="0.2">
      <c r="A160" t="s">
        <v>1020</v>
      </c>
      <c r="B160" s="1">
        <v>43207</v>
      </c>
      <c r="C160" t="s">
        <v>318</v>
      </c>
      <c r="D160">
        <v>0.42514701189999998</v>
      </c>
      <c r="E160">
        <v>39.473794939999998</v>
      </c>
      <c r="F160">
        <v>92.847400628761179</v>
      </c>
    </row>
    <row r="161" spans="1:6" x14ac:dyDescent="0.2">
      <c r="A161" t="s">
        <v>1021</v>
      </c>
      <c r="B161" s="1">
        <v>43207</v>
      </c>
      <c r="C161" t="s">
        <v>318</v>
      </c>
      <c r="D161">
        <v>0.43732403219999999</v>
      </c>
      <c r="E161">
        <v>37.680534360000003</v>
      </c>
      <c r="F161">
        <v>86.161590915652411</v>
      </c>
    </row>
    <row r="162" spans="1:6" x14ac:dyDescent="0.2">
      <c r="A162" t="s">
        <v>1022</v>
      </c>
      <c r="B162" s="1">
        <v>43209</v>
      </c>
      <c r="C162" t="s">
        <v>318</v>
      </c>
      <c r="D162">
        <v>0.40462256969999999</v>
      </c>
      <c r="E162">
        <v>29.665976520000001</v>
      </c>
      <c r="F162">
        <v>73.317651415231964</v>
      </c>
    </row>
    <row r="163" spans="1:6" x14ac:dyDescent="0.2">
      <c r="A163" t="s">
        <v>1023</v>
      </c>
      <c r="B163" s="1">
        <v>43209</v>
      </c>
      <c r="C163" t="s">
        <v>318</v>
      </c>
      <c r="D163">
        <v>0.65137082339999997</v>
      </c>
      <c r="E163">
        <v>32.854644780000001</v>
      </c>
      <c r="F163">
        <v>50.439233075418713</v>
      </c>
    </row>
    <row r="164" spans="1:6" x14ac:dyDescent="0.2">
      <c r="A164" t="s">
        <v>1024</v>
      </c>
      <c r="B164" s="1">
        <v>43209</v>
      </c>
      <c r="C164" t="s">
        <v>318</v>
      </c>
      <c r="D164">
        <v>0.44476425650000001</v>
      </c>
      <c r="E164">
        <v>38.766584399999999</v>
      </c>
      <c r="F164">
        <v>87.162095050234768</v>
      </c>
    </row>
    <row r="165" spans="1:6" x14ac:dyDescent="0.2">
      <c r="A165" t="s">
        <v>1025</v>
      </c>
      <c r="B165" s="1">
        <v>43209</v>
      </c>
      <c r="C165" t="s">
        <v>318</v>
      </c>
      <c r="D165">
        <v>0.70759764309999995</v>
      </c>
      <c r="E165">
        <v>39.041492460000001</v>
      </c>
      <c r="F165">
        <v>55.174706757018598</v>
      </c>
    </row>
    <row r="166" spans="1:6" x14ac:dyDescent="0.2">
      <c r="A166" t="s">
        <v>1026</v>
      </c>
      <c r="B166" s="1">
        <v>43209</v>
      </c>
      <c r="C166" t="s">
        <v>318</v>
      </c>
      <c r="D166">
        <v>0.47133524719999997</v>
      </c>
      <c r="E166">
        <v>34.994905469999999</v>
      </c>
      <c r="F166">
        <v>74.246315500251015</v>
      </c>
    </row>
    <row r="167" spans="1:6" x14ac:dyDescent="0.2">
      <c r="A167" t="s">
        <v>1027</v>
      </c>
      <c r="B167" s="1">
        <v>43209</v>
      </c>
      <c r="C167" t="s">
        <v>318</v>
      </c>
      <c r="D167">
        <v>0.60316991809999998</v>
      </c>
      <c r="E167">
        <v>39.519144060000002</v>
      </c>
      <c r="F167">
        <v>65.519089851971188</v>
      </c>
    </row>
    <row r="168" spans="1:6" x14ac:dyDescent="0.2">
      <c r="A168" t="s">
        <v>1028</v>
      </c>
      <c r="B168" s="1">
        <v>43209</v>
      </c>
      <c r="C168" t="s">
        <v>318</v>
      </c>
      <c r="D168">
        <v>0.7309040725</v>
      </c>
      <c r="E168">
        <v>39.613346100000001</v>
      </c>
      <c r="F168">
        <v>54.197736187877105</v>
      </c>
    </row>
    <row r="169" spans="1:6" x14ac:dyDescent="0.2">
      <c r="A169" t="s">
        <v>1029</v>
      </c>
      <c r="B169" s="1">
        <v>43209</v>
      </c>
      <c r="C169" t="s">
        <v>318</v>
      </c>
      <c r="D169">
        <v>0.69275173540000001</v>
      </c>
      <c r="E169">
        <v>41.176090240000001</v>
      </c>
      <c r="F169">
        <v>59.438451231341368</v>
      </c>
    </row>
    <row r="170" spans="1:6" x14ac:dyDescent="0.2">
      <c r="A170" t="s">
        <v>1030</v>
      </c>
      <c r="B170" s="1">
        <v>43209</v>
      </c>
      <c r="C170" t="s">
        <v>318</v>
      </c>
      <c r="D170">
        <v>0.67514407629999995</v>
      </c>
      <c r="E170">
        <v>40.456375119999997</v>
      </c>
      <c r="F170">
        <v>59.922580290881832</v>
      </c>
    </row>
    <row r="171" spans="1:6" x14ac:dyDescent="0.2">
      <c r="A171" t="s">
        <v>1031</v>
      </c>
      <c r="B171" s="1">
        <v>43209</v>
      </c>
      <c r="C171" t="s">
        <v>318</v>
      </c>
      <c r="D171">
        <v>0.53792750840000003</v>
      </c>
      <c r="E171">
        <v>38.154575350000002</v>
      </c>
      <c r="F171">
        <v>70.92884218449089</v>
      </c>
    </row>
    <row r="172" spans="1:6" x14ac:dyDescent="0.2">
      <c r="A172" t="s">
        <v>1032</v>
      </c>
      <c r="B172" s="1">
        <v>43209</v>
      </c>
      <c r="C172" t="s">
        <v>318</v>
      </c>
      <c r="D172">
        <v>0.50812338290000003</v>
      </c>
      <c r="E172">
        <v>39.986396790000001</v>
      </c>
      <c r="F172">
        <v>78.694266266170686</v>
      </c>
    </row>
    <row r="173" spans="1:6" x14ac:dyDescent="0.2">
      <c r="A173" t="s">
        <v>1033</v>
      </c>
      <c r="B173" s="1">
        <v>43209</v>
      </c>
      <c r="C173" t="s">
        <v>318</v>
      </c>
      <c r="D173">
        <v>0.65514862539999996</v>
      </c>
      <c r="E173">
        <v>37.768138890000003</v>
      </c>
      <c r="F173">
        <v>57.648199852271269</v>
      </c>
    </row>
    <row r="174" spans="1:6" x14ac:dyDescent="0.2">
      <c r="A174" t="s">
        <v>1034</v>
      </c>
      <c r="B174" s="1">
        <v>43209</v>
      </c>
      <c r="C174" t="s">
        <v>318</v>
      </c>
      <c r="D174">
        <v>0.49981550870000002</v>
      </c>
      <c r="E174">
        <v>37.184856410000002</v>
      </c>
      <c r="F174">
        <v>74.397164079034511</v>
      </c>
    </row>
    <row r="175" spans="1:6" x14ac:dyDescent="0.2">
      <c r="A175" t="s">
        <v>1035</v>
      </c>
      <c r="B175" s="1">
        <v>43209</v>
      </c>
      <c r="C175" t="s">
        <v>318</v>
      </c>
      <c r="D175">
        <v>0.80602282290000005</v>
      </c>
      <c r="E175">
        <v>40.017881389999999</v>
      </c>
      <c r="F175">
        <v>49.648571049166002</v>
      </c>
    </row>
    <row r="176" spans="1:6" x14ac:dyDescent="0.2">
      <c r="A176" t="s">
        <v>1036</v>
      </c>
      <c r="B176" s="1">
        <v>43209</v>
      </c>
      <c r="C176" t="s">
        <v>318</v>
      </c>
      <c r="D176">
        <v>0.4173118025</v>
      </c>
      <c r="E176">
        <v>36.443967819999997</v>
      </c>
      <c r="F176">
        <v>87.330306983110063</v>
      </c>
    </row>
    <row r="177" spans="1:6" x14ac:dyDescent="0.2">
      <c r="A177" t="s">
        <v>1037</v>
      </c>
      <c r="B177" s="1">
        <v>43209</v>
      </c>
      <c r="C177" t="s">
        <v>318</v>
      </c>
      <c r="D177">
        <v>0.62402248380000003</v>
      </c>
      <c r="E177">
        <v>41.34297943</v>
      </c>
      <c r="F177">
        <v>66.252387539373458</v>
      </c>
    </row>
    <row r="178" spans="1:6" x14ac:dyDescent="0.2">
      <c r="A178" t="s">
        <v>1038</v>
      </c>
      <c r="B178" s="1">
        <v>43209</v>
      </c>
      <c r="C178" t="s">
        <v>318</v>
      </c>
      <c r="D178">
        <v>0.59823524949999995</v>
      </c>
      <c r="E178">
        <v>37.519609449999997</v>
      </c>
      <c r="F178">
        <v>62.7171492842633</v>
      </c>
    </row>
    <row r="179" spans="1:6" x14ac:dyDescent="0.2">
      <c r="A179" t="s">
        <v>1039</v>
      </c>
      <c r="B179" s="1">
        <v>43209</v>
      </c>
      <c r="C179" t="s">
        <v>318</v>
      </c>
      <c r="D179">
        <v>0.55652737620000003</v>
      </c>
      <c r="E179">
        <v>41.464721679999997</v>
      </c>
      <c r="F179">
        <v>74.506167087634452</v>
      </c>
    </row>
    <row r="180" spans="1:6" x14ac:dyDescent="0.2">
      <c r="A180" t="s">
        <v>1040</v>
      </c>
      <c r="B180" s="1">
        <v>43209</v>
      </c>
      <c r="C180" t="s">
        <v>318</v>
      </c>
      <c r="D180">
        <v>1.1293215750000001</v>
      </c>
      <c r="E180">
        <v>40.77345467</v>
      </c>
      <c r="F180">
        <v>36.104379454541103</v>
      </c>
    </row>
    <row r="181" spans="1:6" x14ac:dyDescent="0.2">
      <c r="A181" t="s">
        <v>1041</v>
      </c>
      <c r="B181" s="1">
        <v>43209</v>
      </c>
      <c r="C181" t="s">
        <v>318</v>
      </c>
      <c r="D181">
        <v>0.59070250390000001</v>
      </c>
      <c r="E181">
        <v>37.483366009999997</v>
      </c>
      <c r="F181">
        <v>63.455573258151539</v>
      </c>
    </row>
    <row r="182" spans="1:6" x14ac:dyDescent="0.2">
      <c r="A182" t="s">
        <v>1042</v>
      </c>
      <c r="B182" s="1">
        <v>43210</v>
      </c>
      <c r="C182" t="s">
        <v>318</v>
      </c>
      <c r="D182">
        <v>0.65304139260000005</v>
      </c>
      <c r="E182">
        <v>36.870832440000001</v>
      </c>
      <c r="F182">
        <v>56.46017673275432</v>
      </c>
    </row>
    <row r="183" spans="1:6" x14ac:dyDescent="0.2">
      <c r="A183" t="s">
        <v>1043</v>
      </c>
      <c r="B183" s="1">
        <v>43210</v>
      </c>
      <c r="C183" t="s">
        <v>318</v>
      </c>
      <c r="D183">
        <v>0.47928199170000002</v>
      </c>
      <c r="E183">
        <v>39.714271549999999</v>
      </c>
      <c r="F183">
        <v>82.86201492598245</v>
      </c>
    </row>
    <row r="184" spans="1:6" x14ac:dyDescent="0.2">
      <c r="A184" t="s">
        <v>1044</v>
      </c>
      <c r="B184" s="1">
        <v>43210</v>
      </c>
      <c r="C184" t="s">
        <v>318</v>
      </c>
      <c r="D184">
        <v>0.45189748699999999</v>
      </c>
      <c r="E184">
        <v>35.116577149999998</v>
      </c>
      <c r="F184">
        <v>77.709166703111137</v>
      </c>
    </row>
    <row r="185" spans="1:6" x14ac:dyDescent="0.2">
      <c r="A185" t="s">
        <v>1045</v>
      </c>
      <c r="B185" s="1">
        <v>43210</v>
      </c>
      <c r="C185" t="s">
        <v>318</v>
      </c>
      <c r="D185">
        <v>0.53956758979999997</v>
      </c>
      <c r="E185">
        <v>36.488595959999998</v>
      </c>
      <c r="F185">
        <v>67.625625871126033</v>
      </c>
    </row>
    <row r="186" spans="1:6" x14ac:dyDescent="0.2">
      <c r="A186" t="s">
        <v>1046</v>
      </c>
      <c r="B186" s="1">
        <v>43210</v>
      </c>
      <c r="C186" t="s">
        <v>318</v>
      </c>
      <c r="D186">
        <v>0.59168285129999998</v>
      </c>
      <c r="E186">
        <v>40.063398360000001</v>
      </c>
      <c r="F186">
        <v>67.710933774700052</v>
      </c>
    </row>
    <row r="187" spans="1:6" x14ac:dyDescent="0.2">
      <c r="A187" t="s">
        <v>1047</v>
      </c>
      <c r="B187" s="1">
        <v>43210</v>
      </c>
      <c r="C187" t="s">
        <v>318</v>
      </c>
      <c r="D187">
        <v>0.62450003620000005</v>
      </c>
      <c r="E187">
        <v>38.382221219999998</v>
      </c>
      <c r="F187">
        <v>61.460718967369047</v>
      </c>
    </row>
    <row r="188" spans="1:6" x14ac:dyDescent="0.2">
      <c r="A188" t="s">
        <v>1048</v>
      </c>
      <c r="B188" s="1">
        <v>43210</v>
      </c>
      <c r="C188" t="s">
        <v>318</v>
      </c>
      <c r="D188">
        <v>0.5068163872</v>
      </c>
      <c r="E188">
        <v>36.142827990000001</v>
      </c>
      <c r="F188">
        <v>71.313455726397635</v>
      </c>
    </row>
    <row r="189" spans="1:6" x14ac:dyDescent="0.2">
      <c r="A189" t="s">
        <v>1049</v>
      </c>
      <c r="B189" s="1">
        <v>43210</v>
      </c>
      <c r="C189" t="s">
        <v>318</v>
      </c>
      <c r="D189">
        <v>0.6176477373</v>
      </c>
      <c r="E189">
        <v>40.548767089999998</v>
      </c>
      <c r="F189">
        <v>65.650312696450314</v>
      </c>
    </row>
    <row r="190" spans="1:6" x14ac:dyDescent="0.2">
      <c r="A190" t="s">
        <v>1050</v>
      </c>
      <c r="B190" s="1">
        <v>43210</v>
      </c>
      <c r="C190" t="s">
        <v>318</v>
      </c>
      <c r="D190">
        <v>0.50298823420000005</v>
      </c>
      <c r="E190">
        <v>36.216226579999997</v>
      </c>
      <c r="F190">
        <v>72.002134677368147</v>
      </c>
    </row>
    <row r="191" spans="1:6" x14ac:dyDescent="0.2">
      <c r="A191" t="s">
        <v>1051</v>
      </c>
      <c r="B191" s="1">
        <v>43210</v>
      </c>
      <c r="C191" t="s">
        <v>318</v>
      </c>
      <c r="D191">
        <v>0.55900019410000001</v>
      </c>
      <c r="E191">
        <v>35.739526750000003</v>
      </c>
      <c r="F191">
        <v>63.934730483486256</v>
      </c>
    </row>
    <row r="192" spans="1:6" x14ac:dyDescent="0.2">
      <c r="A192" t="s">
        <v>1052</v>
      </c>
      <c r="B192" s="1">
        <v>43210</v>
      </c>
      <c r="C192" t="s">
        <v>318</v>
      </c>
      <c r="D192">
        <v>0.55244451760000002</v>
      </c>
      <c r="E192">
        <v>35.583086010000002</v>
      </c>
      <c r="F192">
        <v>64.410243701185749</v>
      </c>
    </row>
    <row r="193" spans="1:6" x14ac:dyDescent="0.2">
      <c r="A193" t="s">
        <v>1053</v>
      </c>
      <c r="B193" s="1">
        <v>43210</v>
      </c>
      <c r="C193" t="s">
        <v>318</v>
      </c>
      <c r="D193">
        <v>0.54013147949999996</v>
      </c>
      <c r="E193">
        <v>40.059297559999997</v>
      </c>
      <c r="F193">
        <v>74.165826433747043</v>
      </c>
    </row>
    <row r="194" spans="1:6" x14ac:dyDescent="0.2">
      <c r="A194" t="s">
        <v>1054</v>
      </c>
      <c r="B194" s="1">
        <v>43210</v>
      </c>
      <c r="C194" t="s">
        <v>318</v>
      </c>
      <c r="D194">
        <v>0.4897979945</v>
      </c>
      <c r="E194">
        <v>38.10930252</v>
      </c>
      <c r="F194">
        <v>77.806162842506296</v>
      </c>
    </row>
    <row r="195" spans="1:6" x14ac:dyDescent="0.2">
      <c r="A195" t="s">
        <v>1055</v>
      </c>
      <c r="B195" s="1">
        <v>43216</v>
      </c>
      <c r="C195" t="s">
        <v>318</v>
      </c>
      <c r="D195">
        <v>0.63243117930000003</v>
      </c>
      <c r="E195">
        <v>35.125427250000001</v>
      </c>
      <c r="F195">
        <v>55.54031553105623</v>
      </c>
    </row>
    <row r="196" spans="1:6" x14ac:dyDescent="0.2">
      <c r="A196" t="s">
        <v>1056</v>
      </c>
      <c r="B196" s="1">
        <v>43210</v>
      </c>
      <c r="C196" t="s">
        <v>318</v>
      </c>
      <c r="D196">
        <v>0.42351809140000002</v>
      </c>
      <c r="E196">
        <v>36.082567210000001</v>
      </c>
      <c r="F196">
        <v>85.197227562874303</v>
      </c>
    </row>
    <row r="197" spans="1:6" x14ac:dyDescent="0.2">
      <c r="A197" t="s">
        <v>1057</v>
      </c>
      <c r="B197" s="1">
        <v>43210</v>
      </c>
      <c r="C197" t="s">
        <v>318</v>
      </c>
      <c r="D197">
        <v>0.5352146029</v>
      </c>
      <c r="E197">
        <v>39.450588230000001</v>
      </c>
      <c r="F197">
        <v>73.709850247436137</v>
      </c>
    </row>
    <row r="198" spans="1:6" x14ac:dyDescent="0.2">
      <c r="A198" t="s">
        <v>1058</v>
      </c>
      <c r="B198" s="1">
        <v>43210</v>
      </c>
      <c r="C198" t="s">
        <v>318</v>
      </c>
      <c r="D198">
        <v>0.59785398840000004</v>
      </c>
      <c r="E198">
        <v>39.156229019999998</v>
      </c>
      <c r="F198">
        <v>65.494635445673637</v>
      </c>
    </row>
    <row r="199" spans="1:6" x14ac:dyDescent="0.2">
      <c r="A199" t="s">
        <v>1059</v>
      </c>
      <c r="B199" s="1">
        <v>43216</v>
      </c>
      <c r="C199" t="s">
        <v>318</v>
      </c>
      <c r="D199">
        <v>0.5645165741</v>
      </c>
      <c r="E199">
        <v>39.637382510000002</v>
      </c>
      <c r="F199">
        <v>70.214736517157647</v>
      </c>
    </row>
    <row r="200" spans="1:6" x14ac:dyDescent="0.2">
      <c r="A200" t="s">
        <v>1060</v>
      </c>
      <c r="B200" s="1">
        <v>43210</v>
      </c>
      <c r="C200" t="s">
        <v>318</v>
      </c>
      <c r="D200">
        <v>0.56248812380000002</v>
      </c>
      <c r="E200">
        <v>40.431179049999997</v>
      </c>
      <c r="F200">
        <v>71.879169246915211</v>
      </c>
    </row>
    <row r="201" spans="1:6" x14ac:dyDescent="0.2">
      <c r="A201" t="s">
        <v>1061</v>
      </c>
      <c r="B201" s="1">
        <v>43210</v>
      </c>
      <c r="C201" t="s">
        <v>318</v>
      </c>
      <c r="D201">
        <v>0.45936183629999999</v>
      </c>
      <c r="E201">
        <v>34.1348877</v>
      </c>
      <c r="F201">
        <v>74.309367915594947</v>
      </c>
    </row>
    <row r="202" spans="1:6" x14ac:dyDescent="0.2">
      <c r="A202" t="s">
        <v>1022</v>
      </c>
      <c r="B202" s="1">
        <v>43214</v>
      </c>
      <c r="C202" t="s">
        <v>317</v>
      </c>
      <c r="D202">
        <v>1.3223994969999999</v>
      </c>
      <c r="E202">
        <v>41.836811070000003</v>
      </c>
      <c r="F202">
        <v>31.637043998361417</v>
      </c>
    </row>
    <row r="203" spans="1:6" x14ac:dyDescent="0.2">
      <c r="A203" t="s">
        <v>1023</v>
      </c>
      <c r="B203" s="1">
        <v>43214</v>
      </c>
      <c r="C203" t="s">
        <v>317</v>
      </c>
      <c r="D203">
        <v>1.70525986</v>
      </c>
      <c r="E203">
        <v>41.466222760000001</v>
      </c>
      <c r="F203">
        <v>24.316659139563633</v>
      </c>
    </row>
    <row r="204" spans="1:6" x14ac:dyDescent="0.2">
      <c r="A204" t="s">
        <v>1024</v>
      </c>
      <c r="B204" s="1">
        <v>43214</v>
      </c>
      <c r="C204" t="s">
        <v>317</v>
      </c>
      <c r="D204">
        <v>1.2418104409999999</v>
      </c>
      <c r="E204">
        <v>42.070274349999998</v>
      </c>
      <c r="F204">
        <v>33.878177345748377</v>
      </c>
    </row>
    <row r="205" spans="1:6" x14ac:dyDescent="0.2">
      <c r="A205" t="s">
        <v>1025</v>
      </c>
      <c r="B205" s="1">
        <v>43214</v>
      </c>
      <c r="C205" t="s">
        <v>317</v>
      </c>
      <c r="D205">
        <v>1.3009802699999999</v>
      </c>
      <c r="E205">
        <v>41.910486220000003</v>
      </c>
      <c r="F205">
        <v>32.2145440530009</v>
      </c>
    </row>
    <row r="206" spans="1:6" x14ac:dyDescent="0.2">
      <c r="A206" t="s">
        <v>1026</v>
      </c>
      <c r="B206" s="1">
        <v>43214</v>
      </c>
      <c r="C206" t="s">
        <v>317</v>
      </c>
      <c r="D206">
        <v>1.211622</v>
      </c>
      <c r="E206">
        <v>41.626203539999999</v>
      </c>
      <c r="F206">
        <v>34.355767343280327</v>
      </c>
    </row>
    <row r="207" spans="1:6" x14ac:dyDescent="0.2">
      <c r="A207" t="s">
        <v>1027</v>
      </c>
      <c r="B207" s="1">
        <v>43214</v>
      </c>
      <c r="C207" t="s">
        <v>317</v>
      </c>
      <c r="D207">
        <v>1.3208623530000001</v>
      </c>
      <c r="E207">
        <v>42.740442280000003</v>
      </c>
      <c r="F207">
        <v>32.357983542286632</v>
      </c>
    </row>
    <row r="208" spans="1:6" x14ac:dyDescent="0.2">
      <c r="A208" t="s">
        <v>1028</v>
      </c>
      <c r="B208" s="1">
        <v>43214</v>
      </c>
      <c r="C208" t="s">
        <v>317</v>
      </c>
      <c r="D208">
        <v>1.1319428680000001</v>
      </c>
      <c r="E208">
        <v>43.22246552</v>
      </c>
      <c r="F208">
        <v>38.18431719647532</v>
      </c>
    </row>
    <row r="209" spans="1:6" x14ac:dyDescent="0.2">
      <c r="A209" t="s">
        <v>1029</v>
      </c>
      <c r="B209" s="1">
        <v>43214</v>
      </c>
      <c r="C209" t="s">
        <v>317</v>
      </c>
      <c r="D209">
        <v>1.5507329700000001</v>
      </c>
      <c r="E209">
        <v>42.737586980000003</v>
      </c>
      <c r="F209">
        <v>27.559604268941285</v>
      </c>
    </row>
    <row r="210" spans="1:6" x14ac:dyDescent="0.2">
      <c r="A210" t="s">
        <v>1030</v>
      </c>
      <c r="B210" s="1">
        <v>43214</v>
      </c>
      <c r="C210" t="s">
        <v>317</v>
      </c>
      <c r="D210">
        <v>2.2006168370000001</v>
      </c>
      <c r="E210">
        <v>42.713344569999997</v>
      </c>
      <c r="F210">
        <v>19.409714518148075</v>
      </c>
    </row>
    <row r="211" spans="1:6" x14ac:dyDescent="0.2">
      <c r="A211" t="s">
        <v>1031</v>
      </c>
      <c r="B211" s="1">
        <v>43214</v>
      </c>
      <c r="C211" t="s">
        <v>317</v>
      </c>
      <c r="D211">
        <v>1.3255602120000001</v>
      </c>
      <c r="E211">
        <v>43.518575669999997</v>
      </c>
      <c r="F211">
        <v>32.83032734087525</v>
      </c>
    </row>
    <row r="212" spans="1:6" x14ac:dyDescent="0.2">
      <c r="A212" t="s">
        <v>1032</v>
      </c>
      <c r="B212" s="1">
        <v>43214</v>
      </c>
      <c r="C212" t="s">
        <v>317</v>
      </c>
      <c r="D212">
        <v>1.8134790059999999</v>
      </c>
      <c r="E212">
        <v>44.170516970000001</v>
      </c>
      <c r="F212">
        <v>24.356784293537061</v>
      </c>
    </row>
    <row r="213" spans="1:6" x14ac:dyDescent="0.2">
      <c r="A213" t="s">
        <v>1033</v>
      </c>
      <c r="B213" s="1">
        <v>43214</v>
      </c>
      <c r="C213" t="s">
        <v>317</v>
      </c>
      <c r="D213">
        <v>1.072140098</v>
      </c>
      <c r="E213">
        <v>41.837331769999999</v>
      </c>
      <c r="F213">
        <v>39.022261967484027</v>
      </c>
    </row>
    <row r="214" spans="1:6" x14ac:dyDescent="0.2">
      <c r="A214" t="s">
        <v>1034</v>
      </c>
      <c r="B214" s="1">
        <v>43214</v>
      </c>
      <c r="C214" t="s">
        <v>317</v>
      </c>
      <c r="D214">
        <v>1.4914461969999999</v>
      </c>
      <c r="E214">
        <v>42.771121979999997</v>
      </c>
      <c r="F214">
        <v>28.677616441030757</v>
      </c>
    </row>
    <row r="215" spans="1:6" x14ac:dyDescent="0.2">
      <c r="A215" t="s">
        <v>1035</v>
      </c>
      <c r="B215" s="1">
        <v>43214</v>
      </c>
      <c r="C215" t="s">
        <v>317</v>
      </c>
      <c r="D215">
        <v>1.525035739</v>
      </c>
      <c r="E215">
        <v>43.887750629999999</v>
      </c>
      <c r="F215">
        <v>28.778178443724983</v>
      </c>
    </row>
    <row r="216" spans="1:6" x14ac:dyDescent="0.2">
      <c r="A216" t="s">
        <v>1036</v>
      </c>
      <c r="B216" s="1">
        <v>43214</v>
      </c>
      <c r="C216" t="s">
        <v>317</v>
      </c>
      <c r="D216">
        <v>1.431445539</v>
      </c>
      <c r="E216">
        <v>42.945320129999999</v>
      </c>
      <c r="F216">
        <v>30.001365025735705</v>
      </c>
    </row>
    <row r="217" spans="1:6" x14ac:dyDescent="0.2">
      <c r="A217" t="s">
        <v>1037</v>
      </c>
      <c r="B217" s="1">
        <v>43214</v>
      </c>
      <c r="C217" t="s">
        <v>317</v>
      </c>
      <c r="D217">
        <v>1.6614269020000001</v>
      </c>
      <c r="E217">
        <v>42.993923189999997</v>
      </c>
      <c r="F217">
        <v>25.877709779614484</v>
      </c>
    </row>
    <row r="218" spans="1:6" x14ac:dyDescent="0.2">
      <c r="A218" t="s">
        <v>1038</v>
      </c>
      <c r="B218" s="1">
        <v>43214</v>
      </c>
      <c r="C218" t="s">
        <v>317</v>
      </c>
      <c r="D218">
        <v>1.1522541049999999</v>
      </c>
      <c r="E218">
        <v>42.055709839999999</v>
      </c>
      <c r="F218">
        <v>36.498641799154193</v>
      </c>
    </row>
    <row r="219" spans="1:6" x14ac:dyDescent="0.2">
      <c r="A219" t="s">
        <v>1039</v>
      </c>
      <c r="B219" s="1">
        <v>43214</v>
      </c>
      <c r="C219" t="s">
        <v>317</v>
      </c>
      <c r="D219">
        <v>1.8137499690000001</v>
      </c>
      <c r="E219">
        <v>43.413982390000001</v>
      </c>
      <c r="F219">
        <v>23.936034807452558</v>
      </c>
    </row>
    <row r="220" spans="1:6" x14ac:dyDescent="0.2">
      <c r="A220" t="s">
        <v>1040</v>
      </c>
      <c r="B220" s="1">
        <v>43214</v>
      </c>
      <c r="C220" t="s">
        <v>317</v>
      </c>
      <c r="D220">
        <v>1.8708686830000001</v>
      </c>
      <c r="E220">
        <v>42.943840029999997</v>
      </c>
      <c r="F220">
        <v>22.953957389001843</v>
      </c>
    </row>
    <row r="221" spans="1:6" x14ac:dyDescent="0.2">
      <c r="A221" t="s">
        <v>1041</v>
      </c>
      <c r="B221" s="1">
        <v>43214</v>
      </c>
      <c r="C221" t="s">
        <v>317</v>
      </c>
      <c r="D221">
        <v>1.448993325</v>
      </c>
      <c r="E221">
        <v>42.474962230000003</v>
      </c>
      <c r="F221">
        <v>29.313428500438402</v>
      </c>
    </row>
    <row r="222" spans="1:6" x14ac:dyDescent="0.2">
      <c r="A222" t="s">
        <v>1042</v>
      </c>
      <c r="B222" s="1">
        <v>43215</v>
      </c>
      <c r="C222" t="s">
        <v>317</v>
      </c>
      <c r="D222">
        <v>1.486072659</v>
      </c>
      <c r="E222">
        <v>42.270284650000001</v>
      </c>
      <c r="F222">
        <v>28.444292002817878</v>
      </c>
    </row>
    <row r="223" spans="1:6" x14ac:dyDescent="0.2">
      <c r="A223" t="s">
        <v>1043</v>
      </c>
      <c r="B223" s="1">
        <v>43215</v>
      </c>
      <c r="C223" t="s">
        <v>317</v>
      </c>
      <c r="D223">
        <v>1.503584445</v>
      </c>
      <c r="E223">
        <v>41.453449249999998</v>
      </c>
      <c r="F223">
        <v>27.569751328466289</v>
      </c>
    </row>
    <row r="224" spans="1:6" x14ac:dyDescent="0.2">
      <c r="A224" t="s">
        <v>1044</v>
      </c>
      <c r="B224" s="1">
        <v>43215</v>
      </c>
      <c r="C224" t="s">
        <v>317</v>
      </c>
      <c r="D224">
        <v>1.3525599239999999</v>
      </c>
      <c r="E224">
        <v>43.223260879999998</v>
      </c>
      <c r="F224">
        <v>31.956632836032483</v>
      </c>
    </row>
    <row r="225" spans="1:6" x14ac:dyDescent="0.2">
      <c r="A225" t="s">
        <v>1045</v>
      </c>
      <c r="B225" s="1">
        <v>43215</v>
      </c>
      <c r="C225" t="s">
        <v>317</v>
      </c>
      <c r="D225">
        <v>1.426316798</v>
      </c>
      <c r="E225">
        <v>41.956256869999997</v>
      </c>
      <c r="F225">
        <v>29.41580505034478</v>
      </c>
    </row>
    <row r="226" spans="1:6" x14ac:dyDescent="0.2">
      <c r="A226" t="s">
        <v>1046</v>
      </c>
      <c r="B226" s="1">
        <v>43215</v>
      </c>
      <c r="C226" t="s">
        <v>317</v>
      </c>
      <c r="D226">
        <v>1.548950791</v>
      </c>
      <c r="E226">
        <v>42.71725464</v>
      </c>
      <c r="F226">
        <v>27.578187046485713</v>
      </c>
    </row>
    <row r="227" spans="1:6" x14ac:dyDescent="0.2">
      <c r="A227" t="s">
        <v>1047</v>
      </c>
      <c r="B227" s="1">
        <v>43215</v>
      </c>
      <c r="C227" t="s">
        <v>317</v>
      </c>
      <c r="D227">
        <v>1.2783600690000001</v>
      </c>
      <c r="E227">
        <v>42.472127909999998</v>
      </c>
      <c r="F227">
        <v>33.223916281446364</v>
      </c>
    </row>
    <row r="228" spans="1:6" x14ac:dyDescent="0.2">
      <c r="A228" t="s">
        <v>1048</v>
      </c>
      <c r="B228" s="1">
        <v>43215</v>
      </c>
      <c r="C228" t="s">
        <v>317</v>
      </c>
      <c r="D228">
        <v>1.3117880820000001</v>
      </c>
      <c r="E228">
        <v>42.394559860000001</v>
      </c>
      <c r="F228">
        <v>32.318146842258017</v>
      </c>
    </row>
    <row r="229" spans="1:6" x14ac:dyDescent="0.2">
      <c r="A229" t="s">
        <v>1049</v>
      </c>
      <c r="B229" s="1">
        <v>43215</v>
      </c>
      <c r="C229" t="s">
        <v>317</v>
      </c>
      <c r="D229">
        <v>1.7089522479999999</v>
      </c>
      <c r="E229">
        <v>42.889352799999998</v>
      </c>
      <c r="F229">
        <v>25.096870231566587</v>
      </c>
    </row>
    <row r="230" spans="1:6" x14ac:dyDescent="0.2">
      <c r="A230" t="s">
        <v>1050</v>
      </c>
      <c r="B230" s="1">
        <v>43215</v>
      </c>
      <c r="C230" t="s">
        <v>317</v>
      </c>
      <c r="D230">
        <v>1.403660774</v>
      </c>
      <c r="E230">
        <v>42.984979629999998</v>
      </c>
      <c r="F230">
        <v>30.623481418167774</v>
      </c>
    </row>
    <row r="231" spans="1:6" x14ac:dyDescent="0.2">
      <c r="A231" t="s">
        <v>1051</v>
      </c>
      <c r="B231" s="1">
        <v>43215</v>
      </c>
      <c r="C231" t="s">
        <v>317</v>
      </c>
      <c r="D231">
        <v>1.372170031</v>
      </c>
      <c r="E231">
        <v>42.583791730000002</v>
      </c>
      <c r="F231">
        <v>31.03390306445193</v>
      </c>
    </row>
    <row r="232" spans="1:6" x14ac:dyDescent="0.2">
      <c r="A232" t="s">
        <v>1052</v>
      </c>
      <c r="B232" s="1">
        <v>43215</v>
      </c>
      <c r="C232" t="s">
        <v>317</v>
      </c>
      <c r="D232">
        <v>1.4672195910000001</v>
      </c>
      <c r="E232">
        <v>42.365633010000003</v>
      </c>
      <c r="F232">
        <v>28.874773258122342</v>
      </c>
    </row>
    <row r="233" spans="1:6" x14ac:dyDescent="0.2">
      <c r="A233" t="s">
        <v>1053</v>
      </c>
      <c r="B233" s="1">
        <v>43215</v>
      </c>
      <c r="C233" t="s">
        <v>317</v>
      </c>
      <c r="D233">
        <v>1.8108651039999999</v>
      </c>
      <c r="E233">
        <v>43.401561739999998</v>
      </c>
      <c r="F233">
        <v>23.967308025391162</v>
      </c>
    </row>
    <row r="234" spans="1:6" x14ac:dyDescent="0.2">
      <c r="A234" t="s">
        <v>1054</v>
      </c>
      <c r="B234" s="1">
        <v>43215</v>
      </c>
      <c r="C234" t="s">
        <v>317</v>
      </c>
      <c r="D234">
        <v>1.4552856089999999</v>
      </c>
      <c r="E234">
        <v>42.229135509999999</v>
      </c>
      <c r="F234">
        <v>29.017764793962172</v>
      </c>
    </row>
    <row r="235" spans="1:6" x14ac:dyDescent="0.2">
      <c r="A235" t="s">
        <v>1055</v>
      </c>
      <c r="B235" s="1">
        <v>43215</v>
      </c>
      <c r="C235" t="s">
        <v>317</v>
      </c>
      <c r="D235">
        <v>1.440168202</v>
      </c>
      <c r="E235">
        <v>43.59024239</v>
      </c>
      <c r="F235">
        <v>30.267466209478219</v>
      </c>
    </row>
    <row r="236" spans="1:6" x14ac:dyDescent="0.2">
      <c r="A236" t="s">
        <v>1056</v>
      </c>
      <c r="B236" s="1">
        <v>43215</v>
      </c>
      <c r="C236" t="s">
        <v>317</v>
      </c>
      <c r="D236">
        <v>1.450432956</v>
      </c>
      <c r="E236">
        <v>42.987590789999999</v>
      </c>
      <c r="F236">
        <v>29.63776478752321</v>
      </c>
    </row>
    <row r="237" spans="1:6" x14ac:dyDescent="0.2">
      <c r="A237" t="s">
        <v>1057</v>
      </c>
      <c r="B237" s="1">
        <v>43215</v>
      </c>
      <c r="C237" t="s">
        <v>317</v>
      </c>
      <c r="D237">
        <v>1.305444837</v>
      </c>
      <c r="E237">
        <v>43.894735339999997</v>
      </c>
      <c r="F237">
        <v>33.624350946052267</v>
      </c>
    </row>
    <row r="238" spans="1:6" x14ac:dyDescent="0.2">
      <c r="A238" t="s">
        <v>1058</v>
      </c>
      <c r="B238" s="1">
        <v>43215</v>
      </c>
      <c r="C238" t="s">
        <v>317</v>
      </c>
      <c r="D238">
        <v>1.511422515</v>
      </c>
      <c r="E238">
        <v>42.700349809999999</v>
      </c>
      <c r="F238">
        <v>28.251762419987504</v>
      </c>
    </row>
    <row r="239" spans="1:6" x14ac:dyDescent="0.2">
      <c r="A239" t="s">
        <v>1059</v>
      </c>
      <c r="B239" s="1">
        <v>43215</v>
      </c>
      <c r="C239" t="s">
        <v>317</v>
      </c>
      <c r="D239">
        <v>1.277978539</v>
      </c>
      <c r="E239">
        <v>42.643526080000001</v>
      </c>
      <c r="F239">
        <v>33.367951635062632</v>
      </c>
    </row>
    <row r="240" spans="1:6" x14ac:dyDescent="0.2">
      <c r="A240" t="s">
        <v>1060</v>
      </c>
      <c r="B240" s="1">
        <v>43215</v>
      </c>
      <c r="C240" t="s">
        <v>317</v>
      </c>
      <c r="D240">
        <v>1.674942911</v>
      </c>
      <c r="E240">
        <v>42.383035659999997</v>
      </c>
      <c r="F240">
        <v>25.304167313198651</v>
      </c>
    </row>
    <row r="241" spans="1:6" x14ac:dyDescent="0.2">
      <c r="A241" t="s">
        <v>1061</v>
      </c>
      <c r="B241" s="1">
        <v>43215</v>
      </c>
      <c r="C241" t="s">
        <v>317</v>
      </c>
      <c r="D241">
        <v>1.330637753</v>
      </c>
      <c r="E241">
        <v>42.350305560000002</v>
      </c>
      <c r="F241">
        <v>31.827073495035581</v>
      </c>
    </row>
    <row r="242" spans="1:6" x14ac:dyDescent="0.2">
      <c r="A242" t="s">
        <v>597</v>
      </c>
      <c r="B242" s="1">
        <v>43370</v>
      </c>
      <c r="C242" t="s">
        <v>317</v>
      </c>
      <c r="D242">
        <v>1.0750174219999999</v>
      </c>
      <c r="E242">
        <v>40.95095062</v>
      </c>
      <c r="F242" s="7">
        <v>38.0932901941379</v>
      </c>
    </row>
    <row r="243" spans="1:6" x14ac:dyDescent="0.2">
      <c r="A243" t="s">
        <v>596</v>
      </c>
      <c r="B243" s="1">
        <v>43370</v>
      </c>
      <c r="C243" t="s">
        <v>317</v>
      </c>
      <c r="D243">
        <v>1.2105547189999999</v>
      </c>
      <c r="E243">
        <v>39.748765949999999</v>
      </c>
      <c r="F243" s="7">
        <v>32.835166660483694</v>
      </c>
    </row>
    <row r="244" spans="1:6" x14ac:dyDescent="0.2">
      <c r="A244" t="s">
        <v>595</v>
      </c>
      <c r="B244" s="1">
        <v>43370</v>
      </c>
      <c r="C244" t="s">
        <v>317</v>
      </c>
      <c r="D244">
        <v>0.97518074509999997</v>
      </c>
      <c r="E244">
        <v>39.872510910000003</v>
      </c>
      <c r="F244" s="7">
        <v>40.887303313101484</v>
      </c>
    </row>
    <row r="245" spans="1:6" x14ac:dyDescent="0.2">
      <c r="A245" t="s">
        <v>594</v>
      </c>
      <c r="B245" s="1">
        <v>43370</v>
      </c>
      <c r="C245" t="s">
        <v>317</v>
      </c>
      <c r="D245">
        <v>0.9208563864</v>
      </c>
      <c r="E245">
        <v>40.079353330000004</v>
      </c>
      <c r="F245" s="7">
        <v>43.523999965604197</v>
      </c>
    </row>
    <row r="246" spans="1:6" x14ac:dyDescent="0.2">
      <c r="A246" t="s">
        <v>593</v>
      </c>
      <c r="B246" s="1">
        <v>43370</v>
      </c>
      <c r="C246" t="s">
        <v>317</v>
      </c>
      <c r="D246">
        <v>0.98318046329999997</v>
      </c>
      <c r="E246">
        <v>41.620439529999999</v>
      </c>
      <c r="F246" s="7">
        <v>42.332451755909496</v>
      </c>
    </row>
    <row r="247" spans="1:6" x14ac:dyDescent="0.2">
      <c r="A247" t="s">
        <v>587</v>
      </c>
      <c r="B247" s="1">
        <v>43370</v>
      </c>
      <c r="C247" t="s">
        <v>317</v>
      </c>
      <c r="D247">
        <v>1.215456426</v>
      </c>
      <c r="E247">
        <v>40.364120479999997</v>
      </c>
      <c r="F247" s="7">
        <v>33.209023060444949</v>
      </c>
    </row>
    <row r="248" spans="1:6" x14ac:dyDescent="0.2">
      <c r="A248" t="s">
        <v>586</v>
      </c>
      <c r="B248" s="1">
        <v>43370</v>
      </c>
      <c r="C248" t="s">
        <v>317</v>
      </c>
      <c r="D248">
        <v>1.1371161940000001</v>
      </c>
      <c r="E248">
        <v>41.213020319999998</v>
      </c>
      <c r="F248" s="7">
        <v>36.24345562701572</v>
      </c>
    </row>
    <row r="249" spans="1:6" x14ac:dyDescent="0.2">
      <c r="A249" t="s">
        <v>585</v>
      </c>
      <c r="B249" s="1">
        <v>43370</v>
      </c>
      <c r="C249" t="s">
        <v>317</v>
      </c>
      <c r="D249">
        <v>1.122731924</v>
      </c>
      <c r="E249">
        <v>39.549592969999999</v>
      </c>
      <c r="F249" s="7">
        <v>35.226212174581399</v>
      </c>
    </row>
    <row r="250" spans="1:6" x14ac:dyDescent="0.2">
      <c r="A250" t="s">
        <v>584</v>
      </c>
      <c r="B250" s="1">
        <v>43370</v>
      </c>
      <c r="C250" t="s">
        <v>317</v>
      </c>
      <c r="D250">
        <v>1.181572139</v>
      </c>
      <c r="E250">
        <v>40.104801180000003</v>
      </c>
      <c r="F250" s="7">
        <v>33.941898134075757</v>
      </c>
    </row>
    <row r="251" spans="1:6" x14ac:dyDescent="0.2">
      <c r="A251" t="s">
        <v>583</v>
      </c>
      <c r="B251" s="1">
        <v>43370</v>
      </c>
      <c r="C251" t="s">
        <v>317</v>
      </c>
      <c r="D251">
        <v>1.1168803570000001</v>
      </c>
      <c r="E251">
        <v>41.465602869999998</v>
      </c>
      <c r="F251" s="7">
        <v>37.126271055011486</v>
      </c>
    </row>
    <row r="252" spans="1:6" x14ac:dyDescent="0.2">
      <c r="A252" t="s">
        <v>577</v>
      </c>
      <c r="B252" s="1">
        <v>43370</v>
      </c>
      <c r="C252" t="s">
        <v>317</v>
      </c>
      <c r="D252">
        <v>1.117375016</v>
      </c>
      <c r="E252">
        <v>48.57356644</v>
      </c>
      <c r="F252" s="7">
        <v>43.471140614799644</v>
      </c>
    </row>
    <row r="253" spans="1:6" x14ac:dyDescent="0.2">
      <c r="A253" t="s">
        <v>576</v>
      </c>
      <c r="B253" s="1">
        <v>43370</v>
      </c>
      <c r="C253" t="s">
        <v>317</v>
      </c>
      <c r="D253">
        <v>0.96728646760000003</v>
      </c>
      <c r="E253">
        <v>44.468023299999999</v>
      </c>
      <c r="F253" s="7">
        <v>45.971927437724446</v>
      </c>
    </row>
    <row r="254" spans="1:6" x14ac:dyDescent="0.2">
      <c r="A254" t="s">
        <v>575</v>
      </c>
      <c r="B254" s="1">
        <v>43370</v>
      </c>
      <c r="C254" t="s">
        <v>317</v>
      </c>
      <c r="D254">
        <v>0.90211728219999998</v>
      </c>
      <c r="E254">
        <v>43.738822939999999</v>
      </c>
      <c r="F254" s="7">
        <v>48.484630328036516</v>
      </c>
    </row>
    <row r="255" spans="1:6" x14ac:dyDescent="0.2">
      <c r="A255" t="s">
        <v>574</v>
      </c>
      <c r="B255" s="1">
        <v>43370</v>
      </c>
      <c r="C255" t="s">
        <v>317</v>
      </c>
      <c r="D255">
        <v>1.210248768</v>
      </c>
      <c r="E255">
        <v>45.451719279999999</v>
      </c>
      <c r="F255" s="7">
        <v>37.555683163479991</v>
      </c>
    </row>
    <row r="256" spans="1:6" x14ac:dyDescent="0.2">
      <c r="A256" t="s">
        <v>573</v>
      </c>
      <c r="B256" s="1">
        <v>43370</v>
      </c>
      <c r="C256" t="s">
        <v>317</v>
      </c>
      <c r="D256">
        <v>0.99333101509999999</v>
      </c>
      <c r="E256">
        <v>45.197217940000002</v>
      </c>
      <c r="F256" s="7">
        <v>45.500661162230934</v>
      </c>
    </row>
    <row r="257" spans="1:6" x14ac:dyDescent="0.2">
      <c r="A257" t="s">
        <v>567</v>
      </c>
      <c r="B257" s="1">
        <v>43370</v>
      </c>
      <c r="C257" t="s">
        <v>317</v>
      </c>
      <c r="D257">
        <v>1.071887136</v>
      </c>
      <c r="E257">
        <v>41.549354549999997</v>
      </c>
      <c r="F257" s="7">
        <v>38.762807346537649</v>
      </c>
    </row>
    <row r="258" spans="1:6" x14ac:dyDescent="0.2">
      <c r="A258" t="s">
        <v>566</v>
      </c>
      <c r="B258" s="1">
        <v>43370</v>
      </c>
      <c r="C258" t="s">
        <v>317</v>
      </c>
      <c r="D258">
        <v>0.70404219629999998</v>
      </c>
      <c r="E258">
        <v>40.29619598</v>
      </c>
      <c r="F258" s="7">
        <v>57.235484168095738</v>
      </c>
    </row>
    <row r="259" spans="1:6" x14ac:dyDescent="0.2">
      <c r="A259" t="s">
        <v>565</v>
      </c>
      <c r="B259" s="1">
        <v>43370</v>
      </c>
      <c r="C259" t="s">
        <v>317</v>
      </c>
      <c r="D259">
        <v>1.0825250740000001</v>
      </c>
      <c r="E259">
        <v>40.894731520000001</v>
      </c>
      <c r="F259" s="7">
        <v>37.777167940222689</v>
      </c>
    </row>
    <row r="260" spans="1:6" x14ac:dyDescent="0.2">
      <c r="A260" t="s">
        <v>564</v>
      </c>
      <c r="B260" s="1">
        <v>43370</v>
      </c>
      <c r="C260" t="s">
        <v>317</v>
      </c>
      <c r="D260">
        <v>1.01171422</v>
      </c>
      <c r="E260">
        <v>42.185001370000002</v>
      </c>
      <c r="F260" s="7">
        <v>41.696558708050979</v>
      </c>
    </row>
    <row r="261" spans="1:6" x14ac:dyDescent="0.2">
      <c r="A261" t="s">
        <v>563</v>
      </c>
      <c r="B261" s="1">
        <v>43370</v>
      </c>
      <c r="C261" t="s">
        <v>317</v>
      </c>
      <c r="D261">
        <v>1.1851488349999999</v>
      </c>
      <c r="E261">
        <v>39.475570679999997</v>
      </c>
      <c r="F261" s="7">
        <v>33.308534349611875</v>
      </c>
    </row>
    <row r="262" spans="1:6" x14ac:dyDescent="0.2">
      <c r="A262" t="s">
        <v>557</v>
      </c>
      <c r="B262" s="1">
        <v>43369</v>
      </c>
      <c r="C262" t="s">
        <v>317</v>
      </c>
      <c r="D262">
        <v>1.1809293030000001</v>
      </c>
      <c r="E262">
        <v>40.496725079999997</v>
      </c>
      <c r="F262" s="7">
        <v>34.292251853792806</v>
      </c>
    </row>
    <row r="263" spans="1:6" x14ac:dyDescent="0.2">
      <c r="A263" t="s">
        <v>556</v>
      </c>
      <c r="B263" s="1">
        <v>43369</v>
      </c>
      <c r="C263" t="s">
        <v>317</v>
      </c>
      <c r="D263">
        <v>1.047878444</v>
      </c>
      <c r="E263">
        <v>39.956516270000002</v>
      </c>
      <c r="F263" s="7">
        <v>38.130869566775822</v>
      </c>
    </row>
    <row r="264" spans="1:6" x14ac:dyDescent="0.2">
      <c r="A264" t="s">
        <v>555</v>
      </c>
      <c r="B264" s="1">
        <v>43369</v>
      </c>
      <c r="C264" t="s">
        <v>317</v>
      </c>
      <c r="D264">
        <v>0.80690521000000004</v>
      </c>
      <c r="E264">
        <v>41.420648569999997</v>
      </c>
      <c r="F264" s="7">
        <v>51.332731598052263</v>
      </c>
    </row>
    <row r="265" spans="1:6" x14ac:dyDescent="0.2">
      <c r="A265" t="s">
        <v>554</v>
      </c>
      <c r="B265" s="1">
        <v>43369</v>
      </c>
      <c r="C265" t="s">
        <v>317</v>
      </c>
      <c r="D265">
        <v>0.9836101532</v>
      </c>
      <c r="E265">
        <v>40.089502330000002</v>
      </c>
      <c r="F265" s="7">
        <v>40.757511702757405</v>
      </c>
    </row>
    <row r="266" spans="1:6" x14ac:dyDescent="0.2">
      <c r="A266" t="s">
        <v>553</v>
      </c>
      <c r="B266" s="1">
        <v>43369</v>
      </c>
      <c r="C266" t="s">
        <v>317</v>
      </c>
      <c r="D266">
        <v>0.82475948330000004</v>
      </c>
      <c r="E266">
        <v>39.769828799999999</v>
      </c>
      <c r="F266" s="7">
        <v>48.219910901629518</v>
      </c>
    </row>
    <row r="267" spans="1:6" x14ac:dyDescent="0.2">
      <c r="A267" t="s">
        <v>547</v>
      </c>
      <c r="B267" s="1">
        <v>43369</v>
      </c>
      <c r="C267" t="s">
        <v>317</v>
      </c>
      <c r="D267">
        <v>1.019502014</v>
      </c>
      <c r="E267">
        <v>40.512811659999997</v>
      </c>
      <c r="F267" s="7">
        <v>39.737843676295078</v>
      </c>
    </row>
    <row r="268" spans="1:6" x14ac:dyDescent="0.2">
      <c r="A268" t="s">
        <v>546</v>
      </c>
      <c r="B268" s="1">
        <v>43369</v>
      </c>
      <c r="C268" t="s">
        <v>317</v>
      </c>
      <c r="D268">
        <v>1.552486241</v>
      </c>
      <c r="E268">
        <v>40.976108549999999</v>
      </c>
      <c r="F268" s="7">
        <v>26.393862610728284</v>
      </c>
    </row>
    <row r="269" spans="1:6" x14ac:dyDescent="0.2">
      <c r="A269" t="s">
        <v>545</v>
      </c>
      <c r="B269" s="1">
        <v>43369</v>
      </c>
      <c r="C269" t="s">
        <v>317</v>
      </c>
      <c r="D269">
        <v>1.379983902</v>
      </c>
      <c r="E269">
        <v>40.030204769999997</v>
      </c>
      <c r="F269" s="7">
        <v>29.007733142382698</v>
      </c>
    </row>
    <row r="270" spans="1:6" x14ac:dyDescent="0.2">
      <c r="A270" t="s">
        <v>544</v>
      </c>
      <c r="B270" s="1">
        <v>43369</v>
      </c>
      <c r="C270" t="s">
        <v>317</v>
      </c>
      <c r="D270">
        <v>1.042416453</v>
      </c>
      <c r="E270">
        <v>41.236579900000002</v>
      </c>
      <c r="F270" s="7">
        <v>39.558642595599942</v>
      </c>
    </row>
    <row r="271" spans="1:6" x14ac:dyDescent="0.2">
      <c r="A271" t="s">
        <v>543</v>
      </c>
      <c r="B271" s="1">
        <v>43369</v>
      </c>
      <c r="C271" t="s">
        <v>317</v>
      </c>
      <c r="D271">
        <v>1.075414181</v>
      </c>
      <c r="E271">
        <v>40.254119869999997</v>
      </c>
      <c r="F271" s="7">
        <v>37.431271208055605</v>
      </c>
    </row>
    <row r="272" spans="1:6" x14ac:dyDescent="0.2">
      <c r="A272" t="s">
        <v>537</v>
      </c>
      <c r="B272" s="1">
        <v>43369</v>
      </c>
      <c r="C272" t="s">
        <v>317</v>
      </c>
      <c r="D272">
        <v>1.2738446590000001</v>
      </c>
      <c r="E272">
        <v>38.883556370000001</v>
      </c>
      <c r="F272" s="7">
        <v>30.524566787071638</v>
      </c>
    </row>
    <row r="273" spans="1:6" x14ac:dyDescent="0.2">
      <c r="A273" t="s">
        <v>536</v>
      </c>
      <c r="B273" s="1">
        <v>43369</v>
      </c>
      <c r="C273" t="s">
        <v>317</v>
      </c>
      <c r="D273">
        <v>1.212668836</v>
      </c>
      <c r="E273">
        <v>39.52866745</v>
      </c>
      <c r="F273" s="7">
        <v>32.596423917667167</v>
      </c>
    </row>
    <row r="274" spans="1:6" x14ac:dyDescent="0.2">
      <c r="A274" t="s">
        <v>535</v>
      </c>
      <c r="B274" s="1">
        <v>43369</v>
      </c>
      <c r="C274" t="s">
        <v>317</v>
      </c>
      <c r="D274">
        <v>1.3744019270000001</v>
      </c>
      <c r="E274">
        <v>39.972986220000003</v>
      </c>
      <c r="F274" s="7">
        <v>29.083913107755706</v>
      </c>
    </row>
    <row r="275" spans="1:6" x14ac:dyDescent="0.2">
      <c r="A275" t="s">
        <v>534</v>
      </c>
      <c r="B275" s="1">
        <v>43369</v>
      </c>
      <c r="C275" t="s">
        <v>317</v>
      </c>
      <c r="D275">
        <v>1.25521189</v>
      </c>
      <c r="E275">
        <v>37.814468380000001</v>
      </c>
      <c r="F275" s="7">
        <v>30.125964135027434</v>
      </c>
    </row>
    <row r="276" spans="1:6" x14ac:dyDescent="0.2">
      <c r="A276" t="s">
        <v>533</v>
      </c>
      <c r="B276" s="1">
        <v>43369</v>
      </c>
      <c r="C276" t="s">
        <v>317</v>
      </c>
      <c r="D276">
        <v>1.313002467</v>
      </c>
      <c r="E276">
        <v>40.552030559999999</v>
      </c>
      <c r="F276" s="7">
        <v>30.884961437014571</v>
      </c>
    </row>
    <row r="277" spans="1:6" x14ac:dyDescent="0.2">
      <c r="A277" t="s">
        <v>527</v>
      </c>
      <c r="B277" s="1">
        <v>43369</v>
      </c>
      <c r="C277" t="s">
        <v>317</v>
      </c>
      <c r="D277">
        <v>1.1365218159999999</v>
      </c>
      <c r="E277">
        <v>41.250923159999999</v>
      </c>
      <c r="F277" s="7">
        <v>36.29576008068463</v>
      </c>
    </row>
    <row r="278" spans="1:6" x14ac:dyDescent="0.2">
      <c r="A278" t="s">
        <v>526</v>
      </c>
      <c r="B278" s="1">
        <v>43369</v>
      </c>
      <c r="C278" t="s">
        <v>317</v>
      </c>
      <c r="D278">
        <v>1.2869178649999999</v>
      </c>
      <c r="E278">
        <v>40.34075928</v>
      </c>
      <c r="F278" s="7">
        <v>31.346801825616122</v>
      </c>
    </row>
    <row r="279" spans="1:6" x14ac:dyDescent="0.2">
      <c r="A279" t="s">
        <v>525</v>
      </c>
      <c r="B279" s="1">
        <v>43369</v>
      </c>
      <c r="C279" t="s">
        <v>317</v>
      </c>
      <c r="D279">
        <v>1.1323637369999999</v>
      </c>
      <c r="E279">
        <v>40.127870559999998</v>
      </c>
      <c r="F279" s="7">
        <v>35.437262117128363</v>
      </c>
    </row>
    <row r="280" spans="1:6" x14ac:dyDescent="0.2">
      <c r="A280" t="s">
        <v>524</v>
      </c>
      <c r="B280" s="1">
        <v>43369</v>
      </c>
      <c r="C280" t="s">
        <v>317</v>
      </c>
      <c r="D280">
        <v>1.411750257</v>
      </c>
      <c r="E280">
        <v>40.063884739999999</v>
      </c>
      <c r="F280" s="7">
        <v>28.378875471315038</v>
      </c>
    </row>
    <row r="281" spans="1:6" x14ac:dyDescent="0.2">
      <c r="A281" t="s">
        <v>523</v>
      </c>
      <c r="B281" s="1">
        <v>43369</v>
      </c>
      <c r="C281" t="s">
        <v>317</v>
      </c>
      <c r="D281">
        <v>1.0502675770000001</v>
      </c>
      <c r="E281">
        <v>38.772323610000001</v>
      </c>
      <c r="F281" s="7">
        <v>36.916614831384059</v>
      </c>
    </row>
    <row r="282" spans="1:6" x14ac:dyDescent="0.2">
      <c r="A282" t="s">
        <v>597</v>
      </c>
      <c r="B282" s="1">
        <v>43374</v>
      </c>
      <c r="C282" t="s">
        <v>318</v>
      </c>
      <c r="D282">
        <v>0.35808980460000001</v>
      </c>
      <c r="E282">
        <v>28.13550949</v>
      </c>
      <c r="F282" s="7">
        <v>78.57109900525775</v>
      </c>
    </row>
    <row r="283" spans="1:6" x14ac:dyDescent="0.2">
      <c r="A283" t="s">
        <v>596</v>
      </c>
      <c r="B283" s="1">
        <v>43378</v>
      </c>
      <c r="C283" t="s">
        <v>318</v>
      </c>
      <c r="D283">
        <v>0.59542438389999996</v>
      </c>
      <c r="E283">
        <v>37.055160520000001</v>
      </c>
      <c r="F283" s="7">
        <v>62.233192865382087</v>
      </c>
    </row>
    <row r="284" spans="1:6" x14ac:dyDescent="0.2">
      <c r="A284" t="s">
        <v>595</v>
      </c>
      <c r="B284" s="1">
        <v>43374</v>
      </c>
      <c r="C284" t="s">
        <v>318</v>
      </c>
      <c r="D284">
        <v>0.42513740059999999</v>
      </c>
      <c r="E284">
        <v>27.421382900000001</v>
      </c>
      <c r="F284" s="7">
        <v>64.500048363893583</v>
      </c>
    </row>
    <row r="285" spans="1:6" x14ac:dyDescent="0.2">
      <c r="A285" t="s">
        <v>594</v>
      </c>
      <c r="B285" s="1">
        <v>43374</v>
      </c>
      <c r="C285" t="s">
        <v>318</v>
      </c>
      <c r="D285">
        <v>0.52047175170000004</v>
      </c>
      <c r="E285">
        <v>30.104641910000002</v>
      </c>
      <c r="F285" s="7">
        <v>57.841067861358823</v>
      </c>
    </row>
    <row r="286" spans="1:6" x14ac:dyDescent="0.2">
      <c r="A286" t="s">
        <v>593</v>
      </c>
      <c r="B286" s="1">
        <v>43374</v>
      </c>
      <c r="C286" t="s">
        <v>318</v>
      </c>
      <c r="D286">
        <v>0.38577777149999998</v>
      </c>
      <c r="E286">
        <v>30.431297300000001</v>
      </c>
      <c r="F286" s="7">
        <v>78.882972395417042</v>
      </c>
    </row>
    <row r="287" spans="1:6" x14ac:dyDescent="0.2">
      <c r="A287" t="s">
        <v>587</v>
      </c>
      <c r="B287" s="1">
        <v>43374</v>
      </c>
      <c r="C287" t="s">
        <v>318</v>
      </c>
      <c r="D287">
        <v>0.50669145579999997</v>
      </c>
      <c r="E287">
        <v>39.07859612</v>
      </c>
      <c r="F287" s="7">
        <v>77.125034718219155</v>
      </c>
    </row>
    <row r="288" spans="1:6" x14ac:dyDescent="0.2">
      <c r="A288" t="s">
        <v>586</v>
      </c>
      <c r="B288" s="1">
        <v>43378</v>
      </c>
      <c r="C288" t="s">
        <v>318</v>
      </c>
      <c r="D288">
        <v>0.68202003840000003</v>
      </c>
      <c r="E288">
        <v>29.327439309999999</v>
      </c>
      <c r="F288" s="7">
        <v>43.000846982152247</v>
      </c>
    </row>
    <row r="289" spans="1:6" x14ac:dyDescent="0.2">
      <c r="A289" t="s">
        <v>585</v>
      </c>
      <c r="B289" s="1">
        <v>43374</v>
      </c>
      <c r="C289" t="s">
        <v>318</v>
      </c>
      <c r="D289">
        <v>0.63759112360000003</v>
      </c>
      <c r="E289">
        <v>39.824155810000001</v>
      </c>
      <c r="F289" s="7">
        <v>62.460335998943634</v>
      </c>
    </row>
    <row r="290" spans="1:6" x14ac:dyDescent="0.2">
      <c r="A290" t="s">
        <v>584</v>
      </c>
      <c r="B290" s="1">
        <v>43374</v>
      </c>
      <c r="C290" t="s">
        <v>318</v>
      </c>
      <c r="D290">
        <v>0.49489806590000002</v>
      </c>
      <c r="E290">
        <v>37.844444269999997</v>
      </c>
      <c r="F290" s="7">
        <v>76.469169870724272</v>
      </c>
    </row>
    <row r="291" spans="1:6" x14ac:dyDescent="0.2">
      <c r="A291" t="s">
        <v>583</v>
      </c>
      <c r="B291" s="1">
        <v>43374</v>
      </c>
      <c r="C291" t="s">
        <v>318</v>
      </c>
      <c r="D291">
        <v>0.54863435029999996</v>
      </c>
      <c r="E291">
        <v>39.191736220000003</v>
      </c>
      <c r="F291" s="7">
        <v>71.43507547161326</v>
      </c>
    </row>
    <row r="292" spans="1:6" x14ac:dyDescent="0.2">
      <c r="A292" t="s">
        <v>577</v>
      </c>
      <c r="B292" s="1">
        <v>43374</v>
      </c>
      <c r="C292" t="s">
        <v>318</v>
      </c>
      <c r="D292">
        <v>0.45856304469999998</v>
      </c>
      <c r="E292">
        <v>37.607379909999999</v>
      </c>
      <c r="F292" s="7">
        <v>82.011362111840938</v>
      </c>
    </row>
    <row r="293" spans="1:6" x14ac:dyDescent="0.2">
      <c r="A293" t="s">
        <v>576</v>
      </c>
      <c r="B293" s="1">
        <v>43374</v>
      </c>
      <c r="C293" t="s">
        <v>318</v>
      </c>
      <c r="D293">
        <v>0.57926267389999997</v>
      </c>
      <c r="E293">
        <v>35.385274889999998</v>
      </c>
      <c r="F293" s="7">
        <v>61.086751286358002</v>
      </c>
    </row>
    <row r="294" spans="1:6" x14ac:dyDescent="0.2">
      <c r="A294" t="s">
        <v>575</v>
      </c>
      <c r="B294" s="1">
        <v>43374</v>
      </c>
      <c r="C294" t="s">
        <v>318</v>
      </c>
      <c r="D294">
        <v>0.46069023009999999</v>
      </c>
      <c r="E294">
        <v>37.667221069999997</v>
      </c>
      <c r="F294" s="7">
        <v>81.762578428945062</v>
      </c>
    </row>
    <row r="295" spans="1:6" x14ac:dyDescent="0.2">
      <c r="A295" t="s">
        <v>574</v>
      </c>
      <c r="B295" s="1">
        <v>43374</v>
      </c>
      <c r="C295" t="s">
        <v>318</v>
      </c>
      <c r="D295">
        <v>0.64172559979999999</v>
      </c>
      <c r="E295">
        <v>38.509019850000001</v>
      </c>
      <c r="F295" s="7">
        <v>60.008545493590582</v>
      </c>
    </row>
    <row r="296" spans="1:6" x14ac:dyDescent="0.2">
      <c r="A296" t="s">
        <v>573</v>
      </c>
      <c r="B296" s="1">
        <v>43374</v>
      </c>
      <c r="C296" t="s">
        <v>318</v>
      </c>
      <c r="D296">
        <v>0.49171857540000002</v>
      </c>
      <c r="E296">
        <v>38.812364580000001</v>
      </c>
      <c r="F296" s="7">
        <v>78.932069117842801</v>
      </c>
    </row>
    <row r="297" spans="1:6" x14ac:dyDescent="0.2">
      <c r="A297" t="s">
        <v>567</v>
      </c>
      <c r="B297" s="1">
        <v>43374</v>
      </c>
      <c r="C297" t="s">
        <v>318</v>
      </c>
      <c r="D297">
        <v>0.67765170340000003</v>
      </c>
      <c r="E297">
        <v>37.645112990000001</v>
      </c>
      <c r="F297" s="7">
        <v>55.552303345689488</v>
      </c>
    </row>
    <row r="298" spans="1:6" x14ac:dyDescent="0.2">
      <c r="A298" t="s">
        <v>566</v>
      </c>
      <c r="B298" s="1">
        <v>43374</v>
      </c>
      <c r="C298" t="s">
        <v>318</v>
      </c>
      <c r="D298">
        <v>0.54410257939999995</v>
      </c>
      <c r="E298">
        <v>38.694168089999998</v>
      </c>
      <c r="F298" s="7">
        <v>71.115575545826943</v>
      </c>
    </row>
    <row r="299" spans="1:6" x14ac:dyDescent="0.2">
      <c r="A299" t="s">
        <v>565</v>
      </c>
      <c r="B299" s="1">
        <v>43374</v>
      </c>
      <c r="C299" t="s">
        <v>318</v>
      </c>
      <c r="D299">
        <v>0.54411160950000004</v>
      </c>
      <c r="E299">
        <v>37.710182189999998</v>
      </c>
      <c r="F299" s="7">
        <v>69.305968723315758</v>
      </c>
    </row>
    <row r="300" spans="1:6" x14ac:dyDescent="0.2">
      <c r="A300" t="s">
        <v>564</v>
      </c>
      <c r="B300" s="1">
        <v>43374</v>
      </c>
      <c r="C300" t="s">
        <v>318</v>
      </c>
      <c r="D300">
        <v>0.66215237979999997</v>
      </c>
      <c r="E300">
        <v>37.996051790000003</v>
      </c>
      <c r="F300" s="7">
        <v>57.382640233772975</v>
      </c>
    </row>
    <row r="301" spans="1:6" x14ac:dyDescent="0.2">
      <c r="A301" t="s">
        <v>563</v>
      </c>
      <c r="B301" s="1">
        <v>43374</v>
      </c>
      <c r="C301" t="s">
        <v>318</v>
      </c>
      <c r="D301">
        <v>0.71643364430000001</v>
      </c>
      <c r="E301">
        <v>38.040927889999999</v>
      </c>
      <c r="F301" s="7">
        <v>53.097629058401267</v>
      </c>
    </row>
    <row r="302" spans="1:6" x14ac:dyDescent="0.2">
      <c r="A302" t="s">
        <v>557</v>
      </c>
      <c r="B302" s="1">
        <v>43376</v>
      </c>
      <c r="C302" t="s">
        <v>318</v>
      </c>
      <c r="D302">
        <v>0.73884913330000002</v>
      </c>
      <c r="E302">
        <v>46.521638869999997</v>
      </c>
      <c r="F302" s="7">
        <v>62.96500431991506</v>
      </c>
    </row>
    <row r="303" spans="1:6" x14ac:dyDescent="0.2">
      <c r="A303" t="s">
        <v>556</v>
      </c>
      <c r="B303" s="1">
        <v>43376</v>
      </c>
      <c r="C303" t="s">
        <v>318</v>
      </c>
      <c r="D303">
        <v>0.68906339999999999</v>
      </c>
      <c r="E303">
        <v>43.706735610000003</v>
      </c>
      <c r="F303" s="7">
        <v>63.429193322414172</v>
      </c>
    </row>
    <row r="304" spans="1:6" x14ac:dyDescent="0.2">
      <c r="A304" t="s">
        <v>555</v>
      </c>
      <c r="B304" s="1">
        <v>43376</v>
      </c>
      <c r="C304" t="s">
        <v>318</v>
      </c>
      <c r="D304">
        <v>0.54881772399999995</v>
      </c>
      <c r="E304">
        <v>48.016998289999997</v>
      </c>
      <c r="F304" s="7">
        <v>87.491704786851969</v>
      </c>
    </row>
    <row r="305" spans="1:6" x14ac:dyDescent="0.2">
      <c r="A305" t="s">
        <v>554</v>
      </c>
      <c r="B305" s="1">
        <v>43376</v>
      </c>
      <c r="C305" t="s">
        <v>318</v>
      </c>
      <c r="D305">
        <v>0.68907323480000005</v>
      </c>
      <c r="E305">
        <v>46.670967099999999</v>
      </c>
      <c r="F305" s="7">
        <v>67.730053560338916</v>
      </c>
    </row>
    <row r="306" spans="1:6" x14ac:dyDescent="0.2">
      <c r="A306" t="s">
        <v>553</v>
      </c>
      <c r="B306" s="1">
        <v>43376</v>
      </c>
      <c r="C306" t="s">
        <v>318</v>
      </c>
      <c r="D306">
        <v>0.69276109340000003</v>
      </c>
      <c r="E306">
        <v>45.524000170000001</v>
      </c>
      <c r="F306" s="7">
        <v>65.713852298738232</v>
      </c>
    </row>
    <row r="307" spans="1:6" x14ac:dyDescent="0.2">
      <c r="A307" t="s">
        <v>547</v>
      </c>
      <c r="B307" s="1">
        <v>43376</v>
      </c>
      <c r="C307" t="s">
        <v>318</v>
      </c>
      <c r="D307">
        <v>0.6400262713</v>
      </c>
      <c r="E307">
        <v>35.542177199999998</v>
      </c>
      <c r="F307" s="7">
        <v>55.532372331854305</v>
      </c>
    </row>
    <row r="308" spans="1:6" x14ac:dyDescent="0.2">
      <c r="A308" t="s">
        <v>546</v>
      </c>
      <c r="B308" s="1">
        <v>43376</v>
      </c>
      <c r="C308" t="s">
        <v>318</v>
      </c>
      <c r="D308">
        <v>0.63617822530000001</v>
      </c>
      <c r="E308">
        <v>38.101112370000003</v>
      </c>
      <c r="F308" s="7">
        <v>59.89062632886062</v>
      </c>
    </row>
    <row r="309" spans="1:6" x14ac:dyDescent="0.2">
      <c r="A309" t="s">
        <v>545</v>
      </c>
      <c r="B309" s="1">
        <v>43376</v>
      </c>
      <c r="C309" t="s">
        <v>318</v>
      </c>
      <c r="D309">
        <v>0.49524606760000001</v>
      </c>
      <c r="E309">
        <v>35.33450508</v>
      </c>
      <c r="F309" s="7">
        <v>71.347371320349282</v>
      </c>
    </row>
    <row r="310" spans="1:6" x14ac:dyDescent="0.2">
      <c r="A310" t="s">
        <v>544</v>
      </c>
      <c r="B310" s="1">
        <v>43378</v>
      </c>
      <c r="C310" t="s">
        <v>318</v>
      </c>
      <c r="D310">
        <v>0.49699845910000001</v>
      </c>
      <c r="E310">
        <v>32.408323289999998</v>
      </c>
      <c r="F310" s="7">
        <v>65.2080961150006</v>
      </c>
    </row>
    <row r="311" spans="1:6" x14ac:dyDescent="0.2">
      <c r="A311" t="s">
        <v>543</v>
      </c>
      <c r="B311" s="1">
        <v>43376</v>
      </c>
      <c r="C311" t="s">
        <v>318</v>
      </c>
      <c r="D311">
        <v>0.60296627879999998</v>
      </c>
      <c r="E311">
        <v>36.754646299999997</v>
      </c>
      <c r="F311" s="7">
        <v>60.956387765411463</v>
      </c>
    </row>
    <row r="312" spans="1:6" x14ac:dyDescent="0.2">
      <c r="A312" t="s">
        <v>537</v>
      </c>
      <c r="B312" s="1">
        <v>43376</v>
      </c>
      <c r="C312" t="s">
        <v>318</v>
      </c>
      <c r="D312">
        <v>0.57764470580000005</v>
      </c>
      <c r="E312">
        <v>35.328561780000001</v>
      </c>
      <c r="F312" s="7">
        <v>61.159673801687944</v>
      </c>
    </row>
    <row r="313" spans="1:6" x14ac:dyDescent="0.2">
      <c r="A313" t="s">
        <v>536</v>
      </c>
      <c r="B313" s="1">
        <v>43376</v>
      </c>
      <c r="C313" t="s">
        <v>318</v>
      </c>
      <c r="D313">
        <v>0.65582230689999998</v>
      </c>
      <c r="E313">
        <v>37.794565200000001</v>
      </c>
      <c r="F313" s="7">
        <v>57.629276714680167</v>
      </c>
    </row>
    <row r="314" spans="1:6" x14ac:dyDescent="0.2">
      <c r="A314" t="s">
        <v>535</v>
      </c>
      <c r="B314" s="1">
        <v>43376</v>
      </c>
      <c r="C314" t="s">
        <v>318</v>
      </c>
      <c r="D314">
        <v>0.56840124729999997</v>
      </c>
      <c r="E314">
        <v>37.510232930000001</v>
      </c>
      <c r="F314" s="7">
        <v>65.992523957644039</v>
      </c>
    </row>
    <row r="315" spans="1:6" x14ac:dyDescent="0.2">
      <c r="A315" t="s">
        <v>534</v>
      </c>
      <c r="B315" s="1">
        <v>43376</v>
      </c>
      <c r="C315" t="s">
        <v>318</v>
      </c>
      <c r="D315">
        <v>0.47862368820000001</v>
      </c>
      <c r="E315">
        <v>37.720918660000002</v>
      </c>
      <c r="F315" s="7">
        <v>78.811223911336697</v>
      </c>
    </row>
    <row r="316" spans="1:6" x14ac:dyDescent="0.2">
      <c r="A316" t="s">
        <v>533</v>
      </c>
      <c r="B316" s="1">
        <v>43376</v>
      </c>
      <c r="C316" t="s">
        <v>318</v>
      </c>
      <c r="D316">
        <v>0.62721589209999995</v>
      </c>
      <c r="E316">
        <v>38.615478520000003</v>
      </c>
      <c r="F316" s="7">
        <v>61.566486127624074</v>
      </c>
    </row>
    <row r="317" spans="1:6" x14ac:dyDescent="0.2">
      <c r="A317" t="s">
        <v>527</v>
      </c>
      <c r="B317" s="1">
        <v>43376</v>
      </c>
      <c r="C317" t="s">
        <v>318</v>
      </c>
      <c r="D317">
        <v>0.69195368889999997</v>
      </c>
      <c r="E317">
        <v>43.233827589999997</v>
      </c>
      <c r="F317" s="7">
        <v>62.480810903297431</v>
      </c>
    </row>
    <row r="318" spans="1:6" x14ac:dyDescent="0.2">
      <c r="A318" t="s">
        <v>526</v>
      </c>
      <c r="B318" s="1">
        <v>43376</v>
      </c>
      <c r="C318" t="s">
        <v>318</v>
      </c>
      <c r="D318">
        <v>0.59563857320000002</v>
      </c>
      <c r="E318">
        <v>40.717685699999997</v>
      </c>
      <c r="F318" s="7">
        <v>68.359719353380513</v>
      </c>
    </row>
    <row r="319" spans="1:6" x14ac:dyDescent="0.2">
      <c r="A319" t="s">
        <v>525</v>
      </c>
      <c r="B319" s="1">
        <v>43376</v>
      </c>
      <c r="C319" t="s">
        <v>318</v>
      </c>
      <c r="D319">
        <v>0.54856547710000003</v>
      </c>
      <c r="E319">
        <v>43.059394840000003</v>
      </c>
      <c r="F319" s="7">
        <v>78.494540100544</v>
      </c>
    </row>
    <row r="320" spans="1:6" x14ac:dyDescent="0.2">
      <c r="A320" t="s">
        <v>524</v>
      </c>
      <c r="B320" s="1">
        <v>43378</v>
      </c>
      <c r="C320" t="s">
        <v>318</v>
      </c>
      <c r="D320">
        <v>0.51320421699999996</v>
      </c>
      <c r="E320">
        <v>30.53067875</v>
      </c>
      <c r="F320" s="7">
        <v>59.490311534209397</v>
      </c>
    </row>
    <row r="321" spans="1:6" x14ac:dyDescent="0.2">
      <c r="A321" t="s">
        <v>523</v>
      </c>
      <c r="B321" s="1">
        <v>43376</v>
      </c>
      <c r="C321" t="s">
        <v>318</v>
      </c>
      <c r="D321">
        <v>0.64963901040000005</v>
      </c>
      <c r="E321">
        <v>41.036560059999999</v>
      </c>
      <c r="F321" s="7">
        <v>63.16825098716393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1"/>
  <sheetViews>
    <sheetView zoomScale="90" zoomScaleNormal="90" workbookViewId="0">
      <pane ySplit="1" topLeftCell="A2" activePane="bottomLeft" state="frozen"/>
      <selection pane="bottomLeft" activeCell="D1" sqref="D1"/>
    </sheetView>
  </sheetViews>
  <sheetFormatPr baseColWidth="10" defaultColWidth="11.5" defaultRowHeight="15" x14ac:dyDescent="0.2"/>
  <cols>
    <col min="1" max="1" width="15.1640625" customWidth="1"/>
    <col min="9" max="9" width="13.1640625" customWidth="1"/>
  </cols>
  <sheetData>
    <row r="1" spans="1:10" x14ac:dyDescent="0.2">
      <c r="A1" s="2" t="s">
        <v>923</v>
      </c>
      <c r="B1" s="15" t="s">
        <v>93</v>
      </c>
      <c r="C1" s="2" t="s">
        <v>94</v>
      </c>
      <c r="D1" s="2" t="s">
        <v>1103</v>
      </c>
      <c r="E1" s="2" t="s">
        <v>95</v>
      </c>
      <c r="F1" s="2" t="s">
        <v>1094</v>
      </c>
      <c r="G1" s="2" t="s">
        <v>1104</v>
      </c>
      <c r="H1" s="2" t="s">
        <v>102</v>
      </c>
      <c r="I1" s="2" t="s">
        <v>1095</v>
      </c>
      <c r="J1" s="2" t="s">
        <v>103</v>
      </c>
    </row>
    <row r="2" spans="1:10" x14ac:dyDescent="0.2">
      <c r="A2" t="s">
        <v>597</v>
      </c>
      <c r="B2">
        <v>158.87</v>
      </c>
      <c r="C2">
        <v>9.89</v>
      </c>
      <c r="D2">
        <v>168.76</v>
      </c>
      <c r="E2">
        <v>440.56</v>
      </c>
      <c r="F2">
        <v>40.419999999999995</v>
      </c>
      <c r="G2">
        <v>480.98</v>
      </c>
      <c r="H2">
        <v>206.14999999999998</v>
      </c>
      <c r="I2">
        <v>649.7399999999999</v>
      </c>
      <c r="J2">
        <v>0.31728075845722908</v>
      </c>
    </row>
    <row r="3" spans="1:10" x14ac:dyDescent="0.2">
      <c r="A3" t="s">
        <v>596</v>
      </c>
      <c r="B3">
        <v>111.34</v>
      </c>
      <c r="C3">
        <v>23.22</v>
      </c>
      <c r="D3">
        <v>134.56</v>
      </c>
      <c r="E3">
        <v>228.96000000000004</v>
      </c>
      <c r="F3">
        <v>128.89999999999998</v>
      </c>
      <c r="G3">
        <v>357.86</v>
      </c>
      <c r="H3">
        <v>153.95999999999998</v>
      </c>
      <c r="I3">
        <v>492.42</v>
      </c>
      <c r="J3">
        <v>0.31265992445473373</v>
      </c>
    </row>
    <row r="4" spans="1:10" x14ac:dyDescent="0.2">
      <c r="A4" t="s">
        <v>595</v>
      </c>
      <c r="B4">
        <v>169.32000000000002</v>
      </c>
      <c r="C4">
        <v>1.1200000000000045</v>
      </c>
      <c r="D4">
        <v>170.44000000000003</v>
      </c>
      <c r="E4">
        <v>257.45999999999998</v>
      </c>
      <c r="F4">
        <v>13.719999999999999</v>
      </c>
      <c r="G4">
        <v>271.17999999999995</v>
      </c>
      <c r="H4">
        <v>232.76</v>
      </c>
      <c r="I4">
        <v>441.62</v>
      </c>
      <c r="J4">
        <v>0.52705946288664463</v>
      </c>
    </row>
    <row r="5" spans="1:10" x14ac:dyDescent="0.2">
      <c r="A5" t="s">
        <v>594</v>
      </c>
      <c r="B5">
        <v>103.9</v>
      </c>
      <c r="C5">
        <v>7.1000000000000014</v>
      </c>
      <c r="D5">
        <v>111</v>
      </c>
      <c r="E5">
        <v>187</v>
      </c>
      <c r="F5">
        <v>38.6</v>
      </c>
      <c r="G5">
        <v>225.6</v>
      </c>
      <c r="H5">
        <v>143.85000000000002</v>
      </c>
      <c r="I5">
        <v>336.6</v>
      </c>
      <c r="J5">
        <v>0.42736185383244213</v>
      </c>
    </row>
    <row r="6" spans="1:10" x14ac:dyDescent="0.2">
      <c r="A6" t="s">
        <v>593</v>
      </c>
      <c r="B6">
        <v>148.79000000000002</v>
      </c>
      <c r="C6">
        <v>10.979999999999997</v>
      </c>
      <c r="D6">
        <v>159.77000000000001</v>
      </c>
      <c r="E6">
        <v>288.11</v>
      </c>
      <c r="F6">
        <v>60.59</v>
      </c>
      <c r="G6">
        <v>348.70000000000005</v>
      </c>
      <c r="H6">
        <v>145.91</v>
      </c>
      <c r="I6">
        <v>508.47</v>
      </c>
      <c r="J6">
        <v>0.28695891596357698</v>
      </c>
    </row>
    <row r="7" spans="1:10" x14ac:dyDescent="0.2">
      <c r="A7" t="s">
        <v>587</v>
      </c>
      <c r="B7">
        <v>110.86000000000001</v>
      </c>
      <c r="C7">
        <v>10.080000000000005</v>
      </c>
      <c r="D7">
        <v>120.94000000000003</v>
      </c>
      <c r="E7">
        <v>197.33</v>
      </c>
      <c r="F7">
        <v>52.98</v>
      </c>
      <c r="G7">
        <v>250.31</v>
      </c>
      <c r="H7">
        <v>159.72</v>
      </c>
      <c r="I7">
        <v>371.25000000000006</v>
      </c>
      <c r="J7">
        <v>0.43022222222222217</v>
      </c>
    </row>
    <row r="8" spans="1:10" x14ac:dyDescent="0.2">
      <c r="A8" t="s">
        <v>586</v>
      </c>
      <c r="B8">
        <v>54.99</v>
      </c>
      <c r="C8">
        <v>50.480000000000004</v>
      </c>
      <c r="D8">
        <v>105.47</v>
      </c>
      <c r="E8">
        <v>97.550000000000011</v>
      </c>
      <c r="F8">
        <v>124.6</v>
      </c>
      <c r="G8">
        <v>222.15</v>
      </c>
      <c r="H8">
        <v>183.01</v>
      </c>
      <c r="I8">
        <v>327.62</v>
      </c>
      <c r="J8">
        <v>0.55860448080092784</v>
      </c>
    </row>
    <row r="9" spans="1:10" x14ac:dyDescent="0.2">
      <c r="A9" t="s">
        <v>585</v>
      </c>
      <c r="B9">
        <v>78.11</v>
      </c>
      <c r="C9">
        <v>65.83</v>
      </c>
      <c r="D9">
        <v>143.94</v>
      </c>
      <c r="E9">
        <v>138.35</v>
      </c>
      <c r="F9">
        <v>147.56</v>
      </c>
      <c r="G9">
        <v>285.90999999999997</v>
      </c>
      <c r="H9">
        <v>149.85</v>
      </c>
      <c r="I9">
        <v>429.84999999999997</v>
      </c>
      <c r="J9">
        <v>0.34860998022566014</v>
      </c>
    </row>
    <row r="10" spans="1:10" x14ac:dyDescent="0.2">
      <c r="A10" t="s">
        <v>584</v>
      </c>
      <c r="B10">
        <v>107.5</v>
      </c>
      <c r="C10">
        <v>1.3999999999999986</v>
      </c>
      <c r="D10">
        <v>108.9</v>
      </c>
      <c r="E10">
        <v>142.17000000000002</v>
      </c>
      <c r="F10">
        <v>26.63000000000001</v>
      </c>
      <c r="G10">
        <v>168.8</v>
      </c>
      <c r="H10">
        <v>70.2</v>
      </c>
      <c r="I10">
        <v>277.70000000000005</v>
      </c>
      <c r="J10">
        <v>0.25279078141879724</v>
      </c>
    </row>
    <row r="11" spans="1:10" x14ac:dyDescent="0.2">
      <c r="A11" t="s">
        <v>583</v>
      </c>
      <c r="B11">
        <v>139.29</v>
      </c>
      <c r="C11">
        <v>7.0899999999999963</v>
      </c>
      <c r="D11">
        <v>146.38</v>
      </c>
      <c r="E11">
        <v>262.89</v>
      </c>
      <c r="F11">
        <v>45.99</v>
      </c>
      <c r="G11">
        <v>308.88</v>
      </c>
      <c r="H11">
        <v>133.97</v>
      </c>
      <c r="I11">
        <v>455.26</v>
      </c>
      <c r="J11">
        <v>0.29427140535078855</v>
      </c>
    </row>
    <row r="12" spans="1:10" x14ac:dyDescent="0.2">
      <c r="A12" t="s">
        <v>577</v>
      </c>
      <c r="B12">
        <v>147.5</v>
      </c>
      <c r="C12">
        <v>116.69</v>
      </c>
      <c r="D12">
        <v>264.19</v>
      </c>
      <c r="E12">
        <v>180.97</v>
      </c>
      <c r="F12">
        <v>197.85000000000002</v>
      </c>
      <c r="G12">
        <v>378.82000000000005</v>
      </c>
      <c r="H12">
        <v>167.89</v>
      </c>
      <c r="I12">
        <v>643.01</v>
      </c>
      <c r="J12">
        <v>0.26110013841153323</v>
      </c>
    </row>
    <row r="13" spans="1:10" x14ac:dyDescent="0.2">
      <c r="A13" t="s">
        <v>576</v>
      </c>
      <c r="B13">
        <v>116.61000000000001</v>
      </c>
      <c r="C13">
        <v>21.870000000000005</v>
      </c>
      <c r="D13">
        <v>138.48000000000002</v>
      </c>
      <c r="E13">
        <v>390.98999999999995</v>
      </c>
      <c r="F13">
        <v>120</v>
      </c>
      <c r="G13">
        <v>510.98999999999995</v>
      </c>
      <c r="H13">
        <v>208.84999999999997</v>
      </c>
      <c r="I13">
        <v>649.47</v>
      </c>
      <c r="J13">
        <v>0.32156989545321563</v>
      </c>
    </row>
    <row r="14" spans="1:10" x14ac:dyDescent="0.2">
      <c r="A14" t="s">
        <v>575</v>
      </c>
      <c r="B14">
        <v>159.88</v>
      </c>
      <c r="C14">
        <v>1.259999999999998</v>
      </c>
      <c r="D14">
        <v>161.13999999999999</v>
      </c>
      <c r="E14">
        <v>195.72</v>
      </c>
      <c r="F14">
        <v>33.440000000000005</v>
      </c>
      <c r="G14">
        <v>229.16</v>
      </c>
      <c r="H14">
        <v>136.03</v>
      </c>
      <c r="I14">
        <v>390.3</v>
      </c>
      <c r="J14">
        <v>0.34852677427619777</v>
      </c>
    </row>
    <row r="15" spans="1:10" x14ac:dyDescent="0.2">
      <c r="A15" t="s">
        <v>574</v>
      </c>
      <c r="B15">
        <v>137.46</v>
      </c>
      <c r="C15">
        <v>12.470000000000006</v>
      </c>
      <c r="D15">
        <v>149.93</v>
      </c>
      <c r="E15">
        <v>160.26</v>
      </c>
      <c r="F15">
        <v>64.19</v>
      </c>
      <c r="G15">
        <v>224.45</v>
      </c>
      <c r="H15">
        <v>116.4</v>
      </c>
      <c r="I15">
        <v>374.38</v>
      </c>
      <c r="J15">
        <v>0.31091404455366206</v>
      </c>
    </row>
    <row r="16" spans="1:10" x14ac:dyDescent="0.2">
      <c r="A16" t="s">
        <v>573</v>
      </c>
      <c r="B16">
        <v>159.38999999999999</v>
      </c>
      <c r="C16">
        <v>0.69999999999999574</v>
      </c>
      <c r="D16">
        <v>160.08999999999997</v>
      </c>
      <c r="E16">
        <v>372.5</v>
      </c>
      <c r="F16">
        <v>16.899999999999991</v>
      </c>
      <c r="G16">
        <v>389.4</v>
      </c>
      <c r="H16">
        <v>137.41000000000003</v>
      </c>
      <c r="I16">
        <v>549.4899999999999</v>
      </c>
      <c r="J16">
        <v>0.25006824510000192</v>
      </c>
    </row>
    <row r="17" spans="1:10" x14ac:dyDescent="0.2">
      <c r="A17" t="s">
        <v>567</v>
      </c>
      <c r="B17">
        <v>113.76000000000002</v>
      </c>
      <c r="C17">
        <v>2.5100000000000051</v>
      </c>
      <c r="D17">
        <v>116.27000000000002</v>
      </c>
      <c r="E17">
        <v>135.79000000000002</v>
      </c>
      <c r="F17">
        <v>29.230000000000004</v>
      </c>
      <c r="G17">
        <v>165.02000000000004</v>
      </c>
      <c r="H17">
        <v>83.62</v>
      </c>
      <c r="I17">
        <v>281.29000000000008</v>
      </c>
      <c r="J17">
        <v>0.2972732766895374</v>
      </c>
    </row>
    <row r="18" spans="1:10" x14ac:dyDescent="0.2">
      <c r="A18" t="s">
        <v>566</v>
      </c>
      <c r="B18">
        <v>164.7</v>
      </c>
      <c r="C18">
        <v>43.309999999999995</v>
      </c>
      <c r="D18">
        <v>208.01</v>
      </c>
      <c r="E18">
        <v>184.27</v>
      </c>
      <c r="F18">
        <v>134.91</v>
      </c>
      <c r="G18">
        <v>319.18</v>
      </c>
      <c r="H18">
        <v>126.3</v>
      </c>
      <c r="I18">
        <v>527.18999999999994</v>
      </c>
      <c r="J18">
        <v>0.23957207079041715</v>
      </c>
    </row>
    <row r="19" spans="1:10" x14ac:dyDescent="0.2">
      <c r="A19" t="s">
        <v>565</v>
      </c>
      <c r="B19">
        <v>172.51999999999998</v>
      </c>
      <c r="C19">
        <v>1.1700000000000017</v>
      </c>
      <c r="D19">
        <v>173.69</v>
      </c>
      <c r="E19">
        <v>132.86000000000001</v>
      </c>
      <c r="F19">
        <v>7.7099999999999937</v>
      </c>
      <c r="G19">
        <v>140.57</v>
      </c>
      <c r="H19">
        <v>52.58</v>
      </c>
      <c r="I19">
        <v>314.26</v>
      </c>
      <c r="J19">
        <v>0.16731368930185198</v>
      </c>
    </row>
    <row r="20" spans="1:10" x14ac:dyDescent="0.2">
      <c r="A20" t="s">
        <v>564</v>
      </c>
      <c r="B20">
        <v>77.77000000000001</v>
      </c>
      <c r="C20">
        <v>37.050000000000004</v>
      </c>
      <c r="D20">
        <v>114.82000000000002</v>
      </c>
      <c r="E20">
        <v>224.12</v>
      </c>
      <c r="F20">
        <v>76.639999999999986</v>
      </c>
      <c r="G20">
        <v>300.76</v>
      </c>
      <c r="H20">
        <v>130.09</v>
      </c>
      <c r="I20">
        <v>415.58000000000004</v>
      </c>
      <c r="J20">
        <v>0.31303238846912745</v>
      </c>
    </row>
    <row r="21" spans="1:10" x14ac:dyDescent="0.2">
      <c r="A21" t="s">
        <v>563</v>
      </c>
      <c r="B21">
        <v>110.12</v>
      </c>
      <c r="C21">
        <v>7.7899999999999991</v>
      </c>
      <c r="D21">
        <v>117.91</v>
      </c>
      <c r="E21">
        <v>184.54</v>
      </c>
      <c r="F21">
        <v>31.489999999999995</v>
      </c>
      <c r="G21">
        <v>216.02999999999997</v>
      </c>
      <c r="H21">
        <v>123.72</v>
      </c>
      <c r="I21">
        <v>333.94</v>
      </c>
      <c r="J21">
        <v>0.37048571599688568</v>
      </c>
    </row>
    <row r="22" spans="1:10" x14ac:dyDescent="0.2">
      <c r="A22" t="s">
        <v>557</v>
      </c>
      <c r="B22">
        <v>99.740000000000009</v>
      </c>
      <c r="C22">
        <v>14.39</v>
      </c>
      <c r="D22">
        <v>114.13000000000001</v>
      </c>
      <c r="E22">
        <v>160.5</v>
      </c>
      <c r="F22">
        <v>81.199999999999989</v>
      </c>
      <c r="G22">
        <v>241.7</v>
      </c>
      <c r="H22">
        <v>115.97999999999999</v>
      </c>
      <c r="I22">
        <v>355.83</v>
      </c>
      <c r="J22">
        <v>0.32594216339263132</v>
      </c>
    </row>
    <row r="23" spans="1:10" x14ac:dyDescent="0.2">
      <c r="A23" t="s">
        <v>556</v>
      </c>
      <c r="B23">
        <v>96.61</v>
      </c>
      <c r="C23">
        <v>32.96</v>
      </c>
      <c r="D23">
        <v>129.57</v>
      </c>
      <c r="E23">
        <v>324.96000000000004</v>
      </c>
      <c r="F23">
        <v>119.87</v>
      </c>
      <c r="G23">
        <v>444.83000000000004</v>
      </c>
      <c r="H23">
        <v>156.20000000000002</v>
      </c>
      <c r="I23">
        <v>574.40000000000009</v>
      </c>
      <c r="J23">
        <v>0.27193593314763231</v>
      </c>
    </row>
    <row r="24" spans="1:10" x14ac:dyDescent="0.2">
      <c r="A24" t="s">
        <v>555</v>
      </c>
      <c r="B24">
        <v>188.42999999999998</v>
      </c>
      <c r="C24">
        <v>1.9199999999999946</v>
      </c>
      <c r="D24">
        <v>190.34999999999997</v>
      </c>
      <c r="E24">
        <v>280</v>
      </c>
      <c r="F24">
        <v>11.469999999999999</v>
      </c>
      <c r="G24">
        <v>291.47000000000003</v>
      </c>
      <c r="H24">
        <v>210.55</v>
      </c>
      <c r="I24">
        <v>481.81999999999994</v>
      </c>
      <c r="J24">
        <v>0.43698891702295473</v>
      </c>
    </row>
    <row r="25" spans="1:10" x14ac:dyDescent="0.2">
      <c r="A25" t="s">
        <v>554</v>
      </c>
      <c r="B25">
        <v>144.26000000000002</v>
      </c>
      <c r="C25">
        <v>4.3900000000000006</v>
      </c>
      <c r="D25">
        <v>148.65000000000003</v>
      </c>
      <c r="E25">
        <v>255.98999999999998</v>
      </c>
      <c r="F25">
        <v>20.000000000000007</v>
      </c>
      <c r="G25">
        <v>275.99</v>
      </c>
      <c r="H25">
        <v>162.26</v>
      </c>
      <c r="I25">
        <v>424.64</v>
      </c>
      <c r="J25">
        <v>0.38211190655614169</v>
      </c>
    </row>
    <row r="26" spans="1:10" x14ac:dyDescent="0.2">
      <c r="A26" t="s">
        <v>553</v>
      </c>
      <c r="B26">
        <v>150.4</v>
      </c>
      <c r="C26">
        <v>3.779999999999994</v>
      </c>
      <c r="D26">
        <v>154.18</v>
      </c>
      <c r="E26">
        <v>258.49</v>
      </c>
      <c r="F26">
        <v>15.159999999999997</v>
      </c>
      <c r="G26">
        <v>273.64999999999998</v>
      </c>
      <c r="H26">
        <v>127.22</v>
      </c>
      <c r="I26">
        <v>427.83000000000004</v>
      </c>
      <c r="J26">
        <v>0.29736110137204025</v>
      </c>
    </row>
    <row r="27" spans="1:10" x14ac:dyDescent="0.2">
      <c r="A27" t="s">
        <v>547</v>
      </c>
      <c r="B27">
        <v>75.289999999999992</v>
      </c>
      <c r="C27">
        <v>64.539999999999992</v>
      </c>
      <c r="D27">
        <v>139.82999999999998</v>
      </c>
      <c r="E27">
        <v>302.09000000000003</v>
      </c>
      <c r="F27">
        <v>150.61000000000001</v>
      </c>
      <c r="G27">
        <v>452.70000000000005</v>
      </c>
      <c r="H27">
        <v>184.17000000000002</v>
      </c>
      <c r="I27">
        <v>592.53</v>
      </c>
      <c r="J27">
        <v>0.31081970533137565</v>
      </c>
    </row>
    <row r="28" spans="1:10" x14ac:dyDescent="0.2">
      <c r="A28" t="s">
        <v>546</v>
      </c>
      <c r="B28">
        <v>85.56</v>
      </c>
      <c r="C28">
        <v>20.009999999999998</v>
      </c>
      <c r="D28">
        <v>105.57</v>
      </c>
      <c r="E28">
        <v>206.88</v>
      </c>
      <c r="F28">
        <v>64.490000000000009</v>
      </c>
      <c r="G28">
        <v>271.37</v>
      </c>
      <c r="H28">
        <v>174.67</v>
      </c>
      <c r="I28">
        <v>376.94</v>
      </c>
      <c r="J28">
        <v>0.4633893988433172</v>
      </c>
    </row>
    <row r="29" spans="1:10" x14ac:dyDescent="0.2">
      <c r="A29" t="s">
        <v>545</v>
      </c>
      <c r="B29">
        <v>84.8</v>
      </c>
      <c r="C29">
        <v>28.869999999999997</v>
      </c>
      <c r="D29">
        <v>113.66999999999999</v>
      </c>
      <c r="E29">
        <v>170.27</v>
      </c>
      <c r="F29">
        <v>123.13</v>
      </c>
      <c r="G29">
        <v>293.39999999999998</v>
      </c>
      <c r="H29">
        <v>127.21</v>
      </c>
      <c r="I29">
        <v>407.07</v>
      </c>
      <c r="J29">
        <v>0.31250153536246839</v>
      </c>
    </row>
    <row r="30" spans="1:10" x14ac:dyDescent="0.2">
      <c r="A30" t="s">
        <v>544</v>
      </c>
      <c r="B30">
        <v>100.38999999999999</v>
      </c>
      <c r="C30">
        <v>26.859999999999992</v>
      </c>
      <c r="D30">
        <v>127.24999999999997</v>
      </c>
      <c r="E30">
        <v>179.25</v>
      </c>
      <c r="F30">
        <v>70.02</v>
      </c>
      <c r="G30">
        <v>249.26999999999998</v>
      </c>
      <c r="H30">
        <v>161.21</v>
      </c>
      <c r="I30">
        <v>376.52</v>
      </c>
      <c r="J30">
        <v>0.42815786677998519</v>
      </c>
    </row>
    <row r="31" spans="1:10" x14ac:dyDescent="0.2">
      <c r="A31" t="s">
        <v>543</v>
      </c>
      <c r="B31">
        <v>110.00000000000001</v>
      </c>
      <c r="C31">
        <v>44.39</v>
      </c>
      <c r="D31">
        <v>154.39000000000001</v>
      </c>
      <c r="E31">
        <v>232.54999999999998</v>
      </c>
      <c r="F31">
        <v>166.54999999999998</v>
      </c>
      <c r="G31">
        <v>399.09999999999997</v>
      </c>
      <c r="H31">
        <v>140.31</v>
      </c>
      <c r="I31">
        <v>553.49</v>
      </c>
      <c r="J31">
        <v>0.25350051491445191</v>
      </c>
    </row>
    <row r="32" spans="1:10" x14ac:dyDescent="0.2">
      <c r="A32" t="s">
        <v>537</v>
      </c>
      <c r="B32">
        <v>134.94</v>
      </c>
      <c r="C32">
        <v>7.0300000000000011</v>
      </c>
      <c r="D32">
        <v>141.97</v>
      </c>
      <c r="E32">
        <v>231.18</v>
      </c>
      <c r="F32">
        <v>27.6</v>
      </c>
      <c r="G32">
        <v>258.78000000000003</v>
      </c>
      <c r="H32">
        <v>83.27000000000001</v>
      </c>
      <c r="I32">
        <v>400.75</v>
      </c>
      <c r="J32">
        <v>0.20778540237055523</v>
      </c>
    </row>
    <row r="33" spans="1:10" x14ac:dyDescent="0.2">
      <c r="A33" t="s">
        <v>536</v>
      </c>
      <c r="B33">
        <v>110.78999999999999</v>
      </c>
      <c r="C33">
        <v>9.240000000000002</v>
      </c>
      <c r="D33">
        <v>120.03</v>
      </c>
      <c r="E33">
        <v>164.76</v>
      </c>
      <c r="F33">
        <v>32.750000000000007</v>
      </c>
      <c r="G33">
        <v>197.51</v>
      </c>
      <c r="H33">
        <v>64.540000000000006</v>
      </c>
      <c r="I33">
        <v>317.53999999999996</v>
      </c>
      <c r="J33">
        <v>0.2032499842539523</v>
      </c>
    </row>
    <row r="34" spans="1:10" x14ac:dyDescent="0.2">
      <c r="A34" t="s">
        <v>535</v>
      </c>
      <c r="B34">
        <v>123.79</v>
      </c>
      <c r="C34">
        <v>6.5300000000000011</v>
      </c>
      <c r="D34">
        <v>130.32</v>
      </c>
      <c r="E34">
        <v>212.99</v>
      </c>
      <c r="F34">
        <v>20.890000000000008</v>
      </c>
      <c r="G34">
        <v>233.88000000000002</v>
      </c>
      <c r="H34">
        <v>118.65</v>
      </c>
      <c r="I34">
        <v>364.2</v>
      </c>
      <c r="J34">
        <v>0.32578253706754534</v>
      </c>
    </row>
    <row r="35" spans="1:10" x14ac:dyDescent="0.2">
      <c r="A35" t="s">
        <v>534</v>
      </c>
      <c r="B35">
        <v>127.55000000000001</v>
      </c>
      <c r="C35">
        <v>28.039999999999992</v>
      </c>
      <c r="D35">
        <v>155.59</v>
      </c>
      <c r="E35">
        <v>151.95000000000002</v>
      </c>
      <c r="F35">
        <v>78.110000000000014</v>
      </c>
      <c r="G35">
        <v>230.06000000000003</v>
      </c>
      <c r="H35">
        <v>122.1</v>
      </c>
      <c r="I35">
        <v>385.65000000000003</v>
      </c>
      <c r="J35">
        <v>0.31660832360949043</v>
      </c>
    </row>
    <row r="36" spans="1:10" x14ac:dyDescent="0.2">
      <c r="A36" t="s">
        <v>533</v>
      </c>
      <c r="B36">
        <v>158.30000000000001</v>
      </c>
      <c r="C36">
        <v>18.900000000000006</v>
      </c>
      <c r="D36">
        <v>177.20000000000002</v>
      </c>
      <c r="E36">
        <v>409.3</v>
      </c>
      <c r="F36">
        <v>75.600000000000009</v>
      </c>
      <c r="G36">
        <v>484.90000000000003</v>
      </c>
      <c r="H36">
        <v>154.26000000000002</v>
      </c>
      <c r="I36">
        <v>662.1</v>
      </c>
      <c r="J36">
        <v>0.23298595378341641</v>
      </c>
    </row>
    <row r="37" spans="1:10" x14ac:dyDescent="0.2">
      <c r="A37" t="s">
        <v>527</v>
      </c>
      <c r="B37">
        <v>108.06</v>
      </c>
      <c r="C37">
        <v>21.019999999999996</v>
      </c>
      <c r="D37">
        <v>129.07999999999998</v>
      </c>
      <c r="E37">
        <v>206.96</v>
      </c>
      <c r="F37">
        <v>64.17</v>
      </c>
      <c r="G37">
        <v>271.13</v>
      </c>
      <c r="H37">
        <v>166.72</v>
      </c>
      <c r="I37">
        <v>400.21</v>
      </c>
      <c r="J37">
        <v>0.41658129482021938</v>
      </c>
    </row>
    <row r="38" spans="1:10" x14ac:dyDescent="0.2">
      <c r="A38" t="s">
        <v>526</v>
      </c>
      <c r="B38">
        <v>116.10000000000001</v>
      </c>
      <c r="C38">
        <v>24.1</v>
      </c>
      <c r="D38">
        <v>140.20000000000002</v>
      </c>
      <c r="E38">
        <v>146.4</v>
      </c>
      <c r="F38">
        <v>100.70000000000002</v>
      </c>
      <c r="G38">
        <v>247.10000000000002</v>
      </c>
      <c r="H38">
        <v>127.47</v>
      </c>
      <c r="I38">
        <v>387.30000000000007</v>
      </c>
      <c r="J38">
        <v>0.32912470952749801</v>
      </c>
    </row>
    <row r="39" spans="1:10" x14ac:dyDescent="0.2">
      <c r="A39" t="s">
        <v>525</v>
      </c>
      <c r="B39">
        <v>114.05999999999999</v>
      </c>
      <c r="C39">
        <v>24.21</v>
      </c>
      <c r="D39">
        <v>138.26999999999998</v>
      </c>
      <c r="E39">
        <v>245.68999999999997</v>
      </c>
      <c r="F39">
        <v>75.78</v>
      </c>
      <c r="G39">
        <v>321.46999999999997</v>
      </c>
      <c r="H39">
        <v>141.42000000000002</v>
      </c>
      <c r="I39">
        <v>459.7399999999999</v>
      </c>
      <c r="J39">
        <v>0.30760864836646812</v>
      </c>
    </row>
    <row r="40" spans="1:10" x14ac:dyDescent="0.2">
      <c r="A40" t="s">
        <v>524</v>
      </c>
      <c r="B40">
        <v>90.850000000000009</v>
      </c>
      <c r="C40">
        <v>3.5799999999999983</v>
      </c>
      <c r="D40">
        <v>94.43</v>
      </c>
      <c r="E40">
        <v>359.91999999999996</v>
      </c>
      <c r="F40">
        <v>49.559999999999995</v>
      </c>
      <c r="G40">
        <v>409.47999999999996</v>
      </c>
      <c r="H40">
        <v>109.08999999999999</v>
      </c>
      <c r="I40">
        <v>503.90999999999997</v>
      </c>
      <c r="J40">
        <v>0.21648707110396698</v>
      </c>
    </row>
    <row r="41" spans="1:10" x14ac:dyDescent="0.2">
      <c r="A41" t="s">
        <v>523</v>
      </c>
      <c r="B41">
        <v>165.65</v>
      </c>
      <c r="C41">
        <v>42.839999999999996</v>
      </c>
      <c r="D41">
        <v>208.49</v>
      </c>
      <c r="E41">
        <v>232.04000000000002</v>
      </c>
      <c r="F41">
        <v>75.58</v>
      </c>
      <c r="G41">
        <v>307.62</v>
      </c>
      <c r="H41">
        <v>190.95000000000002</v>
      </c>
      <c r="I41">
        <v>516.11</v>
      </c>
      <c r="J41">
        <v>0.36997926798550701</v>
      </c>
    </row>
  </sheetData>
  <phoneticPr fontId="6" type="noConversion"/>
  <printOptions headings="1"/>
  <pageMargins left="0.75" right="0.75" top="1" bottom="1" header="0.5" footer="0.5"/>
  <pageSetup scale="80" orientation="landscape" horizontalDpi="4294967292" verticalDpi="4294967292" r:id="rId1"/>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26"/>
  <sheetViews>
    <sheetView workbookViewId="0">
      <pane ySplit="1" topLeftCell="A2" activePane="bottomLeft" state="frozen"/>
      <selection pane="bottomLeft" activeCell="D5" sqref="D5"/>
    </sheetView>
  </sheetViews>
  <sheetFormatPr baseColWidth="10" defaultColWidth="8.83203125" defaultRowHeight="15" x14ac:dyDescent="0.2"/>
  <cols>
    <col min="1" max="1" width="17.5" customWidth="1"/>
  </cols>
  <sheetData>
    <row r="1" spans="1:12" x14ac:dyDescent="0.2">
      <c r="A1" s="2" t="s">
        <v>923</v>
      </c>
      <c r="B1" s="2" t="s">
        <v>71</v>
      </c>
      <c r="C1" s="2" t="s">
        <v>1062</v>
      </c>
      <c r="D1" s="2" t="s">
        <v>1063</v>
      </c>
      <c r="E1" s="2" t="s">
        <v>1064</v>
      </c>
      <c r="F1" s="2" t="s">
        <v>1065</v>
      </c>
      <c r="G1" s="2" t="s">
        <v>1066</v>
      </c>
      <c r="H1" s="2" t="s">
        <v>1067</v>
      </c>
      <c r="I1" s="2" t="s">
        <v>1068</v>
      </c>
      <c r="J1" s="2" t="s">
        <v>1069</v>
      </c>
      <c r="K1" s="2" t="s">
        <v>1070</v>
      </c>
      <c r="L1" s="2" t="s">
        <v>1071</v>
      </c>
    </row>
    <row r="2" spans="1:12" x14ac:dyDescent="0.2">
      <c r="A2" t="s">
        <v>584</v>
      </c>
      <c r="B2" t="s">
        <v>317</v>
      </c>
      <c r="C2">
        <v>45.382190000000001</v>
      </c>
      <c r="D2">
        <v>0.33700000000000002</v>
      </c>
      <c r="E2">
        <v>653.221</v>
      </c>
      <c r="F2">
        <v>10.292999999999999</v>
      </c>
      <c r="G2">
        <v>2.1066799999999999</v>
      </c>
      <c r="H2">
        <v>6.0999999999999999E-2</v>
      </c>
      <c r="I2">
        <v>173.52913000000001</v>
      </c>
      <c r="J2">
        <v>1.6659999999999999</v>
      </c>
      <c r="K2">
        <v>1007.87309</v>
      </c>
      <c r="L2">
        <v>18.29</v>
      </c>
    </row>
    <row r="3" spans="1:12" x14ac:dyDescent="0.2">
      <c r="A3" t="s">
        <v>584</v>
      </c>
      <c r="B3" t="s">
        <v>318</v>
      </c>
      <c r="C3">
        <v>15.46585</v>
      </c>
      <c r="D3">
        <v>7.9000000000000001E-2</v>
      </c>
      <c r="E3">
        <v>454.70499999999998</v>
      </c>
      <c r="F3">
        <v>3.79</v>
      </c>
      <c r="G3">
        <v>7.1698899999999997</v>
      </c>
      <c r="H3">
        <v>3.1E-2</v>
      </c>
      <c r="I3">
        <v>128.4537</v>
      </c>
      <c r="J3">
        <v>0.77900000000000003</v>
      </c>
      <c r="K3">
        <v>1104.702</v>
      </c>
      <c r="L3">
        <v>1.421</v>
      </c>
    </row>
    <row r="4" spans="1:12" x14ac:dyDescent="0.2">
      <c r="A4" t="s">
        <v>576</v>
      </c>
      <c r="B4" t="s">
        <v>317</v>
      </c>
      <c r="C4">
        <v>31.40325</v>
      </c>
      <c r="D4">
        <v>0.50600000000000001</v>
      </c>
      <c r="E4">
        <v>268.11327</v>
      </c>
      <c r="F4">
        <v>6.7229999999999999</v>
      </c>
      <c r="G4">
        <v>2.4115000000000002</v>
      </c>
      <c r="H4">
        <v>5.8999999999999997E-2</v>
      </c>
      <c r="I4">
        <v>180.37455</v>
      </c>
      <c r="J4">
        <v>2.5470000000000002</v>
      </c>
      <c r="K4">
        <v>985.03601000000003</v>
      </c>
      <c r="L4">
        <v>22.344999999999999</v>
      </c>
    </row>
    <row r="5" spans="1:12" x14ac:dyDescent="0.2">
      <c r="A5" t="s">
        <v>576</v>
      </c>
      <c r="B5" t="s">
        <v>318</v>
      </c>
      <c r="C5">
        <v>39.526969999999999</v>
      </c>
      <c r="D5">
        <v>0.22</v>
      </c>
      <c r="E5">
        <v>624.71606999999995</v>
      </c>
      <c r="F5">
        <v>1.4239999999999999</v>
      </c>
      <c r="G5">
        <v>24.03126</v>
      </c>
      <c r="H5">
        <v>0.16400000000000001</v>
      </c>
      <c r="I5">
        <v>241.47961000000001</v>
      </c>
      <c r="J5">
        <v>1.129</v>
      </c>
      <c r="K5">
        <v>1505.1530600000001</v>
      </c>
      <c r="L5">
        <v>4.0049999999999999</v>
      </c>
    </row>
    <row r="6" spans="1:12" x14ac:dyDescent="0.2">
      <c r="A6" t="s">
        <v>574</v>
      </c>
      <c r="B6" t="s">
        <v>317</v>
      </c>
      <c r="C6">
        <v>38.636899999999997</v>
      </c>
      <c r="D6">
        <v>0.16300000000000001</v>
      </c>
      <c r="E6">
        <v>139.31572</v>
      </c>
      <c r="F6">
        <v>0.73</v>
      </c>
      <c r="G6">
        <v>2.2399200000000001</v>
      </c>
      <c r="H6">
        <v>1.0999999999999999E-2</v>
      </c>
      <c r="I6">
        <v>180.27051</v>
      </c>
      <c r="J6">
        <v>1.798</v>
      </c>
      <c r="K6">
        <v>1099.7638099999999</v>
      </c>
      <c r="L6">
        <v>10.058999999999999</v>
      </c>
    </row>
    <row r="7" spans="1:12" x14ac:dyDescent="0.2">
      <c r="A7" t="s">
        <v>574</v>
      </c>
      <c r="B7" t="s">
        <v>318</v>
      </c>
      <c r="C7">
        <v>34.387680000000003</v>
      </c>
      <c r="D7">
        <v>0.122</v>
      </c>
      <c r="E7">
        <v>369.15140000000002</v>
      </c>
      <c r="F7">
        <v>1.5289999999999999</v>
      </c>
      <c r="G7">
        <v>13.344200000000001</v>
      </c>
      <c r="H7">
        <v>5.5E-2</v>
      </c>
      <c r="I7">
        <v>263.95510000000002</v>
      </c>
      <c r="J7">
        <v>2.5089999999999999</v>
      </c>
      <c r="K7">
        <v>1479.3563200000001</v>
      </c>
      <c r="L7">
        <v>2.282</v>
      </c>
    </row>
    <row r="8" spans="1:12" x14ac:dyDescent="0.2">
      <c r="A8" t="s">
        <v>573</v>
      </c>
      <c r="B8" t="s">
        <v>317</v>
      </c>
      <c r="C8">
        <v>22.971920000000001</v>
      </c>
      <c r="D8">
        <v>0.22500000000000001</v>
      </c>
      <c r="E8">
        <v>292.02035999999998</v>
      </c>
      <c r="F8">
        <v>3.1429999999999998</v>
      </c>
      <c r="G8">
        <v>2.0751599999999999</v>
      </c>
      <c r="H8">
        <v>5.1999999999999998E-2</v>
      </c>
      <c r="I8">
        <v>193.28742</v>
      </c>
      <c r="J8">
        <v>4.0039999999999996</v>
      </c>
      <c r="K8">
        <v>1075.5385100000001</v>
      </c>
      <c r="L8">
        <v>42.584000000000003</v>
      </c>
    </row>
    <row r="9" spans="1:12" x14ac:dyDescent="0.2">
      <c r="A9" t="s">
        <v>573</v>
      </c>
      <c r="B9" t="s">
        <v>318</v>
      </c>
      <c r="C9">
        <v>27.808779999999999</v>
      </c>
      <c r="D9">
        <v>8.7999999999999995E-2</v>
      </c>
      <c r="E9">
        <v>464.87488999999999</v>
      </c>
      <c r="F9">
        <v>1.7490000000000001</v>
      </c>
      <c r="G9">
        <v>11.66235</v>
      </c>
      <c r="H9">
        <v>4.2999999999999997E-2</v>
      </c>
      <c r="I9">
        <v>240.26132999999999</v>
      </c>
      <c r="J9">
        <v>1.0489999999999999</v>
      </c>
      <c r="K9">
        <v>1989.1250299999999</v>
      </c>
      <c r="L9">
        <v>7.9859999999999998</v>
      </c>
    </row>
    <row r="10" spans="1:12" x14ac:dyDescent="0.2">
      <c r="A10" t="s">
        <v>556</v>
      </c>
      <c r="B10" t="s">
        <v>317</v>
      </c>
      <c r="C10">
        <v>16.093820000000001</v>
      </c>
      <c r="D10">
        <v>0.31</v>
      </c>
      <c r="E10">
        <v>167.08162999999999</v>
      </c>
      <c r="F10">
        <v>2.5219999999999998</v>
      </c>
      <c r="G10">
        <v>1.65551</v>
      </c>
      <c r="H10">
        <v>1.0999999999999999E-2</v>
      </c>
      <c r="I10">
        <v>173.88391999999999</v>
      </c>
      <c r="J10">
        <v>5.125</v>
      </c>
      <c r="K10">
        <v>977.35028</v>
      </c>
      <c r="L10">
        <v>44.463999999999999</v>
      </c>
    </row>
    <row r="11" spans="1:12" x14ac:dyDescent="0.2">
      <c r="A11" t="s">
        <v>556</v>
      </c>
      <c r="B11" t="s">
        <v>318</v>
      </c>
      <c r="C11">
        <v>39.010280000000002</v>
      </c>
      <c r="D11">
        <v>0.57499999999999996</v>
      </c>
      <c r="E11">
        <v>379.17012999999997</v>
      </c>
      <c r="F11">
        <v>3.09</v>
      </c>
      <c r="G11">
        <v>17.295999999999999</v>
      </c>
      <c r="H11">
        <v>7.8E-2</v>
      </c>
      <c r="I11">
        <v>267.13704999999999</v>
      </c>
      <c r="J11">
        <v>1.871</v>
      </c>
      <c r="K11">
        <v>1787.8380500000001</v>
      </c>
      <c r="L11">
        <v>7.0540000000000003</v>
      </c>
    </row>
    <row r="12" spans="1:12" x14ac:dyDescent="0.2">
      <c r="A12" t="s">
        <v>554</v>
      </c>
      <c r="B12" t="s">
        <v>317</v>
      </c>
      <c r="C12">
        <v>34.266770000000001</v>
      </c>
      <c r="D12">
        <v>0.94699999999999995</v>
      </c>
      <c r="E12">
        <v>182.13419999999999</v>
      </c>
      <c r="F12">
        <v>5.0970000000000004</v>
      </c>
      <c r="G12">
        <v>2.4581499999999998</v>
      </c>
      <c r="H12">
        <v>6.7000000000000004E-2</v>
      </c>
      <c r="I12">
        <v>221.20102</v>
      </c>
      <c r="J12">
        <v>8.1010000000000009</v>
      </c>
      <c r="K12">
        <v>1439.4684600000001</v>
      </c>
      <c r="L12">
        <v>47.787999999999997</v>
      </c>
    </row>
    <row r="13" spans="1:12" x14ac:dyDescent="0.2">
      <c r="A13" t="s">
        <v>554</v>
      </c>
      <c r="B13" t="s">
        <v>318</v>
      </c>
      <c r="C13">
        <v>89.726569999999995</v>
      </c>
      <c r="D13">
        <v>4.4260000000000002</v>
      </c>
      <c r="E13">
        <v>365.06196999999997</v>
      </c>
      <c r="F13">
        <v>13.73</v>
      </c>
      <c r="G13">
        <v>17.580760000000001</v>
      </c>
      <c r="H13">
        <v>1.875</v>
      </c>
      <c r="I13">
        <v>362.06292000000002</v>
      </c>
      <c r="J13">
        <v>21.248999999999999</v>
      </c>
      <c r="K13">
        <v>1920.42768</v>
      </c>
      <c r="L13">
        <v>139.26499999999999</v>
      </c>
    </row>
    <row r="14" spans="1:12" x14ac:dyDescent="0.2">
      <c r="A14" t="s">
        <v>543</v>
      </c>
      <c r="B14" t="s">
        <v>317</v>
      </c>
      <c r="C14">
        <v>17.588360000000002</v>
      </c>
      <c r="D14">
        <v>0.23599999999999999</v>
      </c>
      <c r="E14">
        <v>117.32586000000001</v>
      </c>
      <c r="F14">
        <v>2.9950000000000001</v>
      </c>
      <c r="G14">
        <v>1.67849</v>
      </c>
      <c r="H14">
        <v>3.1E-2</v>
      </c>
      <c r="I14">
        <v>167.61181999999999</v>
      </c>
      <c r="J14">
        <v>1.3580000000000001</v>
      </c>
      <c r="K14">
        <v>1016.32593</v>
      </c>
      <c r="L14">
        <v>11.916</v>
      </c>
    </row>
    <row r="15" spans="1:12" x14ac:dyDescent="0.2">
      <c r="A15" t="s">
        <v>543</v>
      </c>
      <c r="B15" t="s">
        <v>318</v>
      </c>
      <c r="C15">
        <v>41.156440000000003</v>
      </c>
      <c r="D15">
        <v>0.255</v>
      </c>
      <c r="E15">
        <v>265.29478</v>
      </c>
      <c r="F15">
        <v>2.2759999999999998</v>
      </c>
      <c r="G15">
        <v>11.00817</v>
      </c>
      <c r="H15">
        <v>0.126</v>
      </c>
      <c r="I15">
        <v>236.74143000000001</v>
      </c>
      <c r="J15">
        <v>1.2330000000000001</v>
      </c>
      <c r="K15">
        <v>1542.29898</v>
      </c>
      <c r="L15">
        <v>8.7609999999999992</v>
      </c>
    </row>
    <row r="16" spans="1:12" x14ac:dyDescent="0.2">
      <c r="A16" t="s">
        <v>537</v>
      </c>
      <c r="B16" t="s">
        <v>317</v>
      </c>
      <c r="C16">
        <v>7.5838200000000002</v>
      </c>
      <c r="D16">
        <v>6.5000000000000002E-2</v>
      </c>
      <c r="E16">
        <v>408.93491999999998</v>
      </c>
      <c r="F16">
        <v>7.3129999999999997</v>
      </c>
      <c r="G16">
        <v>1.4608300000000001</v>
      </c>
      <c r="H16">
        <v>3.4000000000000002E-2</v>
      </c>
      <c r="I16">
        <v>152.33112</v>
      </c>
      <c r="J16">
        <v>0.26400000000000001</v>
      </c>
      <c r="K16">
        <v>925.44168000000002</v>
      </c>
      <c r="L16">
        <v>18.809999999999999</v>
      </c>
    </row>
    <row r="17" spans="1:12" x14ac:dyDescent="0.2">
      <c r="A17" t="s">
        <v>537</v>
      </c>
      <c r="B17" t="s">
        <v>318</v>
      </c>
      <c r="C17">
        <v>42.874519999999997</v>
      </c>
      <c r="D17">
        <v>0.443</v>
      </c>
      <c r="E17">
        <v>236.03957</v>
      </c>
      <c r="F17">
        <v>2.9089999999999998</v>
      </c>
      <c r="G17">
        <v>11.673579999999999</v>
      </c>
      <c r="H17">
        <v>0.10100000000000001</v>
      </c>
      <c r="I17">
        <v>220.24017000000001</v>
      </c>
      <c r="J17">
        <v>1.7789999999999999</v>
      </c>
      <c r="K17">
        <v>1468.9684600000001</v>
      </c>
      <c r="L17">
        <v>6.5229999999999997</v>
      </c>
    </row>
    <row r="18" spans="1:12" x14ac:dyDescent="0.2">
      <c r="A18" t="s">
        <v>535</v>
      </c>
      <c r="B18" t="s">
        <v>317</v>
      </c>
      <c r="C18">
        <v>12.76315</v>
      </c>
      <c r="D18">
        <v>0.20899999999999999</v>
      </c>
      <c r="E18">
        <v>277.80637000000002</v>
      </c>
      <c r="F18">
        <v>3.2349999999999999</v>
      </c>
      <c r="G18">
        <v>1.6817800000000001</v>
      </c>
      <c r="H18">
        <v>1.7000000000000001E-2</v>
      </c>
      <c r="I18">
        <v>175.09993</v>
      </c>
      <c r="J18">
        <v>2.5870000000000002</v>
      </c>
      <c r="K18">
        <v>1049.0069800000001</v>
      </c>
      <c r="L18">
        <v>27.053999999999998</v>
      </c>
    </row>
    <row r="19" spans="1:12" x14ac:dyDescent="0.2">
      <c r="A19" t="s">
        <v>535</v>
      </c>
      <c r="B19" t="s">
        <v>318</v>
      </c>
      <c r="C19">
        <v>53.47054</v>
      </c>
      <c r="D19">
        <v>1.353</v>
      </c>
      <c r="E19">
        <v>394.72721000000001</v>
      </c>
      <c r="F19">
        <v>12.096</v>
      </c>
      <c r="G19">
        <v>14.020799999999999</v>
      </c>
      <c r="H19">
        <v>0.311</v>
      </c>
      <c r="I19">
        <v>281.87894</v>
      </c>
      <c r="J19">
        <v>4.0129999999999999</v>
      </c>
      <c r="K19">
        <v>1479.8640700000001</v>
      </c>
      <c r="L19">
        <v>14.833</v>
      </c>
    </row>
    <row r="20" spans="1:12" x14ac:dyDescent="0.2">
      <c r="A20" t="s">
        <v>534</v>
      </c>
      <c r="B20" t="s">
        <v>317</v>
      </c>
      <c r="C20">
        <v>21.218430000000001</v>
      </c>
      <c r="D20">
        <v>0.48499999999999999</v>
      </c>
      <c r="E20">
        <v>160.09822</v>
      </c>
      <c r="F20">
        <v>3.6480000000000001</v>
      </c>
      <c r="G20">
        <v>1.8333900000000001</v>
      </c>
      <c r="H20">
        <v>0.04</v>
      </c>
      <c r="I20">
        <v>181.28586000000001</v>
      </c>
      <c r="J20">
        <v>2.7010000000000001</v>
      </c>
      <c r="K20">
        <v>1288.3141000000001</v>
      </c>
      <c r="L20">
        <v>9.8740000000000006</v>
      </c>
    </row>
    <row r="21" spans="1:12" x14ac:dyDescent="0.2">
      <c r="A21" t="s">
        <v>534</v>
      </c>
      <c r="B21" t="s">
        <v>318</v>
      </c>
      <c r="C21">
        <v>31.190650000000002</v>
      </c>
      <c r="D21">
        <v>0.73299999999999998</v>
      </c>
      <c r="E21">
        <v>282.78131000000002</v>
      </c>
      <c r="F21">
        <v>6.6840000000000002</v>
      </c>
      <c r="G21">
        <v>13.08395</v>
      </c>
      <c r="H21">
        <v>0.28199999999999997</v>
      </c>
      <c r="I21">
        <v>240.82025999999999</v>
      </c>
      <c r="J21">
        <v>5.4539999999999997</v>
      </c>
      <c r="K21">
        <v>1480.2264500000001</v>
      </c>
      <c r="L21">
        <v>40.677</v>
      </c>
    </row>
    <row r="22" spans="1:12" x14ac:dyDescent="0.2">
      <c r="A22" t="s">
        <v>595</v>
      </c>
      <c r="B22" t="s">
        <v>317</v>
      </c>
      <c r="C22">
        <v>51.85877</v>
      </c>
      <c r="D22">
        <v>0.442</v>
      </c>
      <c r="E22">
        <v>269.65519</v>
      </c>
      <c r="F22">
        <v>5.4530000000000003</v>
      </c>
      <c r="G22">
        <v>2.3016200000000002</v>
      </c>
      <c r="H22">
        <v>3.2000000000000001E-2</v>
      </c>
      <c r="I22">
        <v>187.65758</v>
      </c>
      <c r="J22">
        <v>1.909</v>
      </c>
      <c r="K22">
        <v>1106.10998</v>
      </c>
      <c r="L22">
        <v>5.0060000000000002</v>
      </c>
    </row>
    <row r="23" spans="1:12" x14ac:dyDescent="0.2">
      <c r="A23" t="s">
        <v>595</v>
      </c>
      <c r="B23" t="s">
        <v>318</v>
      </c>
      <c r="C23">
        <v>33.88785</v>
      </c>
      <c r="D23">
        <v>2.2309999999999999</v>
      </c>
      <c r="E23">
        <v>826.67541000000006</v>
      </c>
      <c r="F23">
        <v>39.673999999999999</v>
      </c>
      <c r="G23">
        <v>20.74483</v>
      </c>
      <c r="H23">
        <v>0.96099999999999997</v>
      </c>
      <c r="I23">
        <v>309.21602999999999</v>
      </c>
      <c r="J23">
        <v>6.2919999999999998</v>
      </c>
      <c r="K23">
        <v>1942.1743100000001</v>
      </c>
      <c r="L23">
        <v>20.332999999999998</v>
      </c>
    </row>
    <row r="24" spans="1:12" x14ac:dyDescent="0.2">
      <c r="A24" t="s">
        <v>594</v>
      </c>
      <c r="B24" t="s">
        <v>317</v>
      </c>
      <c r="C24">
        <v>45.646889999999999</v>
      </c>
      <c r="D24">
        <v>2.847</v>
      </c>
      <c r="E24">
        <v>417.04887000000002</v>
      </c>
      <c r="F24">
        <v>21.645</v>
      </c>
      <c r="G24">
        <v>2.4143500000000002</v>
      </c>
      <c r="H24">
        <v>0.11899999999999999</v>
      </c>
      <c r="I24">
        <v>187.54249999999999</v>
      </c>
      <c r="J24">
        <v>9.4</v>
      </c>
      <c r="K24">
        <v>1201.4639999999999</v>
      </c>
      <c r="L24">
        <v>55.481000000000002</v>
      </c>
    </row>
    <row r="25" spans="1:12" x14ac:dyDescent="0.2">
      <c r="A25" t="s">
        <v>594</v>
      </c>
      <c r="B25" t="s">
        <v>318</v>
      </c>
      <c r="C25">
        <v>35.171100000000003</v>
      </c>
      <c r="D25">
        <v>0.84499999999999997</v>
      </c>
      <c r="E25">
        <v>1159.6073100000001</v>
      </c>
      <c r="F25">
        <v>116.729</v>
      </c>
      <c r="G25">
        <v>20.02402</v>
      </c>
      <c r="H25">
        <v>1.3180000000000001</v>
      </c>
      <c r="I25">
        <v>260.78604000000001</v>
      </c>
      <c r="J25">
        <v>14.558999999999999</v>
      </c>
      <c r="K25">
        <v>1534.9940899999999</v>
      </c>
      <c r="L25">
        <v>108.67700000000001</v>
      </c>
    </row>
    <row r="26" spans="1:12" x14ac:dyDescent="0.2">
      <c r="A26" t="s">
        <v>1072</v>
      </c>
      <c r="B26" t="s">
        <v>11</v>
      </c>
      <c r="C26">
        <v>4.2595000000000001</v>
      </c>
      <c r="D26">
        <v>4.8000000000000001E-2</v>
      </c>
      <c r="E26">
        <v>8.8248499999999996</v>
      </c>
      <c r="F26">
        <v>0.05</v>
      </c>
      <c r="G26">
        <v>1.6420399999999999</v>
      </c>
      <c r="H26">
        <v>0.02</v>
      </c>
      <c r="I26">
        <v>185.65263999999999</v>
      </c>
      <c r="J26">
        <v>1.109</v>
      </c>
      <c r="K26">
        <v>1173.9364599999999</v>
      </c>
      <c r="L26">
        <v>10.071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21"/>
  <sheetViews>
    <sheetView workbookViewId="0">
      <pane ySplit="1" topLeftCell="A2" activePane="bottomLeft" state="frozen"/>
      <selection pane="bottomLeft" activeCell="C4" sqref="C4"/>
    </sheetView>
  </sheetViews>
  <sheetFormatPr baseColWidth="10" defaultColWidth="8.6640625" defaultRowHeight="15" x14ac:dyDescent="0.2"/>
  <cols>
    <col min="1" max="1" width="16.5" customWidth="1"/>
    <col min="2" max="3" width="12.5" customWidth="1"/>
    <col min="4" max="5" width="8.6640625" style="8"/>
    <col min="6" max="6" width="13.33203125" style="8" customWidth="1"/>
    <col min="7" max="7" width="8.6640625" style="8"/>
  </cols>
  <sheetData>
    <row r="1" spans="1:7" s="2" customFormat="1" x14ac:dyDescent="0.2">
      <c r="A1" s="2" t="s">
        <v>923</v>
      </c>
      <c r="B1" s="2" t="s">
        <v>6</v>
      </c>
      <c r="C1" s="2" t="s">
        <v>7</v>
      </c>
      <c r="D1" s="27" t="s">
        <v>57</v>
      </c>
      <c r="E1" s="27" t="s">
        <v>58</v>
      </c>
      <c r="F1" s="27" t="s">
        <v>59</v>
      </c>
      <c r="G1" s="27" t="s">
        <v>60</v>
      </c>
    </row>
    <row r="2" spans="1:7" x14ac:dyDescent="0.2">
      <c r="A2" t="s">
        <v>842</v>
      </c>
      <c r="B2" s="1">
        <v>42709</v>
      </c>
      <c r="C2" s="1" t="s">
        <v>11</v>
      </c>
      <c r="D2" s="8">
        <v>7.14</v>
      </c>
      <c r="E2" s="8">
        <v>17.899999999999999</v>
      </c>
      <c r="F2" s="8">
        <v>1.07</v>
      </c>
      <c r="G2" s="8">
        <v>17.899999999999999</v>
      </c>
    </row>
    <row r="3" spans="1:7" x14ac:dyDescent="0.2">
      <c r="A3" t="s">
        <v>841</v>
      </c>
      <c r="B3" s="1">
        <v>42709</v>
      </c>
      <c r="C3" s="1" t="s">
        <v>11</v>
      </c>
      <c r="D3" s="8">
        <v>7.03</v>
      </c>
      <c r="E3" s="8">
        <v>19.5</v>
      </c>
      <c r="F3" s="8">
        <v>2.15</v>
      </c>
      <c r="G3" s="8">
        <v>18.899999999999999</v>
      </c>
    </row>
    <row r="4" spans="1:7" x14ac:dyDescent="0.2">
      <c r="A4" t="s">
        <v>838</v>
      </c>
      <c r="B4" s="1">
        <v>42709</v>
      </c>
      <c r="C4" s="1" t="s">
        <v>11</v>
      </c>
      <c r="D4" s="8">
        <v>7.19</v>
      </c>
      <c r="E4" s="8">
        <v>18.7</v>
      </c>
      <c r="F4" s="8">
        <v>2.1</v>
      </c>
      <c r="G4" s="8">
        <v>18.5</v>
      </c>
    </row>
    <row r="5" spans="1:7" x14ac:dyDescent="0.2">
      <c r="A5" t="s">
        <v>837</v>
      </c>
      <c r="B5" s="1">
        <v>42709</v>
      </c>
      <c r="C5" s="1" t="s">
        <v>11</v>
      </c>
      <c r="D5" s="8">
        <v>6.84</v>
      </c>
      <c r="E5" s="8">
        <v>18.600000000000001</v>
      </c>
      <c r="F5" s="8">
        <v>2.5099999999999998</v>
      </c>
      <c r="G5" s="8">
        <v>18.3</v>
      </c>
    </row>
    <row r="6" spans="1:7" x14ac:dyDescent="0.2">
      <c r="A6" t="s">
        <v>833</v>
      </c>
      <c r="B6" s="1">
        <v>42709</v>
      </c>
      <c r="C6" s="1" t="s">
        <v>11</v>
      </c>
      <c r="D6" s="8">
        <v>6.82</v>
      </c>
      <c r="E6" s="8">
        <v>18.2</v>
      </c>
      <c r="F6" s="8">
        <v>1.64</v>
      </c>
      <c r="G6" s="8">
        <v>18.100000000000001</v>
      </c>
    </row>
    <row r="7" spans="1:7" x14ac:dyDescent="0.2">
      <c r="A7" t="s">
        <v>832</v>
      </c>
      <c r="B7" s="1">
        <v>42709</v>
      </c>
      <c r="C7" s="1" t="s">
        <v>11</v>
      </c>
      <c r="D7" s="8">
        <v>8.7899999999999991</v>
      </c>
      <c r="E7" s="8">
        <v>19.100000000000001</v>
      </c>
      <c r="F7" s="8">
        <v>1.59</v>
      </c>
      <c r="G7" s="8">
        <v>18.899999999999999</v>
      </c>
    </row>
    <row r="8" spans="1:7" x14ac:dyDescent="0.2">
      <c r="A8" t="s">
        <v>829</v>
      </c>
      <c r="B8" s="1">
        <v>42709</v>
      </c>
      <c r="C8" s="1" t="s">
        <v>11</v>
      </c>
      <c r="D8" s="8">
        <v>6.86</v>
      </c>
      <c r="E8" s="8">
        <v>18.8</v>
      </c>
      <c r="F8" s="8">
        <v>1.84</v>
      </c>
      <c r="G8" s="8">
        <v>18.399999999999999</v>
      </c>
    </row>
    <row r="9" spans="1:7" x14ac:dyDescent="0.2">
      <c r="A9" t="s">
        <v>828</v>
      </c>
      <c r="B9" s="1">
        <v>42709</v>
      </c>
      <c r="C9" s="1" t="s">
        <v>11</v>
      </c>
      <c r="D9" s="8">
        <v>7</v>
      </c>
      <c r="E9" s="8">
        <v>19.100000000000001</v>
      </c>
      <c r="F9" s="8">
        <v>1.91</v>
      </c>
      <c r="G9" s="8">
        <v>18.600000000000001</v>
      </c>
    </row>
    <row r="10" spans="1:7" x14ac:dyDescent="0.2">
      <c r="A10" t="s">
        <v>827</v>
      </c>
      <c r="B10" s="1">
        <v>42709</v>
      </c>
      <c r="C10" s="1" t="s">
        <v>11</v>
      </c>
      <c r="D10" s="8">
        <v>6.99</v>
      </c>
      <c r="E10" s="8">
        <v>19.2</v>
      </c>
      <c r="F10" s="8">
        <v>2.56</v>
      </c>
      <c r="G10" s="8">
        <v>18.899999999999999</v>
      </c>
    </row>
    <row r="11" spans="1:7" x14ac:dyDescent="0.2">
      <c r="A11" t="s">
        <v>824</v>
      </c>
      <c r="B11" s="1">
        <v>42709</v>
      </c>
      <c r="C11" s="1" t="s">
        <v>11</v>
      </c>
      <c r="D11" s="8">
        <v>6.9</v>
      </c>
      <c r="E11" s="8">
        <v>20.100000000000001</v>
      </c>
      <c r="F11" s="8">
        <v>1.88</v>
      </c>
      <c r="G11" s="8">
        <v>19.8</v>
      </c>
    </row>
    <row r="12" spans="1:7" x14ac:dyDescent="0.2">
      <c r="A12" t="s">
        <v>823</v>
      </c>
      <c r="B12" s="1">
        <v>42709</v>
      </c>
      <c r="C12" s="1" t="s">
        <v>11</v>
      </c>
      <c r="D12" s="8">
        <v>7.07</v>
      </c>
      <c r="E12" s="8">
        <v>19.2</v>
      </c>
      <c r="F12" s="8">
        <v>2.78</v>
      </c>
      <c r="G12" s="8">
        <v>18.899999999999999</v>
      </c>
    </row>
    <row r="13" spans="1:7" x14ac:dyDescent="0.2">
      <c r="A13" t="s">
        <v>822</v>
      </c>
      <c r="B13" s="1">
        <v>42709</v>
      </c>
      <c r="C13" s="1" t="s">
        <v>11</v>
      </c>
      <c r="D13" s="8">
        <v>7.21</v>
      </c>
      <c r="E13" s="8">
        <v>20.2</v>
      </c>
      <c r="F13" s="8">
        <v>1.86</v>
      </c>
      <c r="G13" s="8">
        <v>19.7</v>
      </c>
    </row>
    <row r="14" spans="1:7" x14ac:dyDescent="0.2">
      <c r="A14" t="s">
        <v>820</v>
      </c>
      <c r="B14" s="1">
        <v>42709</v>
      </c>
      <c r="C14" s="1" t="s">
        <v>11</v>
      </c>
      <c r="D14" s="8">
        <v>7.08</v>
      </c>
      <c r="E14" s="8">
        <v>19.8</v>
      </c>
      <c r="F14" s="8">
        <v>1.92</v>
      </c>
      <c r="G14" s="8">
        <v>19.8</v>
      </c>
    </row>
    <row r="15" spans="1:7" x14ac:dyDescent="0.2">
      <c r="A15" t="s">
        <v>819</v>
      </c>
      <c r="B15" s="1">
        <v>42709</v>
      </c>
      <c r="C15" s="1" t="s">
        <v>11</v>
      </c>
      <c r="D15" s="8">
        <v>7.41</v>
      </c>
      <c r="E15" s="8">
        <v>20.399999999999999</v>
      </c>
      <c r="F15" s="8">
        <v>1.66</v>
      </c>
      <c r="G15" s="8">
        <v>20</v>
      </c>
    </row>
    <row r="16" spans="1:7" x14ac:dyDescent="0.2">
      <c r="A16" t="s">
        <v>815</v>
      </c>
      <c r="B16" s="1">
        <v>42709</v>
      </c>
      <c r="C16" s="1" t="s">
        <v>11</v>
      </c>
      <c r="D16" s="8">
        <v>6.76</v>
      </c>
      <c r="E16" s="8">
        <v>18.3</v>
      </c>
      <c r="F16" s="8">
        <v>2.39</v>
      </c>
      <c r="G16" s="8">
        <v>18</v>
      </c>
    </row>
    <row r="17" spans="1:7" x14ac:dyDescent="0.2">
      <c r="A17" t="s">
        <v>811</v>
      </c>
      <c r="B17" s="1">
        <v>42709</v>
      </c>
      <c r="C17" s="1" t="s">
        <v>11</v>
      </c>
      <c r="D17" s="8">
        <v>7.29</v>
      </c>
      <c r="E17" s="8">
        <v>20.3</v>
      </c>
      <c r="F17" s="8">
        <v>1.71</v>
      </c>
      <c r="G17" s="8">
        <v>19.899999999999999</v>
      </c>
    </row>
    <row r="18" spans="1:7" x14ac:dyDescent="0.2">
      <c r="A18" t="s">
        <v>810</v>
      </c>
      <c r="B18" s="1">
        <v>42709</v>
      </c>
      <c r="C18" s="1" t="s">
        <v>11</v>
      </c>
      <c r="D18" s="8">
        <v>7.17</v>
      </c>
      <c r="E18" s="8">
        <v>19.5</v>
      </c>
      <c r="F18" s="8">
        <v>1.96</v>
      </c>
      <c r="G18" s="8">
        <v>19.2</v>
      </c>
    </row>
    <row r="19" spans="1:7" x14ac:dyDescent="0.2">
      <c r="A19" t="s">
        <v>806</v>
      </c>
      <c r="B19" s="1">
        <v>42709</v>
      </c>
      <c r="C19" s="1" t="s">
        <v>11</v>
      </c>
      <c r="D19" s="8">
        <v>6.89</v>
      </c>
      <c r="E19" s="8">
        <v>19.3</v>
      </c>
      <c r="F19" s="8">
        <v>5</v>
      </c>
      <c r="G19" s="8">
        <v>19.3</v>
      </c>
    </row>
    <row r="20" spans="1:7" x14ac:dyDescent="0.2">
      <c r="A20" t="s">
        <v>805</v>
      </c>
      <c r="B20" s="1">
        <v>42709</v>
      </c>
      <c r="C20" s="1" t="s">
        <v>11</v>
      </c>
      <c r="D20" s="8">
        <v>6.84</v>
      </c>
      <c r="E20" s="8">
        <v>19.100000000000001</v>
      </c>
      <c r="F20" s="8">
        <v>2.21</v>
      </c>
      <c r="G20" s="8">
        <v>18.899999999999999</v>
      </c>
    </row>
    <row r="21" spans="1:7" x14ac:dyDescent="0.2">
      <c r="A21" t="s">
        <v>802</v>
      </c>
      <c r="B21" s="1">
        <v>42709</v>
      </c>
      <c r="C21" s="1" t="s">
        <v>11</v>
      </c>
      <c r="D21" s="8">
        <v>6.9</v>
      </c>
      <c r="E21" s="8">
        <v>18.100000000000001</v>
      </c>
      <c r="F21" s="8">
        <v>1.99</v>
      </c>
      <c r="G21" s="8">
        <v>17.899999999999999</v>
      </c>
    </row>
    <row r="22" spans="1:7" x14ac:dyDescent="0.2">
      <c r="A22" t="s">
        <v>801</v>
      </c>
      <c r="B22" s="1">
        <v>42709</v>
      </c>
      <c r="C22" s="1" t="s">
        <v>11</v>
      </c>
      <c r="D22" s="8">
        <v>7.12</v>
      </c>
      <c r="E22" s="8">
        <v>19.600000000000001</v>
      </c>
      <c r="F22" s="8">
        <v>2.44</v>
      </c>
      <c r="G22" s="8">
        <v>19.2</v>
      </c>
    </row>
    <row r="23" spans="1:7" x14ac:dyDescent="0.2">
      <c r="A23" t="s">
        <v>798</v>
      </c>
      <c r="B23" s="1">
        <v>42709</v>
      </c>
      <c r="C23" s="1" t="s">
        <v>11</v>
      </c>
      <c r="D23" s="8">
        <v>7.18</v>
      </c>
      <c r="E23" s="8">
        <v>18.2</v>
      </c>
      <c r="F23" s="8">
        <v>1.8</v>
      </c>
      <c r="G23" s="8">
        <v>17.899999999999999</v>
      </c>
    </row>
    <row r="24" spans="1:7" x14ac:dyDescent="0.2">
      <c r="A24" t="s">
        <v>797</v>
      </c>
      <c r="B24" s="1">
        <v>42709</v>
      </c>
      <c r="C24" s="1" t="s">
        <v>11</v>
      </c>
      <c r="D24" s="8">
        <v>6.85</v>
      </c>
      <c r="E24" s="8">
        <v>18.7</v>
      </c>
      <c r="F24" s="8">
        <v>8.31</v>
      </c>
      <c r="G24" s="8">
        <v>18.3</v>
      </c>
    </row>
    <row r="25" spans="1:7" x14ac:dyDescent="0.2">
      <c r="A25" t="s">
        <v>796</v>
      </c>
      <c r="B25" s="1">
        <v>42709</v>
      </c>
      <c r="C25" s="1" t="s">
        <v>11</v>
      </c>
      <c r="D25" s="8">
        <v>6.6</v>
      </c>
      <c r="E25" s="8">
        <v>19.5</v>
      </c>
      <c r="F25" s="8">
        <v>6.2</v>
      </c>
      <c r="G25" s="8">
        <v>19.3</v>
      </c>
    </row>
    <row r="26" spans="1:7" x14ac:dyDescent="0.2">
      <c r="A26" t="s">
        <v>795</v>
      </c>
      <c r="B26" s="1">
        <v>42709</v>
      </c>
      <c r="C26" s="1" t="s">
        <v>11</v>
      </c>
      <c r="D26" s="8">
        <v>6.84</v>
      </c>
      <c r="E26" s="8">
        <v>19.3</v>
      </c>
      <c r="F26" s="8">
        <v>2.42</v>
      </c>
      <c r="G26" s="8">
        <v>19</v>
      </c>
    </row>
    <row r="27" spans="1:7" x14ac:dyDescent="0.2">
      <c r="A27" t="s">
        <v>793</v>
      </c>
      <c r="B27" s="1">
        <v>42709</v>
      </c>
      <c r="C27" s="1" t="s">
        <v>11</v>
      </c>
      <c r="D27" s="8">
        <v>6.85</v>
      </c>
      <c r="E27" s="8">
        <v>18.899999999999999</v>
      </c>
      <c r="F27" s="8">
        <v>3.34</v>
      </c>
      <c r="G27" s="8">
        <v>18.5</v>
      </c>
    </row>
    <row r="28" spans="1:7" x14ac:dyDescent="0.2">
      <c r="A28" t="s">
        <v>792</v>
      </c>
      <c r="B28" s="1">
        <v>42709</v>
      </c>
      <c r="C28" s="1" t="s">
        <v>11</v>
      </c>
      <c r="D28" s="8">
        <v>7.27</v>
      </c>
      <c r="E28" s="8">
        <v>19.899999999999999</v>
      </c>
      <c r="F28" s="8">
        <v>1.72</v>
      </c>
      <c r="G28" s="8">
        <v>19.600000000000001</v>
      </c>
    </row>
    <row r="29" spans="1:7" x14ac:dyDescent="0.2">
      <c r="A29" t="s">
        <v>789</v>
      </c>
      <c r="B29" s="1">
        <v>42709</v>
      </c>
      <c r="C29" s="1" t="s">
        <v>11</v>
      </c>
      <c r="D29" s="8">
        <v>7.12</v>
      </c>
      <c r="E29" s="8">
        <v>18.100000000000001</v>
      </c>
      <c r="F29" s="8">
        <v>1.69</v>
      </c>
      <c r="G29" s="8">
        <v>18</v>
      </c>
    </row>
    <row r="30" spans="1:7" x14ac:dyDescent="0.2">
      <c r="A30" t="s">
        <v>788</v>
      </c>
      <c r="B30" s="1">
        <v>42709</v>
      </c>
      <c r="C30" s="1" t="s">
        <v>11</v>
      </c>
      <c r="D30" s="8">
        <v>7.01</v>
      </c>
      <c r="E30" s="8">
        <v>18.100000000000001</v>
      </c>
      <c r="F30" s="8">
        <v>1.88</v>
      </c>
      <c r="G30" s="8">
        <v>18</v>
      </c>
    </row>
    <row r="31" spans="1:7" x14ac:dyDescent="0.2">
      <c r="A31" t="s">
        <v>787</v>
      </c>
      <c r="B31" s="1">
        <v>42709</v>
      </c>
      <c r="C31" s="1" t="s">
        <v>11</v>
      </c>
      <c r="D31" s="8">
        <v>6.74</v>
      </c>
      <c r="E31" s="8">
        <v>19.7</v>
      </c>
      <c r="F31" s="8">
        <v>6.85</v>
      </c>
      <c r="G31" s="8">
        <v>19.5</v>
      </c>
    </row>
    <row r="32" spans="1:7" x14ac:dyDescent="0.2">
      <c r="A32" t="s">
        <v>784</v>
      </c>
      <c r="B32" s="1">
        <v>42709</v>
      </c>
      <c r="C32" s="1" t="s">
        <v>11</v>
      </c>
      <c r="D32" s="8">
        <v>6.94</v>
      </c>
      <c r="E32" s="8">
        <v>19.399999999999999</v>
      </c>
      <c r="F32" s="8">
        <v>4.26</v>
      </c>
      <c r="G32" s="8">
        <v>18.899999999999999</v>
      </c>
    </row>
    <row r="33" spans="1:7" x14ac:dyDescent="0.2">
      <c r="A33" t="s">
        <v>780</v>
      </c>
      <c r="B33" s="1">
        <v>42709</v>
      </c>
      <c r="C33" s="1" t="s">
        <v>11</v>
      </c>
      <c r="D33" s="8">
        <v>6.96</v>
      </c>
      <c r="E33" s="8">
        <v>18.7</v>
      </c>
      <c r="F33" s="8">
        <v>4.43</v>
      </c>
      <c r="G33" s="8">
        <v>18.7</v>
      </c>
    </row>
    <row r="34" spans="1:7" x14ac:dyDescent="0.2">
      <c r="A34" t="s">
        <v>779</v>
      </c>
      <c r="B34" s="1">
        <v>42709</v>
      </c>
      <c r="C34" s="1" t="s">
        <v>11</v>
      </c>
      <c r="D34" s="8">
        <v>6.99</v>
      </c>
      <c r="E34" s="8">
        <v>19.600000000000001</v>
      </c>
      <c r="F34" s="8">
        <v>1.84</v>
      </c>
      <c r="G34" s="8">
        <v>19.5</v>
      </c>
    </row>
    <row r="35" spans="1:7" x14ac:dyDescent="0.2">
      <c r="A35" t="s">
        <v>778</v>
      </c>
      <c r="B35" s="1">
        <v>42709</v>
      </c>
      <c r="C35" s="1" t="s">
        <v>11</v>
      </c>
      <c r="D35" s="8">
        <v>7.1</v>
      </c>
      <c r="E35" s="8">
        <v>19.399999999999999</v>
      </c>
      <c r="F35" s="8">
        <v>1.59</v>
      </c>
      <c r="G35" s="8">
        <v>19.100000000000001</v>
      </c>
    </row>
    <row r="36" spans="1:7" x14ac:dyDescent="0.2">
      <c r="A36" t="s">
        <v>775</v>
      </c>
      <c r="B36" s="1">
        <v>42709</v>
      </c>
      <c r="C36" s="1" t="s">
        <v>11</v>
      </c>
      <c r="D36" s="8">
        <v>6.82</v>
      </c>
      <c r="E36" s="8">
        <v>19.3</v>
      </c>
      <c r="F36" s="8">
        <v>2.36</v>
      </c>
      <c r="G36" s="8">
        <v>19.100000000000001</v>
      </c>
    </row>
    <row r="37" spans="1:7" x14ac:dyDescent="0.2">
      <c r="A37" t="s">
        <v>774</v>
      </c>
      <c r="B37" s="1">
        <v>42709</v>
      </c>
      <c r="C37" s="1" t="s">
        <v>11</v>
      </c>
      <c r="D37" s="8">
        <v>6.94</v>
      </c>
      <c r="E37" s="8">
        <v>18.2</v>
      </c>
      <c r="F37" s="8">
        <v>5.5</v>
      </c>
      <c r="G37" s="8">
        <v>18.100000000000001</v>
      </c>
    </row>
    <row r="38" spans="1:7" x14ac:dyDescent="0.2">
      <c r="A38" t="s">
        <v>771</v>
      </c>
      <c r="B38" s="1">
        <v>42709</v>
      </c>
      <c r="C38" s="1" t="s">
        <v>11</v>
      </c>
      <c r="D38" s="8">
        <v>7.28</v>
      </c>
      <c r="E38" s="8">
        <v>19.8</v>
      </c>
      <c r="F38" s="8">
        <v>1.8</v>
      </c>
      <c r="G38" s="8">
        <v>19.7</v>
      </c>
    </row>
    <row r="39" spans="1:7" x14ac:dyDescent="0.2">
      <c r="A39" t="s">
        <v>766</v>
      </c>
      <c r="B39" s="1">
        <v>42709</v>
      </c>
      <c r="C39" s="1" t="s">
        <v>11</v>
      </c>
      <c r="D39" s="8">
        <v>7.07</v>
      </c>
      <c r="E39" s="8">
        <v>18.600000000000001</v>
      </c>
      <c r="F39" s="8">
        <v>7.29</v>
      </c>
      <c r="G39" s="8">
        <v>18.100000000000001</v>
      </c>
    </row>
    <row r="40" spans="1:7" x14ac:dyDescent="0.2">
      <c r="A40" t="s">
        <v>765</v>
      </c>
      <c r="B40" s="1">
        <v>42709</v>
      </c>
      <c r="C40" s="1" t="s">
        <v>11</v>
      </c>
      <c r="D40" s="8">
        <v>6.49</v>
      </c>
      <c r="E40" s="8">
        <v>18.399999999999999</v>
      </c>
      <c r="F40" s="8">
        <v>4.79</v>
      </c>
      <c r="G40" s="8">
        <v>18.100000000000001</v>
      </c>
    </row>
    <row r="41" spans="1:7" x14ac:dyDescent="0.2">
      <c r="A41" t="s">
        <v>764</v>
      </c>
      <c r="B41" s="1">
        <v>42709</v>
      </c>
      <c r="C41" s="1" t="s">
        <v>11</v>
      </c>
      <c r="D41" s="8">
        <v>6.8</v>
      </c>
      <c r="E41" s="8">
        <v>18</v>
      </c>
      <c r="F41" s="8">
        <v>3.23</v>
      </c>
      <c r="G41" s="8">
        <v>17.8</v>
      </c>
    </row>
    <row r="42" spans="1:7" x14ac:dyDescent="0.2">
      <c r="A42" t="s">
        <v>840</v>
      </c>
      <c r="B42" s="1">
        <v>42714</v>
      </c>
      <c r="C42" s="1" t="s">
        <v>11</v>
      </c>
      <c r="D42" s="8">
        <v>8.3000000000000007</v>
      </c>
      <c r="E42" s="8">
        <v>17.2</v>
      </c>
      <c r="F42" s="8">
        <v>1.1200000000000001</v>
      </c>
      <c r="G42" s="8">
        <v>16.2</v>
      </c>
    </row>
    <row r="43" spans="1:7" x14ac:dyDescent="0.2">
      <c r="A43" t="s">
        <v>839</v>
      </c>
      <c r="B43" s="1">
        <v>42714</v>
      </c>
      <c r="C43" s="1" t="s">
        <v>11</v>
      </c>
      <c r="D43" s="8">
        <v>7.43</v>
      </c>
      <c r="E43" s="8">
        <v>12.3</v>
      </c>
      <c r="F43" s="8">
        <v>1.61</v>
      </c>
      <c r="G43" s="8">
        <v>12.3</v>
      </c>
    </row>
    <row r="44" spans="1:7" x14ac:dyDescent="0.2">
      <c r="A44" t="s">
        <v>836</v>
      </c>
      <c r="B44" s="1">
        <v>42714</v>
      </c>
      <c r="C44" s="1" t="s">
        <v>11</v>
      </c>
      <c r="D44" s="8">
        <v>8.86</v>
      </c>
      <c r="E44" s="8">
        <v>14.4</v>
      </c>
      <c r="F44" s="8">
        <v>1.27</v>
      </c>
      <c r="G44" s="8">
        <v>14</v>
      </c>
    </row>
    <row r="45" spans="1:7" x14ac:dyDescent="0.2">
      <c r="A45" t="s">
        <v>835</v>
      </c>
      <c r="B45" s="1">
        <v>42714</v>
      </c>
      <c r="C45" s="1" t="s">
        <v>11</v>
      </c>
      <c r="D45" s="8">
        <v>6.79</v>
      </c>
      <c r="E45" s="8">
        <v>17.8</v>
      </c>
      <c r="F45" s="8">
        <v>2.14</v>
      </c>
      <c r="G45" s="8">
        <v>14.7</v>
      </c>
    </row>
    <row r="46" spans="1:7" x14ac:dyDescent="0.2">
      <c r="A46" t="s">
        <v>834</v>
      </c>
      <c r="B46" s="1">
        <v>42714</v>
      </c>
      <c r="C46" s="1" t="s">
        <v>11</v>
      </c>
      <c r="D46" s="8">
        <v>7.1</v>
      </c>
      <c r="E46" s="8">
        <v>12.8</v>
      </c>
      <c r="F46" s="8">
        <v>4.3099999999999996</v>
      </c>
      <c r="G46" s="8">
        <v>13.5</v>
      </c>
    </row>
    <row r="47" spans="1:7" x14ac:dyDescent="0.2">
      <c r="A47" t="s">
        <v>831</v>
      </c>
      <c r="B47" s="1">
        <v>42714</v>
      </c>
      <c r="C47" s="1" t="s">
        <v>11</v>
      </c>
      <c r="D47" s="8">
        <v>7.05</v>
      </c>
      <c r="E47" s="8">
        <v>14.4</v>
      </c>
      <c r="F47" s="8">
        <v>2.08</v>
      </c>
      <c r="G47" s="8">
        <v>13.5</v>
      </c>
    </row>
    <row r="48" spans="1:7" x14ac:dyDescent="0.2">
      <c r="A48" t="s">
        <v>830</v>
      </c>
      <c r="B48" s="1">
        <v>42714</v>
      </c>
      <c r="C48" s="1" t="s">
        <v>11</v>
      </c>
      <c r="D48" s="8">
        <v>7.07</v>
      </c>
      <c r="E48" s="8">
        <v>13.5</v>
      </c>
      <c r="F48" s="8">
        <v>1.71</v>
      </c>
      <c r="G48" s="8">
        <v>13</v>
      </c>
    </row>
    <row r="49" spans="1:7" x14ac:dyDescent="0.2">
      <c r="A49" t="s">
        <v>826</v>
      </c>
      <c r="B49" s="1">
        <v>42714</v>
      </c>
      <c r="C49" s="1" t="s">
        <v>11</v>
      </c>
      <c r="D49" s="8">
        <v>7.02</v>
      </c>
      <c r="E49" s="8">
        <v>17.2</v>
      </c>
      <c r="F49" s="8">
        <v>3.07</v>
      </c>
      <c r="G49" s="8">
        <v>16.5</v>
      </c>
    </row>
    <row r="50" spans="1:7" x14ac:dyDescent="0.2">
      <c r="A50" t="s">
        <v>825</v>
      </c>
      <c r="B50" s="1">
        <v>42714</v>
      </c>
      <c r="C50" s="1" t="s">
        <v>11</v>
      </c>
      <c r="D50" s="8">
        <v>7.22</v>
      </c>
      <c r="E50" s="8">
        <v>11.1</v>
      </c>
      <c r="F50" s="8">
        <v>3.5</v>
      </c>
      <c r="G50" s="8">
        <v>12.2</v>
      </c>
    </row>
    <row r="51" spans="1:7" x14ac:dyDescent="0.2">
      <c r="A51" t="s">
        <v>821</v>
      </c>
      <c r="B51" s="1">
        <v>42714</v>
      </c>
      <c r="C51" s="1" t="s">
        <v>11</v>
      </c>
      <c r="D51" s="8">
        <v>7.3</v>
      </c>
      <c r="E51" s="8">
        <v>13.8</v>
      </c>
      <c r="F51" s="8">
        <v>1.62</v>
      </c>
      <c r="G51" s="8">
        <v>13.4</v>
      </c>
    </row>
    <row r="52" spans="1:7" x14ac:dyDescent="0.2">
      <c r="A52" t="s">
        <v>818</v>
      </c>
      <c r="B52" s="1">
        <v>42714</v>
      </c>
      <c r="C52" s="1" t="s">
        <v>11</v>
      </c>
      <c r="D52" s="8">
        <v>7.14</v>
      </c>
      <c r="E52" s="8">
        <v>13.4</v>
      </c>
      <c r="F52" s="8">
        <v>1.77</v>
      </c>
      <c r="G52" s="8">
        <v>12.7</v>
      </c>
    </row>
    <row r="53" spans="1:7" x14ac:dyDescent="0.2">
      <c r="A53" t="s">
        <v>817</v>
      </c>
      <c r="B53" s="1">
        <v>42714</v>
      </c>
      <c r="C53" s="1" t="s">
        <v>11</v>
      </c>
      <c r="D53" s="8">
        <v>7.07</v>
      </c>
      <c r="E53" s="8">
        <v>13.9</v>
      </c>
      <c r="F53" s="8">
        <v>6.73</v>
      </c>
      <c r="G53" s="8">
        <v>12.3</v>
      </c>
    </row>
    <row r="54" spans="1:7" x14ac:dyDescent="0.2">
      <c r="A54" t="s">
        <v>816</v>
      </c>
      <c r="B54" s="1">
        <v>42714</v>
      </c>
      <c r="C54" s="1" t="s">
        <v>11</v>
      </c>
      <c r="D54" s="8">
        <v>6.84</v>
      </c>
      <c r="E54" s="8">
        <v>15.9</v>
      </c>
      <c r="F54" s="8">
        <v>2.13</v>
      </c>
      <c r="G54" s="8">
        <v>15.2</v>
      </c>
    </row>
    <row r="55" spans="1:7" x14ac:dyDescent="0.2">
      <c r="A55" t="s">
        <v>814</v>
      </c>
      <c r="B55" s="1">
        <v>42714</v>
      </c>
      <c r="C55" s="1" t="s">
        <v>11</v>
      </c>
      <c r="D55" s="8">
        <v>6.95</v>
      </c>
      <c r="E55" s="8">
        <v>15.5</v>
      </c>
      <c r="F55" s="8">
        <v>2.62</v>
      </c>
      <c r="G55" s="8">
        <v>15.1</v>
      </c>
    </row>
    <row r="56" spans="1:7" x14ac:dyDescent="0.2">
      <c r="A56" t="s">
        <v>813</v>
      </c>
      <c r="B56" s="1">
        <v>42714</v>
      </c>
      <c r="C56" s="1" t="s">
        <v>11</v>
      </c>
      <c r="D56" s="8">
        <v>6.88</v>
      </c>
      <c r="E56" s="8">
        <v>14.5</v>
      </c>
      <c r="F56" s="8">
        <v>2.06</v>
      </c>
      <c r="G56" s="8">
        <v>13.6</v>
      </c>
    </row>
    <row r="57" spans="1:7" x14ac:dyDescent="0.2">
      <c r="A57" t="s">
        <v>812</v>
      </c>
      <c r="B57" s="1">
        <v>42714</v>
      </c>
      <c r="C57" s="1" t="s">
        <v>11</v>
      </c>
      <c r="D57" s="8">
        <v>7.25</v>
      </c>
      <c r="E57" s="8">
        <v>13.7</v>
      </c>
      <c r="F57" s="8">
        <v>1.6</v>
      </c>
      <c r="G57" s="8">
        <v>13.6</v>
      </c>
    </row>
    <row r="58" spans="1:7" x14ac:dyDescent="0.2">
      <c r="A58" t="s">
        <v>809</v>
      </c>
      <c r="B58" s="1">
        <v>42714</v>
      </c>
      <c r="C58" s="1" t="s">
        <v>11</v>
      </c>
      <c r="D58" s="8">
        <v>6.93</v>
      </c>
      <c r="E58" s="8">
        <v>14.3</v>
      </c>
      <c r="F58" s="8">
        <v>2.2400000000000002</v>
      </c>
      <c r="G58" s="8">
        <v>13.6</v>
      </c>
    </row>
    <row r="59" spans="1:7" x14ac:dyDescent="0.2">
      <c r="A59" t="s">
        <v>808</v>
      </c>
      <c r="B59" s="1">
        <v>42714</v>
      </c>
      <c r="C59" s="1" t="s">
        <v>11</v>
      </c>
      <c r="D59" s="8">
        <v>7.23</v>
      </c>
      <c r="E59" s="8">
        <v>13.3</v>
      </c>
      <c r="F59" s="8">
        <v>1.6</v>
      </c>
      <c r="G59" s="8">
        <v>13.4</v>
      </c>
    </row>
    <row r="60" spans="1:7" x14ac:dyDescent="0.2">
      <c r="A60" t="s">
        <v>807</v>
      </c>
      <c r="B60" s="1">
        <v>42714</v>
      </c>
      <c r="C60" s="1" t="s">
        <v>11</v>
      </c>
      <c r="D60" s="8">
        <v>7.02</v>
      </c>
      <c r="E60" s="8">
        <v>13.8</v>
      </c>
      <c r="F60" s="8">
        <v>2.36</v>
      </c>
      <c r="G60" s="8">
        <v>15.3</v>
      </c>
    </row>
    <row r="61" spans="1:7" x14ac:dyDescent="0.2">
      <c r="A61" t="s">
        <v>804</v>
      </c>
      <c r="B61" s="1">
        <v>42714</v>
      </c>
      <c r="C61" s="1" t="s">
        <v>11</v>
      </c>
      <c r="D61" s="8">
        <v>6.99</v>
      </c>
      <c r="E61" s="8">
        <v>12.2</v>
      </c>
      <c r="F61" s="8">
        <v>3.82</v>
      </c>
      <c r="G61" s="8">
        <v>12.6</v>
      </c>
    </row>
    <row r="62" spans="1:7" x14ac:dyDescent="0.2">
      <c r="A62" t="s">
        <v>803</v>
      </c>
      <c r="B62" s="1">
        <v>42714</v>
      </c>
      <c r="C62" s="1" t="s">
        <v>11</v>
      </c>
      <c r="D62" s="8">
        <v>6.88</v>
      </c>
      <c r="E62" s="8">
        <v>13.3</v>
      </c>
      <c r="F62" s="8">
        <v>1.92</v>
      </c>
      <c r="G62" s="8">
        <v>11.8</v>
      </c>
    </row>
    <row r="63" spans="1:7" x14ac:dyDescent="0.2">
      <c r="A63" t="s">
        <v>800</v>
      </c>
      <c r="B63" s="1">
        <v>42714</v>
      </c>
      <c r="C63" s="1" t="s">
        <v>11</v>
      </c>
      <c r="D63" s="8">
        <v>7.42</v>
      </c>
      <c r="E63" s="8">
        <v>12.5</v>
      </c>
      <c r="F63" s="8">
        <v>1.39</v>
      </c>
      <c r="G63" s="8">
        <v>13.3</v>
      </c>
    </row>
    <row r="64" spans="1:7" x14ac:dyDescent="0.2">
      <c r="A64" t="s">
        <v>799</v>
      </c>
      <c r="B64" s="1">
        <v>42714</v>
      </c>
      <c r="C64" s="1" t="s">
        <v>11</v>
      </c>
      <c r="D64" s="8">
        <v>7.12</v>
      </c>
      <c r="E64" s="8">
        <v>12.2</v>
      </c>
      <c r="F64" s="8">
        <v>1.35</v>
      </c>
      <c r="G64" s="8">
        <v>13.1</v>
      </c>
    </row>
    <row r="65" spans="1:7" x14ac:dyDescent="0.2">
      <c r="A65" t="s">
        <v>794</v>
      </c>
      <c r="B65" s="1">
        <v>42714</v>
      </c>
      <c r="C65" s="1" t="s">
        <v>11</v>
      </c>
      <c r="D65" s="8">
        <v>6.94</v>
      </c>
      <c r="E65" s="8">
        <v>13.8</v>
      </c>
      <c r="F65" s="8">
        <v>1.96</v>
      </c>
      <c r="G65" s="8">
        <v>13.4</v>
      </c>
    </row>
    <row r="66" spans="1:7" x14ac:dyDescent="0.2">
      <c r="A66" t="s">
        <v>791</v>
      </c>
      <c r="B66" s="1">
        <v>42714</v>
      </c>
      <c r="C66" s="1" t="s">
        <v>11</v>
      </c>
      <c r="D66" s="8">
        <v>7.14</v>
      </c>
      <c r="E66" s="8">
        <v>14.6</v>
      </c>
      <c r="F66" s="8">
        <v>1.63</v>
      </c>
      <c r="G66" s="8">
        <v>14.1</v>
      </c>
    </row>
    <row r="67" spans="1:7" x14ac:dyDescent="0.2">
      <c r="A67" t="s">
        <v>790</v>
      </c>
      <c r="B67" s="1">
        <v>42714</v>
      </c>
      <c r="C67" s="1" t="s">
        <v>11</v>
      </c>
      <c r="D67" s="8">
        <v>7.27</v>
      </c>
      <c r="E67" s="8">
        <v>17.399999999999999</v>
      </c>
      <c r="F67" s="8">
        <v>1.85</v>
      </c>
      <c r="G67" s="8">
        <v>16.8</v>
      </c>
    </row>
    <row r="68" spans="1:7" x14ac:dyDescent="0.2">
      <c r="A68" t="s">
        <v>786</v>
      </c>
      <c r="B68" s="1">
        <v>42714</v>
      </c>
      <c r="C68" s="1" t="s">
        <v>11</v>
      </c>
      <c r="D68" s="8">
        <v>6.82</v>
      </c>
      <c r="E68" s="8">
        <v>13.4</v>
      </c>
      <c r="F68" s="8">
        <v>1.69</v>
      </c>
      <c r="G68" s="8">
        <v>13.9</v>
      </c>
    </row>
    <row r="69" spans="1:7" x14ac:dyDescent="0.2">
      <c r="A69" t="s">
        <v>785</v>
      </c>
      <c r="B69" s="1">
        <v>42714</v>
      </c>
      <c r="C69" s="1" t="s">
        <v>11</v>
      </c>
      <c r="D69" s="8">
        <v>7.4</v>
      </c>
      <c r="E69" s="8">
        <v>11.5</v>
      </c>
      <c r="F69" s="8">
        <v>4.6900000000000004</v>
      </c>
      <c r="G69" s="8">
        <v>11.8</v>
      </c>
    </row>
    <row r="70" spans="1:7" x14ac:dyDescent="0.2">
      <c r="A70" t="s">
        <v>783</v>
      </c>
      <c r="B70" s="1">
        <v>42714</v>
      </c>
      <c r="C70" s="1" t="s">
        <v>11</v>
      </c>
      <c r="D70" s="8">
        <v>7.04</v>
      </c>
      <c r="E70" s="8">
        <v>14.7</v>
      </c>
      <c r="F70" s="8">
        <v>3.63</v>
      </c>
      <c r="G70" s="8">
        <v>13.9</v>
      </c>
    </row>
    <row r="71" spans="1:7" x14ac:dyDescent="0.2">
      <c r="A71" t="s">
        <v>782</v>
      </c>
      <c r="B71" s="1">
        <v>42714</v>
      </c>
      <c r="C71" s="1" t="s">
        <v>11</v>
      </c>
      <c r="D71" s="8">
        <v>6.89</v>
      </c>
      <c r="E71" s="8">
        <v>16</v>
      </c>
      <c r="F71" s="8">
        <v>1.56</v>
      </c>
      <c r="G71" s="8">
        <v>16.3</v>
      </c>
    </row>
    <row r="72" spans="1:7" x14ac:dyDescent="0.2">
      <c r="A72" t="s">
        <v>781</v>
      </c>
      <c r="B72" s="1">
        <v>42714</v>
      </c>
      <c r="C72" s="1" t="s">
        <v>11</v>
      </c>
      <c r="D72" s="8">
        <v>7.13</v>
      </c>
      <c r="E72" s="8">
        <v>13.5</v>
      </c>
      <c r="F72" s="8">
        <v>1.66</v>
      </c>
      <c r="G72" s="8">
        <v>13.6</v>
      </c>
    </row>
    <row r="73" spans="1:7" x14ac:dyDescent="0.2">
      <c r="A73" t="s">
        <v>777</v>
      </c>
      <c r="B73" s="1">
        <v>42714</v>
      </c>
      <c r="C73" s="1" t="s">
        <v>11</v>
      </c>
      <c r="D73" s="8">
        <v>6.76</v>
      </c>
      <c r="E73" s="8">
        <v>15.6</v>
      </c>
      <c r="F73" s="8">
        <v>1.39</v>
      </c>
      <c r="G73" s="8">
        <v>15.7</v>
      </c>
    </row>
    <row r="74" spans="1:7" x14ac:dyDescent="0.2">
      <c r="A74" t="s">
        <v>776</v>
      </c>
      <c r="B74" s="1">
        <v>42714</v>
      </c>
      <c r="C74" s="1" t="s">
        <v>11</v>
      </c>
      <c r="D74" s="8">
        <v>6.9</v>
      </c>
      <c r="E74" s="8">
        <v>12.2</v>
      </c>
      <c r="F74" s="8">
        <v>2.0499999999999998</v>
      </c>
      <c r="G74" s="8">
        <v>13.4</v>
      </c>
    </row>
    <row r="75" spans="1:7" x14ac:dyDescent="0.2">
      <c r="A75" t="s">
        <v>773</v>
      </c>
      <c r="B75" s="1">
        <v>42714</v>
      </c>
      <c r="C75" s="1" t="s">
        <v>11</v>
      </c>
      <c r="D75" s="8">
        <v>6.71</v>
      </c>
      <c r="E75" s="8">
        <v>13.4</v>
      </c>
      <c r="F75" s="8">
        <v>1.82</v>
      </c>
      <c r="G75" s="8">
        <v>12.3</v>
      </c>
    </row>
    <row r="76" spans="1:7" x14ac:dyDescent="0.2">
      <c r="A76" t="s">
        <v>772</v>
      </c>
      <c r="B76" s="1">
        <v>42714</v>
      </c>
      <c r="C76" s="1" t="s">
        <v>11</v>
      </c>
      <c r="D76" s="8">
        <v>7.27</v>
      </c>
      <c r="E76" s="8">
        <v>16.5</v>
      </c>
      <c r="F76" s="8">
        <v>1.39</v>
      </c>
      <c r="G76" s="8">
        <v>17.399999999999999</v>
      </c>
    </row>
    <row r="77" spans="1:7" x14ac:dyDescent="0.2">
      <c r="A77" t="s">
        <v>770</v>
      </c>
      <c r="B77" s="1">
        <v>42714</v>
      </c>
      <c r="C77" s="1" t="s">
        <v>11</v>
      </c>
      <c r="D77" s="8">
        <v>7.21</v>
      </c>
      <c r="E77" s="8">
        <v>18.2</v>
      </c>
      <c r="F77" s="8">
        <v>1.46</v>
      </c>
      <c r="G77" s="8">
        <v>18.7</v>
      </c>
    </row>
    <row r="78" spans="1:7" x14ac:dyDescent="0.2">
      <c r="A78" t="s">
        <v>769</v>
      </c>
      <c r="B78" s="1">
        <v>42714</v>
      </c>
      <c r="C78" s="1" t="s">
        <v>11</v>
      </c>
      <c r="D78" s="8">
        <v>7.17</v>
      </c>
      <c r="E78" s="8">
        <v>18.2</v>
      </c>
      <c r="F78" s="8">
        <v>1.62</v>
      </c>
      <c r="G78" s="8">
        <v>18.600000000000001</v>
      </c>
    </row>
    <row r="79" spans="1:7" x14ac:dyDescent="0.2">
      <c r="A79" t="s">
        <v>768</v>
      </c>
      <c r="B79" s="1">
        <v>42714</v>
      </c>
      <c r="C79" s="1" t="s">
        <v>11</v>
      </c>
      <c r="D79" s="8">
        <v>7.8</v>
      </c>
      <c r="E79" s="8">
        <v>13.3</v>
      </c>
      <c r="F79" s="8">
        <v>1.29</v>
      </c>
      <c r="G79" s="8">
        <v>13.5</v>
      </c>
    </row>
    <row r="80" spans="1:7" x14ac:dyDescent="0.2">
      <c r="A80" t="s">
        <v>767</v>
      </c>
      <c r="B80" s="1">
        <v>42714</v>
      </c>
      <c r="C80" s="1" t="s">
        <v>11</v>
      </c>
      <c r="D80" s="8">
        <v>6.69</v>
      </c>
      <c r="E80" s="8">
        <v>13.8</v>
      </c>
      <c r="F80" s="8">
        <v>3.2</v>
      </c>
      <c r="G80" s="8">
        <v>13.8</v>
      </c>
    </row>
    <row r="81" spans="1:7" x14ac:dyDescent="0.2">
      <c r="A81" t="s">
        <v>763</v>
      </c>
      <c r="B81" s="1">
        <v>42714</v>
      </c>
      <c r="C81" s="1" t="s">
        <v>11</v>
      </c>
      <c r="D81" s="8">
        <v>6.98</v>
      </c>
      <c r="E81" s="8">
        <v>14.4</v>
      </c>
      <c r="F81" s="8">
        <v>2.2599999999999998</v>
      </c>
      <c r="G81" s="8">
        <v>13.7</v>
      </c>
    </row>
    <row r="82" spans="1:7" x14ac:dyDescent="0.2">
      <c r="A82" t="s">
        <v>761</v>
      </c>
      <c r="B82" s="1">
        <v>42901</v>
      </c>
      <c r="C82" t="s">
        <v>65</v>
      </c>
      <c r="D82" s="8">
        <v>6.87</v>
      </c>
      <c r="E82" s="8">
        <v>37.4</v>
      </c>
      <c r="F82" s="8">
        <v>3</v>
      </c>
      <c r="G82" s="8">
        <v>36.4</v>
      </c>
    </row>
    <row r="83" spans="1:7" x14ac:dyDescent="0.2">
      <c r="A83" t="s">
        <v>760</v>
      </c>
      <c r="B83" s="1">
        <v>42901</v>
      </c>
      <c r="C83" t="s">
        <v>27</v>
      </c>
      <c r="D83" s="8">
        <v>8.5</v>
      </c>
      <c r="E83" s="8">
        <v>37.299999999999997</v>
      </c>
      <c r="F83" s="8">
        <v>1.782</v>
      </c>
      <c r="G83" s="8">
        <v>36.1</v>
      </c>
    </row>
    <row r="84" spans="1:7" x14ac:dyDescent="0.2">
      <c r="A84" t="s">
        <v>759</v>
      </c>
      <c r="B84" s="1">
        <v>42901</v>
      </c>
      <c r="C84" t="s">
        <v>27</v>
      </c>
      <c r="D84" s="8">
        <v>9.36</v>
      </c>
      <c r="E84" s="8">
        <v>39.4</v>
      </c>
      <c r="F84" s="8">
        <v>3.12</v>
      </c>
      <c r="G84" s="8">
        <v>38.4</v>
      </c>
    </row>
    <row r="85" spans="1:7" x14ac:dyDescent="0.2">
      <c r="A85" t="s">
        <v>758</v>
      </c>
      <c r="B85" s="1">
        <v>42901</v>
      </c>
      <c r="C85" t="s">
        <v>27</v>
      </c>
      <c r="D85" s="8">
        <v>8.31</v>
      </c>
      <c r="E85" s="8">
        <v>35.799999999999997</v>
      </c>
      <c r="F85" s="8">
        <v>1.788</v>
      </c>
      <c r="G85" s="8">
        <v>35.4</v>
      </c>
    </row>
    <row r="86" spans="1:7" x14ac:dyDescent="0.2">
      <c r="A86" t="s">
        <v>756</v>
      </c>
      <c r="B86" s="1">
        <v>42901</v>
      </c>
      <c r="C86" t="s">
        <v>27</v>
      </c>
      <c r="D86" s="8">
        <v>7.11</v>
      </c>
      <c r="E86" s="8">
        <v>37</v>
      </c>
      <c r="F86" s="8">
        <v>4.53</v>
      </c>
      <c r="G86" s="8">
        <v>36.200000000000003</v>
      </c>
    </row>
    <row r="87" spans="1:7" x14ac:dyDescent="0.2">
      <c r="A87" t="s">
        <v>752</v>
      </c>
      <c r="B87" s="1">
        <v>42901</v>
      </c>
      <c r="C87" t="s">
        <v>65</v>
      </c>
      <c r="D87" s="8">
        <v>6.92</v>
      </c>
      <c r="E87" s="8">
        <v>35.9</v>
      </c>
      <c r="F87" s="8">
        <v>2.84</v>
      </c>
      <c r="G87" s="8">
        <v>35.4</v>
      </c>
    </row>
    <row r="88" spans="1:7" x14ac:dyDescent="0.2">
      <c r="A88" t="s">
        <v>751</v>
      </c>
      <c r="B88" s="1">
        <v>42901</v>
      </c>
      <c r="C88" t="s">
        <v>27</v>
      </c>
      <c r="D88" s="8">
        <v>8.2899999999999991</v>
      </c>
      <c r="E88" s="8">
        <v>36.1</v>
      </c>
      <c r="F88" s="8">
        <v>2.77</v>
      </c>
      <c r="G88" s="8">
        <v>35.700000000000003</v>
      </c>
    </row>
    <row r="89" spans="1:7" x14ac:dyDescent="0.2">
      <c r="A89" t="s">
        <v>750</v>
      </c>
      <c r="B89" s="1">
        <v>42901</v>
      </c>
      <c r="C89" t="s">
        <v>27</v>
      </c>
      <c r="D89" s="8">
        <v>8.39</v>
      </c>
      <c r="E89" s="8">
        <v>37.6</v>
      </c>
      <c r="F89" s="8">
        <v>3.06</v>
      </c>
      <c r="G89" s="8">
        <v>37.1</v>
      </c>
    </row>
    <row r="90" spans="1:7" x14ac:dyDescent="0.2">
      <c r="A90" t="s">
        <v>749</v>
      </c>
      <c r="B90" s="1">
        <v>42901</v>
      </c>
      <c r="C90" t="s">
        <v>27</v>
      </c>
      <c r="D90" s="8">
        <v>9.17</v>
      </c>
      <c r="E90" s="8">
        <v>34.9</v>
      </c>
      <c r="F90" s="8">
        <v>1.87</v>
      </c>
      <c r="G90" s="8">
        <v>34.700000000000003</v>
      </c>
    </row>
    <row r="91" spans="1:7" x14ac:dyDescent="0.2">
      <c r="A91" t="s">
        <v>748</v>
      </c>
      <c r="B91" s="1">
        <v>42901</v>
      </c>
      <c r="C91" t="s">
        <v>27</v>
      </c>
      <c r="D91" s="8">
        <v>7.67</v>
      </c>
      <c r="E91" s="8">
        <v>35.200000000000003</v>
      </c>
      <c r="F91" s="8">
        <v>1.748</v>
      </c>
      <c r="G91" s="8">
        <v>34.799999999999997</v>
      </c>
    </row>
    <row r="92" spans="1:7" x14ac:dyDescent="0.2">
      <c r="A92" t="s">
        <v>746</v>
      </c>
      <c r="B92" s="1">
        <v>42901</v>
      </c>
      <c r="C92" t="s">
        <v>27</v>
      </c>
      <c r="D92" s="8">
        <v>6.96</v>
      </c>
      <c r="E92" s="8">
        <v>35.700000000000003</v>
      </c>
      <c r="F92" s="8">
        <v>4.1399999999999997</v>
      </c>
      <c r="G92" s="8">
        <v>34.4</v>
      </c>
    </row>
    <row r="93" spans="1:7" x14ac:dyDescent="0.2">
      <c r="A93" t="s">
        <v>745</v>
      </c>
      <c r="B93" s="1">
        <v>42901</v>
      </c>
      <c r="C93" t="s">
        <v>96</v>
      </c>
      <c r="D93" s="8">
        <v>8.4600000000000009</v>
      </c>
      <c r="E93" s="8">
        <v>36.799999999999997</v>
      </c>
      <c r="F93" s="8">
        <v>3.53</v>
      </c>
      <c r="G93" s="8">
        <v>36.4</v>
      </c>
    </row>
    <row r="94" spans="1:7" x14ac:dyDescent="0.2">
      <c r="A94" t="s">
        <v>741</v>
      </c>
      <c r="B94" s="1">
        <v>42901</v>
      </c>
      <c r="C94" t="s">
        <v>27</v>
      </c>
      <c r="D94" s="8">
        <v>8.07</v>
      </c>
      <c r="E94" s="8">
        <v>36.4</v>
      </c>
      <c r="F94" s="8">
        <v>2.98</v>
      </c>
      <c r="G94" s="8">
        <v>35</v>
      </c>
    </row>
    <row r="95" spans="1:7" x14ac:dyDescent="0.2">
      <c r="A95" t="s">
        <v>740</v>
      </c>
      <c r="B95" s="1">
        <v>42901</v>
      </c>
      <c r="C95" t="s">
        <v>27</v>
      </c>
      <c r="D95" s="8">
        <v>7.04</v>
      </c>
      <c r="E95" s="8">
        <v>38.200000000000003</v>
      </c>
      <c r="F95" s="8">
        <v>3.2</v>
      </c>
      <c r="G95" s="8">
        <v>37</v>
      </c>
    </row>
    <row r="96" spans="1:7" x14ac:dyDescent="0.2">
      <c r="A96" t="s">
        <v>739</v>
      </c>
      <c r="B96" s="1">
        <v>42901</v>
      </c>
      <c r="C96" t="s">
        <v>27</v>
      </c>
      <c r="D96" s="8">
        <v>7.16</v>
      </c>
      <c r="E96" s="8">
        <v>37.4</v>
      </c>
      <c r="F96" s="8">
        <v>3.35</v>
      </c>
      <c r="G96" s="8">
        <v>36.299999999999997</v>
      </c>
    </row>
    <row r="97" spans="1:7" x14ac:dyDescent="0.2">
      <c r="A97" t="s">
        <v>738</v>
      </c>
      <c r="B97" s="1">
        <v>42901</v>
      </c>
      <c r="C97" t="s">
        <v>27</v>
      </c>
      <c r="D97" s="8">
        <v>9.5399999999999991</v>
      </c>
      <c r="E97" s="8">
        <v>36.799999999999997</v>
      </c>
      <c r="F97" s="8">
        <v>2.69</v>
      </c>
      <c r="G97" s="8">
        <v>35.6</v>
      </c>
    </row>
    <row r="98" spans="1:7" x14ac:dyDescent="0.2">
      <c r="A98" t="s">
        <v>737</v>
      </c>
      <c r="B98" s="1">
        <v>42901</v>
      </c>
      <c r="C98" t="s">
        <v>27</v>
      </c>
      <c r="D98" s="8">
        <v>7.35</v>
      </c>
      <c r="E98" s="8">
        <v>36.4</v>
      </c>
      <c r="F98" s="8">
        <v>4.43</v>
      </c>
      <c r="G98" s="8">
        <v>36.1</v>
      </c>
    </row>
    <row r="99" spans="1:7" x14ac:dyDescent="0.2">
      <c r="A99" t="s">
        <v>736</v>
      </c>
      <c r="B99" s="1">
        <v>42901</v>
      </c>
      <c r="C99" t="s">
        <v>96</v>
      </c>
      <c r="D99" s="8">
        <v>6.67</v>
      </c>
      <c r="E99" s="8">
        <v>35.799999999999997</v>
      </c>
      <c r="F99" s="8">
        <v>4.4000000000000004</v>
      </c>
      <c r="G99" s="8">
        <v>34.700000000000003</v>
      </c>
    </row>
    <row r="100" spans="1:7" x14ac:dyDescent="0.2">
      <c r="A100" t="s">
        <v>734</v>
      </c>
      <c r="B100" s="1">
        <v>42901</v>
      </c>
      <c r="C100" t="s">
        <v>96</v>
      </c>
      <c r="D100" s="8">
        <v>7.14</v>
      </c>
      <c r="E100" s="8">
        <v>36.6</v>
      </c>
      <c r="F100" s="8">
        <v>4.0999999999999996</v>
      </c>
      <c r="G100" s="8">
        <v>35.9</v>
      </c>
    </row>
    <row r="101" spans="1:7" x14ac:dyDescent="0.2">
      <c r="A101" t="s">
        <v>732</v>
      </c>
      <c r="B101" s="1">
        <v>42901</v>
      </c>
      <c r="C101" t="s">
        <v>96</v>
      </c>
      <c r="D101" s="8">
        <v>8.67</v>
      </c>
      <c r="E101" s="8">
        <v>37.1</v>
      </c>
      <c r="F101" s="8">
        <v>1.77</v>
      </c>
      <c r="G101" s="8">
        <v>38.1</v>
      </c>
    </row>
    <row r="102" spans="1:7" x14ac:dyDescent="0.2">
      <c r="A102" t="s">
        <v>730</v>
      </c>
      <c r="B102" s="1">
        <v>42901</v>
      </c>
      <c r="C102" t="s">
        <v>27</v>
      </c>
      <c r="D102" s="8">
        <v>8.69</v>
      </c>
      <c r="E102" s="8">
        <v>32.700000000000003</v>
      </c>
      <c r="F102" s="8">
        <v>2.7</v>
      </c>
      <c r="G102" s="8">
        <v>36</v>
      </c>
    </row>
    <row r="103" spans="1:7" x14ac:dyDescent="0.2">
      <c r="A103" t="s">
        <v>729</v>
      </c>
      <c r="B103" s="1">
        <v>42901</v>
      </c>
      <c r="C103" t="s">
        <v>96</v>
      </c>
      <c r="D103" s="8">
        <v>9.43</v>
      </c>
      <c r="E103" s="8">
        <v>38.700000000000003</v>
      </c>
      <c r="F103" s="8">
        <v>3.58</v>
      </c>
      <c r="G103" s="8">
        <v>38</v>
      </c>
    </row>
    <row r="104" spans="1:7" x14ac:dyDescent="0.2">
      <c r="A104" t="s">
        <v>728</v>
      </c>
      <c r="B104" s="1">
        <v>42901</v>
      </c>
      <c r="C104" t="s">
        <v>96</v>
      </c>
      <c r="D104" s="8">
        <v>7.03</v>
      </c>
      <c r="E104" s="8">
        <v>37.700000000000003</v>
      </c>
      <c r="F104" s="8">
        <v>1.88</v>
      </c>
      <c r="G104" s="8">
        <v>37.799999999999997</v>
      </c>
    </row>
    <row r="105" spans="1:7" x14ac:dyDescent="0.2">
      <c r="A105" t="s">
        <v>727</v>
      </c>
      <c r="B105" s="1">
        <v>42901</v>
      </c>
      <c r="C105" t="s">
        <v>27</v>
      </c>
      <c r="D105" s="8">
        <v>6.95</v>
      </c>
      <c r="E105" s="8">
        <v>36.9</v>
      </c>
      <c r="F105" s="8">
        <v>3.91</v>
      </c>
      <c r="G105" s="8">
        <v>36.700000000000003</v>
      </c>
    </row>
    <row r="106" spans="1:7" x14ac:dyDescent="0.2">
      <c r="A106" t="s">
        <v>726</v>
      </c>
      <c r="B106" s="1">
        <v>42901</v>
      </c>
      <c r="C106" t="s">
        <v>10</v>
      </c>
      <c r="D106" s="8">
        <v>6.65</v>
      </c>
      <c r="E106" s="8">
        <v>34.700000000000003</v>
      </c>
      <c r="F106" s="8">
        <v>4.28</v>
      </c>
      <c r="G106" s="8">
        <v>34.299999999999997</v>
      </c>
    </row>
    <row r="107" spans="1:7" x14ac:dyDescent="0.2">
      <c r="A107" t="s">
        <v>725</v>
      </c>
      <c r="B107" s="1">
        <v>42901</v>
      </c>
      <c r="C107" t="s">
        <v>27</v>
      </c>
      <c r="D107" s="8">
        <v>7.16</v>
      </c>
      <c r="E107" s="8">
        <v>35.1</v>
      </c>
      <c r="F107" s="8">
        <v>3.92</v>
      </c>
      <c r="G107" s="8">
        <v>35.299999999999997</v>
      </c>
    </row>
    <row r="108" spans="1:7" x14ac:dyDescent="0.2">
      <c r="A108" t="s">
        <v>720</v>
      </c>
      <c r="B108" s="1">
        <v>42901</v>
      </c>
      <c r="C108" t="s">
        <v>96</v>
      </c>
      <c r="D108" s="8">
        <v>7.57</v>
      </c>
      <c r="E108" s="8">
        <v>39</v>
      </c>
      <c r="F108" s="8">
        <v>1.423</v>
      </c>
      <c r="G108" s="8">
        <v>38.6</v>
      </c>
    </row>
    <row r="109" spans="1:7" x14ac:dyDescent="0.2">
      <c r="A109" t="s">
        <v>719</v>
      </c>
      <c r="B109" s="1">
        <v>42901</v>
      </c>
      <c r="C109" t="s">
        <v>96</v>
      </c>
      <c r="D109" s="8">
        <v>7.22</v>
      </c>
      <c r="E109" s="8">
        <v>38.4</v>
      </c>
      <c r="F109" s="8">
        <v>1.88</v>
      </c>
      <c r="G109" s="8">
        <v>39.4</v>
      </c>
    </row>
    <row r="110" spans="1:7" x14ac:dyDescent="0.2">
      <c r="A110" t="s">
        <v>717</v>
      </c>
      <c r="B110" s="1">
        <v>42901</v>
      </c>
      <c r="C110" t="s">
        <v>27</v>
      </c>
      <c r="D110" s="8">
        <v>6.77</v>
      </c>
      <c r="E110" s="8">
        <v>36.299999999999997</v>
      </c>
      <c r="F110" s="8">
        <v>5.54</v>
      </c>
      <c r="G110" s="8">
        <v>36.200000000000003</v>
      </c>
    </row>
    <row r="111" spans="1:7" x14ac:dyDescent="0.2">
      <c r="A111" t="s">
        <v>715</v>
      </c>
      <c r="B111" s="1">
        <v>42901</v>
      </c>
      <c r="C111" t="s">
        <v>65</v>
      </c>
      <c r="D111" s="8">
        <v>7.31</v>
      </c>
      <c r="E111" s="8">
        <v>36.299999999999997</v>
      </c>
      <c r="F111" s="8">
        <v>5.08</v>
      </c>
      <c r="G111" s="8">
        <v>35.1</v>
      </c>
    </row>
    <row r="112" spans="1:7" x14ac:dyDescent="0.2">
      <c r="A112" t="s">
        <v>714</v>
      </c>
      <c r="B112" s="1">
        <v>42901</v>
      </c>
      <c r="C112" t="s">
        <v>27</v>
      </c>
      <c r="D112" s="8">
        <v>7</v>
      </c>
      <c r="E112" s="8">
        <v>36.6</v>
      </c>
      <c r="F112" s="8">
        <v>4.01</v>
      </c>
      <c r="G112" s="8">
        <v>36.200000000000003</v>
      </c>
    </row>
    <row r="113" spans="1:7" x14ac:dyDescent="0.2">
      <c r="A113" t="s">
        <v>713</v>
      </c>
      <c r="B113" s="1">
        <v>42901</v>
      </c>
      <c r="C113" t="s">
        <v>27</v>
      </c>
      <c r="D113" s="8">
        <v>7.63</v>
      </c>
      <c r="E113" s="8">
        <v>35.700000000000003</v>
      </c>
      <c r="F113" s="8">
        <v>4.54</v>
      </c>
      <c r="G113" s="8">
        <v>35.200000000000003</v>
      </c>
    </row>
    <row r="114" spans="1:7" x14ac:dyDescent="0.2">
      <c r="A114" t="s">
        <v>711</v>
      </c>
      <c r="B114" s="1">
        <v>42901</v>
      </c>
      <c r="C114" t="s">
        <v>27</v>
      </c>
      <c r="D114" s="8">
        <v>6.88</v>
      </c>
      <c r="E114" s="8">
        <v>36.5</v>
      </c>
      <c r="F114" s="8">
        <v>3.45</v>
      </c>
      <c r="G114" s="8">
        <v>35.700000000000003</v>
      </c>
    </row>
    <row r="115" spans="1:7" x14ac:dyDescent="0.2">
      <c r="A115" t="s">
        <v>710</v>
      </c>
      <c r="B115" s="1">
        <v>42901</v>
      </c>
      <c r="C115" t="s">
        <v>27</v>
      </c>
      <c r="D115" s="8">
        <v>6.54</v>
      </c>
      <c r="E115" s="8">
        <v>36</v>
      </c>
      <c r="F115" s="8">
        <v>1.9490000000000001</v>
      </c>
      <c r="G115" s="8">
        <v>33.700000000000003</v>
      </c>
    </row>
    <row r="116" spans="1:7" x14ac:dyDescent="0.2">
      <c r="A116" t="s">
        <v>705</v>
      </c>
      <c r="B116" s="1">
        <v>42901</v>
      </c>
      <c r="C116" t="s">
        <v>96</v>
      </c>
      <c r="D116" s="8">
        <v>6.4</v>
      </c>
      <c r="E116" s="8">
        <v>37.5</v>
      </c>
      <c r="F116" s="8">
        <v>3.64</v>
      </c>
      <c r="G116" s="8">
        <v>37.799999999999997</v>
      </c>
    </row>
    <row r="117" spans="1:7" x14ac:dyDescent="0.2">
      <c r="A117" t="s">
        <v>702</v>
      </c>
      <c r="B117" s="1">
        <v>42901</v>
      </c>
      <c r="C117" t="s">
        <v>27</v>
      </c>
      <c r="D117" s="8">
        <v>7.25</v>
      </c>
      <c r="E117" s="8">
        <v>37</v>
      </c>
      <c r="F117" s="8">
        <v>1.883</v>
      </c>
      <c r="G117" s="8">
        <v>36.6</v>
      </c>
    </row>
    <row r="118" spans="1:7" x14ac:dyDescent="0.2">
      <c r="A118" t="s">
        <v>701</v>
      </c>
      <c r="B118" s="1">
        <v>42901</v>
      </c>
      <c r="C118" t="s">
        <v>96</v>
      </c>
      <c r="D118" s="8">
        <v>8.5299999999999994</v>
      </c>
      <c r="E118" s="8">
        <v>37.4</v>
      </c>
      <c r="F118" s="8">
        <v>1.8120000000000001</v>
      </c>
      <c r="G118" s="8">
        <v>37.799999999999997</v>
      </c>
    </row>
    <row r="119" spans="1:7" x14ac:dyDescent="0.2">
      <c r="A119" t="s">
        <v>700</v>
      </c>
      <c r="B119" s="1">
        <v>42901</v>
      </c>
      <c r="C119" t="s">
        <v>27</v>
      </c>
      <c r="D119" s="8">
        <v>7.66</v>
      </c>
      <c r="E119" s="8">
        <v>34</v>
      </c>
      <c r="F119" s="8">
        <v>3.05</v>
      </c>
      <c r="G119" s="8">
        <v>34.1</v>
      </c>
    </row>
    <row r="120" spans="1:7" x14ac:dyDescent="0.2">
      <c r="A120" t="s">
        <v>698</v>
      </c>
      <c r="B120" s="1">
        <v>42901</v>
      </c>
      <c r="C120" t="s">
        <v>65</v>
      </c>
      <c r="D120" s="8">
        <v>7.97</v>
      </c>
      <c r="E120" s="8">
        <v>36.6</v>
      </c>
      <c r="F120" s="8">
        <v>1.9139999999999999</v>
      </c>
      <c r="G120" s="8">
        <v>35.799999999999997</v>
      </c>
    </row>
    <row r="121" spans="1:7" x14ac:dyDescent="0.2">
      <c r="A121" t="s">
        <v>695</v>
      </c>
      <c r="B121" s="1">
        <v>42901</v>
      </c>
      <c r="C121" t="s">
        <v>27</v>
      </c>
      <c r="D121" s="8">
        <v>6.97</v>
      </c>
      <c r="E121" s="8">
        <v>34.9</v>
      </c>
      <c r="F121" s="8">
        <v>4.7300000000000004</v>
      </c>
      <c r="G121" s="8">
        <v>34.299999999999997</v>
      </c>
    </row>
    <row r="122" spans="1:7" x14ac:dyDescent="0.2">
      <c r="A122" t="s">
        <v>692</v>
      </c>
      <c r="B122" s="1">
        <v>42901</v>
      </c>
      <c r="C122" t="s">
        <v>27</v>
      </c>
      <c r="D122" s="8">
        <v>6.48</v>
      </c>
      <c r="E122" s="8">
        <v>37.799999999999997</v>
      </c>
      <c r="F122" s="8">
        <v>3.18</v>
      </c>
      <c r="G122" s="8">
        <v>37.200000000000003</v>
      </c>
    </row>
    <row r="123" spans="1:7" x14ac:dyDescent="0.2">
      <c r="A123" t="s">
        <v>690</v>
      </c>
      <c r="B123" s="1">
        <v>42901</v>
      </c>
      <c r="C123" t="s">
        <v>27</v>
      </c>
      <c r="D123" s="8">
        <v>7.1</v>
      </c>
      <c r="E123" s="8">
        <v>37.5</v>
      </c>
      <c r="F123" s="8">
        <v>1.978</v>
      </c>
      <c r="G123" s="8">
        <v>37</v>
      </c>
    </row>
    <row r="124" spans="1:7" x14ac:dyDescent="0.2">
      <c r="A124" t="s">
        <v>689</v>
      </c>
      <c r="B124" s="1">
        <v>42901</v>
      </c>
      <c r="C124" t="s">
        <v>27</v>
      </c>
      <c r="D124" s="8">
        <v>6.86</v>
      </c>
      <c r="E124" s="8">
        <v>38</v>
      </c>
      <c r="F124" s="8">
        <v>2.82</v>
      </c>
      <c r="G124" s="8">
        <v>36.9</v>
      </c>
    </row>
    <row r="125" spans="1:7" x14ac:dyDescent="0.2">
      <c r="A125" t="s">
        <v>688</v>
      </c>
      <c r="B125" s="1">
        <v>42901</v>
      </c>
      <c r="C125" t="s">
        <v>96</v>
      </c>
      <c r="D125" s="8">
        <v>7.55</v>
      </c>
      <c r="E125" s="8">
        <v>37.700000000000003</v>
      </c>
      <c r="F125" s="8">
        <v>3.06</v>
      </c>
      <c r="G125" s="8">
        <v>37.700000000000003</v>
      </c>
    </row>
    <row r="126" spans="1:7" x14ac:dyDescent="0.2">
      <c r="A126" t="s">
        <v>687</v>
      </c>
      <c r="B126" s="1">
        <v>42901</v>
      </c>
      <c r="C126" t="s">
        <v>96</v>
      </c>
      <c r="D126" s="8">
        <v>7.11</v>
      </c>
      <c r="E126" s="8">
        <v>36.700000000000003</v>
      </c>
      <c r="F126" s="8">
        <v>4.7699999999999996</v>
      </c>
      <c r="G126" s="8">
        <v>36.6</v>
      </c>
    </row>
    <row r="127" spans="1:7" x14ac:dyDescent="0.2">
      <c r="A127" t="s">
        <v>686</v>
      </c>
      <c r="B127" s="1">
        <v>42901</v>
      </c>
      <c r="C127" t="s">
        <v>65</v>
      </c>
      <c r="D127" s="8">
        <v>6.69</v>
      </c>
      <c r="E127" s="8">
        <v>36.799999999999997</v>
      </c>
      <c r="F127" s="8">
        <v>5.89</v>
      </c>
      <c r="G127" s="8">
        <v>36.200000000000003</v>
      </c>
    </row>
    <row r="128" spans="1:7" x14ac:dyDescent="0.2">
      <c r="A128" t="s">
        <v>762</v>
      </c>
      <c r="B128" s="1">
        <v>42902</v>
      </c>
      <c r="C128" t="s">
        <v>27</v>
      </c>
      <c r="D128" s="8">
        <v>8.67</v>
      </c>
      <c r="E128" s="8">
        <v>34.200000000000003</v>
      </c>
      <c r="F128" s="8">
        <v>1.905</v>
      </c>
      <c r="G128" s="8">
        <v>35.200000000000003</v>
      </c>
    </row>
    <row r="129" spans="1:7" x14ac:dyDescent="0.2">
      <c r="A129" t="s">
        <v>757</v>
      </c>
      <c r="B129" s="1">
        <v>42902</v>
      </c>
      <c r="C129" t="s">
        <v>10</v>
      </c>
      <c r="D129" s="8">
        <v>6.78</v>
      </c>
      <c r="E129" s="8">
        <v>35.299999999999997</v>
      </c>
      <c r="F129" s="8">
        <v>5.22</v>
      </c>
      <c r="G129" s="8">
        <v>35.299999999999997</v>
      </c>
    </row>
    <row r="130" spans="1:7" x14ac:dyDescent="0.2">
      <c r="A130" t="s">
        <v>755</v>
      </c>
      <c r="B130" s="1">
        <v>42902</v>
      </c>
      <c r="C130" t="s">
        <v>10</v>
      </c>
      <c r="D130" s="8">
        <v>7.58</v>
      </c>
      <c r="E130" s="8">
        <v>33.6</v>
      </c>
      <c r="F130" s="8">
        <v>3.58</v>
      </c>
      <c r="G130" s="8">
        <v>33.5</v>
      </c>
    </row>
    <row r="131" spans="1:7" x14ac:dyDescent="0.2">
      <c r="A131" t="s">
        <v>754</v>
      </c>
      <c r="B131" s="1">
        <v>42902</v>
      </c>
      <c r="C131" t="s">
        <v>10</v>
      </c>
      <c r="D131" s="8">
        <v>7.63</v>
      </c>
      <c r="E131" s="8">
        <v>33.9</v>
      </c>
      <c r="F131" s="8">
        <v>1.8080000000000001</v>
      </c>
      <c r="G131" s="8">
        <v>33.700000000000003</v>
      </c>
    </row>
    <row r="132" spans="1:7" x14ac:dyDescent="0.2">
      <c r="A132" t="s">
        <v>753</v>
      </c>
      <c r="B132" s="1">
        <v>42902</v>
      </c>
      <c r="C132" t="s">
        <v>27</v>
      </c>
      <c r="D132" s="8">
        <v>6.99</v>
      </c>
      <c r="E132" s="8">
        <v>34.799999999999997</v>
      </c>
      <c r="F132" s="8">
        <v>3.98</v>
      </c>
      <c r="G132" s="8">
        <v>33.9</v>
      </c>
    </row>
    <row r="133" spans="1:7" x14ac:dyDescent="0.2">
      <c r="A133" t="s">
        <v>747</v>
      </c>
      <c r="B133" s="1">
        <v>42902</v>
      </c>
      <c r="C133" t="s">
        <v>10</v>
      </c>
      <c r="D133" s="8">
        <v>6.83</v>
      </c>
      <c r="E133" s="8">
        <v>35.5</v>
      </c>
      <c r="F133" s="8">
        <v>4.4400000000000004</v>
      </c>
      <c r="G133" s="8">
        <v>35.200000000000003</v>
      </c>
    </row>
    <row r="134" spans="1:7" x14ac:dyDescent="0.2">
      <c r="A134" t="s">
        <v>744</v>
      </c>
      <c r="B134" s="1">
        <v>42902</v>
      </c>
      <c r="C134" t="s">
        <v>10</v>
      </c>
      <c r="D134" s="8">
        <v>7.12</v>
      </c>
      <c r="E134" s="8">
        <v>34.5</v>
      </c>
      <c r="F134" s="8">
        <v>4.17</v>
      </c>
      <c r="G134" s="8">
        <v>34.4</v>
      </c>
    </row>
    <row r="135" spans="1:7" x14ac:dyDescent="0.2">
      <c r="A135" t="s">
        <v>743</v>
      </c>
      <c r="B135" s="1">
        <v>42902</v>
      </c>
      <c r="C135" t="s">
        <v>10</v>
      </c>
      <c r="D135" s="8">
        <v>6.93</v>
      </c>
      <c r="E135" s="8">
        <v>34.700000000000003</v>
      </c>
      <c r="F135" s="8">
        <v>3.83</v>
      </c>
      <c r="G135" s="8">
        <v>33.9</v>
      </c>
    </row>
    <row r="136" spans="1:7" x14ac:dyDescent="0.2">
      <c r="A136" t="s">
        <v>742</v>
      </c>
      <c r="B136" s="1">
        <v>42902</v>
      </c>
      <c r="C136" t="s">
        <v>27</v>
      </c>
      <c r="D136" s="8">
        <v>7.16</v>
      </c>
      <c r="E136" s="8">
        <v>34.200000000000003</v>
      </c>
      <c r="F136" s="8">
        <v>3.21</v>
      </c>
      <c r="G136" s="8">
        <v>34.4</v>
      </c>
    </row>
    <row r="137" spans="1:7" x14ac:dyDescent="0.2">
      <c r="A137" t="s">
        <v>735</v>
      </c>
      <c r="B137" s="1">
        <v>42902</v>
      </c>
      <c r="C137" t="s">
        <v>27</v>
      </c>
      <c r="D137" s="8">
        <v>6.74</v>
      </c>
      <c r="E137" s="8">
        <v>34.1</v>
      </c>
      <c r="F137" s="8">
        <v>4.08</v>
      </c>
      <c r="G137" s="8">
        <v>34.200000000000003</v>
      </c>
    </row>
    <row r="138" spans="1:7" x14ac:dyDescent="0.2">
      <c r="A138" t="s">
        <v>733</v>
      </c>
      <c r="B138" s="1">
        <v>42902</v>
      </c>
      <c r="C138" t="s">
        <v>10</v>
      </c>
      <c r="D138" s="8">
        <v>7.12</v>
      </c>
      <c r="E138" s="8">
        <v>33.1</v>
      </c>
      <c r="F138" s="8">
        <v>2.89</v>
      </c>
      <c r="G138" s="8">
        <v>32.9</v>
      </c>
    </row>
    <row r="139" spans="1:7" x14ac:dyDescent="0.2">
      <c r="A139" t="s">
        <v>731</v>
      </c>
      <c r="B139" s="1">
        <v>42902</v>
      </c>
      <c r="C139" t="s">
        <v>27</v>
      </c>
      <c r="D139" s="8">
        <v>8.9</v>
      </c>
      <c r="E139" s="8">
        <v>35</v>
      </c>
      <c r="F139" s="8">
        <v>1.6519999999999999</v>
      </c>
      <c r="G139" s="8">
        <v>35.9</v>
      </c>
    </row>
    <row r="140" spans="1:7" x14ac:dyDescent="0.2">
      <c r="A140" t="s">
        <v>724</v>
      </c>
      <c r="B140" s="1">
        <v>42902</v>
      </c>
      <c r="C140" t="s">
        <v>10</v>
      </c>
      <c r="D140" s="8">
        <v>7.21</v>
      </c>
      <c r="E140" s="8">
        <v>34.5</v>
      </c>
      <c r="F140" s="8">
        <v>1.8140000000000001</v>
      </c>
      <c r="G140" s="8">
        <v>34.5</v>
      </c>
    </row>
    <row r="141" spans="1:7" x14ac:dyDescent="0.2">
      <c r="A141" t="s">
        <v>723</v>
      </c>
      <c r="B141" s="1">
        <v>42902</v>
      </c>
      <c r="C141" t="s">
        <v>10</v>
      </c>
      <c r="D141" s="8">
        <v>6.88</v>
      </c>
      <c r="E141" s="8">
        <v>34.4</v>
      </c>
      <c r="F141" s="8">
        <v>4.92</v>
      </c>
      <c r="G141" s="8">
        <v>34.4</v>
      </c>
    </row>
    <row r="142" spans="1:7" x14ac:dyDescent="0.2">
      <c r="A142" t="s">
        <v>722</v>
      </c>
      <c r="B142" s="1">
        <v>42902</v>
      </c>
      <c r="C142" t="s">
        <v>27</v>
      </c>
      <c r="D142" s="8">
        <v>8.81</v>
      </c>
      <c r="E142" s="8">
        <v>36.200000000000003</v>
      </c>
      <c r="F142" s="8">
        <v>1.2230000000000001</v>
      </c>
      <c r="G142" s="8">
        <v>35.4</v>
      </c>
    </row>
    <row r="143" spans="1:7" x14ac:dyDescent="0.2">
      <c r="A143" t="s">
        <v>721</v>
      </c>
      <c r="B143" s="1">
        <v>42902</v>
      </c>
      <c r="C143" t="s">
        <v>27</v>
      </c>
      <c r="D143" s="8">
        <v>7.13</v>
      </c>
      <c r="E143" s="8">
        <v>34.299999999999997</v>
      </c>
      <c r="F143" s="8">
        <v>1.877</v>
      </c>
      <c r="G143" s="8">
        <v>33.799999999999997</v>
      </c>
    </row>
    <row r="144" spans="1:7" x14ac:dyDescent="0.2">
      <c r="A144" t="s">
        <v>718</v>
      </c>
      <c r="B144" s="1">
        <v>42902</v>
      </c>
      <c r="C144" t="s">
        <v>27</v>
      </c>
      <c r="D144" s="8">
        <v>7.44</v>
      </c>
      <c r="E144" s="8">
        <v>35.299999999999997</v>
      </c>
      <c r="F144" s="8">
        <v>3.26</v>
      </c>
      <c r="G144" s="8">
        <v>34.299999999999997</v>
      </c>
    </row>
    <row r="145" spans="1:7" x14ac:dyDescent="0.2">
      <c r="A145" t="s">
        <v>716</v>
      </c>
      <c r="B145" s="1">
        <v>42902</v>
      </c>
      <c r="C145" t="s">
        <v>27</v>
      </c>
      <c r="D145" s="8">
        <v>7.23</v>
      </c>
      <c r="E145" s="8">
        <v>35</v>
      </c>
      <c r="F145" s="8">
        <v>1.978</v>
      </c>
      <c r="G145" s="8">
        <v>34.6</v>
      </c>
    </row>
    <row r="146" spans="1:7" x14ac:dyDescent="0.2">
      <c r="A146" t="s">
        <v>712</v>
      </c>
      <c r="B146" s="1">
        <v>42902</v>
      </c>
      <c r="C146" t="s">
        <v>27</v>
      </c>
      <c r="D146" s="8">
        <v>7.46</v>
      </c>
      <c r="E146" s="8">
        <v>34.700000000000003</v>
      </c>
      <c r="F146" s="8">
        <v>3.19</v>
      </c>
      <c r="G146" s="8">
        <v>34.299999999999997</v>
      </c>
    </row>
    <row r="147" spans="1:7" x14ac:dyDescent="0.2">
      <c r="A147" t="s">
        <v>709</v>
      </c>
      <c r="B147" s="1">
        <v>42902</v>
      </c>
      <c r="C147" t="s">
        <v>27</v>
      </c>
      <c r="D147" s="8">
        <v>7.45</v>
      </c>
      <c r="E147" s="8">
        <v>35.200000000000003</v>
      </c>
      <c r="F147" s="8">
        <v>2.79</v>
      </c>
      <c r="G147" s="8">
        <v>34.700000000000003</v>
      </c>
    </row>
    <row r="148" spans="1:7" x14ac:dyDescent="0.2">
      <c r="A148" t="s">
        <v>708</v>
      </c>
      <c r="B148" s="1">
        <v>42902</v>
      </c>
      <c r="C148" t="s">
        <v>27</v>
      </c>
      <c r="D148" s="8">
        <v>6.94</v>
      </c>
      <c r="E148" s="8">
        <v>35.200000000000003</v>
      </c>
      <c r="F148" s="8">
        <v>1.716</v>
      </c>
      <c r="G148" s="8">
        <v>34.299999999999997</v>
      </c>
    </row>
    <row r="149" spans="1:7" x14ac:dyDescent="0.2">
      <c r="A149" t="s">
        <v>707</v>
      </c>
      <c r="B149" s="1">
        <v>42902</v>
      </c>
      <c r="C149" t="s">
        <v>27</v>
      </c>
      <c r="D149" s="8">
        <v>6.79</v>
      </c>
      <c r="E149" s="8">
        <v>35.299999999999997</v>
      </c>
      <c r="F149" s="8">
        <v>5.23</v>
      </c>
      <c r="G149" s="8">
        <v>35.200000000000003</v>
      </c>
    </row>
    <row r="150" spans="1:7" x14ac:dyDescent="0.2">
      <c r="A150" t="s">
        <v>706</v>
      </c>
      <c r="B150" s="1">
        <v>42902</v>
      </c>
      <c r="C150" t="s">
        <v>10</v>
      </c>
      <c r="D150" s="8">
        <v>6.89</v>
      </c>
      <c r="E150" s="8">
        <v>33.6</v>
      </c>
      <c r="F150" s="8">
        <v>4.05</v>
      </c>
      <c r="G150" s="8">
        <v>33.1</v>
      </c>
    </row>
    <row r="151" spans="1:7" x14ac:dyDescent="0.2">
      <c r="A151" t="s">
        <v>704</v>
      </c>
      <c r="B151" s="1">
        <v>42902</v>
      </c>
      <c r="C151" t="s">
        <v>10</v>
      </c>
      <c r="D151" s="8">
        <v>7.11</v>
      </c>
      <c r="E151" s="8">
        <v>34.9</v>
      </c>
      <c r="F151" s="8">
        <v>3.51</v>
      </c>
      <c r="G151" s="8">
        <v>34.1</v>
      </c>
    </row>
    <row r="152" spans="1:7" x14ac:dyDescent="0.2">
      <c r="A152" t="s">
        <v>703</v>
      </c>
      <c r="B152" s="1">
        <v>42902</v>
      </c>
      <c r="C152" t="s">
        <v>10</v>
      </c>
      <c r="D152" s="8">
        <v>7.18</v>
      </c>
      <c r="E152" s="8">
        <v>34</v>
      </c>
      <c r="F152" s="8">
        <v>1.5109999999999999</v>
      </c>
      <c r="G152" s="8">
        <v>33.700000000000003</v>
      </c>
    </row>
    <row r="153" spans="1:7" x14ac:dyDescent="0.2">
      <c r="A153" t="s">
        <v>699</v>
      </c>
      <c r="B153" s="1">
        <v>42902</v>
      </c>
      <c r="C153" t="s">
        <v>10</v>
      </c>
      <c r="D153" s="8">
        <v>8.24</v>
      </c>
      <c r="E153" s="8">
        <v>36.1</v>
      </c>
      <c r="F153" s="8">
        <v>1.28</v>
      </c>
      <c r="G153" s="8">
        <v>35.6</v>
      </c>
    </row>
    <row r="154" spans="1:7" x14ac:dyDescent="0.2">
      <c r="A154" t="s">
        <v>697</v>
      </c>
      <c r="B154" s="1">
        <v>42902</v>
      </c>
      <c r="C154" t="s">
        <v>10</v>
      </c>
      <c r="D154" s="8">
        <v>7.04</v>
      </c>
      <c r="E154" s="8">
        <v>33.9</v>
      </c>
      <c r="F154" s="8">
        <v>3.89</v>
      </c>
      <c r="G154" s="8">
        <v>33.5</v>
      </c>
    </row>
    <row r="155" spans="1:7" x14ac:dyDescent="0.2">
      <c r="A155" t="s">
        <v>696</v>
      </c>
      <c r="B155" s="1">
        <v>42902</v>
      </c>
      <c r="C155" t="s">
        <v>10</v>
      </c>
      <c r="D155" s="8">
        <v>7.37</v>
      </c>
      <c r="E155" s="8">
        <v>34.299999999999997</v>
      </c>
      <c r="F155" s="8">
        <v>4.13</v>
      </c>
      <c r="G155" s="8">
        <v>34.200000000000003</v>
      </c>
    </row>
    <row r="156" spans="1:7" x14ac:dyDescent="0.2">
      <c r="A156" t="s">
        <v>694</v>
      </c>
      <c r="B156" s="1">
        <v>42902</v>
      </c>
      <c r="C156" t="s">
        <v>27</v>
      </c>
      <c r="D156" s="8">
        <v>7.13</v>
      </c>
      <c r="E156" s="8">
        <v>33.299999999999997</v>
      </c>
      <c r="F156" s="8">
        <v>4.17</v>
      </c>
      <c r="G156" s="8">
        <v>33.200000000000003</v>
      </c>
    </row>
    <row r="157" spans="1:7" x14ac:dyDescent="0.2">
      <c r="A157" t="s">
        <v>693</v>
      </c>
      <c r="B157" s="1">
        <v>42902</v>
      </c>
      <c r="C157" t="s">
        <v>10</v>
      </c>
      <c r="D157" s="8">
        <v>6.87</v>
      </c>
      <c r="E157" s="8">
        <v>34.700000000000003</v>
      </c>
      <c r="F157" s="8">
        <v>4.3499999999999996</v>
      </c>
      <c r="G157" s="8">
        <v>33.700000000000003</v>
      </c>
    </row>
    <row r="158" spans="1:7" x14ac:dyDescent="0.2">
      <c r="A158" t="s">
        <v>691</v>
      </c>
      <c r="B158" s="1">
        <v>42902</v>
      </c>
      <c r="C158" t="s">
        <v>10</v>
      </c>
      <c r="D158" s="8">
        <v>7.46</v>
      </c>
      <c r="E158" s="8">
        <v>35.1</v>
      </c>
      <c r="F158" s="8">
        <v>1.7090000000000001</v>
      </c>
      <c r="G158" s="8">
        <v>35.5</v>
      </c>
    </row>
    <row r="159" spans="1:7" x14ac:dyDescent="0.2">
      <c r="A159" t="s">
        <v>685</v>
      </c>
      <c r="B159" s="1">
        <v>42902</v>
      </c>
      <c r="C159" t="s">
        <v>27</v>
      </c>
      <c r="D159" s="8">
        <v>7.15</v>
      </c>
      <c r="E159" s="8">
        <v>33.799999999999997</v>
      </c>
      <c r="F159" s="8">
        <v>1.5820000000000001</v>
      </c>
      <c r="G159" s="8">
        <v>33.6</v>
      </c>
    </row>
    <row r="160" spans="1:7" x14ac:dyDescent="0.2">
      <c r="A160" t="s">
        <v>684</v>
      </c>
      <c r="B160" s="1">
        <v>42902</v>
      </c>
      <c r="C160" t="s">
        <v>10</v>
      </c>
      <c r="D160" s="8">
        <v>6.9</v>
      </c>
      <c r="E160" s="8">
        <v>35.4</v>
      </c>
      <c r="F160" s="8">
        <v>4.9020000000000001</v>
      </c>
      <c r="G160" s="8">
        <v>34.700000000000003</v>
      </c>
    </row>
    <row r="161" spans="1:7" x14ac:dyDescent="0.2">
      <c r="A161" t="s">
        <v>683</v>
      </c>
      <c r="B161" s="1">
        <v>42902</v>
      </c>
      <c r="C161" t="s">
        <v>10</v>
      </c>
      <c r="D161" s="8">
        <v>6.98</v>
      </c>
      <c r="E161" s="8">
        <v>34.200000000000003</v>
      </c>
      <c r="F161" s="8">
        <v>5.07</v>
      </c>
      <c r="G161" s="8">
        <v>33.700000000000003</v>
      </c>
    </row>
    <row r="162" spans="1:7" x14ac:dyDescent="0.2">
      <c r="A162" t="s">
        <v>762</v>
      </c>
      <c r="B162" s="1">
        <v>42925</v>
      </c>
      <c r="C162" t="s">
        <v>10</v>
      </c>
      <c r="D162" s="8">
        <v>8.7200000000000006</v>
      </c>
      <c r="E162" s="8">
        <v>29.4</v>
      </c>
      <c r="F162" s="8">
        <v>1.097</v>
      </c>
      <c r="G162" s="8">
        <v>28.7</v>
      </c>
    </row>
    <row r="163" spans="1:7" x14ac:dyDescent="0.2">
      <c r="A163" t="s">
        <v>761</v>
      </c>
      <c r="B163" s="1">
        <v>42925</v>
      </c>
      <c r="C163" t="s">
        <v>10</v>
      </c>
      <c r="D163" s="8">
        <v>7.25</v>
      </c>
      <c r="E163" s="8">
        <v>30.7</v>
      </c>
      <c r="F163" s="8">
        <v>1</v>
      </c>
      <c r="G163" s="8">
        <v>30.2</v>
      </c>
    </row>
    <row r="164" spans="1:7" x14ac:dyDescent="0.2">
      <c r="A164" t="s">
        <v>760</v>
      </c>
      <c r="B164" s="1">
        <v>42925</v>
      </c>
      <c r="C164" t="s">
        <v>10</v>
      </c>
      <c r="D164" s="8">
        <v>8.7100000000000009</v>
      </c>
      <c r="E164" s="8">
        <v>29.7</v>
      </c>
      <c r="F164" s="8">
        <v>0.74</v>
      </c>
      <c r="G164" s="8">
        <v>29.5</v>
      </c>
    </row>
    <row r="165" spans="1:7" x14ac:dyDescent="0.2">
      <c r="A165" t="s">
        <v>759</v>
      </c>
      <c r="B165" s="1">
        <v>42925</v>
      </c>
      <c r="C165" t="s">
        <v>10</v>
      </c>
      <c r="D165" s="8">
        <v>9.1</v>
      </c>
      <c r="E165" s="8">
        <v>29.8</v>
      </c>
      <c r="F165" s="8">
        <v>1.22</v>
      </c>
      <c r="G165" s="8">
        <v>29.7</v>
      </c>
    </row>
    <row r="166" spans="1:7" x14ac:dyDescent="0.2">
      <c r="A166" t="s">
        <v>758</v>
      </c>
      <c r="B166" s="1">
        <v>42925</v>
      </c>
      <c r="C166" t="s">
        <v>10</v>
      </c>
      <c r="D166" s="8">
        <v>9.3699999999999992</v>
      </c>
      <c r="E166" s="8">
        <v>31.6</v>
      </c>
      <c r="F166" s="8">
        <v>0.88800000000000001</v>
      </c>
      <c r="G166" s="8">
        <v>31.3</v>
      </c>
    </row>
    <row r="167" spans="1:7" x14ac:dyDescent="0.2">
      <c r="A167" t="s">
        <v>757</v>
      </c>
      <c r="B167" s="1">
        <v>42925</v>
      </c>
      <c r="C167" t="s">
        <v>10</v>
      </c>
      <c r="D167" s="8">
        <v>7.03</v>
      </c>
      <c r="E167" s="8">
        <v>29.2</v>
      </c>
      <c r="F167" s="8">
        <v>4.17</v>
      </c>
      <c r="G167" s="8">
        <v>29</v>
      </c>
    </row>
    <row r="168" spans="1:7" x14ac:dyDescent="0.2">
      <c r="A168" t="s">
        <v>756</v>
      </c>
      <c r="B168" s="1">
        <v>42925</v>
      </c>
      <c r="C168" t="s">
        <v>10</v>
      </c>
      <c r="D168" s="8">
        <v>7.08</v>
      </c>
      <c r="E168" s="8">
        <v>29.8</v>
      </c>
      <c r="F168" s="8">
        <v>3.23</v>
      </c>
      <c r="G168" s="8">
        <v>29.9</v>
      </c>
    </row>
    <row r="169" spans="1:7" x14ac:dyDescent="0.2">
      <c r="A169" t="s">
        <v>755</v>
      </c>
      <c r="B169" s="1">
        <v>42925</v>
      </c>
      <c r="C169" t="s">
        <v>10</v>
      </c>
      <c r="D169" s="8">
        <v>6.94</v>
      </c>
      <c r="E169" s="8">
        <v>29.2</v>
      </c>
      <c r="F169" s="8">
        <v>3.51</v>
      </c>
      <c r="G169" s="8">
        <v>28.9</v>
      </c>
    </row>
    <row r="170" spans="1:7" x14ac:dyDescent="0.2">
      <c r="A170" t="s">
        <v>754</v>
      </c>
      <c r="B170" s="1">
        <v>42925</v>
      </c>
      <c r="C170" t="s">
        <v>10</v>
      </c>
      <c r="D170" s="8">
        <v>6.94</v>
      </c>
      <c r="E170" s="8">
        <v>29.5</v>
      </c>
      <c r="F170" s="8">
        <v>2.86</v>
      </c>
      <c r="G170" s="8">
        <v>28.7</v>
      </c>
    </row>
    <row r="171" spans="1:7" x14ac:dyDescent="0.2">
      <c r="A171" t="s">
        <v>753</v>
      </c>
      <c r="B171" s="1">
        <v>42925</v>
      </c>
      <c r="C171" t="s">
        <v>10</v>
      </c>
      <c r="D171" s="8">
        <v>6.97</v>
      </c>
      <c r="E171" s="8">
        <v>29.3</v>
      </c>
      <c r="F171" s="8">
        <v>3.19</v>
      </c>
      <c r="G171" s="8">
        <v>28.7</v>
      </c>
    </row>
    <row r="172" spans="1:7" x14ac:dyDescent="0.2">
      <c r="A172" t="s">
        <v>752</v>
      </c>
      <c r="B172" s="1">
        <v>42925</v>
      </c>
      <c r="C172" t="s">
        <v>10</v>
      </c>
      <c r="D172" s="8">
        <v>7.02</v>
      </c>
      <c r="E172" s="8">
        <v>30.4</v>
      </c>
      <c r="F172" s="8">
        <v>0.73499999999999999</v>
      </c>
      <c r="G172" s="8">
        <v>29.9</v>
      </c>
    </row>
    <row r="173" spans="1:7" x14ac:dyDescent="0.2">
      <c r="A173" t="s">
        <v>751</v>
      </c>
      <c r="B173" s="1">
        <v>42925</v>
      </c>
      <c r="C173" t="s">
        <v>10</v>
      </c>
      <c r="D173" s="8">
        <v>8.65</v>
      </c>
      <c r="E173" s="8">
        <v>29.5</v>
      </c>
      <c r="F173" s="8">
        <v>0.87</v>
      </c>
      <c r="G173" s="8">
        <v>29.3</v>
      </c>
    </row>
    <row r="174" spans="1:7" x14ac:dyDescent="0.2">
      <c r="A174" t="s">
        <v>750</v>
      </c>
      <c r="B174" s="1">
        <v>42925</v>
      </c>
      <c r="C174" t="s">
        <v>10</v>
      </c>
      <c r="D174" s="8">
        <v>8.4499999999999993</v>
      </c>
      <c r="E174" s="8">
        <v>29.8</v>
      </c>
      <c r="F174" s="8">
        <v>1</v>
      </c>
      <c r="G174" s="8">
        <v>29.6</v>
      </c>
    </row>
    <row r="175" spans="1:7" x14ac:dyDescent="0.2">
      <c r="A175" t="s">
        <v>749</v>
      </c>
      <c r="B175" s="1">
        <v>42925</v>
      </c>
      <c r="C175" t="s">
        <v>10</v>
      </c>
      <c r="D175" s="8">
        <v>7.67</v>
      </c>
      <c r="E175" s="8">
        <v>31.7</v>
      </c>
      <c r="F175" s="8">
        <v>0.94399999999999995</v>
      </c>
      <c r="G175" s="8">
        <v>31.2</v>
      </c>
    </row>
    <row r="176" spans="1:7" x14ac:dyDescent="0.2">
      <c r="A176" t="s">
        <v>748</v>
      </c>
      <c r="B176" s="1">
        <v>42925</v>
      </c>
      <c r="C176" t="s">
        <v>10</v>
      </c>
      <c r="D176" s="8">
        <v>7.42</v>
      </c>
      <c r="E176" s="8">
        <v>31.7</v>
      </c>
      <c r="F176" s="8">
        <v>0.97899999999999998</v>
      </c>
      <c r="G176" s="8">
        <v>31.3</v>
      </c>
    </row>
    <row r="177" spans="1:7" x14ac:dyDescent="0.2">
      <c r="A177" t="s">
        <v>747</v>
      </c>
      <c r="B177" s="1">
        <v>42925</v>
      </c>
      <c r="C177" t="s">
        <v>10</v>
      </c>
      <c r="D177" s="8">
        <v>7.08</v>
      </c>
      <c r="E177" s="8">
        <v>30.1</v>
      </c>
      <c r="F177" s="8">
        <v>3.72</v>
      </c>
      <c r="G177" s="8">
        <v>29.5</v>
      </c>
    </row>
    <row r="178" spans="1:7" x14ac:dyDescent="0.2">
      <c r="A178" t="s">
        <v>746</v>
      </c>
      <c r="B178" s="1">
        <v>42925</v>
      </c>
      <c r="C178" t="s">
        <v>10</v>
      </c>
      <c r="D178" s="8">
        <v>7.05</v>
      </c>
      <c r="E178" s="8">
        <v>29.2</v>
      </c>
      <c r="F178" s="8">
        <v>3.06</v>
      </c>
      <c r="G178" s="8">
        <v>29.2</v>
      </c>
    </row>
    <row r="179" spans="1:7" x14ac:dyDescent="0.2">
      <c r="A179" t="s">
        <v>745</v>
      </c>
      <c r="B179" s="1">
        <v>42925</v>
      </c>
      <c r="C179" t="s">
        <v>10</v>
      </c>
      <c r="D179" s="8">
        <v>7.67</v>
      </c>
      <c r="E179" s="8">
        <v>28.9</v>
      </c>
      <c r="F179" s="8">
        <v>1.93</v>
      </c>
      <c r="G179" s="8">
        <v>29.1</v>
      </c>
    </row>
    <row r="180" spans="1:7" x14ac:dyDescent="0.2">
      <c r="A180" t="s">
        <v>744</v>
      </c>
      <c r="B180" s="1">
        <v>42925</v>
      </c>
      <c r="C180" t="s">
        <v>10</v>
      </c>
      <c r="D180" s="8">
        <v>6.98</v>
      </c>
      <c r="E180" s="8">
        <v>29.5</v>
      </c>
      <c r="F180" s="8">
        <v>1.768</v>
      </c>
      <c r="G180" s="8">
        <v>29.4</v>
      </c>
    </row>
    <row r="181" spans="1:7" x14ac:dyDescent="0.2">
      <c r="A181" t="s">
        <v>743</v>
      </c>
      <c r="B181" s="1">
        <v>42925</v>
      </c>
      <c r="C181" t="s">
        <v>10</v>
      </c>
      <c r="D181" s="8">
        <v>6.69</v>
      </c>
      <c r="E181" s="8">
        <v>29.6</v>
      </c>
      <c r="F181" s="8">
        <v>2.82</v>
      </c>
      <c r="G181" s="8">
        <v>29.8</v>
      </c>
    </row>
    <row r="182" spans="1:7" x14ac:dyDescent="0.2">
      <c r="A182" t="s">
        <v>742</v>
      </c>
      <c r="B182" s="1">
        <v>42925</v>
      </c>
      <c r="C182" t="s">
        <v>10</v>
      </c>
      <c r="D182" s="8">
        <v>7.3</v>
      </c>
      <c r="E182" s="8">
        <v>29.6</v>
      </c>
      <c r="F182" s="8">
        <v>0.93300000000000005</v>
      </c>
      <c r="G182" s="8">
        <v>29.2</v>
      </c>
    </row>
    <row r="183" spans="1:7" x14ac:dyDescent="0.2">
      <c r="A183" t="s">
        <v>741</v>
      </c>
      <c r="B183" s="1">
        <v>42925</v>
      </c>
      <c r="C183" t="s">
        <v>10</v>
      </c>
      <c r="D183" s="8">
        <v>7.43</v>
      </c>
      <c r="E183" s="8">
        <v>29.8</v>
      </c>
      <c r="F183" s="8">
        <v>0.88</v>
      </c>
      <c r="G183" s="8">
        <v>28.9</v>
      </c>
    </row>
    <row r="184" spans="1:7" x14ac:dyDescent="0.2">
      <c r="A184" t="s">
        <v>740</v>
      </c>
      <c r="B184" s="1">
        <v>42925</v>
      </c>
      <c r="C184" t="s">
        <v>10</v>
      </c>
      <c r="D184" s="8">
        <v>7.06</v>
      </c>
      <c r="E184" s="8">
        <v>29.4</v>
      </c>
      <c r="F184" s="8">
        <v>1.01</v>
      </c>
      <c r="G184" s="8">
        <v>29.6</v>
      </c>
    </row>
    <row r="185" spans="1:7" x14ac:dyDescent="0.2">
      <c r="A185" t="s">
        <v>739</v>
      </c>
      <c r="B185" s="1">
        <v>42925</v>
      </c>
      <c r="C185" t="s">
        <v>10</v>
      </c>
      <c r="D185" s="8">
        <v>7.26</v>
      </c>
      <c r="E185" s="8">
        <v>29.5</v>
      </c>
      <c r="F185" s="8">
        <v>1.234</v>
      </c>
      <c r="G185" s="8">
        <v>29.4</v>
      </c>
    </row>
    <row r="186" spans="1:7" x14ac:dyDescent="0.2">
      <c r="A186" t="s">
        <v>738</v>
      </c>
      <c r="B186" s="1">
        <v>42925</v>
      </c>
      <c r="C186" t="s">
        <v>10</v>
      </c>
      <c r="D186" s="8">
        <v>9.15</v>
      </c>
      <c r="E186" s="8">
        <v>29.7</v>
      </c>
      <c r="F186" s="8">
        <v>0.92</v>
      </c>
      <c r="G186" s="8">
        <v>29.1</v>
      </c>
    </row>
    <row r="187" spans="1:7" x14ac:dyDescent="0.2">
      <c r="A187" t="s">
        <v>737</v>
      </c>
      <c r="B187" s="1">
        <v>42925</v>
      </c>
      <c r="C187" t="s">
        <v>10</v>
      </c>
      <c r="D187" s="8">
        <v>7.14</v>
      </c>
      <c r="E187" s="8">
        <v>29.8</v>
      </c>
      <c r="F187" s="8">
        <v>1.93</v>
      </c>
      <c r="G187" s="8">
        <v>29.4</v>
      </c>
    </row>
    <row r="188" spans="1:7" x14ac:dyDescent="0.2">
      <c r="A188" t="s">
        <v>736</v>
      </c>
      <c r="B188" s="1">
        <v>42925</v>
      </c>
      <c r="C188" t="s">
        <v>10</v>
      </c>
      <c r="D188" s="8">
        <v>7.09</v>
      </c>
      <c r="E188" s="8">
        <v>29.2</v>
      </c>
      <c r="F188" s="8">
        <v>3.34</v>
      </c>
      <c r="G188" s="8">
        <v>29</v>
      </c>
    </row>
    <row r="189" spans="1:7" x14ac:dyDescent="0.2">
      <c r="A189" t="s">
        <v>735</v>
      </c>
      <c r="B189" s="1">
        <v>42925</v>
      </c>
      <c r="C189" t="s">
        <v>10</v>
      </c>
      <c r="D189" s="8">
        <v>6.98</v>
      </c>
      <c r="E189" s="8">
        <v>28.9</v>
      </c>
      <c r="F189" s="8">
        <v>1.92</v>
      </c>
      <c r="G189" s="8">
        <v>29.1</v>
      </c>
    </row>
    <row r="190" spans="1:7" x14ac:dyDescent="0.2">
      <c r="A190" t="s">
        <v>734</v>
      </c>
      <c r="B190" s="1">
        <v>42925</v>
      </c>
      <c r="C190" t="s">
        <v>10</v>
      </c>
      <c r="D190" s="8">
        <v>7.83</v>
      </c>
      <c r="E190" s="8">
        <v>28.8</v>
      </c>
      <c r="F190" s="8">
        <v>1.4</v>
      </c>
      <c r="G190" s="8">
        <v>28.5</v>
      </c>
    </row>
    <row r="191" spans="1:7" x14ac:dyDescent="0.2">
      <c r="A191" t="s">
        <v>733</v>
      </c>
      <c r="B191" s="1">
        <v>42925</v>
      </c>
      <c r="C191" t="s">
        <v>10</v>
      </c>
      <c r="D191" s="8">
        <v>7.22</v>
      </c>
      <c r="E191" s="8">
        <v>29.1</v>
      </c>
      <c r="F191" s="8">
        <v>3.21</v>
      </c>
      <c r="G191" s="8">
        <v>28.8</v>
      </c>
    </row>
    <row r="192" spans="1:7" x14ac:dyDescent="0.2">
      <c r="A192" t="s">
        <v>732</v>
      </c>
      <c r="B192" s="1">
        <v>42925</v>
      </c>
      <c r="C192" t="s">
        <v>10</v>
      </c>
      <c r="D192" s="8">
        <v>8.4499999999999993</v>
      </c>
      <c r="E192" s="8">
        <v>29.5</v>
      </c>
      <c r="F192" s="8">
        <v>0.871</v>
      </c>
      <c r="G192" s="8">
        <v>29</v>
      </c>
    </row>
    <row r="193" spans="1:7" x14ac:dyDescent="0.2">
      <c r="A193" t="s">
        <v>731</v>
      </c>
      <c r="B193" s="1">
        <v>42925</v>
      </c>
      <c r="C193" t="s">
        <v>10</v>
      </c>
      <c r="D193" s="8">
        <v>8.4499999999999993</v>
      </c>
      <c r="E193" s="8">
        <v>29.3</v>
      </c>
      <c r="F193" s="8">
        <v>0.79400000000000004</v>
      </c>
      <c r="G193" s="8">
        <v>29.5</v>
      </c>
    </row>
    <row r="194" spans="1:7" x14ac:dyDescent="0.2">
      <c r="A194" t="s">
        <v>730</v>
      </c>
      <c r="B194" s="1">
        <v>42925</v>
      </c>
      <c r="C194" t="s">
        <v>10</v>
      </c>
      <c r="D194" s="8">
        <v>7.27</v>
      </c>
      <c r="E194" s="8">
        <v>29.3</v>
      </c>
      <c r="F194" s="8">
        <v>1.034</v>
      </c>
      <c r="G194" s="8">
        <v>29.3</v>
      </c>
    </row>
    <row r="195" spans="1:7" x14ac:dyDescent="0.2">
      <c r="A195" t="s">
        <v>729</v>
      </c>
      <c r="B195" s="1">
        <v>42925</v>
      </c>
      <c r="C195" t="s">
        <v>10</v>
      </c>
      <c r="D195" s="8">
        <v>8.98</v>
      </c>
      <c r="E195" s="8">
        <v>29.5</v>
      </c>
      <c r="F195" s="8">
        <v>1.1000000000000001</v>
      </c>
      <c r="G195" s="8">
        <v>28.8</v>
      </c>
    </row>
    <row r="196" spans="1:7" x14ac:dyDescent="0.2">
      <c r="A196" t="s">
        <v>728</v>
      </c>
      <c r="B196" s="1">
        <v>42925</v>
      </c>
      <c r="C196" t="s">
        <v>10</v>
      </c>
      <c r="D196" s="8">
        <v>7.26</v>
      </c>
      <c r="E196" s="8">
        <v>29.4</v>
      </c>
      <c r="F196" s="8">
        <v>0.997</v>
      </c>
      <c r="G196" s="8">
        <v>29.6</v>
      </c>
    </row>
    <row r="197" spans="1:7" x14ac:dyDescent="0.2">
      <c r="A197" t="s">
        <v>727</v>
      </c>
      <c r="B197" s="1">
        <v>42925</v>
      </c>
      <c r="C197" t="s">
        <v>10</v>
      </c>
      <c r="D197" s="8">
        <v>7.01</v>
      </c>
      <c r="E197" s="8">
        <v>29.5</v>
      </c>
      <c r="F197" s="8">
        <v>2.76</v>
      </c>
      <c r="G197" s="8">
        <v>29.7</v>
      </c>
    </row>
    <row r="198" spans="1:7" x14ac:dyDescent="0.2">
      <c r="A198" t="s">
        <v>726</v>
      </c>
      <c r="B198" s="1">
        <v>42925</v>
      </c>
      <c r="C198" t="s">
        <v>10</v>
      </c>
      <c r="D198" s="8">
        <v>6.34</v>
      </c>
      <c r="E198" s="8">
        <v>31.3</v>
      </c>
      <c r="F198" s="8">
        <v>1.4</v>
      </c>
      <c r="G198" s="8">
        <v>30.9</v>
      </c>
    </row>
    <row r="199" spans="1:7" x14ac:dyDescent="0.2">
      <c r="A199" t="s">
        <v>725</v>
      </c>
      <c r="B199" s="1">
        <v>42925</v>
      </c>
      <c r="C199" t="s">
        <v>10</v>
      </c>
      <c r="D199" s="8">
        <v>6.87</v>
      </c>
      <c r="E199" s="8">
        <v>31.1</v>
      </c>
      <c r="F199" s="8">
        <v>1.86</v>
      </c>
      <c r="G199" s="8">
        <v>30.9</v>
      </c>
    </row>
    <row r="200" spans="1:7" x14ac:dyDescent="0.2">
      <c r="A200" t="s">
        <v>724</v>
      </c>
      <c r="B200" s="1">
        <v>42925</v>
      </c>
      <c r="C200" t="s">
        <v>10</v>
      </c>
      <c r="D200" s="8">
        <v>7.54</v>
      </c>
      <c r="E200" s="8">
        <v>30.2</v>
      </c>
      <c r="F200" s="8">
        <v>1.6</v>
      </c>
      <c r="G200" s="8">
        <v>29.8</v>
      </c>
    </row>
    <row r="201" spans="1:7" x14ac:dyDescent="0.2">
      <c r="A201" t="s">
        <v>723</v>
      </c>
      <c r="B201" s="1">
        <v>42925</v>
      </c>
      <c r="C201" t="s">
        <v>10</v>
      </c>
      <c r="D201" s="8">
        <v>6.97</v>
      </c>
      <c r="E201" s="8">
        <v>29.7</v>
      </c>
      <c r="F201" s="8">
        <v>3.46</v>
      </c>
      <c r="G201" s="8">
        <v>29</v>
      </c>
    </row>
    <row r="202" spans="1:7" x14ac:dyDescent="0.2">
      <c r="A202" t="s">
        <v>722</v>
      </c>
      <c r="B202" s="1">
        <v>42925</v>
      </c>
      <c r="C202" t="s">
        <v>10</v>
      </c>
      <c r="D202" s="8">
        <v>8.33</v>
      </c>
      <c r="E202" s="8">
        <v>29.3</v>
      </c>
      <c r="F202" s="8">
        <v>1.234</v>
      </c>
      <c r="G202" s="8">
        <v>29.1</v>
      </c>
    </row>
    <row r="203" spans="1:7" x14ac:dyDescent="0.2">
      <c r="A203" t="s">
        <v>721</v>
      </c>
      <c r="B203" s="1">
        <v>42925</v>
      </c>
      <c r="C203" t="s">
        <v>10</v>
      </c>
      <c r="D203" s="8">
        <v>7.11</v>
      </c>
      <c r="E203" s="8">
        <v>29.7</v>
      </c>
      <c r="F203" s="8">
        <v>1.2589999999999999</v>
      </c>
      <c r="G203" s="8">
        <v>29.4</v>
      </c>
    </row>
    <row r="204" spans="1:7" x14ac:dyDescent="0.2">
      <c r="A204" t="s">
        <v>720</v>
      </c>
      <c r="B204" s="1">
        <v>42925</v>
      </c>
      <c r="C204" t="s">
        <v>10</v>
      </c>
      <c r="D204" s="8">
        <v>7.18</v>
      </c>
      <c r="E204" s="8">
        <v>29.4</v>
      </c>
      <c r="F204" s="8">
        <v>0.72199999999999998</v>
      </c>
      <c r="G204" s="8">
        <v>29.4</v>
      </c>
    </row>
    <row r="205" spans="1:7" x14ac:dyDescent="0.2">
      <c r="A205" t="s">
        <v>719</v>
      </c>
      <c r="B205" s="1">
        <v>42925</v>
      </c>
      <c r="C205" t="s">
        <v>10</v>
      </c>
      <c r="D205" s="8">
        <v>7.42</v>
      </c>
      <c r="E205" s="8">
        <v>29.2</v>
      </c>
      <c r="F205" s="8">
        <v>0.97699999999999998</v>
      </c>
      <c r="G205" s="8">
        <v>29.3</v>
      </c>
    </row>
    <row r="206" spans="1:7" x14ac:dyDescent="0.2">
      <c r="A206" t="s">
        <v>718</v>
      </c>
      <c r="B206" s="1">
        <v>42925</v>
      </c>
      <c r="C206" t="s">
        <v>10</v>
      </c>
      <c r="D206" s="8">
        <v>7.37</v>
      </c>
      <c r="E206" s="8">
        <v>29.1</v>
      </c>
      <c r="F206" s="8">
        <v>1.1100000000000001</v>
      </c>
      <c r="G206" s="8">
        <v>29.1</v>
      </c>
    </row>
    <row r="207" spans="1:7" x14ac:dyDescent="0.2">
      <c r="A207" t="s">
        <v>717</v>
      </c>
      <c r="B207" s="1">
        <v>42925</v>
      </c>
      <c r="C207" t="s">
        <v>10</v>
      </c>
      <c r="D207" s="8">
        <v>6.95</v>
      </c>
      <c r="E207" s="8">
        <v>28.9</v>
      </c>
      <c r="F207" s="8">
        <v>2.69</v>
      </c>
      <c r="G207" s="8">
        <v>28.9</v>
      </c>
    </row>
    <row r="208" spans="1:7" x14ac:dyDescent="0.2">
      <c r="A208" t="s">
        <v>716</v>
      </c>
      <c r="B208" s="1">
        <v>42925</v>
      </c>
      <c r="C208" t="s">
        <v>10</v>
      </c>
      <c r="D208" s="8">
        <v>7.12</v>
      </c>
      <c r="E208" s="8">
        <v>29.6</v>
      </c>
      <c r="F208" s="8">
        <v>3.31</v>
      </c>
      <c r="G208" s="8">
        <v>29.5</v>
      </c>
    </row>
    <row r="209" spans="1:7" x14ac:dyDescent="0.2">
      <c r="A209" t="s">
        <v>715</v>
      </c>
      <c r="B209" s="1">
        <v>42925</v>
      </c>
      <c r="C209" t="s">
        <v>10</v>
      </c>
      <c r="D209" s="8">
        <v>7.12</v>
      </c>
      <c r="E209" s="8">
        <v>30.3</v>
      </c>
      <c r="F209" s="8">
        <v>3.42</v>
      </c>
      <c r="G209" s="8">
        <v>29.7</v>
      </c>
    </row>
    <row r="210" spans="1:7" x14ac:dyDescent="0.2">
      <c r="A210" t="s">
        <v>714</v>
      </c>
      <c r="B210" s="1">
        <v>42925</v>
      </c>
      <c r="C210" t="s">
        <v>10</v>
      </c>
      <c r="D210" s="8">
        <v>7.09</v>
      </c>
      <c r="E210" s="8">
        <v>29.8</v>
      </c>
      <c r="F210" s="8">
        <v>3.11</v>
      </c>
      <c r="G210" s="8">
        <v>29.5</v>
      </c>
    </row>
    <row r="211" spans="1:7" x14ac:dyDescent="0.2">
      <c r="A211" t="s">
        <v>713</v>
      </c>
      <c r="B211" s="1">
        <v>42925</v>
      </c>
      <c r="C211" t="s">
        <v>10</v>
      </c>
      <c r="D211" s="8">
        <v>7.56</v>
      </c>
      <c r="E211" s="8">
        <v>31.7</v>
      </c>
      <c r="F211" s="8">
        <v>1.42</v>
      </c>
      <c r="G211" s="8">
        <v>31.6</v>
      </c>
    </row>
    <row r="212" spans="1:7" x14ac:dyDescent="0.2">
      <c r="A212" t="s">
        <v>712</v>
      </c>
      <c r="B212" s="1">
        <v>42925</v>
      </c>
      <c r="C212" t="s">
        <v>10</v>
      </c>
      <c r="D212" s="8">
        <v>7.18</v>
      </c>
      <c r="E212" s="8">
        <v>29.6</v>
      </c>
      <c r="F212" s="8">
        <v>1.2350000000000001</v>
      </c>
      <c r="G212" s="8">
        <v>29</v>
      </c>
    </row>
    <row r="213" spans="1:7" x14ac:dyDescent="0.2">
      <c r="A213" t="s">
        <v>711</v>
      </c>
      <c r="B213" s="1">
        <v>42925</v>
      </c>
      <c r="C213" t="s">
        <v>10</v>
      </c>
      <c r="D213" s="8">
        <v>7.12</v>
      </c>
      <c r="E213" s="8">
        <v>30</v>
      </c>
      <c r="F213" s="8">
        <v>1.1399999999999999</v>
      </c>
      <c r="G213" s="8">
        <v>29.5</v>
      </c>
    </row>
    <row r="214" spans="1:7" x14ac:dyDescent="0.2">
      <c r="A214" t="s">
        <v>710</v>
      </c>
      <c r="B214" s="1">
        <v>42925</v>
      </c>
      <c r="C214" t="s">
        <v>10</v>
      </c>
      <c r="D214" s="8">
        <v>7.3</v>
      </c>
      <c r="E214" s="8">
        <v>28.9</v>
      </c>
      <c r="F214" s="8">
        <v>0.64</v>
      </c>
      <c r="G214" s="8">
        <v>28.9</v>
      </c>
    </row>
    <row r="215" spans="1:7" x14ac:dyDescent="0.2">
      <c r="A215" t="s">
        <v>709</v>
      </c>
      <c r="B215" s="1">
        <v>42925</v>
      </c>
      <c r="C215" t="s">
        <v>10</v>
      </c>
      <c r="D215" s="8">
        <v>6.97</v>
      </c>
      <c r="E215" s="8">
        <v>29</v>
      </c>
      <c r="F215" s="8">
        <v>0.85599999999999998</v>
      </c>
      <c r="G215" s="8">
        <v>29</v>
      </c>
    </row>
    <row r="216" spans="1:7" x14ac:dyDescent="0.2">
      <c r="A216" t="s">
        <v>708</v>
      </c>
      <c r="B216" s="1">
        <v>42925</v>
      </c>
      <c r="C216" t="s">
        <v>10</v>
      </c>
      <c r="D216" s="8">
        <v>6.9</v>
      </c>
      <c r="E216" s="8">
        <v>29.2</v>
      </c>
      <c r="F216" s="8">
        <v>1.214</v>
      </c>
      <c r="G216" s="8">
        <v>29.3</v>
      </c>
    </row>
    <row r="217" spans="1:7" x14ac:dyDescent="0.2">
      <c r="A217" t="s">
        <v>707</v>
      </c>
      <c r="B217" s="1">
        <v>42925</v>
      </c>
      <c r="C217" t="s">
        <v>10</v>
      </c>
      <c r="D217" s="8">
        <v>7.04</v>
      </c>
      <c r="E217" s="8">
        <v>28.9</v>
      </c>
      <c r="F217" s="8">
        <v>1.746</v>
      </c>
      <c r="G217" s="8">
        <v>29.6</v>
      </c>
    </row>
    <row r="218" spans="1:7" x14ac:dyDescent="0.2">
      <c r="A218" t="s">
        <v>706</v>
      </c>
      <c r="B218" s="1">
        <v>42925</v>
      </c>
      <c r="C218" t="s">
        <v>10</v>
      </c>
      <c r="D218" s="8">
        <v>7.15</v>
      </c>
      <c r="E218" s="8">
        <v>29.1</v>
      </c>
      <c r="F218" s="8">
        <v>3.47</v>
      </c>
      <c r="G218" s="8">
        <v>28.9</v>
      </c>
    </row>
    <row r="219" spans="1:7" x14ac:dyDescent="0.2">
      <c r="A219" t="s">
        <v>705</v>
      </c>
      <c r="B219" s="1">
        <v>42925</v>
      </c>
      <c r="C219" t="s">
        <v>10</v>
      </c>
      <c r="D219" s="8">
        <v>6.82</v>
      </c>
      <c r="E219" s="8">
        <v>29</v>
      </c>
      <c r="F219" s="8">
        <v>1.65</v>
      </c>
      <c r="G219" s="8">
        <v>29.2</v>
      </c>
    </row>
    <row r="220" spans="1:7" x14ac:dyDescent="0.2">
      <c r="A220" t="s">
        <v>704</v>
      </c>
      <c r="B220" s="1">
        <v>42925</v>
      </c>
      <c r="C220" t="s">
        <v>10</v>
      </c>
      <c r="D220" s="8">
        <v>7.23</v>
      </c>
      <c r="E220" s="8">
        <v>29.3</v>
      </c>
      <c r="F220" s="8">
        <v>1.82</v>
      </c>
      <c r="G220" s="8">
        <v>28.8</v>
      </c>
    </row>
    <row r="221" spans="1:7" x14ac:dyDescent="0.2">
      <c r="A221" t="s">
        <v>703</v>
      </c>
      <c r="B221" s="1">
        <v>42925</v>
      </c>
      <c r="C221" t="s">
        <v>10</v>
      </c>
      <c r="D221" s="8">
        <v>7.28</v>
      </c>
      <c r="E221" s="8">
        <v>28.9</v>
      </c>
      <c r="F221" s="8">
        <v>1.92</v>
      </c>
      <c r="G221" s="8">
        <v>27.9</v>
      </c>
    </row>
    <row r="222" spans="1:7" x14ac:dyDescent="0.2">
      <c r="A222" t="s">
        <v>702</v>
      </c>
      <c r="B222" s="1">
        <v>42925</v>
      </c>
      <c r="C222" t="s">
        <v>10</v>
      </c>
      <c r="D222" s="8">
        <v>7.46</v>
      </c>
      <c r="E222" s="8">
        <v>29.4</v>
      </c>
      <c r="F222" s="8">
        <v>0.87</v>
      </c>
      <c r="G222" s="8">
        <v>29.1</v>
      </c>
    </row>
    <row r="223" spans="1:7" x14ac:dyDescent="0.2">
      <c r="A223" t="s">
        <v>701</v>
      </c>
      <c r="B223" s="1">
        <v>42925</v>
      </c>
      <c r="C223" t="s">
        <v>10</v>
      </c>
      <c r="D223" s="8">
        <v>8.34</v>
      </c>
      <c r="E223" s="8">
        <v>29.3</v>
      </c>
      <c r="F223" s="8">
        <v>0.80900000000000005</v>
      </c>
      <c r="G223" s="8">
        <v>29.2</v>
      </c>
    </row>
    <row r="224" spans="1:7" x14ac:dyDescent="0.2">
      <c r="A224" t="s">
        <v>700</v>
      </c>
      <c r="B224" s="1">
        <v>42925</v>
      </c>
      <c r="C224" t="s">
        <v>10</v>
      </c>
      <c r="D224" s="8">
        <v>7.32</v>
      </c>
      <c r="E224" s="8">
        <v>31.3</v>
      </c>
      <c r="F224" s="8">
        <v>0.91300000000000003</v>
      </c>
      <c r="G224" s="8">
        <v>31</v>
      </c>
    </row>
    <row r="225" spans="1:7" x14ac:dyDescent="0.2">
      <c r="A225" t="s">
        <v>699</v>
      </c>
      <c r="B225" s="1">
        <v>42925</v>
      </c>
      <c r="C225" t="s">
        <v>10</v>
      </c>
      <c r="D225" s="8">
        <v>7.57</v>
      </c>
      <c r="E225" s="8">
        <v>29.5</v>
      </c>
      <c r="F225" s="8">
        <v>0.94899999999999995</v>
      </c>
      <c r="G225" s="8">
        <v>29.4</v>
      </c>
    </row>
    <row r="226" spans="1:7" x14ac:dyDescent="0.2">
      <c r="A226" t="s">
        <v>698</v>
      </c>
      <c r="B226" s="1">
        <v>42925</v>
      </c>
      <c r="C226" t="s">
        <v>10</v>
      </c>
      <c r="D226" s="8">
        <v>7.55</v>
      </c>
      <c r="E226" s="8">
        <v>29.2</v>
      </c>
      <c r="F226" s="8">
        <v>0.96899999999999997</v>
      </c>
      <c r="G226" s="8">
        <v>29.4</v>
      </c>
    </row>
    <row r="227" spans="1:7" x14ac:dyDescent="0.2">
      <c r="A227" t="s">
        <v>697</v>
      </c>
      <c r="B227" s="1">
        <v>42925</v>
      </c>
      <c r="C227" t="s">
        <v>10</v>
      </c>
      <c r="D227" s="8">
        <v>6.84</v>
      </c>
      <c r="E227" s="8">
        <v>29.5</v>
      </c>
      <c r="F227" s="8">
        <v>1.21</v>
      </c>
      <c r="G227" s="8">
        <v>29.5</v>
      </c>
    </row>
    <row r="228" spans="1:7" x14ac:dyDescent="0.2">
      <c r="A228" t="s">
        <v>696</v>
      </c>
      <c r="B228" s="1">
        <v>42925</v>
      </c>
      <c r="C228" t="s">
        <v>10</v>
      </c>
      <c r="D228" s="8">
        <v>7.11</v>
      </c>
      <c r="E228" s="8">
        <v>29.1</v>
      </c>
      <c r="F228" s="8">
        <v>2.71</v>
      </c>
      <c r="G228" s="8">
        <v>29.4</v>
      </c>
    </row>
    <row r="229" spans="1:7" x14ac:dyDescent="0.2">
      <c r="A229" t="s">
        <v>695</v>
      </c>
      <c r="B229" s="1">
        <v>42925</v>
      </c>
      <c r="C229" t="s">
        <v>10</v>
      </c>
      <c r="D229" s="8">
        <v>6.74</v>
      </c>
      <c r="E229" s="8">
        <v>31.4</v>
      </c>
      <c r="F229" s="8">
        <v>2.75</v>
      </c>
      <c r="G229" s="8">
        <v>30.9</v>
      </c>
    </row>
    <row r="230" spans="1:7" x14ac:dyDescent="0.2">
      <c r="A230" t="s">
        <v>694</v>
      </c>
      <c r="B230" s="1">
        <v>42925</v>
      </c>
      <c r="C230" t="s">
        <v>10</v>
      </c>
      <c r="D230" s="8">
        <v>7.19</v>
      </c>
      <c r="E230" s="8">
        <v>28.9</v>
      </c>
      <c r="F230" s="8">
        <v>3.12</v>
      </c>
      <c r="G230" s="8">
        <v>28.9</v>
      </c>
    </row>
    <row r="231" spans="1:7" x14ac:dyDescent="0.2">
      <c r="A231" t="s">
        <v>693</v>
      </c>
      <c r="B231" s="1">
        <v>42925</v>
      </c>
      <c r="C231" t="s">
        <v>10</v>
      </c>
      <c r="D231" s="8">
        <v>7.01</v>
      </c>
      <c r="E231" s="8">
        <v>29.2</v>
      </c>
      <c r="F231" s="8">
        <v>2.99</v>
      </c>
      <c r="G231" s="8">
        <v>28.9</v>
      </c>
    </row>
    <row r="232" spans="1:7" x14ac:dyDescent="0.2">
      <c r="A232" t="s">
        <v>692</v>
      </c>
      <c r="B232" s="1">
        <v>42925</v>
      </c>
      <c r="C232" t="s">
        <v>10</v>
      </c>
      <c r="D232" s="8">
        <v>6.91</v>
      </c>
      <c r="E232" s="8">
        <v>29.5</v>
      </c>
      <c r="F232" s="8">
        <v>1</v>
      </c>
      <c r="G232" s="8">
        <v>29.8</v>
      </c>
    </row>
    <row r="233" spans="1:7" x14ac:dyDescent="0.2">
      <c r="A233" t="s">
        <v>691</v>
      </c>
      <c r="B233" s="1">
        <v>42925</v>
      </c>
      <c r="C233" t="s">
        <v>10</v>
      </c>
      <c r="D233" s="8">
        <v>7.03</v>
      </c>
      <c r="E233" s="8">
        <v>29.5</v>
      </c>
      <c r="F233" s="8">
        <v>1.2749999999999999</v>
      </c>
      <c r="G233" s="8">
        <v>29.3</v>
      </c>
    </row>
    <row r="234" spans="1:7" x14ac:dyDescent="0.2">
      <c r="A234" t="s">
        <v>690</v>
      </c>
      <c r="B234" s="1">
        <v>42925</v>
      </c>
      <c r="C234" t="s">
        <v>10</v>
      </c>
      <c r="D234" s="8">
        <v>7.08</v>
      </c>
      <c r="E234" s="8">
        <v>29.5</v>
      </c>
      <c r="F234" s="8">
        <v>1.06</v>
      </c>
      <c r="G234" s="8">
        <v>29.4</v>
      </c>
    </row>
    <row r="235" spans="1:7" x14ac:dyDescent="0.2">
      <c r="A235" t="s">
        <v>689</v>
      </c>
      <c r="B235" s="1">
        <v>42925</v>
      </c>
      <c r="C235" t="s">
        <v>10</v>
      </c>
      <c r="D235" s="8">
        <v>7.07</v>
      </c>
      <c r="E235" s="8">
        <v>29.7</v>
      </c>
      <c r="F235" s="8">
        <v>1.08</v>
      </c>
      <c r="G235" s="8">
        <v>29.1</v>
      </c>
    </row>
    <row r="236" spans="1:7" x14ac:dyDescent="0.2">
      <c r="A236" t="s">
        <v>688</v>
      </c>
      <c r="B236" s="1">
        <v>42925</v>
      </c>
      <c r="C236" t="s">
        <v>10</v>
      </c>
      <c r="D236" s="8">
        <v>7.07</v>
      </c>
      <c r="E236" s="8">
        <v>29.8</v>
      </c>
      <c r="F236" s="8">
        <v>0.877</v>
      </c>
      <c r="G236" s="8">
        <v>29.7</v>
      </c>
    </row>
    <row r="237" spans="1:7" x14ac:dyDescent="0.2">
      <c r="A237" t="s">
        <v>687</v>
      </c>
      <c r="B237" s="1">
        <v>42925</v>
      </c>
      <c r="C237" t="s">
        <v>10</v>
      </c>
      <c r="D237" s="8">
        <v>7.4</v>
      </c>
      <c r="E237" s="8">
        <v>29.3</v>
      </c>
      <c r="F237" s="8">
        <v>2.79</v>
      </c>
      <c r="G237" s="8">
        <v>29.3</v>
      </c>
    </row>
    <row r="238" spans="1:7" x14ac:dyDescent="0.2">
      <c r="A238" t="s">
        <v>686</v>
      </c>
      <c r="B238" s="1">
        <v>42925</v>
      </c>
      <c r="C238" t="s">
        <v>10</v>
      </c>
      <c r="D238" s="8">
        <v>7.18</v>
      </c>
      <c r="E238" s="8">
        <v>29.2</v>
      </c>
      <c r="F238" s="8">
        <v>3.26</v>
      </c>
      <c r="G238" s="8">
        <v>28.6</v>
      </c>
    </row>
    <row r="239" spans="1:7" x14ac:dyDescent="0.2">
      <c r="A239" t="s">
        <v>685</v>
      </c>
      <c r="B239" s="1">
        <v>42925</v>
      </c>
      <c r="C239" t="s">
        <v>10</v>
      </c>
      <c r="D239" s="8">
        <v>7.16</v>
      </c>
      <c r="E239" s="8">
        <v>28.9</v>
      </c>
      <c r="F239" s="8">
        <v>2.96</v>
      </c>
      <c r="G239" s="8">
        <v>29</v>
      </c>
    </row>
    <row r="240" spans="1:7" x14ac:dyDescent="0.2">
      <c r="A240" t="s">
        <v>684</v>
      </c>
      <c r="B240" s="1">
        <v>42925</v>
      </c>
      <c r="C240" t="s">
        <v>10</v>
      </c>
      <c r="D240" s="8">
        <v>7.06</v>
      </c>
      <c r="E240" s="8">
        <v>28.9</v>
      </c>
      <c r="F240" s="8">
        <v>3.59</v>
      </c>
      <c r="G240" s="8">
        <v>29</v>
      </c>
    </row>
    <row r="241" spans="1:7" x14ac:dyDescent="0.2">
      <c r="A241" t="s">
        <v>683</v>
      </c>
      <c r="B241" s="1">
        <v>42925</v>
      </c>
      <c r="C241" t="s">
        <v>10</v>
      </c>
      <c r="D241" s="8">
        <v>7.11</v>
      </c>
      <c r="E241" s="8">
        <v>28.9</v>
      </c>
      <c r="F241" s="8">
        <v>3.32</v>
      </c>
      <c r="G241" s="8">
        <v>28.8</v>
      </c>
    </row>
    <row r="242" spans="1:7" x14ac:dyDescent="0.2">
      <c r="A242" t="s">
        <v>11</v>
      </c>
      <c r="B242" s="1">
        <v>42980</v>
      </c>
      <c r="C242" t="s">
        <v>10</v>
      </c>
      <c r="D242" s="8">
        <v>8.82</v>
      </c>
      <c r="E242" s="8">
        <v>33.299999999999997</v>
      </c>
      <c r="F242" s="8">
        <v>0.86</v>
      </c>
      <c r="G242" s="8">
        <v>33.299999999999997</v>
      </c>
    </row>
    <row r="243" spans="1:7" x14ac:dyDescent="0.2">
      <c r="A243" t="s">
        <v>11</v>
      </c>
      <c r="B243" s="1">
        <v>42980</v>
      </c>
      <c r="C243" t="s">
        <v>10</v>
      </c>
      <c r="D243" s="8">
        <v>7.31</v>
      </c>
      <c r="E243" s="8">
        <v>31</v>
      </c>
      <c r="F243" s="8">
        <v>0.69099999999999995</v>
      </c>
      <c r="G243" s="8">
        <v>31.1</v>
      </c>
    </row>
    <row r="244" spans="1:7" x14ac:dyDescent="0.2">
      <c r="A244" t="s">
        <v>11</v>
      </c>
      <c r="B244" s="1">
        <v>42980</v>
      </c>
      <c r="C244" t="s">
        <v>10</v>
      </c>
      <c r="D244" s="8">
        <v>8.57</v>
      </c>
      <c r="E244" s="8">
        <v>31.5</v>
      </c>
      <c r="F244" s="8">
        <v>0.64</v>
      </c>
      <c r="G244" s="8">
        <v>31.4</v>
      </c>
    </row>
    <row r="245" spans="1:7" x14ac:dyDescent="0.2">
      <c r="A245" t="s">
        <v>11</v>
      </c>
      <c r="B245" s="1">
        <v>42980</v>
      </c>
      <c r="C245" t="s">
        <v>10</v>
      </c>
      <c r="D245" s="8">
        <v>8.92</v>
      </c>
      <c r="E245" s="8">
        <v>32.9</v>
      </c>
      <c r="F245" s="8">
        <v>0.98</v>
      </c>
      <c r="G245" s="8">
        <v>32.9</v>
      </c>
    </row>
    <row r="246" spans="1:7" x14ac:dyDescent="0.2">
      <c r="A246" t="s">
        <v>11</v>
      </c>
      <c r="B246" s="1">
        <v>42980</v>
      </c>
      <c r="C246" t="s">
        <v>10</v>
      </c>
      <c r="D246" s="8">
        <v>7.89</v>
      </c>
      <c r="E246" s="8">
        <v>32.6</v>
      </c>
      <c r="F246" s="8">
        <v>0.67100000000000004</v>
      </c>
      <c r="G246" s="8">
        <v>32.5</v>
      </c>
    </row>
    <row r="247" spans="1:7" x14ac:dyDescent="0.2">
      <c r="A247" t="s">
        <v>11</v>
      </c>
      <c r="B247" s="1">
        <v>42980</v>
      </c>
      <c r="C247" t="s">
        <v>10</v>
      </c>
      <c r="D247" s="8">
        <v>7.24</v>
      </c>
      <c r="E247" s="8">
        <v>32.6</v>
      </c>
      <c r="F247" s="8">
        <v>1.6</v>
      </c>
      <c r="G247" s="8">
        <v>32.700000000000003</v>
      </c>
    </row>
    <row r="248" spans="1:7" x14ac:dyDescent="0.2">
      <c r="A248" t="s">
        <v>11</v>
      </c>
      <c r="B248" s="1">
        <v>42980</v>
      </c>
      <c r="C248" t="s">
        <v>10</v>
      </c>
      <c r="D248" s="8">
        <v>7.5</v>
      </c>
      <c r="E248" s="8">
        <v>30.7</v>
      </c>
      <c r="F248" s="8">
        <v>2.08</v>
      </c>
      <c r="G248" s="8">
        <v>30.7</v>
      </c>
    </row>
    <row r="249" spans="1:7" x14ac:dyDescent="0.2">
      <c r="A249" t="s">
        <v>11</v>
      </c>
      <c r="B249" s="1">
        <v>42980</v>
      </c>
      <c r="C249" t="s">
        <v>10</v>
      </c>
      <c r="D249" s="8">
        <v>7.46</v>
      </c>
      <c r="E249" s="8">
        <v>30.9</v>
      </c>
      <c r="F249" s="8">
        <v>1.88</v>
      </c>
      <c r="G249" s="8">
        <v>30.9</v>
      </c>
    </row>
    <row r="250" spans="1:7" x14ac:dyDescent="0.2">
      <c r="A250" t="s">
        <v>11</v>
      </c>
      <c r="B250" s="1">
        <v>42980</v>
      </c>
      <c r="C250" t="s">
        <v>10</v>
      </c>
      <c r="D250" s="8">
        <v>7.01</v>
      </c>
      <c r="E250" s="8">
        <v>32.4</v>
      </c>
      <c r="F250" s="8">
        <v>1.49</v>
      </c>
      <c r="G250" s="8">
        <v>32.5</v>
      </c>
    </row>
    <row r="251" spans="1:7" x14ac:dyDescent="0.2">
      <c r="A251" t="s">
        <v>11</v>
      </c>
      <c r="B251" s="1">
        <v>42980</v>
      </c>
      <c r="C251" t="s">
        <v>10</v>
      </c>
      <c r="D251" s="8">
        <v>7.25</v>
      </c>
      <c r="E251" s="8">
        <v>33</v>
      </c>
      <c r="F251" s="8">
        <v>2.58</v>
      </c>
      <c r="G251" s="8">
        <v>33.799999999999997</v>
      </c>
    </row>
    <row r="252" spans="1:7" x14ac:dyDescent="0.2">
      <c r="A252" t="s">
        <v>11</v>
      </c>
      <c r="B252" s="1">
        <v>42980</v>
      </c>
      <c r="C252" t="s">
        <v>10</v>
      </c>
      <c r="D252" s="8">
        <v>7.93</v>
      </c>
      <c r="E252" s="8">
        <v>30.4</v>
      </c>
      <c r="F252" s="8">
        <v>0.68400000000000005</v>
      </c>
      <c r="G252" s="8">
        <v>30.4</v>
      </c>
    </row>
    <row r="253" spans="1:7" x14ac:dyDescent="0.2">
      <c r="A253" t="s">
        <v>11</v>
      </c>
      <c r="B253" s="1">
        <v>42980</v>
      </c>
      <c r="C253" t="s">
        <v>10</v>
      </c>
      <c r="D253" s="8">
        <v>8.83</v>
      </c>
      <c r="E253" s="8">
        <v>30.8</v>
      </c>
      <c r="F253" s="8">
        <v>0.70599999999999996</v>
      </c>
      <c r="G253" s="8">
        <v>30.8</v>
      </c>
    </row>
    <row r="254" spans="1:7" x14ac:dyDescent="0.2">
      <c r="A254" t="s">
        <v>11</v>
      </c>
      <c r="B254" s="1">
        <v>42980</v>
      </c>
      <c r="C254" t="s">
        <v>10</v>
      </c>
      <c r="D254" s="8">
        <v>8.4</v>
      </c>
      <c r="E254" s="8">
        <v>32.299999999999997</v>
      </c>
      <c r="F254" s="8">
        <v>0.67800000000000005</v>
      </c>
      <c r="G254" s="8">
        <v>32.299999999999997</v>
      </c>
    </row>
    <row r="255" spans="1:7" x14ac:dyDescent="0.2">
      <c r="A255" t="s">
        <v>11</v>
      </c>
      <c r="B255" s="1">
        <v>42980</v>
      </c>
      <c r="C255" t="s">
        <v>10</v>
      </c>
      <c r="D255" s="8">
        <v>8.2799999999999994</v>
      </c>
      <c r="E255" s="8">
        <v>32.1</v>
      </c>
      <c r="F255" s="8">
        <v>0.748</v>
      </c>
      <c r="G255" s="8">
        <v>32</v>
      </c>
    </row>
    <row r="256" spans="1:7" x14ac:dyDescent="0.2">
      <c r="A256" t="s">
        <v>11</v>
      </c>
      <c r="B256" s="1">
        <v>42980</v>
      </c>
      <c r="C256" t="s">
        <v>10</v>
      </c>
      <c r="D256" s="8">
        <v>8.26</v>
      </c>
      <c r="E256" s="8">
        <v>32</v>
      </c>
      <c r="F256" s="8">
        <v>0.78200000000000003</v>
      </c>
      <c r="G256" s="8">
        <v>32</v>
      </c>
    </row>
    <row r="257" spans="1:7" x14ac:dyDescent="0.2">
      <c r="A257" t="s">
        <v>11</v>
      </c>
      <c r="B257" s="1">
        <v>42980</v>
      </c>
      <c r="C257" t="s">
        <v>10</v>
      </c>
      <c r="D257" s="8">
        <v>7.14</v>
      </c>
      <c r="E257" s="8">
        <v>30.6</v>
      </c>
      <c r="F257" s="8">
        <v>1.93</v>
      </c>
      <c r="G257" s="8">
        <v>30.6</v>
      </c>
    </row>
    <row r="258" spans="1:7" x14ac:dyDescent="0.2">
      <c r="A258" t="s">
        <v>11</v>
      </c>
      <c r="B258" s="1">
        <v>42980</v>
      </c>
      <c r="C258" t="s">
        <v>10</v>
      </c>
      <c r="D258" s="8">
        <v>7.23</v>
      </c>
      <c r="E258" s="8">
        <v>30.6</v>
      </c>
      <c r="F258" s="8">
        <v>1.22</v>
      </c>
      <c r="G258" s="8">
        <v>32.299999999999997</v>
      </c>
    </row>
    <row r="259" spans="1:7" x14ac:dyDescent="0.2">
      <c r="A259" t="s">
        <v>11</v>
      </c>
      <c r="B259" s="1">
        <v>42980</v>
      </c>
      <c r="C259" t="s">
        <v>10</v>
      </c>
      <c r="D259" s="8">
        <v>7.55</v>
      </c>
      <c r="E259" s="8">
        <v>32.299999999999997</v>
      </c>
      <c r="F259" s="8">
        <v>1.67</v>
      </c>
      <c r="G259" s="8">
        <v>32.299999999999997</v>
      </c>
    </row>
    <row r="260" spans="1:7" x14ac:dyDescent="0.2">
      <c r="A260" t="s">
        <v>11</v>
      </c>
      <c r="B260" s="1">
        <v>42980</v>
      </c>
      <c r="C260" t="s">
        <v>10</v>
      </c>
      <c r="D260" s="8">
        <v>7.23</v>
      </c>
      <c r="E260" s="8">
        <v>32.799999999999997</v>
      </c>
      <c r="F260" s="8">
        <v>1.66</v>
      </c>
      <c r="G260" s="8">
        <v>33</v>
      </c>
    </row>
    <row r="261" spans="1:7" x14ac:dyDescent="0.2">
      <c r="A261" t="s">
        <v>11</v>
      </c>
      <c r="B261" s="1">
        <v>42980</v>
      </c>
      <c r="C261" t="s">
        <v>10</v>
      </c>
      <c r="D261" s="8">
        <v>7.07</v>
      </c>
      <c r="E261" s="8">
        <v>30.6</v>
      </c>
      <c r="F261" s="8">
        <v>1.98</v>
      </c>
      <c r="G261" s="8">
        <v>30.7</v>
      </c>
    </row>
    <row r="262" spans="1:7" x14ac:dyDescent="0.2">
      <c r="A262" t="s">
        <v>11</v>
      </c>
      <c r="B262" s="1">
        <v>42980</v>
      </c>
      <c r="C262" t="s">
        <v>10</v>
      </c>
      <c r="D262" s="8">
        <v>7.9</v>
      </c>
      <c r="E262" s="8">
        <v>31.4</v>
      </c>
      <c r="F262" s="8">
        <v>0.69099999999999995</v>
      </c>
      <c r="G262" s="8">
        <v>31.4</v>
      </c>
    </row>
    <row r="263" spans="1:7" x14ac:dyDescent="0.2">
      <c r="A263" t="s">
        <v>11</v>
      </c>
      <c r="B263" s="1">
        <v>42980</v>
      </c>
      <c r="C263" t="s">
        <v>10</v>
      </c>
      <c r="D263" s="8">
        <v>9.1199999999999992</v>
      </c>
      <c r="E263" s="8">
        <v>30.7</v>
      </c>
      <c r="F263" s="8">
        <v>0.55200000000000005</v>
      </c>
      <c r="G263" s="8">
        <v>30.7</v>
      </c>
    </row>
    <row r="264" spans="1:7" x14ac:dyDescent="0.2">
      <c r="A264" t="s">
        <v>11</v>
      </c>
      <c r="B264" s="1">
        <v>42980</v>
      </c>
      <c r="C264" t="s">
        <v>10</v>
      </c>
      <c r="D264" s="8">
        <v>8.2799999999999994</v>
      </c>
      <c r="E264" s="8">
        <v>31.5</v>
      </c>
      <c r="F264" s="8">
        <v>0.77500000000000002</v>
      </c>
      <c r="G264" s="8">
        <v>31.5</v>
      </c>
    </row>
    <row r="265" spans="1:7" x14ac:dyDescent="0.2">
      <c r="A265" t="s">
        <v>11</v>
      </c>
      <c r="B265" s="1">
        <v>42980</v>
      </c>
      <c r="C265" t="s">
        <v>10</v>
      </c>
      <c r="D265" s="8">
        <v>7.36</v>
      </c>
      <c r="E265" s="8">
        <v>31.4</v>
      </c>
      <c r="F265" s="8">
        <v>0.77700000000000002</v>
      </c>
      <c r="G265" s="8">
        <v>31.5</v>
      </c>
    </row>
    <row r="266" spans="1:7" x14ac:dyDescent="0.2">
      <c r="A266" t="s">
        <v>11</v>
      </c>
      <c r="B266" s="1">
        <v>42980</v>
      </c>
      <c r="C266" t="s">
        <v>10</v>
      </c>
      <c r="D266" s="8">
        <v>8.93</v>
      </c>
      <c r="E266" s="8">
        <v>30.2</v>
      </c>
      <c r="F266" s="8">
        <v>0.70299999999999996</v>
      </c>
      <c r="G266" s="8">
        <v>30.3</v>
      </c>
    </row>
    <row r="267" spans="1:7" x14ac:dyDescent="0.2">
      <c r="A267" t="s">
        <v>11</v>
      </c>
      <c r="B267" s="1">
        <v>42980</v>
      </c>
      <c r="C267" t="s">
        <v>10</v>
      </c>
      <c r="D267" s="8">
        <v>7.71</v>
      </c>
      <c r="E267" s="8">
        <v>30.5</v>
      </c>
      <c r="F267" s="8">
        <v>2.11</v>
      </c>
      <c r="G267" s="8">
        <v>30.5</v>
      </c>
    </row>
    <row r="268" spans="1:7" x14ac:dyDescent="0.2">
      <c r="A268" t="s">
        <v>11</v>
      </c>
      <c r="B268" s="1">
        <v>42980</v>
      </c>
      <c r="C268" t="s">
        <v>10</v>
      </c>
      <c r="D268" s="8">
        <v>7.67</v>
      </c>
      <c r="E268" s="8">
        <v>30.6</v>
      </c>
      <c r="F268" s="8">
        <v>1.1499999999999999</v>
      </c>
      <c r="G268" s="8">
        <v>30.6</v>
      </c>
    </row>
    <row r="269" spans="1:7" x14ac:dyDescent="0.2">
      <c r="A269" t="s">
        <v>11</v>
      </c>
      <c r="B269" s="1">
        <v>42980</v>
      </c>
      <c r="C269" t="s">
        <v>10</v>
      </c>
      <c r="D269" s="8">
        <v>7.17</v>
      </c>
      <c r="E269" s="8">
        <v>33.299999999999997</v>
      </c>
      <c r="F269" s="8">
        <v>1.81</v>
      </c>
      <c r="G269" s="8">
        <v>33.4</v>
      </c>
    </row>
    <row r="270" spans="1:7" x14ac:dyDescent="0.2">
      <c r="A270" t="s">
        <v>11</v>
      </c>
      <c r="B270" s="1">
        <v>42980</v>
      </c>
      <c r="C270" t="s">
        <v>10</v>
      </c>
      <c r="D270" s="8">
        <v>8.07</v>
      </c>
      <c r="E270" s="8">
        <v>30.3</v>
      </c>
      <c r="F270" s="8">
        <v>1.26</v>
      </c>
      <c r="G270" s="8">
        <v>30.3</v>
      </c>
    </row>
    <row r="271" spans="1:7" x14ac:dyDescent="0.2">
      <c r="A271" t="s">
        <v>11</v>
      </c>
      <c r="B271" s="1">
        <v>42980</v>
      </c>
      <c r="C271" t="s">
        <v>10</v>
      </c>
      <c r="D271" s="8">
        <v>7.65</v>
      </c>
      <c r="E271" s="8">
        <v>30</v>
      </c>
      <c r="F271" s="8">
        <v>1.47</v>
      </c>
      <c r="G271" s="8">
        <v>30</v>
      </c>
    </row>
    <row r="272" spans="1:7" x14ac:dyDescent="0.2">
      <c r="A272" t="s">
        <v>11</v>
      </c>
      <c r="B272" s="1">
        <v>42980</v>
      </c>
      <c r="C272" t="s">
        <v>10</v>
      </c>
      <c r="D272" s="8">
        <v>8.31</v>
      </c>
      <c r="E272" s="8">
        <v>32</v>
      </c>
      <c r="F272" s="8">
        <v>0.72099999999999997</v>
      </c>
      <c r="G272" s="8">
        <v>32</v>
      </c>
    </row>
    <row r="273" spans="1:7" x14ac:dyDescent="0.2">
      <c r="A273" t="s">
        <v>11</v>
      </c>
      <c r="B273" s="1">
        <v>42980</v>
      </c>
      <c r="C273" t="s">
        <v>36</v>
      </c>
      <c r="D273" s="8">
        <v>9.1199999999999992</v>
      </c>
      <c r="E273" s="8">
        <v>31.7</v>
      </c>
      <c r="F273" s="8">
        <v>0.83499999999999996</v>
      </c>
      <c r="G273" s="8">
        <v>31.6</v>
      </c>
    </row>
    <row r="274" spans="1:7" x14ac:dyDescent="0.2">
      <c r="A274" t="s">
        <v>11</v>
      </c>
      <c r="B274" s="1">
        <v>42980</v>
      </c>
      <c r="C274" t="s">
        <v>10</v>
      </c>
      <c r="D274" s="8">
        <v>7.7</v>
      </c>
      <c r="E274" s="8">
        <v>30.8</v>
      </c>
      <c r="F274" s="8">
        <v>0.79300000000000004</v>
      </c>
      <c r="G274" s="8">
        <v>30.8</v>
      </c>
    </row>
    <row r="275" spans="1:7" x14ac:dyDescent="0.2">
      <c r="A275" t="s">
        <v>11</v>
      </c>
      <c r="B275" s="1">
        <v>42980</v>
      </c>
      <c r="C275" t="s">
        <v>10</v>
      </c>
      <c r="D275" s="8">
        <v>8.94</v>
      </c>
      <c r="E275" s="8">
        <v>30.2</v>
      </c>
      <c r="F275" s="8">
        <v>0.70899999999999996</v>
      </c>
      <c r="G275" s="8">
        <v>30.2</v>
      </c>
    </row>
    <row r="276" spans="1:7" x14ac:dyDescent="0.2">
      <c r="A276" t="s">
        <v>11</v>
      </c>
      <c r="B276" s="1">
        <v>42980</v>
      </c>
      <c r="C276" t="s">
        <v>10</v>
      </c>
      <c r="D276" s="8">
        <v>7.3</v>
      </c>
      <c r="E276" s="8">
        <v>33.299999999999997</v>
      </c>
      <c r="F276" s="8">
        <v>0.752</v>
      </c>
      <c r="G276" s="8">
        <v>33.299999999999997</v>
      </c>
    </row>
    <row r="277" spans="1:7" x14ac:dyDescent="0.2">
      <c r="A277" t="s">
        <v>11</v>
      </c>
      <c r="B277" s="1">
        <v>42980</v>
      </c>
      <c r="C277" t="s">
        <v>10</v>
      </c>
      <c r="D277" s="8">
        <v>7.51</v>
      </c>
      <c r="E277" s="8">
        <v>32.5</v>
      </c>
      <c r="F277" s="8">
        <v>1.25</v>
      </c>
      <c r="G277" s="8">
        <v>32.5</v>
      </c>
    </row>
    <row r="278" spans="1:7" x14ac:dyDescent="0.2">
      <c r="A278" t="s">
        <v>11</v>
      </c>
      <c r="B278" s="1">
        <v>42980</v>
      </c>
      <c r="C278" t="s">
        <v>36</v>
      </c>
      <c r="D278" s="8">
        <v>7.6</v>
      </c>
      <c r="E278" s="8">
        <v>32.700000000000003</v>
      </c>
      <c r="F278" s="8">
        <v>2.0699999999999998</v>
      </c>
      <c r="G278" s="8">
        <v>32.799999999999997</v>
      </c>
    </row>
    <row r="279" spans="1:7" x14ac:dyDescent="0.2">
      <c r="A279" t="s">
        <v>11</v>
      </c>
      <c r="B279" s="1">
        <v>42980</v>
      </c>
      <c r="C279" t="s">
        <v>10</v>
      </c>
      <c r="D279" s="8">
        <v>7.29</v>
      </c>
      <c r="E279" s="8">
        <v>30.5</v>
      </c>
      <c r="F279" s="8">
        <v>1.17</v>
      </c>
      <c r="G279" s="8">
        <v>30.6</v>
      </c>
    </row>
    <row r="280" spans="1:7" x14ac:dyDescent="0.2">
      <c r="A280" t="s">
        <v>11</v>
      </c>
      <c r="B280" s="1">
        <v>42980</v>
      </c>
      <c r="C280" t="s">
        <v>10</v>
      </c>
      <c r="D280" s="8">
        <v>7.96</v>
      </c>
      <c r="E280" s="8">
        <v>30.2</v>
      </c>
      <c r="F280" s="8">
        <v>0.97099999999999997</v>
      </c>
      <c r="G280" s="8">
        <v>30.2</v>
      </c>
    </row>
    <row r="281" spans="1:7" x14ac:dyDescent="0.2">
      <c r="A281" t="s">
        <v>11</v>
      </c>
      <c r="B281" s="1">
        <v>42980</v>
      </c>
      <c r="C281" t="s">
        <v>10</v>
      </c>
      <c r="D281" s="8">
        <v>7.23</v>
      </c>
      <c r="E281" s="8">
        <v>30.2</v>
      </c>
      <c r="F281" s="8">
        <v>1.67</v>
      </c>
      <c r="G281" s="8">
        <v>30.2</v>
      </c>
    </row>
    <row r="282" spans="1:7" x14ac:dyDescent="0.2">
      <c r="A282" t="s">
        <v>11</v>
      </c>
      <c r="B282" s="1">
        <v>42980</v>
      </c>
      <c r="C282" t="s">
        <v>10</v>
      </c>
      <c r="D282" s="8">
        <v>9.15</v>
      </c>
      <c r="E282" s="8">
        <v>33.200000000000003</v>
      </c>
      <c r="F282" s="8">
        <v>0.93</v>
      </c>
      <c r="G282" s="8">
        <v>33.1</v>
      </c>
    </row>
    <row r="283" spans="1:7" x14ac:dyDescent="0.2">
      <c r="A283" t="s">
        <v>11</v>
      </c>
      <c r="B283" s="1">
        <v>42980</v>
      </c>
      <c r="C283" t="s">
        <v>10</v>
      </c>
      <c r="D283" s="8">
        <v>7.68</v>
      </c>
      <c r="E283" s="8">
        <v>30.9</v>
      </c>
      <c r="F283" s="8">
        <v>0.72199999999999998</v>
      </c>
      <c r="G283" s="8">
        <v>30.5</v>
      </c>
    </row>
    <row r="284" spans="1:7" x14ac:dyDescent="0.2">
      <c r="A284" t="s">
        <v>11</v>
      </c>
      <c r="B284" s="1">
        <v>42980</v>
      </c>
      <c r="C284" t="s">
        <v>10</v>
      </c>
      <c r="D284" s="8">
        <v>7.31</v>
      </c>
      <c r="E284" s="8">
        <v>33.6</v>
      </c>
      <c r="F284" s="8">
        <v>0.60099999999999998</v>
      </c>
      <c r="G284" s="8">
        <v>33.6</v>
      </c>
    </row>
    <row r="285" spans="1:7" x14ac:dyDescent="0.2">
      <c r="A285" t="s">
        <v>11</v>
      </c>
      <c r="B285" s="1">
        <v>42980</v>
      </c>
      <c r="C285" t="s">
        <v>10</v>
      </c>
      <c r="D285" s="8">
        <v>7.63</v>
      </c>
      <c r="E285" s="8">
        <v>34</v>
      </c>
      <c r="F285" s="8">
        <v>0.82</v>
      </c>
      <c r="G285" s="8">
        <v>34</v>
      </c>
    </row>
    <row r="286" spans="1:7" x14ac:dyDescent="0.2">
      <c r="A286" t="s">
        <v>11</v>
      </c>
      <c r="B286" s="1">
        <v>42980</v>
      </c>
      <c r="C286" t="s">
        <v>10</v>
      </c>
      <c r="D286" s="8">
        <v>7.84</v>
      </c>
      <c r="E286" s="8">
        <v>32.700000000000003</v>
      </c>
      <c r="F286" s="8">
        <v>0.84</v>
      </c>
      <c r="G286" s="8">
        <v>32.799999999999997</v>
      </c>
    </row>
    <row r="287" spans="1:7" x14ac:dyDescent="0.2">
      <c r="A287" t="s">
        <v>11</v>
      </c>
      <c r="B287" s="1">
        <v>42980</v>
      </c>
      <c r="C287" t="s">
        <v>10</v>
      </c>
      <c r="D287" s="8">
        <v>7.87</v>
      </c>
      <c r="E287" s="8">
        <v>32.4</v>
      </c>
      <c r="F287" s="8">
        <v>1.03</v>
      </c>
      <c r="G287" s="8">
        <v>32.5</v>
      </c>
    </row>
    <row r="288" spans="1:7" x14ac:dyDescent="0.2">
      <c r="A288" t="s">
        <v>11</v>
      </c>
      <c r="B288" s="1">
        <v>42980</v>
      </c>
      <c r="C288" t="s">
        <v>10</v>
      </c>
      <c r="D288" s="8">
        <v>7.9</v>
      </c>
      <c r="E288" s="8">
        <v>30.7</v>
      </c>
      <c r="F288" s="8">
        <v>1.0900000000000001</v>
      </c>
      <c r="G288" s="8">
        <v>30.8</v>
      </c>
    </row>
    <row r="289" spans="1:7" x14ac:dyDescent="0.2">
      <c r="A289" t="s">
        <v>11</v>
      </c>
      <c r="B289" s="1">
        <v>42980</v>
      </c>
      <c r="C289" t="s">
        <v>10</v>
      </c>
      <c r="D289" s="8">
        <v>7.22</v>
      </c>
      <c r="E289" s="8">
        <v>31.3</v>
      </c>
      <c r="F289" s="8">
        <v>1.99</v>
      </c>
      <c r="G289" s="8">
        <v>31.3</v>
      </c>
    </row>
    <row r="290" spans="1:7" x14ac:dyDescent="0.2">
      <c r="A290" t="s">
        <v>11</v>
      </c>
      <c r="B290" s="1">
        <v>42980</v>
      </c>
      <c r="C290" t="s">
        <v>10</v>
      </c>
      <c r="D290" s="8">
        <v>7.53</v>
      </c>
      <c r="E290" s="8">
        <v>30.5</v>
      </c>
      <c r="F290" s="8">
        <v>1.05</v>
      </c>
      <c r="G290" s="8">
        <v>30.5</v>
      </c>
    </row>
    <row r="291" spans="1:7" x14ac:dyDescent="0.2">
      <c r="A291" t="s">
        <v>11</v>
      </c>
      <c r="B291" s="1">
        <v>42980</v>
      </c>
      <c r="C291" t="s">
        <v>10</v>
      </c>
      <c r="D291" s="8">
        <v>7.15</v>
      </c>
      <c r="E291" s="8">
        <v>32.1</v>
      </c>
      <c r="F291" s="8">
        <v>1.27</v>
      </c>
      <c r="G291" s="8">
        <v>32.1</v>
      </c>
    </row>
    <row r="292" spans="1:7" x14ac:dyDescent="0.2">
      <c r="A292" t="s">
        <v>11</v>
      </c>
      <c r="B292" s="1">
        <v>42980</v>
      </c>
      <c r="C292" t="s">
        <v>10</v>
      </c>
      <c r="D292" s="8">
        <v>7.25</v>
      </c>
      <c r="E292" s="8">
        <v>31.2</v>
      </c>
      <c r="F292" s="8">
        <v>0.72</v>
      </c>
      <c r="G292" s="8">
        <v>31.2</v>
      </c>
    </row>
    <row r="293" spans="1:7" x14ac:dyDescent="0.2">
      <c r="A293" t="s">
        <v>11</v>
      </c>
      <c r="B293" s="1">
        <v>42980</v>
      </c>
      <c r="C293" t="s">
        <v>10</v>
      </c>
      <c r="D293" s="8">
        <v>8.34</v>
      </c>
      <c r="E293" s="8">
        <v>30.4</v>
      </c>
      <c r="F293" s="8">
        <v>0.7</v>
      </c>
      <c r="G293" s="8">
        <v>30.6</v>
      </c>
    </row>
    <row r="294" spans="1:7" x14ac:dyDescent="0.2">
      <c r="A294" t="s">
        <v>11</v>
      </c>
      <c r="B294" s="1">
        <v>42980</v>
      </c>
      <c r="C294" t="s">
        <v>36</v>
      </c>
      <c r="D294" s="8">
        <v>7.68</v>
      </c>
      <c r="E294" s="8">
        <v>33.6</v>
      </c>
      <c r="F294" s="8">
        <v>0.63500000000000001</v>
      </c>
      <c r="G294" s="8">
        <v>33.700000000000003</v>
      </c>
    </row>
    <row r="295" spans="1:7" x14ac:dyDescent="0.2">
      <c r="A295" t="s">
        <v>11</v>
      </c>
      <c r="B295" s="1">
        <v>42980</v>
      </c>
      <c r="C295" t="s">
        <v>10</v>
      </c>
      <c r="D295" s="8">
        <v>7.82</v>
      </c>
      <c r="E295" s="8">
        <v>33.5</v>
      </c>
      <c r="F295" s="8">
        <v>0.8</v>
      </c>
      <c r="G295" s="8">
        <v>33.6</v>
      </c>
    </row>
    <row r="296" spans="1:7" x14ac:dyDescent="0.2">
      <c r="A296" t="s">
        <v>11</v>
      </c>
      <c r="B296" s="1">
        <v>42980</v>
      </c>
      <c r="C296" t="s">
        <v>10</v>
      </c>
      <c r="D296" s="8">
        <v>8.3699999999999992</v>
      </c>
      <c r="E296" s="8">
        <v>33</v>
      </c>
      <c r="F296" s="8">
        <v>0.83</v>
      </c>
      <c r="G296" s="8">
        <v>33.1</v>
      </c>
    </row>
    <row r="297" spans="1:7" x14ac:dyDescent="0.2">
      <c r="A297" t="s">
        <v>11</v>
      </c>
      <c r="B297" s="1">
        <v>42980</v>
      </c>
      <c r="C297" t="s">
        <v>36</v>
      </c>
      <c r="D297" s="8">
        <v>7.01</v>
      </c>
      <c r="E297" s="8">
        <v>31.1</v>
      </c>
      <c r="F297" s="8">
        <v>2.15</v>
      </c>
      <c r="G297" s="8">
        <v>31.1</v>
      </c>
    </row>
    <row r="298" spans="1:7" x14ac:dyDescent="0.2">
      <c r="A298" t="s">
        <v>11</v>
      </c>
      <c r="B298" s="1">
        <v>42980</v>
      </c>
      <c r="C298" t="s">
        <v>10</v>
      </c>
      <c r="D298" s="8">
        <v>7.36</v>
      </c>
      <c r="E298" s="8">
        <v>32</v>
      </c>
      <c r="F298" s="8">
        <v>1.71</v>
      </c>
      <c r="G298" s="8">
        <v>32</v>
      </c>
    </row>
    <row r="299" spans="1:7" x14ac:dyDescent="0.2">
      <c r="A299" t="s">
        <v>11</v>
      </c>
      <c r="B299" s="1">
        <v>42980</v>
      </c>
      <c r="C299" t="s">
        <v>10</v>
      </c>
      <c r="D299" s="8">
        <v>6.94</v>
      </c>
      <c r="E299" s="8">
        <v>32.5</v>
      </c>
      <c r="F299" s="8">
        <v>1.31</v>
      </c>
      <c r="G299" s="8">
        <v>32.5</v>
      </c>
    </row>
    <row r="300" spans="1:7" x14ac:dyDescent="0.2">
      <c r="A300" t="s">
        <v>11</v>
      </c>
      <c r="B300" s="1">
        <v>42980</v>
      </c>
      <c r="C300" t="s">
        <v>10</v>
      </c>
      <c r="D300" s="8">
        <v>7.22</v>
      </c>
      <c r="E300" s="8">
        <v>30.3</v>
      </c>
      <c r="F300" s="8">
        <v>1.27</v>
      </c>
      <c r="G300" s="8">
        <v>30.3</v>
      </c>
    </row>
    <row r="301" spans="1:7" x14ac:dyDescent="0.2">
      <c r="A301" t="s">
        <v>11</v>
      </c>
      <c r="B301" s="1">
        <v>42980</v>
      </c>
      <c r="C301" t="s">
        <v>10</v>
      </c>
      <c r="D301" s="8">
        <v>7.13</v>
      </c>
      <c r="E301" s="8">
        <v>30.3</v>
      </c>
      <c r="F301" s="8">
        <v>1.45</v>
      </c>
      <c r="G301" s="8">
        <v>30.3</v>
      </c>
    </row>
    <row r="302" spans="1:7" x14ac:dyDescent="0.2">
      <c r="A302" t="s">
        <v>11</v>
      </c>
      <c r="B302" s="1">
        <v>42980</v>
      </c>
      <c r="C302" t="s">
        <v>10</v>
      </c>
      <c r="D302" s="8">
        <v>7.69</v>
      </c>
      <c r="E302" s="8">
        <v>32.299999999999997</v>
      </c>
      <c r="F302" s="8">
        <v>0.85599999999999998</v>
      </c>
      <c r="G302" s="8">
        <v>32.299999999999997</v>
      </c>
    </row>
    <row r="303" spans="1:7" x14ac:dyDescent="0.2">
      <c r="A303" t="s">
        <v>11</v>
      </c>
      <c r="B303" s="1">
        <v>42980</v>
      </c>
      <c r="C303" t="s">
        <v>10</v>
      </c>
      <c r="D303" s="8">
        <v>8.68</v>
      </c>
      <c r="E303" s="8">
        <v>31.8</v>
      </c>
      <c r="F303" s="8">
        <v>0.61299999999999999</v>
      </c>
      <c r="G303" s="8">
        <v>31.8</v>
      </c>
    </row>
    <row r="304" spans="1:7" x14ac:dyDescent="0.2">
      <c r="A304" t="s">
        <v>11</v>
      </c>
      <c r="B304" s="1">
        <v>42980</v>
      </c>
      <c r="C304" t="s">
        <v>10</v>
      </c>
      <c r="D304" s="8">
        <v>8.49</v>
      </c>
      <c r="E304" s="8">
        <v>31.1</v>
      </c>
      <c r="F304" s="8">
        <v>0.754</v>
      </c>
      <c r="G304" s="8">
        <v>31.1</v>
      </c>
    </row>
    <row r="305" spans="1:7" x14ac:dyDescent="0.2">
      <c r="A305" t="s">
        <v>11</v>
      </c>
      <c r="B305" s="1">
        <v>42980</v>
      </c>
      <c r="C305" t="s">
        <v>10</v>
      </c>
      <c r="D305" s="8">
        <v>8.4700000000000006</v>
      </c>
      <c r="E305" s="8">
        <v>30.7</v>
      </c>
      <c r="F305" s="8">
        <v>1.58</v>
      </c>
      <c r="G305" s="8">
        <v>30.8</v>
      </c>
    </row>
    <row r="306" spans="1:7" x14ac:dyDescent="0.2">
      <c r="A306" t="s">
        <v>11</v>
      </c>
      <c r="B306" s="1">
        <v>42980</v>
      </c>
      <c r="C306" t="s">
        <v>10</v>
      </c>
      <c r="D306" s="8">
        <v>7.81</v>
      </c>
      <c r="E306" s="8">
        <v>30.4</v>
      </c>
      <c r="F306" s="8">
        <v>0.90300000000000002</v>
      </c>
      <c r="G306" s="8">
        <v>30.4</v>
      </c>
    </row>
    <row r="307" spans="1:7" x14ac:dyDescent="0.2">
      <c r="A307" t="s">
        <v>11</v>
      </c>
      <c r="B307" s="1">
        <v>42980</v>
      </c>
      <c r="C307" t="s">
        <v>10</v>
      </c>
      <c r="D307" s="8">
        <v>7.05</v>
      </c>
      <c r="E307" s="8">
        <v>32.299999999999997</v>
      </c>
      <c r="F307" s="8">
        <v>1.28</v>
      </c>
      <c r="G307" s="8">
        <v>32.299999999999997</v>
      </c>
    </row>
    <row r="308" spans="1:7" x14ac:dyDescent="0.2">
      <c r="A308" t="s">
        <v>11</v>
      </c>
      <c r="B308" s="1">
        <v>42980</v>
      </c>
      <c r="C308" t="s">
        <v>10</v>
      </c>
      <c r="D308" s="8">
        <v>8.4700000000000006</v>
      </c>
      <c r="E308" s="8">
        <v>32.9</v>
      </c>
      <c r="F308" s="8">
        <v>1.06</v>
      </c>
      <c r="G308" s="8">
        <v>32.9</v>
      </c>
    </row>
    <row r="309" spans="1:7" x14ac:dyDescent="0.2">
      <c r="A309" t="s">
        <v>11</v>
      </c>
      <c r="B309" s="1">
        <v>42980</v>
      </c>
      <c r="C309" t="s">
        <v>10</v>
      </c>
      <c r="D309" s="8">
        <v>7.18</v>
      </c>
      <c r="E309" s="8">
        <v>31.2</v>
      </c>
      <c r="F309" s="8">
        <v>1.17</v>
      </c>
      <c r="G309" s="8">
        <v>31</v>
      </c>
    </row>
    <row r="310" spans="1:7" x14ac:dyDescent="0.2">
      <c r="A310" t="s">
        <v>11</v>
      </c>
      <c r="B310" s="1">
        <v>42980</v>
      </c>
      <c r="C310" t="s">
        <v>10</v>
      </c>
      <c r="D310" s="8">
        <v>7.25</v>
      </c>
      <c r="E310" s="8">
        <v>33.1</v>
      </c>
      <c r="F310" s="8">
        <v>3.19</v>
      </c>
      <c r="G310" s="8">
        <v>33.1</v>
      </c>
    </row>
    <row r="311" spans="1:7" x14ac:dyDescent="0.2">
      <c r="A311" t="s">
        <v>11</v>
      </c>
      <c r="B311" s="1">
        <v>42980</v>
      </c>
      <c r="C311" t="s">
        <v>10</v>
      </c>
      <c r="D311" s="8">
        <v>7.37</v>
      </c>
      <c r="E311" s="8">
        <v>30.5</v>
      </c>
      <c r="F311" s="8">
        <v>1.93</v>
      </c>
      <c r="G311" s="8">
        <v>30.5</v>
      </c>
    </row>
    <row r="312" spans="1:7" x14ac:dyDescent="0.2">
      <c r="A312" t="s">
        <v>11</v>
      </c>
      <c r="B312" s="1">
        <v>42980</v>
      </c>
      <c r="C312" t="s">
        <v>10</v>
      </c>
      <c r="D312" s="8">
        <v>7.21</v>
      </c>
      <c r="E312" s="8">
        <v>32.700000000000003</v>
      </c>
      <c r="F312" s="8">
        <v>0.66</v>
      </c>
      <c r="G312" s="8">
        <v>32.700000000000003</v>
      </c>
    </row>
    <row r="313" spans="1:7" x14ac:dyDescent="0.2">
      <c r="A313" t="s">
        <v>11</v>
      </c>
      <c r="B313" s="1">
        <v>42980</v>
      </c>
      <c r="C313" t="s">
        <v>10</v>
      </c>
      <c r="D313" s="8">
        <v>8.3000000000000007</v>
      </c>
      <c r="E313" s="8">
        <v>30.7</v>
      </c>
      <c r="F313" s="8">
        <v>1.08</v>
      </c>
      <c r="G313" s="8">
        <v>30.8</v>
      </c>
    </row>
    <row r="314" spans="1:7" x14ac:dyDescent="0.2">
      <c r="A314" t="s">
        <v>11</v>
      </c>
      <c r="B314" s="1">
        <v>42980</v>
      </c>
      <c r="C314" t="s">
        <v>10</v>
      </c>
      <c r="D314" s="8">
        <v>7.39</v>
      </c>
      <c r="E314" s="8">
        <v>32.5</v>
      </c>
      <c r="F314" s="8">
        <v>0.9</v>
      </c>
      <c r="G314" s="8">
        <v>32.6</v>
      </c>
    </row>
    <row r="315" spans="1:7" x14ac:dyDescent="0.2">
      <c r="A315" t="s">
        <v>11</v>
      </c>
      <c r="B315" s="1">
        <v>42980</v>
      </c>
      <c r="C315" t="s">
        <v>10</v>
      </c>
      <c r="D315" s="8">
        <v>7.63</v>
      </c>
      <c r="E315" s="8">
        <v>32.6</v>
      </c>
      <c r="F315" s="8">
        <v>0.73799999999999999</v>
      </c>
      <c r="G315" s="8">
        <v>32.6</v>
      </c>
    </row>
    <row r="316" spans="1:7" x14ac:dyDescent="0.2">
      <c r="A316" t="s">
        <v>11</v>
      </c>
      <c r="B316" s="1">
        <v>42980</v>
      </c>
      <c r="C316" t="s">
        <v>10</v>
      </c>
      <c r="D316" s="8">
        <v>8.33</v>
      </c>
      <c r="E316" s="8">
        <v>33</v>
      </c>
      <c r="F316" s="8">
        <v>0.74399999999999999</v>
      </c>
      <c r="G316" s="8">
        <v>33</v>
      </c>
    </row>
    <row r="317" spans="1:7" x14ac:dyDescent="0.2">
      <c r="A317" t="s">
        <v>11</v>
      </c>
      <c r="B317" s="1">
        <v>42980</v>
      </c>
      <c r="C317" t="s">
        <v>10</v>
      </c>
      <c r="D317" s="8">
        <v>7.6</v>
      </c>
      <c r="E317" s="8">
        <v>31.9</v>
      </c>
      <c r="F317" s="8">
        <v>1.62</v>
      </c>
      <c r="G317" s="8">
        <v>31.9</v>
      </c>
    </row>
    <row r="318" spans="1:7" x14ac:dyDescent="0.2">
      <c r="A318" t="s">
        <v>11</v>
      </c>
      <c r="B318" s="1">
        <v>42980</v>
      </c>
      <c r="C318" t="s">
        <v>36</v>
      </c>
      <c r="D318" s="8">
        <v>7.43</v>
      </c>
      <c r="E318" s="8">
        <v>31.6</v>
      </c>
      <c r="F318" s="8">
        <v>1.57</v>
      </c>
      <c r="G318" s="8">
        <v>31.4</v>
      </c>
    </row>
    <row r="319" spans="1:7" x14ac:dyDescent="0.2">
      <c r="A319" t="s">
        <v>11</v>
      </c>
      <c r="B319" s="1">
        <v>42980</v>
      </c>
      <c r="C319" t="s">
        <v>10</v>
      </c>
      <c r="D319" s="8">
        <v>7.18</v>
      </c>
      <c r="E319" s="8">
        <v>33</v>
      </c>
      <c r="F319" s="8">
        <v>2.2200000000000002</v>
      </c>
      <c r="G319" s="8">
        <v>33.1</v>
      </c>
    </row>
    <row r="320" spans="1:7" x14ac:dyDescent="0.2">
      <c r="A320" t="s">
        <v>11</v>
      </c>
      <c r="B320" s="1">
        <v>42980</v>
      </c>
      <c r="C320" t="s">
        <v>10</v>
      </c>
      <c r="D320" s="8">
        <v>7.24</v>
      </c>
      <c r="E320" s="8">
        <v>31.8</v>
      </c>
      <c r="F320" s="8">
        <v>2.2799999999999998</v>
      </c>
      <c r="G320" s="8">
        <v>31.9</v>
      </c>
    </row>
    <row r="321" spans="1:7" x14ac:dyDescent="0.2">
      <c r="A321" t="s">
        <v>11</v>
      </c>
      <c r="B321" s="1">
        <v>42980</v>
      </c>
      <c r="C321" t="s">
        <v>10</v>
      </c>
      <c r="D321" s="8">
        <v>7.18</v>
      </c>
      <c r="E321" s="8">
        <v>30.2</v>
      </c>
      <c r="F321" s="8">
        <v>1.56</v>
      </c>
      <c r="G321" s="8">
        <v>30.4</v>
      </c>
    </row>
    <row r="322" spans="1:7" x14ac:dyDescent="0.2">
      <c r="A322" t="s">
        <v>11</v>
      </c>
      <c r="B322" s="1">
        <v>43028</v>
      </c>
      <c r="C322" t="s">
        <v>36</v>
      </c>
      <c r="D322" s="8">
        <v>9.52</v>
      </c>
      <c r="E322" s="8">
        <v>31</v>
      </c>
      <c r="F322" s="8">
        <v>1.2669999999999999</v>
      </c>
      <c r="G322" s="8">
        <v>31</v>
      </c>
    </row>
    <row r="323" spans="1:7" x14ac:dyDescent="0.2">
      <c r="A323" t="s">
        <v>11</v>
      </c>
      <c r="B323" s="1">
        <v>43028</v>
      </c>
      <c r="C323" t="s">
        <v>36</v>
      </c>
      <c r="D323" s="8">
        <v>7.32</v>
      </c>
      <c r="E323" s="8">
        <v>30.2</v>
      </c>
      <c r="F323" s="8">
        <v>1.2849999999999999</v>
      </c>
      <c r="G323" s="8">
        <v>30.2</v>
      </c>
    </row>
    <row r="324" spans="1:7" x14ac:dyDescent="0.2">
      <c r="A324" t="s">
        <v>11</v>
      </c>
      <c r="B324" s="1">
        <v>43028</v>
      </c>
      <c r="C324" t="s">
        <v>36</v>
      </c>
      <c r="D324" s="8">
        <v>9.24</v>
      </c>
      <c r="E324" s="8">
        <v>29.7</v>
      </c>
      <c r="F324" s="8">
        <v>1.2649999999999999</v>
      </c>
      <c r="G324" s="8">
        <v>29.7</v>
      </c>
    </row>
    <row r="325" spans="1:7" x14ac:dyDescent="0.2">
      <c r="A325" t="s">
        <v>11</v>
      </c>
      <c r="B325" s="1">
        <v>43028</v>
      </c>
      <c r="C325" t="s">
        <v>36</v>
      </c>
      <c r="D325" s="8">
        <v>8.9499999999999993</v>
      </c>
      <c r="E325" s="8">
        <v>29.3</v>
      </c>
      <c r="F325" s="8">
        <v>1.833</v>
      </c>
      <c r="G325" s="8">
        <v>29.2</v>
      </c>
    </row>
    <row r="326" spans="1:7" x14ac:dyDescent="0.2">
      <c r="A326" t="s">
        <v>11</v>
      </c>
      <c r="B326" s="1">
        <v>43028</v>
      </c>
      <c r="C326" t="s">
        <v>36</v>
      </c>
      <c r="D326" s="8">
        <v>8.9</v>
      </c>
      <c r="E326" s="8">
        <v>31.3</v>
      </c>
      <c r="F326" s="8">
        <v>1.448</v>
      </c>
      <c r="G326" s="8">
        <v>31.3</v>
      </c>
    </row>
    <row r="327" spans="1:7" x14ac:dyDescent="0.2">
      <c r="A327" t="s">
        <v>11</v>
      </c>
      <c r="B327" s="1">
        <v>43028</v>
      </c>
      <c r="C327" t="s">
        <v>36</v>
      </c>
      <c r="D327" s="8">
        <v>7.87</v>
      </c>
      <c r="E327" s="8">
        <v>31.5</v>
      </c>
      <c r="F327" s="8">
        <v>2.39</v>
      </c>
      <c r="G327" s="8">
        <v>32.4</v>
      </c>
    </row>
    <row r="328" spans="1:7" x14ac:dyDescent="0.2">
      <c r="A328" t="s">
        <v>11</v>
      </c>
      <c r="B328" s="1">
        <v>43028</v>
      </c>
      <c r="C328" t="s">
        <v>36</v>
      </c>
      <c r="D328" s="8">
        <v>7.31</v>
      </c>
      <c r="E328" s="8">
        <v>29.8</v>
      </c>
      <c r="F328" s="8">
        <v>2.66</v>
      </c>
      <c r="G328" s="8">
        <v>29.7</v>
      </c>
    </row>
    <row r="329" spans="1:7" x14ac:dyDescent="0.2">
      <c r="A329" t="s">
        <v>11</v>
      </c>
      <c r="B329" s="1">
        <v>43028</v>
      </c>
      <c r="C329" t="s">
        <v>36</v>
      </c>
      <c r="D329" s="8">
        <v>8.2200000000000006</v>
      </c>
      <c r="E329" s="8">
        <v>28.9</v>
      </c>
      <c r="F329" s="8">
        <v>2.41</v>
      </c>
      <c r="G329" s="8">
        <v>28.9</v>
      </c>
    </row>
    <row r="330" spans="1:7" x14ac:dyDescent="0.2">
      <c r="A330" t="s">
        <v>11</v>
      </c>
      <c r="B330" s="1">
        <v>43028</v>
      </c>
      <c r="C330" t="s">
        <v>36</v>
      </c>
      <c r="D330" s="8">
        <v>7.11</v>
      </c>
      <c r="E330" s="8">
        <v>28.6</v>
      </c>
      <c r="F330" s="8">
        <v>2.16</v>
      </c>
      <c r="G330" s="8">
        <v>28.4</v>
      </c>
    </row>
    <row r="331" spans="1:7" x14ac:dyDescent="0.2">
      <c r="A331" t="s">
        <v>11</v>
      </c>
      <c r="B331" s="1">
        <v>43028</v>
      </c>
      <c r="C331" t="s">
        <v>36</v>
      </c>
      <c r="D331" s="8">
        <v>7.77</v>
      </c>
      <c r="E331" s="8">
        <v>31</v>
      </c>
      <c r="F331" s="8">
        <v>2.76</v>
      </c>
      <c r="G331" s="8">
        <v>31</v>
      </c>
    </row>
    <row r="332" spans="1:7" x14ac:dyDescent="0.2">
      <c r="A332" t="s">
        <v>11</v>
      </c>
      <c r="B332" s="1">
        <v>43028</v>
      </c>
      <c r="C332" t="s">
        <v>36</v>
      </c>
      <c r="D332" s="8">
        <v>8.06</v>
      </c>
      <c r="E332" s="8">
        <v>30</v>
      </c>
      <c r="F332" s="8">
        <v>1.2509999999999999</v>
      </c>
      <c r="G332" s="8">
        <v>30</v>
      </c>
    </row>
    <row r="333" spans="1:7" x14ac:dyDescent="0.2">
      <c r="A333" t="s">
        <v>11</v>
      </c>
      <c r="B333" s="1">
        <v>43028</v>
      </c>
      <c r="C333" t="s">
        <v>36</v>
      </c>
      <c r="D333" s="8">
        <v>8.1</v>
      </c>
      <c r="E333" s="8">
        <v>29.4</v>
      </c>
      <c r="F333" s="8">
        <v>0.97899999999999998</v>
      </c>
      <c r="G333" s="8">
        <v>29.3</v>
      </c>
    </row>
    <row r="334" spans="1:7" x14ac:dyDescent="0.2">
      <c r="A334" t="s">
        <v>11</v>
      </c>
      <c r="B334" s="1">
        <v>43028</v>
      </c>
      <c r="C334" t="s">
        <v>36</v>
      </c>
      <c r="D334" s="8">
        <v>9.32</v>
      </c>
      <c r="E334" s="8">
        <v>29</v>
      </c>
      <c r="F334" s="8">
        <v>1.3819999999999999</v>
      </c>
      <c r="G334" s="8">
        <v>28.9</v>
      </c>
    </row>
    <row r="335" spans="1:7" x14ac:dyDescent="0.2">
      <c r="A335" t="s">
        <v>11</v>
      </c>
      <c r="B335" s="1">
        <v>43028</v>
      </c>
      <c r="C335" t="s">
        <v>36</v>
      </c>
      <c r="D335" s="8">
        <v>9.1199999999999992</v>
      </c>
      <c r="E335" s="8">
        <v>31.3</v>
      </c>
      <c r="F335" s="8">
        <v>1.5575000000000001</v>
      </c>
      <c r="G335" s="8">
        <v>31.4</v>
      </c>
    </row>
    <row r="336" spans="1:7" x14ac:dyDescent="0.2">
      <c r="A336" t="s">
        <v>11</v>
      </c>
      <c r="B336" s="1">
        <v>43028</v>
      </c>
      <c r="C336" t="s">
        <v>36</v>
      </c>
      <c r="D336" s="8">
        <v>8.9600000000000009</v>
      </c>
      <c r="E336" s="8">
        <v>31.2</v>
      </c>
      <c r="F336" s="8">
        <v>1.5609999999999999</v>
      </c>
      <c r="G336" s="8">
        <v>31.1</v>
      </c>
    </row>
    <row r="337" spans="1:7" x14ac:dyDescent="0.2">
      <c r="A337" t="s">
        <v>11</v>
      </c>
      <c r="B337" s="1">
        <v>43028</v>
      </c>
      <c r="C337" t="s">
        <v>36</v>
      </c>
      <c r="D337" s="8">
        <v>7.09</v>
      </c>
      <c r="E337" s="8">
        <v>30.1</v>
      </c>
      <c r="F337" s="8">
        <v>3.35</v>
      </c>
      <c r="G337" s="8">
        <v>30</v>
      </c>
    </row>
    <row r="338" spans="1:7" x14ac:dyDescent="0.2">
      <c r="A338" t="s">
        <v>11</v>
      </c>
      <c r="B338" s="1">
        <v>43028</v>
      </c>
      <c r="C338" t="s">
        <v>36</v>
      </c>
      <c r="D338" s="8">
        <v>6.95</v>
      </c>
      <c r="E338" s="8">
        <v>28.9</v>
      </c>
      <c r="F338" s="8">
        <v>1.8460000000000001</v>
      </c>
      <c r="G338" s="8">
        <v>28.9</v>
      </c>
    </row>
    <row r="339" spans="1:7" x14ac:dyDescent="0.2">
      <c r="A339" t="s">
        <v>11</v>
      </c>
      <c r="B339" s="1">
        <v>43028</v>
      </c>
      <c r="C339" t="s">
        <v>36</v>
      </c>
      <c r="D339" s="8">
        <v>7.88</v>
      </c>
      <c r="E339" s="8">
        <v>28.3</v>
      </c>
      <c r="F339" s="8">
        <v>1.99</v>
      </c>
      <c r="G339" s="8">
        <v>28.2</v>
      </c>
    </row>
    <row r="340" spans="1:7" x14ac:dyDescent="0.2">
      <c r="A340" t="s">
        <v>11</v>
      </c>
      <c r="B340" s="1">
        <v>43028</v>
      </c>
      <c r="C340" t="s">
        <v>36</v>
      </c>
      <c r="D340" s="8">
        <v>7.21</v>
      </c>
      <c r="E340" s="8">
        <v>30</v>
      </c>
      <c r="F340" s="8">
        <v>2.0699999999999998</v>
      </c>
      <c r="G340" s="8">
        <v>30</v>
      </c>
    </row>
    <row r="341" spans="1:7" x14ac:dyDescent="0.2">
      <c r="A341" t="s">
        <v>11</v>
      </c>
      <c r="B341" s="1">
        <v>43028</v>
      </c>
      <c r="C341" t="s">
        <v>36</v>
      </c>
      <c r="D341" s="8">
        <v>7.18</v>
      </c>
      <c r="E341" s="8">
        <v>29.6</v>
      </c>
      <c r="F341" s="8">
        <v>2.7</v>
      </c>
      <c r="G341" s="8">
        <v>29.6</v>
      </c>
    </row>
    <row r="342" spans="1:7" x14ac:dyDescent="0.2">
      <c r="A342" t="s">
        <v>11</v>
      </c>
      <c r="B342" s="1">
        <v>43028</v>
      </c>
      <c r="C342" t="s">
        <v>36</v>
      </c>
      <c r="D342" s="8">
        <v>7.98</v>
      </c>
      <c r="E342" s="8">
        <v>30.3</v>
      </c>
      <c r="F342" s="8">
        <v>1.252</v>
      </c>
      <c r="G342" s="8">
        <v>30.3</v>
      </c>
    </row>
    <row r="343" spans="1:7" x14ac:dyDescent="0.2">
      <c r="A343" t="s">
        <v>11</v>
      </c>
      <c r="B343" s="1">
        <v>43028</v>
      </c>
      <c r="C343" t="s">
        <v>36</v>
      </c>
      <c r="D343" s="8">
        <v>8.77</v>
      </c>
      <c r="E343" s="8">
        <v>28.9</v>
      </c>
      <c r="F343" s="8">
        <v>1.595</v>
      </c>
      <c r="G343" s="8">
        <v>28.8</v>
      </c>
    </row>
    <row r="344" spans="1:7" x14ac:dyDescent="0.2">
      <c r="A344" t="s">
        <v>11</v>
      </c>
      <c r="B344" s="1">
        <v>43028</v>
      </c>
      <c r="C344" t="s">
        <v>36</v>
      </c>
      <c r="D344" s="8">
        <v>7.86</v>
      </c>
      <c r="E344" s="8">
        <v>30.8</v>
      </c>
      <c r="F344" s="8">
        <v>1.589</v>
      </c>
      <c r="G344" s="8">
        <v>30.8</v>
      </c>
    </row>
    <row r="345" spans="1:7" x14ac:dyDescent="0.2">
      <c r="A345" t="s">
        <v>11</v>
      </c>
      <c r="B345" s="1">
        <v>43028</v>
      </c>
      <c r="C345" t="s">
        <v>36</v>
      </c>
      <c r="D345" s="8">
        <v>8.26</v>
      </c>
      <c r="E345" s="8">
        <v>30.7</v>
      </c>
      <c r="F345" s="8">
        <v>1.5720000000000001</v>
      </c>
      <c r="G345" s="8">
        <v>30.7</v>
      </c>
    </row>
    <row r="346" spans="1:7" x14ac:dyDescent="0.2">
      <c r="A346" t="s">
        <v>11</v>
      </c>
      <c r="B346" s="1">
        <v>43028</v>
      </c>
      <c r="C346" t="s">
        <v>36</v>
      </c>
      <c r="D346" s="8">
        <v>9.18</v>
      </c>
      <c r="E346" s="8">
        <v>29.2</v>
      </c>
      <c r="F346" s="8">
        <v>0.98099999999999998</v>
      </c>
      <c r="G346" s="8">
        <v>29.2</v>
      </c>
    </row>
    <row r="347" spans="1:7" x14ac:dyDescent="0.2">
      <c r="A347" t="s">
        <v>11</v>
      </c>
      <c r="B347" s="1">
        <v>43028</v>
      </c>
      <c r="C347" t="s">
        <v>36</v>
      </c>
      <c r="D347" s="8">
        <v>8.8800000000000008</v>
      </c>
      <c r="E347" s="8">
        <v>28.9</v>
      </c>
      <c r="F347" s="8">
        <v>1.714</v>
      </c>
      <c r="G347" s="8">
        <v>28.8</v>
      </c>
    </row>
    <row r="348" spans="1:7" x14ac:dyDescent="0.2">
      <c r="A348" t="s">
        <v>11</v>
      </c>
      <c r="B348" s="1">
        <v>43028</v>
      </c>
      <c r="C348" t="s">
        <v>36</v>
      </c>
      <c r="D348" s="8">
        <v>8.48</v>
      </c>
      <c r="E348" s="8">
        <v>29.3</v>
      </c>
      <c r="F348" s="8">
        <v>1.7849999999999999</v>
      </c>
      <c r="G348" s="8">
        <v>29.3</v>
      </c>
    </row>
    <row r="349" spans="1:7" x14ac:dyDescent="0.2">
      <c r="A349" t="s">
        <v>11</v>
      </c>
      <c r="B349" s="1">
        <v>43028</v>
      </c>
      <c r="C349" t="s">
        <v>36</v>
      </c>
      <c r="D349" s="8">
        <v>7.03</v>
      </c>
      <c r="E349" s="8">
        <v>30.7</v>
      </c>
      <c r="F349" s="8">
        <v>2.4900000000000002</v>
      </c>
      <c r="G349" s="8">
        <v>30.7</v>
      </c>
    </row>
    <row r="350" spans="1:7" x14ac:dyDescent="0.2">
      <c r="A350" t="s">
        <v>11</v>
      </c>
      <c r="B350" s="1">
        <v>43028</v>
      </c>
      <c r="C350" t="s">
        <v>36</v>
      </c>
      <c r="D350" s="8">
        <v>7.79</v>
      </c>
      <c r="E350" s="8">
        <v>29.5</v>
      </c>
      <c r="F350" s="8">
        <v>2.46</v>
      </c>
      <c r="G350" s="8">
        <v>29.4</v>
      </c>
    </row>
    <row r="351" spans="1:7" x14ac:dyDescent="0.2">
      <c r="A351" t="s">
        <v>11</v>
      </c>
      <c r="B351" s="1">
        <v>43028</v>
      </c>
      <c r="C351" t="s">
        <v>36</v>
      </c>
      <c r="D351" s="8">
        <v>7.92</v>
      </c>
      <c r="E351" s="8">
        <v>30</v>
      </c>
      <c r="F351" s="8">
        <v>2.42</v>
      </c>
      <c r="G351" s="8">
        <v>30.2</v>
      </c>
    </row>
    <row r="352" spans="1:7" x14ac:dyDescent="0.2">
      <c r="A352" t="s">
        <v>11</v>
      </c>
      <c r="B352" s="1">
        <v>43028</v>
      </c>
      <c r="C352" t="s">
        <v>36</v>
      </c>
      <c r="D352" s="8">
        <v>9.14</v>
      </c>
      <c r="E352" s="8">
        <v>29</v>
      </c>
      <c r="F352" s="8">
        <v>1.4379999999999999</v>
      </c>
      <c r="G352" s="8">
        <v>28.8</v>
      </c>
    </row>
    <row r="353" spans="1:7" x14ac:dyDescent="0.2">
      <c r="A353" t="s">
        <v>11</v>
      </c>
      <c r="B353" s="1">
        <v>43028</v>
      </c>
      <c r="C353" t="s">
        <v>36</v>
      </c>
      <c r="D353" s="8">
        <v>9.67</v>
      </c>
      <c r="E353" s="8">
        <v>30.7</v>
      </c>
      <c r="F353" s="8">
        <v>1.1180000000000001</v>
      </c>
      <c r="G353" s="8">
        <v>30.6</v>
      </c>
    </row>
    <row r="354" spans="1:7" x14ac:dyDescent="0.2">
      <c r="A354" t="s">
        <v>11</v>
      </c>
      <c r="B354" s="1">
        <v>43028</v>
      </c>
      <c r="C354" t="s">
        <v>36</v>
      </c>
      <c r="D354" s="8">
        <v>8.68</v>
      </c>
      <c r="E354" s="8">
        <v>31.1</v>
      </c>
      <c r="F354" s="8">
        <v>1.619</v>
      </c>
      <c r="G354" s="8">
        <v>31</v>
      </c>
    </row>
    <row r="355" spans="1:7" x14ac:dyDescent="0.2">
      <c r="A355" t="s">
        <v>11</v>
      </c>
      <c r="B355" s="1">
        <v>43028</v>
      </c>
      <c r="C355" t="s">
        <v>36</v>
      </c>
      <c r="D355" s="8">
        <v>9.3000000000000007</v>
      </c>
      <c r="E355" s="8">
        <v>29</v>
      </c>
      <c r="F355" s="8">
        <v>1.427</v>
      </c>
      <c r="G355" s="8">
        <v>29</v>
      </c>
    </row>
    <row r="356" spans="1:7" x14ac:dyDescent="0.2">
      <c r="A356" t="s">
        <v>11</v>
      </c>
      <c r="B356" s="1">
        <v>43028</v>
      </c>
      <c r="C356" t="s">
        <v>36</v>
      </c>
      <c r="D356" s="8">
        <v>7.67</v>
      </c>
      <c r="E356" s="8">
        <v>28.7</v>
      </c>
      <c r="F356" s="8">
        <v>1.5169999999999999</v>
      </c>
      <c r="G356" s="8">
        <v>28.6</v>
      </c>
    </row>
    <row r="357" spans="1:7" x14ac:dyDescent="0.2">
      <c r="A357" t="s">
        <v>11</v>
      </c>
      <c r="B357" s="1">
        <v>43028</v>
      </c>
      <c r="C357" t="s">
        <v>36</v>
      </c>
      <c r="D357" s="8">
        <v>8.8800000000000008</v>
      </c>
      <c r="E357" s="8">
        <v>29.6</v>
      </c>
      <c r="F357" s="8">
        <v>1.855</v>
      </c>
      <c r="G357" s="8">
        <v>29.5</v>
      </c>
    </row>
    <row r="358" spans="1:7" x14ac:dyDescent="0.2">
      <c r="A358" t="s">
        <v>11</v>
      </c>
      <c r="B358" s="1">
        <v>43028</v>
      </c>
      <c r="C358" t="s">
        <v>36</v>
      </c>
      <c r="D358" s="8">
        <v>7.72</v>
      </c>
      <c r="E358" s="8">
        <v>32.6</v>
      </c>
      <c r="F358" s="8">
        <v>2.65</v>
      </c>
      <c r="G358" s="8">
        <v>32.799999999999997</v>
      </c>
    </row>
    <row r="359" spans="1:7" x14ac:dyDescent="0.2">
      <c r="A359" t="s">
        <v>11</v>
      </c>
      <c r="B359" s="1">
        <v>43028</v>
      </c>
      <c r="C359" t="s">
        <v>36</v>
      </c>
      <c r="D359" s="8">
        <v>8.2200000000000006</v>
      </c>
      <c r="E359" s="8">
        <v>30.8</v>
      </c>
      <c r="F359" s="8">
        <v>1.9419999999999999</v>
      </c>
      <c r="G359" s="8">
        <v>31</v>
      </c>
    </row>
    <row r="360" spans="1:7" x14ac:dyDescent="0.2">
      <c r="A360" t="s">
        <v>11</v>
      </c>
      <c r="B360" s="1">
        <v>43028</v>
      </c>
      <c r="C360" t="s">
        <v>36</v>
      </c>
      <c r="D360" s="8">
        <v>8.7899999999999991</v>
      </c>
      <c r="E360" s="8">
        <v>29.3</v>
      </c>
      <c r="F360" s="8">
        <v>1.548</v>
      </c>
      <c r="G360" s="8">
        <v>29.2</v>
      </c>
    </row>
    <row r="361" spans="1:7" x14ac:dyDescent="0.2">
      <c r="A361" t="s">
        <v>11</v>
      </c>
      <c r="B361" s="1">
        <v>43028</v>
      </c>
      <c r="C361" t="s">
        <v>36</v>
      </c>
      <c r="D361" s="8">
        <v>7.18</v>
      </c>
      <c r="E361" s="8">
        <v>29.3</v>
      </c>
      <c r="F361" s="8">
        <v>2.75</v>
      </c>
      <c r="G361" s="8">
        <v>29.3</v>
      </c>
    </row>
    <row r="362" spans="1:7" x14ac:dyDescent="0.2">
      <c r="A362" t="s">
        <v>11</v>
      </c>
      <c r="B362" s="1">
        <v>43028</v>
      </c>
      <c r="C362" t="s">
        <v>36</v>
      </c>
      <c r="D362" s="8">
        <v>9.1999999999999993</v>
      </c>
      <c r="E362" s="8">
        <v>31.3</v>
      </c>
      <c r="F362" s="8">
        <v>1.3779999999999999</v>
      </c>
      <c r="G362" s="8">
        <v>31.3</v>
      </c>
    </row>
    <row r="363" spans="1:7" x14ac:dyDescent="0.2">
      <c r="A363" t="s">
        <v>11</v>
      </c>
      <c r="B363" s="1">
        <v>43028</v>
      </c>
      <c r="C363" t="s">
        <v>36</v>
      </c>
      <c r="D363" s="8">
        <v>7.61</v>
      </c>
      <c r="E363" s="8">
        <v>30.4</v>
      </c>
      <c r="F363" s="8">
        <v>1.47</v>
      </c>
      <c r="G363" s="8">
        <v>0.2</v>
      </c>
    </row>
    <row r="364" spans="1:7" x14ac:dyDescent="0.2">
      <c r="A364" t="s">
        <v>11</v>
      </c>
      <c r="B364" s="1">
        <v>43028</v>
      </c>
      <c r="C364" t="s">
        <v>36</v>
      </c>
      <c r="D364" s="8">
        <v>7.95</v>
      </c>
      <c r="E364" s="8">
        <v>28.9</v>
      </c>
      <c r="F364" s="8">
        <v>1.3320000000000001</v>
      </c>
      <c r="G364" s="8">
        <v>28.9</v>
      </c>
    </row>
    <row r="365" spans="1:7" x14ac:dyDescent="0.2">
      <c r="A365" t="s">
        <v>11</v>
      </c>
      <c r="B365" s="1">
        <v>43028</v>
      </c>
      <c r="C365" t="s">
        <v>36</v>
      </c>
      <c r="D365" s="8">
        <v>7.64</v>
      </c>
      <c r="E365" s="8">
        <v>29.1</v>
      </c>
      <c r="F365" s="8">
        <v>1.4019999999999999</v>
      </c>
      <c r="G365" s="8">
        <v>29</v>
      </c>
    </row>
    <row r="366" spans="1:7" x14ac:dyDescent="0.2">
      <c r="A366" t="s">
        <v>11</v>
      </c>
      <c r="B366" s="1">
        <v>43028</v>
      </c>
      <c r="C366" t="s">
        <v>36</v>
      </c>
      <c r="D366" s="8">
        <v>8.33</v>
      </c>
      <c r="E366" s="8">
        <v>31.1</v>
      </c>
      <c r="F366" s="8">
        <v>1.631</v>
      </c>
      <c r="G366" s="8">
        <v>31</v>
      </c>
    </row>
    <row r="367" spans="1:7" x14ac:dyDescent="0.2">
      <c r="A367" t="s">
        <v>11</v>
      </c>
      <c r="B367" s="1">
        <v>43028</v>
      </c>
      <c r="C367" t="s">
        <v>36</v>
      </c>
      <c r="D367" s="8">
        <v>7.96</v>
      </c>
      <c r="E367" s="8">
        <v>31.7</v>
      </c>
      <c r="F367" s="8">
        <v>2.2400000000000002</v>
      </c>
      <c r="G367" s="8">
        <v>31.6</v>
      </c>
    </row>
    <row r="368" spans="1:7" x14ac:dyDescent="0.2">
      <c r="A368" t="s">
        <v>11</v>
      </c>
      <c r="B368" s="1">
        <v>43028</v>
      </c>
      <c r="C368" t="s">
        <v>36</v>
      </c>
      <c r="D368" s="8">
        <v>7.79</v>
      </c>
      <c r="E368" s="8">
        <v>30.3</v>
      </c>
      <c r="F368" s="8">
        <v>1.8069999999999999</v>
      </c>
      <c r="G368" s="8">
        <v>30.3</v>
      </c>
    </row>
    <row r="369" spans="1:7" x14ac:dyDescent="0.2">
      <c r="A369" t="s">
        <v>11</v>
      </c>
      <c r="B369" s="1">
        <v>43028</v>
      </c>
      <c r="C369" t="s">
        <v>36</v>
      </c>
      <c r="D369" s="8">
        <v>7.33</v>
      </c>
      <c r="E369" s="8">
        <v>29.9</v>
      </c>
      <c r="F369" s="8">
        <v>2.61</v>
      </c>
      <c r="G369" s="8">
        <v>29.9</v>
      </c>
    </row>
    <row r="370" spans="1:7" x14ac:dyDescent="0.2">
      <c r="A370" t="s">
        <v>11</v>
      </c>
      <c r="B370" s="1">
        <v>43028</v>
      </c>
      <c r="C370" t="s">
        <v>36</v>
      </c>
      <c r="D370" s="8">
        <v>7.28</v>
      </c>
      <c r="E370" s="8">
        <v>29.1</v>
      </c>
      <c r="F370" s="8">
        <v>2.37</v>
      </c>
      <c r="G370" s="8">
        <v>29</v>
      </c>
    </row>
    <row r="371" spans="1:7" x14ac:dyDescent="0.2">
      <c r="A371" t="s">
        <v>11</v>
      </c>
      <c r="B371" s="1">
        <v>43028</v>
      </c>
      <c r="C371" t="s">
        <v>36</v>
      </c>
      <c r="D371" s="8">
        <v>8.59</v>
      </c>
      <c r="E371" s="8">
        <v>31.8</v>
      </c>
      <c r="F371" s="8">
        <v>2.42</v>
      </c>
      <c r="G371" s="8">
        <v>31.8</v>
      </c>
    </row>
    <row r="372" spans="1:7" x14ac:dyDescent="0.2">
      <c r="A372" t="s">
        <v>11</v>
      </c>
      <c r="B372" s="1">
        <v>43028</v>
      </c>
      <c r="C372" t="s">
        <v>36</v>
      </c>
      <c r="D372" s="8">
        <v>7.87</v>
      </c>
      <c r="E372" s="8">
        <v>30.4</v>
      </c>
      <c r="F372" s="8">
        <v>1.5920000000000001</v>
      </c>
      <c r="G372" s="8">
        <v>30.2</v>
      </c>
    </row>
    <row r="373" spans="1:7" x14ac:dyDescent="0.2">
      <c r="A373" t="s">
        <v>11</v>
      </c>
      <c r="B373" s="1">
        <v>43028</v>
      </c>
      <c r="C373" t="s">
        <v>36</v>
      </c>
      <c r="D373" s="8">
        <v>7.26</v>
      </c>
      <c r="E373" s="8">
        <v>29.2</v>
      </c>
      <c r="F373" s="8">
        <v>1.762</v>
      </c>
      <c r="G373" s="8">
        <v>29.1</v>
      </c>
    </row>
    <row r="374" spans="1:7" x14ac:dyDescent="0.2">
      <c r="A374" t="s">
        <v>11</v>
      </c>
      <c r="B374" s="1">
        <v>43028</v>
      </c>
      <c r="C374" t="s">
        <v>36</v>
      </c>
      <c r="D374" s="8">
        <v>0.33</v>
      </c>
      <c r="E374" s="8">
        <v>29.4</v>
      </c>
      <c r="F374" s="8">
        <v>1.5029999999999999</v>
      </c>
      <c r="G374" s="8">
        <v>29.3</v>
      </c>
    </row>
    <row r="375" spans="1:7" x14ac:dyDescent="0.2">
      <c r="A375" t="s">
        <v>11</v>
      </c>
      <c r="B375" s="1">
        <v>43028</v>
      </c>
      <c r="C375" t="s">
        <v>36</v>
      </c>
      <c r="D375" s="8">
        <v>7.58</v>
      </c>
      <c r="E375" s="8">
        <v>30.7</v>
      </c>
      <c r="F375" s="8">
        <v>1.3109999999999999</v>
      </c>
      <c r="G375" s="8">
        <v>30.7</v>
      </c>
    </row>
    <row r="376" spans="1:7" x14ac:dyDescent="0.2">
      <c r="A376" t="s">
        <v>11</v>
      </c>
      <c r="B376" s="1">
        <v>43028</v>
      </c>
      <c r="C376" t="s">
        <v>36</v>
      </c>
      <c r="D376" s="8">
        <v>7.76</v>
      </c>
      <c r="E376" s="8">
        <v>30.6</v>
      </c>
      <c r="F376" s="8">
        <v>1.9359999999999999</v>
      </c>
      <c r="G376" s="8">
        <v>30.6</v>
      </c>
    </row>
    <row r="377" spans="1:7" x14ac:dyDescent="0.2">
      <c r="A377" t="s">
        <v>11</v>
      </c>
      <c r="B377" s="1">
        <v>43028</v>
      </c>
      <c r="C377" t="s">
        <v>36</v>
      </c>
      <c r="D377" s="8">
        <v>7.13</v>
      </c>
      <c r="E377" s="8">
        <v>30.2</v>
      </c>
      <c r="F377" s="8">
        <v>2.7</v>
      </c>
      <c r="G377" s="8">
        <v>30.1</v>
      </c>
    </row>
    <row r="378" spans="1:7" x14ac:dyDescent="0.2">
      <c r="A378" t="s">
        <v>11</v>
      </c>
      <c r="B378" s="1">
        <v>43028</v>
      </c>
      <c r="C378" t="s">
        <v>36</v>
      </c>
      <c r="D378" s="8">
        <v>7.29</v>
      </c>
      <c r="E378" s="8">
        <v>28.9</v>
      </c>
      <c r="F378" s="8">
        <v>2.44</v>
      </c>
      <c r="G378" s="8">
        <v>28.7</v>
      </c>
    </row>
    <row r="379" spans="1:7" x14ac:dyDescent="0.2">
      <c r="A379" t="s">
        <v>11</v>
      </c>
      <c r="B379" s="1">
        <v>43028</v>
      </c>
      <c r="C379" t="s">
        <v>36</v>
      </c>
      <c r="D379" s="8">
        <v>7.32</v>
      </c>
      <c r="E379" s="8">
        <v>28.7</v>
      </c>
      <c r="F379" s="8">
        <v>2.83</v>
      </c>
      <c r="G379" s="8">
        <v>28.8</v>
      </c>
    </row>
    <row r="380" spans="1:7" x14ac:dyDescent="0.2">
      <c r="A380" t="s">
        <v>11</v>
      </c>
      <c r="B380" s="1">
        <v>43028</v>
      </c>
      <c r="C380" t="s">
        <v>36</v>
      </c>
      <c r="D380" s="8">
        <v>8.4600000000000009</v>
      </c>
      <c r="E380" s="8">
        <v>29.8</v>
      </c>
      <c r="F380" s="8">
        <v>1.8759999999999999</v>
      </c>
      <c r="G380" s="8">
        <v>29.8</v>
      </c>
    </row>
    <row r="381" spans="1:7" x14ac:dyDescent="0.2">
      <c r="A381" t="s">
        <v>11</v>
      </c>
      <c r="B381" s="1">
        <v>43028</v>
      </c>
      <c r="C381" t="s">
        <v>36</v>
      </c>
      <c r="D381" s="8">
        <v>7.17</v>
      </c>
      <c r="E381" s="8">
        <v>29</v>
      </c>
      <c r="F381" s="8">
        <v>2.09</v>
      </c>
      <c r="G381" s="8">
        <v>29</v>
      </c>
    </row>
    <row r="382" spans="1:7" x14ac:dyDescent="0.2">
      <c r="A382" t="s">
        <v>11</v>
      </c>
      <c r="B382" s="1">
        <v>43028</v>
      </c>
      <c r="C382" t="s">
        <v>36</v>
      </c>
      <c r="D382" s="8">
        <v>8.69</v>
      </c>
      <c r="E382" s="8">
        <v>28.9</v>
      </c>
      <c r="F382" s="8">
        <v>1.155</v>
      </c>
      <c r="G382" s="8">
        <v>28.8</v>
      </c>
    </row>
    <row r="383" spans="1:7" x14ac:dyDescent="0.2">
      <c r="A383" t="s">
        <v>11</v>
      </c>
      <c r="B383" s="1">
        <v>43028</v>
      </c>
      <c r="C383" t="s">
        <v>36</v>
      </c>
      <c r="D383" s="8">
        <v>9.4499999999999993</v>
      </c>
      <c r="E383" s="8">
        <v>29.2</v>
      </c>
      <c r="F383" s="8">
        <v>1.355</v>
      </c>
      <c r="G383" s="8">
        <v>29.1</v>
      </c>
    </row>
    <row r="384" spans="1:7" x14ac:dyDescent="0.2">
      <c r="A384" t="s">
        <v>11</v>
      </c>
      <c r="B384" s="1">
        <v>43028</v>
      </c>
      <c r="C384" t="s">
        <v>36</v>
      </c>
      <c r="D384" s="8">
        <v>9.09</v>
      </c>
      <c r="E384" s="8">
        <v>31.1</v>
      </c>
      <c r="F384" s="8">
        <v>1.458</v>
      </c>
      <c r="G384" s="8">
        <v>31.2</v>
      </c>
    </row>
    <row r="385" spans="1:7" x14ac:dyDescent="0.2">
      <c r="A385" t="s">
        <v>11</v>
      </c>
      <c r="B385" s="1">
        <v>43028</v>
      </c>
      <c r="C385" t="s">
        <v>36</v>
      </c>
      <c r="D385" s="8">
        <v>8.81</v>
      </c>
      <c r="E385" s="8">
        <v>30.4</v>
      </c>
      <c r="F385" s="8">
        <v>1.496</v>
      </c>
      <c r="G385" s="8">
        <v>30.3</v>
      </c>
    </row>
    <row r="386" spans="1:7" x14ac:dyDescent="0.2">
      <c r="A386" t="s">
        <v>11</v>
      </c>
      <c r="B386" s="1">
        <v>43028</v>
      </c>
      <c r="C386" t="s">
        <v>36</v>
      </c>
      <c r="D386" s="8">
        <v>8.89</v>
      </c>
      <c r="E386" s="8">
        <v>29.9</v>
      </c>
      <c r="F386" s="8">
        <v>1.345</v>
      </c>
      <c r="G386" s="8">
        <v>29.9</v>
      </c>
    </row>
    <row r="387" spans="1:7" x14ac:dyDescent="0.2">
      <c r="A387" t="s">
        <v>11</v>
      </c>
      <c r="B387" s="1">
        <v>43028</v>
      </c>
      <c r="C387" t="s">
        <v>36</v>
      </c>
      <c r="D387" s="8">
        <v>6.91</v>
      </c>
      <c r="E387" s="8">
        <v>29.1</v>
      </c>
      <c r="F387" s="8">
        <v>2.21</v>
      </c>
      <c r="G387" s="8">
        <v>29.1</v>
      </c>
    </row>
    <row r="388" spans="1:7" x14ac:dyDescent="0.2">
      <c r="A388" t="s">
        <v>11</v>
      </c>
      <c r="B388" s="1">
        <v>43028</v>
      </c>
      <c r="C388" t="s">
        <v>36</v>
      </c>
      <c r="D388" s="8">
        <v>8.68</v>
      </c>
      <c r="E388" s="8">
        <v>28.9</v>
      </c>
      <c r="F388" s="8">
        <v>1.8340000000000001</v>
      </c>
      <c r="G388" s="8">
        <v>28.7</v>
      </c>
    </row>
    <row r="389" spans="1:7" x14ac:dyDescent="0.2">
      <c r="A389" t="s">
        <v>11</v>
      </c>
      <c r="B389" s="1">
        <v>43028</v>
      </c>
      <c r="C389" t="s">
        <v>36</v>
      </c>
      <c r="D389" s="8">
        <v>7.29</v>
      </c>
      <c r="E389" s="8">
        <v>31.3</v>
      </c>
      <c r="F389" s="8">
        <v>1.9410000000000001</v>
      </c>
      <c r="G389" s="8">
        <v>31.3</v>
      </c>
    </row>
    <row r="390" spans="1:7" x14ac:dyDescent="0.2">
      <c r="A390" t="s">
        <v>11</v>
      </c>
      <c r="B390" s="1">
        <v>43028</v>
      </c>
      <c r="C390" t="s">
        <v>36</v>
      </c>
      <c r="D390" s="8">
        <v>7.19</v>
      </c>
      <c r="E390" s="8">
        <v>30.4</v>
      </c>
      <c r="F390" s="8">
        <v>3.61</v>
      </c>
      <c r="G390" s="8">
        <v>30.4</v>
      </c>
    </row>
    <row r="391" spans="1:7" x14ac:dyDescent="0.2">
      <c r="A391" t="s">
        <v>11</v>
      </c>
      <c r="B391" s="1">
        <v>43028</v>
      </c>
      <c r="C391" t="s">
        <v>36</v>
      </c>
      <c r="D391" s="8">
        <v>7.21</v>
      </c>
      <c r="E391" s="8">
        <v>28.9</v>
      </c>
      <c r="F391" s="8">
        <v>2.58</v>
      </c>
      <c r="G391" s="8">
        <v>28.9</v>
      </c>
    </row>
    <row r="392" spans="1:7" x14ac:dyDescent="0.2">
      <c r="A392" t="s">
        <v>11</v>
      </c>
      <c r="B392" s="1">
        <v>43028</v>
      </c>
      <c r="C392" t="s">
        <v>36</v>
      </c>
      <c r="D392" s="8">
        <v>7.56</v>
      </c>
      <c r="E392" s="8">
        <v>29.8</v>
      </c>
      <c r="F392" s="8">
        <v>1.4990000000000001</v>
      </c>
      <c r="G392" s="8">
        <v>29.6</v>
      </c>
    </row>
    <row r="393" spans="1:7" x14ac:dyDescent="0.2">
      <c r="A393" t="s">
        <v>11</v>
      </c>
      <c r="B393" s="1">
        <v>43028</v>
      </c>
      <c r="C393" t="s">
        <v>36</v>
      </c>
      <c r="D393" s="8">
        <v>9.5299999999999994</v>
      </c>
      <c r="E393" s="8">
        <v>30.6</v>
      </c>
      <c r="F393" s="8">
        <v>1.161</v>
      </c>
      <c r="G393" s="8">
        <v>30.5</v>
      </c>
    </row>
    <row r="394" spans="1:7" x14ac:dyDescent="0.2">
      <c r="A394" t="s">
        <v>11</v>
      </c>
      <c r="B394" s="1">
        <v>43028</v>
      </c>
      <c r="C394" t="s">
        <v>36</v>
      </c>
      <c r="D394" s="8">
        <v>8.4700000000000006</v>
      </c>
      <c r="E394" s="8">
        <v>30.1</v>
      </c>
      <c r="F394" s="8">
        <v>1.5840000000000001</v>
      </c>
      <c r="G394" s="8">
        <v>30</v>
      </c>
    </row>
    <row r="395" spans="1:7" x14ac:dyDescent="0.2">
      <c r="A395" t="s">
        <v>11</v>
      </c>
      <c r="B395" s="1">
        <v>43028</v>
      </c>
      <c r="C395" t="s">
        <v>36</v>
      </c>
      <c r="D395" s="8">
        <v>8.07</v>
      </c>
      <c r="E395" s="8">
        <v>30</v>
      </c>
      <c r="F395" s="8">
        <v>1.33</v>
      </c>
      <c r="G395" s="8">
        <v>29.9</v>
      </c>
    </row>
    <row r="396" spans="1:7" x14ac:dyDescent="0.2">
      <c r="A396" t="s">
        <v>11</v>
      </c>
      <c r="B396" s="1">
        <v>43028</v>
      </c>
      <c r="C396" t="s">
        <v>36</v>
      </c>
      <c r="D396" s="8">
        <v>7.97</v>
      </c>
      <c r="E396" s="8">
        <v>30.3</v>
      </c>
      <c r="F396" s="8">
        <v>1.58</v>
      </c>
      <c r="G396" s="8">
        <v>20</v>
      </c>
    </row>
    <row r="397" spans="1:7" x14ac:dyDescent="0.2">
      <c r="A397" t="s">
        <v>11</v>
      </c>
      <c r="B397" s="1">
        <v>43028</v>
      </c>
      <c r="C397" t="s">
        <v>36</v>
      </c>
      <c r="D397" s="8">
        <v>7.54</v>
      </c>
      <c r="E397" s="8">
        <v>28.9</v>
      </c>
      <c r="F397" s="8">
        <v>2.88</v>
      </c>
      <c r="G397" s="8">
        <v>28.8</v>
      </c>
    </row>
    <row r="398" spans="1:7" x14ac:dyDescent="0.2">
      <c r="A398" t="s">
        <v>11</v>
      </c>
      <c r="B398" s="1">
        <v>43028</v>
      </c>
      <c r="C398" t="s">
        <v>36</v>
      </c>
      <c r="D398" s="8">
        <v>7.24</v>
      </c>
      <c r="E398" s="8">
        <v>30.5</v>
      </c>
      <c r="F398" s="8">
        <v>2.27</v>
      </c>
      <c r="G398" s="8">
        <v>30.5</v>
      </c>
    </row>
    <row r="399" spans="1:7" x14ac:dyDescent="0.2">
      <c r="A399" t="s">
        <v>11</v>
      </c>
      <c r="B399" s="1">
        <v>43028</v>
      </c>
      <c r="C399" t="s">
        <v>36</v>
      </c>
      <c r="D399" s="8">
        <v>7.4</v>
      </c>
      <c r="E399" s="8">
        <v>30.9</v>
      </c>
      <c r="F399" s="8">
        <v>2.75</v>
      </c>
      <c r="G399" s="8">
        <v>30.8</v>
      </c>
    </row>
    <row r="400" spans="1:7" x14ac:dyDescent="0.2">
      <c r="A400" t="s">
        <v>11</v>
      </c>
      <c r="B400" s="1">
        <v>43028</v>
      </c>
      <c r="C400" t="s">
        <v>36</v>
      </c>
      <c r="D400" s="8">
        <v>7.49</v>
      </c>
      <c r="E400" s="8">
        <v>30.8</v>
      </c>
      <c r="F400" s="8">
        <v>3.08</v>
      </c>
      <c r="G400" s="8">
        <v>30.7</v>
      </c>
    </row>
    <row r="401" spans="1:7" x14ac:dyDescent="0.2">
      <c r="A401" t="s">
        <v>11</v>
      </c>
      <c r="B401" s="1">
        <v>43028</v>
      </c>
      <c r="C401" t="s">
        <v>36</v>
      </c>
      <c r="D401" s="8">
        <v>7.41</v>
      </c>
      <c r="E401" s="8">
        <v>29.5</v>
      </c>
      <c r="F401" s="8">
        <v>2.96</v>
      </c>
      <c r="G401" s="8">
        <v>29.4</v>
      </c>
    </row>
    <row r="402" spans="1:7" x14ac:dyDescent="0.2">
      <c r="A402" t="s">
        <v>682</v>
      </c>
      <c r="B402" s="1">
        <v>43049</v>
      </c>
      <c r="C402" t="s">
        <v>36</v>
      </c>
      <c r="D402" s="8">
        <v>9.6</v>
      </c>
      <c r="E402" s="8">
        <v>25.7</v>
      </c>
      <c r="F402" s="8">
        <v>0.999</v>
      </c>
      <c r="G402" s="8">
        <v>25.6</v>
      </c>
    </row>
    <row r="403" spans="1:7" x14ac:dyDescent="0.2">
      <c r="A403" t="s">
        <v>681</v>
      </c>
      <c r="B403" s="1">
        <v>43049</v>
      </c>
      <c r="C403" t="s">
        <v>36</v>
      </c>
      <c r="D403" s="8">
        <v>8.27</v>
      </c>
      <c r="E403" s="8">
        <v>24.4</v>
      </c>
      <c r="F403" s="8">
        <v>1.3</v>
      </c>
      <c r="G403" s="8">
        <v>24.3</v>
      </c>
    </row>
    <row r="404" spans="1:7" x14ac:dyDescent="0.2">
      <c r="A404" t="s">
        <v>680</v>
      </c>
      <c r="B404" s="1">
        <v>43049</v>
      </c>
      <c r="C404" t="s">
        <v>36</v>
      </c>
      <c r="D404" s="8">
        <v>9</v>
      </c>
      <c r="E404" s="8">
        <v>23.2</v>
      </c>
      <c r="F404" s="8">
        <v>1.4279999999999999</v>
      </c>
      <c r="G404" s="8">
        <v>23.1</v>
      </c>
    </row>
    <row r="405" spans="1:7" x14ac:dyDescent="0.2">
      <c r="A405" t="s">
        <v>679</v>
      </c>
      <c r="B405" s="1">
        <v>43049</v>
      </c>
      <c r="C405" t="s">
        <v>36</v>
      </c>
      <c r="D405" s="8">
        <v>9.2799999999999994</v>
      </c>
      <c r="E405" s="8">
        <v>22.8</v>
      </c>
      <c r="F405" s="8">
        <v>1.544</v>
      </c>
      <c r="G405" s="8">
        <v>21.7</v>
      </c>
    </row>
    <row r="406" spans="1:7" x14ac:dyDescent="0.2">
      <c r="A406" t="s">
        <v>678</v>
      </c>
      <c r="B406" s="1">
        <v>43049</v>
      </c>
      <c r="C406" t="s">
        <v>36</v>
      </c>
      <c r="D406" s="8">
        <v>9.08</v>
      </c>
      <c r="E406" s="8">
        <v>25.1</v>
      </c>
      <c r="F406" s="8">
        <v>1.2070000000000001</v>
      </c>
      <c r="G406" s="8">
        <v>25.2</v>
      </c>
    </row>
    <row r="407" spans="1:7" x14ac:dyDescent="0.2">
      <c r="A407" t="s">
        <v>677</v>
      </c>
      <c r="B407" s="1">
        <v>43049</v>
      </c>
      <c r="C407" t="s">
        <v>36</v>
      </c>
      <c r="D407" s="8">
        <v>7.57</v>
      </c>
      <c r="E407" s="8">
        <v>26.4</v>
      </c>
      <c r="F407" s="8">
        <v>2.2799999999999998</v>
      </c>
      <c r="G407" s="8">
        <v>26.4</v>
      </c>
    </row>
    <row r="408" spans="1:7" x14ac:dyDescent="0.2">
      <c r="A408" t="s">
        <v>676</v>
      </c>
      <c r="B408" s="1">
        <v>43049</v>
      </c>
      <c r="C408" t="s">
        <v>36</v>
      </c>
      <c r="D408" s="8">
        <v>7.34</v>
      </c>
      <c r="E408" s="8">
        <v>21.5</v>
      </c>
      <c r="F408" s="8">
        <v>2.63</v>
      </c>
      <c r="G408" s="8">
        <v>21.4</v>
      </c>
    </row>
    <row r="409" spans="1:7" x14ac:dyDescent="0.2">
      <c r="A409" t="s">
        <v>675</v>
      </c>
      <c r="B409" s="1">
        <v>43049</v>
      </c>
      <c r="C409" t="s">
        <v>36</v>
      </c>
      <c r="D409" s="8">
        <v>7.81</v>
      </c>
      <c r="E409" s="8">
        <v>22.3</v>
      </c>
      <c r="F409" s="8">
        <v>2.54</v>
      </c>
      <c r="G409" s="8">
        <v>22.2</v>
      </c>
    </row>
    <row r="410" spans="1:7" x14ac:dyDescent="0.2">
      <c r="A410" t="s">
        <v>674</v>
      </c>
      <c r="B410" s="1">
        <v>43049</v>
      </c>
      <c r="C410" t="s">
        <v>36</v>
      </c>
      <c r="D410" s="8">
        <v>7.22</v>
      </c>
      <c r="E410" s="8">
        <v>21.7</v>
      </c>
      <c r="F410" s="8">
        <v>2.06</v>
      </c>
      <c r="G410" s="8">
        <v>21.7</v>
      </c>
    </row>
    <row r="411" spans="1:7" x14ac:dyDescent="0.2">
      <c r="A411" t="s">
        <v>673</v>
      </c>
      <c r="B411" s="1">
        <v>43049</v>
      </c>
      <c r="C411" t="s">
        <v>36</v>
      </c>
      <c r="D411" s="8">
        <v>8.08</v>
      </c>
      <c r="E411" s="8">
        <v>24.6</v>
      </c>
      <c r="F411" s="8">
        <v>2.17</v>
      </c>
      <c r="G411" s="8">
        <v>24.6</v>
      </c>
    </row>
    <row r="412" spans="1:7" x14ac:dyDescent="0.2">
      <c r="A412" t="s">
        <v>672</v>
      </c>
      <c r="B412" s="1">
        <v>43049</v>
      </c>
      <c r="C412" t="s">
        <v>36</v>
      </c>
      <c r="D412" s="8">
        <v>8.44</v>
      </c>
      <c r="E412" s="8">
        <v>23.7</v>
      </c>
      <c r="F412" s="8">
        <v>1.3220000000000001</v>
      </c>
      <c r="G412" s="8">
        <v>23.7</v>
      </c>
    </row>
    <row r="413" spans="1:7" x14ac:dyDescent="0.2">
      <c r="A413" t="s">
        <v>671</v>
      </c>
      <c r="B413" s="1">
        <v>43049</v>
      </c>
      <c r="C413" t="s">
        <v>36</v>
      </c>
      <c r="D413" s="8">
        <v>9.11</v>
      </c>
      <c r="E413" s="8">
        <v>22.9</v>
      </c>
      <c r="F413" s="8">
        <v>0.64200000000000002</v>
      </c>
      <c r="G413" s="8">
        <v>22.6</v>
      </c>
    </row>
    <row r="414" spans="1:7" x14ac:dyDescent="0.2">
      <c r="A414" t="s">
        <v>670</v>
      </c>
      <c r="B414" s="1">
        <v>43049</v>
      </c>
      <c r="C414" t="s">
        <v>36</v>
      </c>
      <c r="D414" s="8">
        <v>9.5500000000000007</v>
      </c>
      <c r="E414" s="8">
        <v>21.4</v>
      </c>
      <c r="F414" s="8">
        <v>1.0900000000000001</v>
      </c>
      <c r="G414" s="8">
        <v>21.2</v>
      </c>
    </row>
    <row r="415" spans="1:7" x14ac:dyDescent="0.2">
      <c r="A415" t="s">
        <v>669</v>
      </c>
      <c r="B415" s="1">
        <v>43049</v>
      </c>
      <c r="C415" t="s">
        <v>36</v>
      </c>
      <c r="D415" s="8">
        <v>8.89</v>
      </c>
      <c r="E415" s="8">
        <v>25.5</v>
      </c>
      <c r="F415" s="8">
        <v>1.302</v>
      </c>
      <c r="G415" s="8">
        <v>26.3</v>
      </c>
    </row>
    <row r="416" spans="1:7" x14ac:dyDescent="0.2">
      <c r="A416" t="s">
        <v>668</v>
      </c>
      <c r="B416" s="1">
        <v>43049</v>
      </c>
      <c r="C416" t="s">
        <v>36</v>
      </c>
      <c r="D416" s="8">
        <v>8.5299999999999994</v>
      </c>
      <c r="E416" s="8">
        <v>25.9</v>
      </c>
      <c r="F416" s="8">
        <v>1.4670000000000001</v>
      </c>
      <c r="G416" s="8">
        <v>25.9</v>
      </c>
    </row>
    <row r="417" spans="1:7" x14ac:dyDescent="0.2">
      <c r="A417" t="s">
        <v>667</v>
      </c>
      <c r="B417" s="1">
        <v>43049</v>
      </c>
      <c r="C417" t="s">
        <v>36</v>
      </c>
      <c r="D417" s="8">
        <v>7.1</v>
      </c>
      <c r="E417" s="8">
        <v>23.3</v>
      </c>
      <c r="F417" s="8">
        <v>2.91</v>
      </c>
      <c r="G417" s="8">
        <v>23.2</v>
      </c>
    </row>
    <row r="418" spans="1:7" x14ac:dyDescent="0.2">
      <c r="A418" t="s">
        <v>666</v>
      </c>
      <c r="B418" s="1">
        <v>43049</v>
      </c>
      <c r="C418" t="s">
        <v>36</v>
      </c>
      <c r="D418" s="8">
        <v>6.96</v>
      </c>
      <c r="E418" s="8">
        <v>22.1</v>
      </c>
      <c r="F418" s="8">
        <v>1.865</v>
      </c>
      <c r="G418" s="8">
        <v>22.1</v>
      </c>
    </row>
    <row r="419" spans="1:7" x14ac:dyDescent="0.2">
      <c r="A419" t="s">
        <v>665</v>
      </c>
      <c r="B419" s="1">
        <v>43049</v>
      </c>
      <c r="C419" t="s">
        <v>36</v>
      </c>
      <c r="D419" s="8">
        <v>7.66</v>
      </c>
      <c r="E419" s="8">
        <v>20.7</v>
      </c>
      <c r="F419" s="8">
        <v>1.8759999999999999</v>
      </c>
      <c r="G419" s="8">
        <v>20.7</v>
      </c>
    </row>
    <row r="420" spans="1:7" x14ac:dyDescent="0.2">
      <c r="A420" t="s">
        <v>664</v>
      </c>
      <c r="B420" s="1">
        <v>43049</v>
      </c>
      <c r="C420" t="s">
        <v>36</v>
      </c>
      <c r="D420" s="8">
        <v>7.16</v>
      </c>
      <c r="E420" s="8">
        <v>23.3</v>
      </c>
      <c r="F420" s="8">
        <v>1.9330000000000001</v>
      </c>
      <c r="G420" s="8">
        <v>23.3</v>
      </c>
    </row>
    <row r="421" spans="1:7" x14ac:dyDescent="0.2">
      <c r="A421" t="s">
        <v>663</v>
      </c>
      <c r="B421" s="1">
        <v>43049</v>
      </c>
      <c r="C421" t="s">
        <v>36</v>
      </c>
      <c r="D421" s="8">
        <v>6.99</v>
      </c>
      <c r="E421" s="8">
        <v>22.3</v>
      </c>
      <c r="F421" s="8">
        <v>2.37</v>
      </c>
      <c r="G421" s="8">
        <v>22.3</v>
      </c>
    </row>
    <row r="422" spans="1:7" x14ac:dyDescent="0.2">
      <c r="A422" t="s">
        <v>662</v>
      </c>
      <c r="B422" s="1">
        <v>43049</v>
      </c>
      <c r="C422" t="s">
        <v>36</v>
      </c>
      <c r="D422" s="8">
        <v>8.3800000000000008</v>
      </c>
      <c r="E422" s="8">
        <v>23.4</v>
      </c>
      <c r="F422" s="8">
        <v>1.179</v>
      </c>
      <c r="G422" s="8">
        <v>23.5</v>
      </c>
    </row>
    <row r="423" spans="1:7" x14ac:dyDescent="0.2">
      <c r="A423" t="s">
        <v>661</v>
      </c>
      <c r="B423" s="1">
        <v>43049</v>
      </c>
      <c r="C423" t="s">
        <v>36</v>
      </c>
      <c r="D423" s="8">
        <v>8.89</v>
      </c>
      <c r="E423" s="8">
        <v>22.1</v>
      </c>
      <c r="F423" s="8">
        <v>1.335</v>
      </c>
      <c r="G423" s="8">
        <v>22</v>
      </c>
    </row>
    <row r="424" spans="1:7" x14ac:dyDescent="0.2">
      <c r="A424" t="s">
        <v>660</v>
      </c>
      <c r="B424" s="1">
        <v>43049</v>
      </c>
      <c r="C424" t="s">
        <v>36</v>
      </c>
      <c r="D424" s="8">
        <v>8.02</v>
      </c>
      <c r="E424" s="8">
        <v>25.1</v>
      </c>
      <c r="F424" s="8">
        <v>1.4650000000000001</v>
      </c>
      <c r="G424" s="8">
        <v>24.9</v>
      </c>
    </row>
    <row r="425" spans="1:7" x14ac:dyDescent="0.2">
      <c r="A425" t="s">
        <v>659</v>
      </c>
      <c r="B425" s="1">
        <v>43049</v>
      </c>
      <c r="C425" t="s">
        <v>36</v>
      </c>
      <c r="D425" s="8">
        <v>7.75</v>
      </c>
      <c r="E425" s="8">
        <v>24.1</v>
      </c>
      <c r="F425" s="8">
        <v>1.617</v>
      </c>
      <c r="G425" s="8">
        <v>24.1</v>
      </c>
    </row>
    <row r="426" spans="1:7" x14ac:dyDescent="0.2">
      <c r="A426" t="s">
        <v>658</v>
      </c>
      <c r="B426" s="1">
        <v>43049</v>
      </c>
      <c r="C426" t="s">
        <v>36</v>
      </c>
      <c r="D426" s="8">
        <v>9.2200000000000006</v>
      </c>
      <c r="E426" s="8">
        <v>22.4</v>
      </c>
      <c r="F426" s="8">
        <v>0.61399999999999999</v>
      </c>
      <c r="G426" s="8">
        <v>22.5</v>
      </c>
    </row>
    <row r="427" spans="1:7" x14ac:dyDescent="0.2">
      <c r="A427" t="s">
        <v>657</v>
      </c>
      <c r="B427" s="1">
        <v>43049</v>
      </c>
      <c r="C427" t="s">
        <v>36</v>
      </c>
      <c r="D427" s="8">
        <v>8.86</v>
      </c>
      <c r="E427" s="8">
        <v>22.2</v>
      </c>
      <c r="F427" s="8">
        <v>1.8620000000000001</v>
      </c>
      <c r="G427" s="8">
        <v>22.1</v>
      </c>
    </row>
    <row r="428" spans="1:7" x14ac:dyDescent="0.2">
      <c r="A428" t="s">
        <v>656</v>
      </c>
      <c r="B428" s="1">
        <v>43049</v>
      </c>
      <c r="C428" t="s">
        <v>36</v>
      </c>
      <c r="D428" s="8">
        <v>7.97</v>
      </c>
      <c r="E428" s="8">
        <v>22.2</v>
      </c>
      <c r="F428" s="8">
        <v>2.06</v>
      </c>
      <c r="G428" s="8">
        <v>22.1</v>
      </c>
    </row>
    <row r="429" spans="1:7" x14ac:dyDescent="0.2">
      <c r="A429" t="s">
        <v>655</v>
      </c>
      <c r="B429" s="1">
        <v>43049</v>
      </c>
      <c r="C429" t="s">
        <v>36</v>
      </c>
      <c r="D429" s="8">
        <v>7.3</v>
      </c>
      <c r="E429" s="8">
        <v>23.8</v>
      </c>
      <c r="F429" s="8">
        <v>1.9179999999999999</v>
      </c>
      <c r="G429" s="8">
        <v>23.8</v>
      </c>
    </row>
    <row r="430" spans="1:7" x14ac:dyDescent="0.2">
      <c r="A430" t="s">
        <v>654</v>
      </c>
      <c r="B430" s="1">
        <v>43049</v>
      </c>
      <c r="C430" t="s">
        <v>36</v>
      </c>
      <c r="D430" s="8">
        <v>7.39</v>
      </c>
      <c r="E430" s="8">
        <v>22.2</v>
      </c>
      <c r="F430" s="8">
        <v>2.5</v>
      </c>
      <c r="G430" s="8">
        <v>22.1</v>
      </c>
    </row>
    <row r="431" spans="1:7" x14ac:dyDescent="0.2">
      <c r="A431" t="s">
        <v>653</v>
      </c>
      <c r="B431" s="1">
        <v>43049</v>
      </c>
      <c r="C431" t="s">
        <v>36</v>
      </c>
      <c r="D431" s="8">
        <v>7.58</v>
      </c>
      <c r="E431" s="8">
        <v>21.3</v>
      </c>
      <c r="F431" s="8">
        <v>2.0099999999999998</v>
      </c>
      <c r="G431" s="8">
        <v>21.3</v>
      </c>
    </row>
    <row r="432" spans="1:7" x14ac:dyDescent="0.2">
      <c r="A432" t="s">
        <v>652</v>
      </c>
      <c r="B432" s="1">
        <v>43049</v>
      </c>
      <c r="C432" t="s">
        <v>36</v>
      </c>
      <c r="D432" s="8">
        <v>9.16</v>
      </c>
      <c r="E432" s="8">
        <v>22.3</v>
      </c>
      <c r="F432" s="8">
        <v>1.452</v>
      </c>
      <c r="G432" s="8">
        <v>22.2</v>
      </c>
    </row>
    <row r="433" spans="1:7" x14ac:dyDescent="0.2">
      <c r="A433" t="s">
        <v>651</v>
      </c>
      <c r="B433" s="1">
        <v>43049</v>
      </c>
      <c r="C433" t="s">
        <v>36</v>
      </c>
      <c r="D433" s="8">
        <v>9.07</v>
      </c>
      <c r="E433" s="8">
        <v>24.7</v>
      </c>
      <c r="F433" s="8">
        <v>1.323</v>
      </c>
      <c r="G433" s="8">
        <v>24.6</v>
      </c>
    </row>
    <row r="434" spans="1:7" x14ac:dyDescent="0.2">
      <c r="A434" t="s">
        <v>650</v>
      </c>
      <c r="B434" s="1">
        <v>43049</v>
      </c>
      <c r="C434" t="s">
        <v>36</v>
      </c>
      <c r="D434" s="8">
        <v>8.4700000000000006</v>
      </c>
      <c r="E434" s="8">
        <v>23.4</v>
      </c>
      <c r="F434" s="8">
        <v>1.5449999999999999</v>
      </c>
      <c r="G434" s="8">
        <v>23.2</v>
      </c>
    </row>
    <row r="435" spans="1:7" x14ac:dyDescent="0.2">
      <c r="A435" t="s">
        <v>649</v>
      </c>
      <c r="B435" s="1">
        <v>43049</v>
      </c>
      <c r="C435" t="s">
        <v>36</v>
      </c>
      <c r="D435" s="8">
        <v>9.25</v>
      </c>
      <c r="E435" s="8">
        <v>23.3</v>
      </c>
      <c r="F435" s="8">
        <v>1.2669999999999999</v>
      </c>
      <c r="G435" s="8">
        <v>23.1</v>
      </c>
    </row>
    <row r="436" spans="1:7" x14ac:dyDescent="0.2">
      <c r="A436" t="s">
        <v>648</v>
      </c>
      <c r="B436" s="1">
        <v>43049</v>
      </c>
      <c r="C436" t="s">
        <v>36</v>
      </c>
      <c r="D436" s="8">
        <v>7.57</v>
      </c>
      <c r="E436" s="8">
        <v>21.5</v>
      </c>
      <c r="F436" s="8">
        <v>1.4890000000000001</v>
      </c>
      <c r="G436" s="8">
        <v>21.4</v>
      </c>
    </row>
    <row r="437" spans="1:7" x14ac:dyDescent="0.2">
      <c r="A437" t="s">
        <v>647</v>
      </c>
      <c r="B437" s="1">
        <v>43049</v>
      </c>
      <c r="C437" t="s">
        <v>36</v>
      </c>
      <c r="D437" s="8">
        <v>8.19</v>
      </c>
      <c r="E437" s="8">
        <v>21.4</v>
      </c>
      <c r="F437" s="8">
        <v>1.8080000000000001</v>
      </c>
      <c r="G437" s="8">
        <v>21.3</v>
      </c>
    </row>
    <row r="438" spans="1:7" x14ac:dyDescent="0.2">
      <c r="A438" t="s">
        <v>646</v>
      </c>
      <c r="B438" s="1">
        <v>43049</v>
      </c>
      <c r="C438" t="s">
        <v>36</v>
      </c>
      <c r="D438" s="8">
        <v>7.06</v>
      </c>
      <c r="E438" s="8">
        <v>26.1</v>
      </c>
      <c r="F438" s="8">
        <v>2.4500000000000002</v>
      </c>
      <c r="G438" s="8">
        <v>26.2</v>
      </c>
    </row>
    <row r="439" spans="1:7" x14ac:dyDescent="0.2">
      <c r="A439" t="s">
        <v>645</v>
      </c>
      <c r="B439" s="1">
        <v>43049</v>
      </c>
      <c r="C439" t="s">
        <v>36</v>
      </c>
      <c r="D439" s="8">
        <v>8.4</v>
      </c>
      <c r="E439" s="8">
        <v>24.5</v>
      </c>
      <c r="F439" s="8">
        <v>1.62</v>
      </c>
      <c r="G439" s="8">
        <v>24.8</v>
      </c>
    </row>
    <row r="440" spans="1:7" x14ac:dyDescent="0.2">
      <c r="A440" t="s">
        <v>644</v>
      </c>
      <c r="B440" s="1">
        <v>43049</v>
      </c>
      <c r="C440" t="s">
        <v>36</v>
      </c>
      <c r="D440" s="8">
        <v>8.86</v>
      </c>
      <c r="E440" s="8">
        <v>23.5</v>
      </c>
      <c r="F440" s="8">
        <v>1.712</v>
      </c>
      <c r="G440" s="8">
        <v>23.4</v>
      </c>
    </row>
    <row r="441" spans="1:7" x14ac:dyDescent="0.2">
      <c r="A441" t="s">
        <v>643</v>
      </c>
      <c r="B441" s="1">
        <v>43049</v>
      </c>
      <c r="C441" t="s">
        <v>36</v>
      </c>
      <c r="D441" s="8">
        <v>7.26</v>
      </c>
      <c r="E441" s="8">
        <v>22.4</v>
      </c>
      <c r="F441" s="8">
        <v>2.2799999999999998</v>
      </c>
      <c r="G441" s="8">
        <v>22.3</v>
      </c>
    </row>
    <row r="442" spans="1:7" x14ac:dyDescent="0.2">
      <c r="A442" t="s">
        <v>642</v>
      </c>
      <c r="B442" s="1">
        <v>43049</v>
      </c>
      <c r="C442" t="s">
        <v>36</v>
      </c>
      <c r="D442" s="8">
        <v>8.43</v>
      </c>
      <c r="E442" s="8">
        <v>26.4</v>
      </c>
      <c r="F442" s="8">
        <v>1.6759999999999999</v>
      </c>
      <c r="G442" s="8">
        <v>26.3</v>
      </c>
    </row>
    <row r="443" spans="1:7" x14ac:dyDescent="0.2">
      <c r="A443" t="s">
        <v>641</v>
      </c>
      <c r="B443" s="1">
        <v>43049</v>
      </c>
      <c r="C443" t="s">
        <v>36</v>
      </c>
      <c r="D443" s="8">
        <v>7.95</v>
      </c>
      <c r="E443" s="8">
        <v>23.8</v>
      </c>
      <c r="F443" s="8">
        <v>1.6779999999999999</v>
      </c>
      <c r="G443" s="8">
        <v>23.7</v>
      </c>
    </row>
    <row r="444" spans="1:7" x14ac:dyDescent="0.2">
      <c r="A444" t="s">
        <v>640</v>
      </c>
      <c r="B444" s="1">
        <v>43049</v>
      </c>
      <c r="C444" t="s">
        <v>36</v>
      </c>
      <c r="D444" s="8">
        <v>8.14</v>
      </c>
      <c r="E444" s="8">
        <v>21.7</v>
      </c>
      <c r="F444" s="8">
        <v>1.365</v>
      </c>
      <c r="G444" s="8">
        <v>21.7</v>
      </c>
    </row>
    <row r="445" spans="1:7" x14ac:dyDescent="0.2">
      <c r="A445" t="s">
        <v>639</v>
      </c>
      <c r="B445" s="1">
        <v>43049</v>
      </c>
      <c r="C445" t="s">
        <v>36</v>
      </c>
      <c r="D445" s="8">
        <v>8.15</v>
      </c>
      <c r="E445" s="8">
        <v>22.9</v>
      </c>
      <c r="F445" s="8">
        <v>1.4930000000000001</v>
      </c>
      <c r="G445" s="8">
        <v>22.8</v>
      </c>
    </row>
    <row r="446" spans="1:7" x14ac:dyDescent="0.2">
      <c r="A446" t="s">
        <v>638</v>
      </c>
      <c r="B446" s="1">
        <v>43049</v>
      </c>
      <c r="C446" t="s">
        <v>36</v>
      </c>
      <c r="D446" s="8">
        <v>8.66</v>
      </c>
      <c r="E446" s="8">
        <v>24.8</v>
      </c>
      <c r="F446" s="8">
        <v>1.482</v>
      </c>
      <c r="G446" s="8">
        <v>24.8</v>
      </c>
    </row>
    <row r="447" spans="1:7" x14ac:dyDescent="0.2">
      <c r="A447" t="s">
        <v>637</v>
      </c>
      <c r="B447" s="1">
        <v>43049</v>
      </c>
      <c r="C447" t="s">
        <v>36</v>
      </c>
      <c r="D447" s="8">
        <v>7.71</v>
      </c>
      <c r="E447" s="8">
        <v>25.1</v>
      </c>
      <c r="F447" s="8">
        <v>1.9830000000000001</v>
      </c>
      <c r="G447" s="8">
        <v>25.2</v>
      </c>
    </row>
    <row r="448" spans="1:7" x14ac:dyDescent="0.2">
      <c r="A448" t="s">
        <v>636</v>
      </c>
      <c r="B448" s="1">
        <v>43049</v>
      </c>
      <c r="C448" t="s">
        <v>36</v>
      </c>
      <c r="D448" s="8">
        <v>7.92</v>
      </c>
      <c r="E448" s="8">
        <v>24.5</v>
      </c>
      <c r="F448" s="8">
        <v>1.855</v>
      </c>
      <c r="G448" s="8">
        <v>24.4</v>
      </c>
    </row>
    <row r="449" spans="1:7" x14ac:dyDescent="0.2">
      <c r="A449" t="s">
        <v>635</v>
      </c>
      <c r="B449" s="1">
        <v>43049</v>
      </c>
      <c r="C449" t="s">
        <v>36</v>
      </c>
      <c r="D449" s="8">
        <v>7.28</v>
      </c>
      <c r="E449" s="8">
        <v>23.7</v>
      </c>
      <c r="F449" s="8">
        <v>2.7</v>
      </c>
      <c r="G449" s="8">
        <v>23.7</v>
      </c>
    </row>
    <row r="450" spans="1:7" x14ac:dyDescent="0.2">
      <c r="A450" t="s">
        <v>634</v>
      </c>
      <c r="B450" s="1">
        <v>43049</v>
      </c>
      <c r="C450" t="s">
        <v>36</v>
      </c>
      <c r="D450" s="8">
        <v>6.94</v>
      </c>
      <c r="E450" s="8">
        <v>22.4</v>
      </c>
      <c r="F450" s="8">
        <v>2.16</v>
      </c>
      <c r="G450" s="8">
        <v>22.3</v>
      </c>
    </row>
    <row r="451" spans="1:7" x14ac:dyDescent="0.2">
      <c r="A451" t="s">
        <v>633</v>
      </c>
      <c r="B451" s="1">
        <v>43049</v>
      </c>
      <c r="C451" t="s">
        <v>36</v>
      </c>
      <c r="D451" s="8">
        <v>7.78</v>
      </c>
      <c r="E451" s="8">
        <v>24.9</v>
      </c>
      <c r="F451" s="8">
        <v>2.17</v>
      </c>
      <c r="G451" s="8">
        <v>25</v>
      </c>
    </row>
    <row r="452" spans="1:7" x14ac:dyDescent="0.2">
      <c r="A452" t="s">
        <v>632</v>
      </c>
      <c r="B452" s="1">
        <v>43049</v>
      </c>
      <c r="C452" t="s">
        <v>36</v>
      </c>
      <c r="D452" s="8">
        <v>7.89</v>
      </c>
      <c r="E452" s="8">
        <v>23.8</v>
      </c>
      <c r="F452" s="8">
        <v>1.5920000000000001</v>
      </c>
      <c r="G452" s="8">
        <v>23.7</v>
      </c>
    </row>
    <row r="453" spans="1:7" x14ac:dyDescent="0.2">
      <c r="A453" t="s">
        <v>631</v>
      </c>
      <c r="B453" s="1">
        <v>43049</v>
      </c>
      <c r="C453" t="s">
        <v>36</v>
      </c>
      <c r="D453" s="8">
        <v>7.46</v>
      </c>
      <c r="E453" s="8">
        <v>22.6</v>
      </c>
      <c r="F453" s="8">
        <v>1.5509999999999999</v>
      </c>
      <c r="G453" s="8">
        <v>22.5</v>
      </c>
    </row>
    <row r="454" spans="1:7" x14ac:dyDescent="0.2">
      <c r="A454" t="s">
        <v>630</v>
      </c>
      <c r="B454" s="1">
        <v>43049</v>
      </c>
      <c r="C454" t="s">
        <v>36</v>
      </c>
      <c r="D454" s="8">
        <v>7.82</v>
      </c>
      <c r="E454" s="8">
        <v>22.6</v>
      </c>
      <c r="F454" s="8">
        <v>1.373</v>
      </c>
      <c r="G454" s="8">
        <v>22.5</v>
      </c>
    </row>
    <row r="455" spans="1:7" x14ac:dyDescent="0.2">
      <c r="A455" t="s">
        <v>629</v>
      </c>
      <c r="B455" s="1">
        <v>43049</v>
      </c>
      <c r="C455" t="s">
        <v>36</v>
      </c>
      <c r="D455" s="8">
        <v>7.39</v>
      </c>
      <c r="E455" s="8">
        <v>24.9</v>
      </c>
      <c r="F455" s="8">
        <v>1.8480000000000001</v>
      </c>
      <c r="G455" s="8">
        <v>24.8</v>
      </c>
    </row>
    <row r="456" spans="1:7" x14ac:dyDescent="0.2">
      <c r="A456" t="s">
        <v>628</v>
      </c>
      <c r="B456" s="1">
        <v>43049</v>
      </c>
      <c r="C456" t="s">
        <v>36</v>
      </c>
      <c r="D456" s="8">
        <v>8.0299999999999994</v>
      </c>
      <c r="E456" s="8">
        <v>24.5</v>
      </c>
      <c r="F456" s="8">
        <v>0.96399999999999997</v>
      </c>
      <c r="G456" s="8">
        <v>24.5</v>
      </c>
    </row>
    <row r="457" spans="1:7" x14ac:dyDescent="0.2">
      <c r="A457" t="s">
        <v>627</v>
      </c>
      <c r="B457" s="1">
        <v>43049</v>
      </c>
      <c r="C457" t="s">
        <v>36</v>
      </c>
      <c r="D457" s="8">
        <v>7</v>
      </c>
      <c r="E457" s="8">
        <v>23.3</v>
      </c>
      <c r="F457" s="8">
        <v>2.4</v>
      </c>
      <c r="G457" s="8">
        <v>23.3</v>
      </c>
    </row>
    <row r="458" spans="1:7" x14ac:dyDescent="0.2">
      <c r="A458" t="s">
        <v>626</v>
      </c>
      <c r="B458" s="1">
        <v>43049</v>
      </c>
      <c r="C458" t="s">
        <v>36</v>
      </c>
      <c r="D458" s="8">
        <v>7.52</v>
      </c>
      <c r="E458" s="8">
        <v>20.7</v>
      </c>
      <c r="F458" s="8">
        <v>2.0699999999999998</v>
      </c>
      <c r="G458" s="8">
        <v>20.7</v>
      </c>
    </row>
    <row r="459" spans="1:7" x14ac:dyDescent="0.2">
      <c r="A459" t="s">
        <v>625</v>
      </c>
      <c r="B459" s="1">
        <v>43049</v>
      </c>
      <c r="C459" t="s">
        <v>36</v>
      </c>
      <c r="D459" s="8">
        <v>6.84</v>
      </c>
      <c r="E459" s="8">
        <v>20.9</v>
      </c>
      <c r="F459" s="8">
        <v>2.27</v>
      </c>
      <c r="G459" s="8">
        <v>20.9</v>
      </c>
    </row>
    <row r="460" spans="1:7" x14ac:dyDescent="0.2">
      <c r="A460" t="s">
        <v>624</v>
      </c>
      <c r="B460" s="1">
        <v>43049</v>
      </c>
      <c r="C460" t="s">
        <v>36</v>
      </c>
      <c r="D460" s="8">
        <v>7.96</v>
      </c>
      <c r="E460" s="8">
        <v>22.7</v>
      </c>
      <c r="F460" s="8">
        <v>1.8939999999999999</v>
      </c>
      <c r="G460" s="8">
        <v>22.8</v>
      </c>
    </row>
    <row r="461" spans="1:7" x14ac:dyDescent="0.2">
      <c r="A461" t="s">
        <v>623</v>
      </c>
      <c r="B461" s="1">
        <v>43049</v>
      </c>
      <c r="C461" t="s">
        <v>36</v>
      </c>
      <c r="D461" s="8">
        <v>7.02</v>
      </c>
      <c r="E461" s="8">
        <v>21.6</v>
      </c>
      <c r="F461" s="8">
        <v>2.16</v>
      </c>
      <c r="G461" s="8">
        <v>21.6</v>
      </c>
    </row>
    <row r="462" spans="1:7" x14ac:dyDescent="0.2">
      <c r="A462" t="s">
        <v>622</v>
      </c>
      <c r="B462" s="1">
        <v>43049</v>
      </c>
      <c r="C462" t="s">
        <v>36</v>
      </c>
      <c r="D462" s="8">
        <v>8.98</v>
      </c>
      <c r="E462" s="8">
        <v>20.8</v>
      </c>
      <c r="F462" s="8">
        <v>1.0429999999999999</v>
      </c>
      <c r="G462" s="8">
        <v>20.8</v>
      </c>
    </row>
    <row r="463" spans="1:7" x14ac:dyDescent="0.2">
      <c r="A463" t="s">
        <v>621</v>
      </c>
      <c r="B463" s="1">
        <v>43049</v>
      </c>
      <c r="C463" t="s">
        <v>36</v>
      </c>
      <c r="D463" s="8">
        <v>10.050000000000001</v>
      </c>
      <c r="E463" s="8">
        <v>21.1</v>
      </c>
      <c r="F463" s="8">
        <v>1.1339999999999999</v>
      </c>
      <c r="G463" s="8">
        <v>21</v>
      </c>
    </row>
    <row r="464" spans="1:7" x14ac:dyDescent="0.2">
      <c r="A464" t="s">
        <v>620</v>
      </c>
      <c r="B464" s="1">
        <v>43049</v>
      </c>
      <c r="C464" t="s">
        <v>36</v>
      </c>
      <c r="D464" s="8">
        <v>9.14</v>
      </c>
      <c r="E464" s="8">
        <v>25.2</v>
      </c>
      <c r="F464" s="8">
        <v>1.488</v>
      </c>
      <c r="G464" s="8">
        <v>25.4</v>
      </c>
    </row>
    <row r="465" spans="1:7" x14ac:dyDescent="0.2">
      <c r="A465" t="s">
        <v>619</v>
      </c>
      <c r="B465" s="1">
        <v>43049</v>
      </c>
      <c r="C465" t="s">
        <v>36</v>
      </c>
      <c r="D465" s="8">
        <v>9.0299999999999994</v>
      </c>
      <c r="E465" s="8">
        <v>23.2</v>
      </c>
      <c r="F465" s="8">
        <v>1.3149999999999999</v>
      </c>
      <c r="G465" s="8">
        <v>23.1</v>
      </c>
    </row>
    <row r="466" spans="1:7" x14ac:dyDescent="0.2">
      <c r="A466" t="s">
        <v>618</v>
      </c>
      <c r="B466" s="1">
        <v>43049</v>
      </c>
      <c r="C466" t="s">
        <v>36</v>
      </c>
      <c r="D466" s="8">
        <v>8.9600000000000009</v>
      </c>
      <c r="E466" s="8">
        <v>23.1</v>
      </c>
      <c r="F466" s="8">
        <v>1.2929999999999999</v>
      </c>
      <c r="G466" s="8">
        <v>23.1</v>
      </c>
    </row>
    <row r="467" spans="1:7" x14ac:dyDescent="0.2">
      <c r="A467" t="s">
        <v>617</v>
      </c>
      <c r="B467" s="1">
        <v>43049</v>
      </c>
      <c r="C467" t="s">
        <v>36</v>
      </c>
      <c r="D467" s="8">
        <v>8.16</v>
      </c>
      <c r="E467" s="8">
        <v>20.2</v>
      </c>
      <c r="F467" s="8">
        <v>1.5529999999999999</v>
      </c>
      <c r="G467" s="8">
        <v>20.100000000000001</v>
      </c>
    </row>
    <row r="468" spans="1:7" x14ac:dyDescent="0.2">
      <c r="A468" t="s">
        <v>615</v>
      </c>
      <c r="B468" s="1">
        <v>43049</v>
      </c>
      <c r="C468" t="s">
        <v>36</v>
      </c>
      <c r="D468" s="8">
        <v>7.12</v>
      </c>
      <c r="E468" s="8">
        <v>25.1</v>
      </c>
      <c r="F468" s="8">
        <v>1.96</v>
      </c>
      <c r="G468" s="8">
        <v>25.2</v>
      </c>
    </row>
    <row r="469" spans="1:7" x14ac:dyDescent="0.2">
      <c r="A469" t="s">
        <v>614</v>
      </c>
      <c r="B469" s="1">
        <v>43049</v>
      </c>
      <c r="C469" t="s">
        <v>36</v>
      </c>
      <c r="D469" s="8">
        <v>7.03</v>
      </c>
      <c r="E469" s="8">
        <v>24</v>
      </c>
      <c r="F469" s="8">
        <v>2.82</v>
      </c>
      <c r="G469" s="8">
        <v>24</v>
      </c>
    </row>
    <row r="470" spans="1:7" x14ac:dyDescent="0.2">
      <c r="A470" t="s">
        <v>613</v>
      </c>
      <c r="B470" s="1">
        <v>43049</v>
      </c>
      <c r="C470" t="s">
        <v>36</v>
      </c>
      <c r="D470" s="8">
        <v>6.98</v>
      </c>
      <c r="E470" s="8">
        <v>21.7</v>
      </c>
      <c r="F470" s="8">
        <v>2.44</v>
      </c>
      <c r="G470" s="8">
        <v>21.6</v>
      </c>
    </row>
    <row r="471" spans="1:7" x14ac:dyDescent="0.2">
      <c r="A471" t="s">
        <v>612</v>
      </c>
      <c r="B471" s="1">
        <v>43049</v>
      </c>
      <c r="C471" t="s">
        <v>36</v>
      </c>
      <c r="D471" s="8">
        <v>7.96</v>
      </c>
      <c r="E471" s="8">
        <v>21.7</v>
      </c>
      <c r="F471" s="8">
        <v>1.5149999999999999</v>
      </c>
      <c r="G471" s="8">
        <v>21.7</v>
      </c>
    </row>
    <row r="472" spans="1:7" x14ac:dyDescent="0.2">
      <c r="A472" t="s">
        <v>611</v>
      </c>
      <c r="B472" s="1">
        <v>43049</v>
      </c>
      <c r="C472" t="s">
        <v>36</v>
      </c>
      <c r="D472" s="8">
        <v>8.74</v>
      </c>
      <c r="E472" s="8">
        <v>23.4</v>
      </c>
      <c r="F472" s="8">
        <v>1.4059999999999999</v>
      </c>
      <c r="G472" s="8">
        <v>23.3</v>
      </c>
    </row>
    <row r="473" spans="1:7" x14ac:dyDescent="0.2">
      <c r="A473" t="s">
        <v>610</v>
      </c>
      <c r="B473" s="1">
        <v>43049</v>
      </c>
      <c r="C473" t="s">
        <v>36</v>
      </c>
      <c r="D473" s="8">
        <v>8.31</v>
      </c>
      <c r="E473" s="8">
        <v>21.9</v>
      </c>
      <c r="F473" s="8">
        <v>1.5940000000000001</v>
      </c>
      <c r="G473" s="8">
        <v>21.8</v>
      </c>
    </row>
    <row r="474" spans="1:7" x14ac:dyDescent="0.2">
      <c r="A474" t="s">
        <v>609</v>
      </c>
      <c r="B474" s="1">
        <v>43049</v>
      </c>
      <c r="C474" t="s">
        <v>36</v>
      </c>
      <c r="D474" s="8">
        <v>8.65</v>
      </c>
      <c r="E474" s="8">
        <v>22.3</v>
      </c>
      <c r="F474" s="8">
        <v>1.41</v>
      </c>
      <c r="G474" s="8">
        <v>22.5</v>
      </c>
    </row>
    <row r="475" spans="1:7" x14ac:dyDescent="0.2">
      <c r="A475" t="s">
        <v>608</v>
      </c>
      <c r="B475" s="1">
        <v>43049</v>
      </c>
      <c r="C475" t="s">
        <v>36</v>
      </c>
      <c r="D475" s="8">
        <v>8.51</v>
      </c>
      <c r="E475" s="8">
        <v>22.2</v>
      </c>
      <c r="F475" s="8">
        <v>1.51</v>
      </c>
      <c r="G475" s="8">
        <v>22.1</v>
      </c>
    </row>
    <row r="476" spans="1:7" x14ac:dyDescent="0.2">
      <c r="A476" t="s">
        <v>607</v>
      </c>
      <c r="B476" s="1">
        <v>43049</v>
      </c>
      <c r="C476" t="s">
        <v>36</v>
      </c>
      <c r="D476" s="8">
        <v>7.95</v>
      </c>
      <c r="E476" s="8">
        <v>21.6</v>
      </c>
      <c r="F476" s="8">
        <v>2.9</v>
      </c>
      <c r="G476" s="8">
        <v>21.5</v>
      </c>
    </row>
    <row r="477" spans="1:7" x14ac:dyDescent="0.2">
      <c r="A477" t="s">
        <v>606</v>
      </c>
      <c r="B477" s="1">
        <v>43049</v>
      </c>
      <c r="C477" t="s">
        <v>36</v>
      </c>
      <c r="D477" s="8">
        <v>6.98</v>
      </c>
      <c r="E477" s="8">
        <v>23.6</v>
      </c>
      <c r="F477" s="8">
        <v>1.946</v>
      </c>
      <c r="G477" s="8">
        <v>23.6</v>
      </c>
    </row>
    <row r="478" spans="1:7" x14ac:dyDescent="0.2">
      <c r="A478" t="s">
        <v>605</v>
      </c>
      <c r="B478" s="1">
        <v>43049</v>
      </c>
      <c r="C478" t="s">
        <v>36</v>
      </c>
      <c r="D478" s="8">
        <v>6.98</v>
      </c>
      <c r="E478" s="8">
        <v>23.3</v>
      </c>
      <c r="F478" s="8">
        <v>3.08</v>
      </c>
      <c r="G478" s="8">
        <v>23.3</v>
      </c>
    </row>
    <row r="479" spans="1:7" x14ac:dyDescent="0.2">
      <c r="A479" t="s">
        <v>604</v>
      </c>
      <c r="B479" s="1">
        <v>43049</v>
      </c>
      <c r="C479" t="s">
        <v>36</v>
      </c>
      <c r="D479" s="8">
        <v>6.95</v>
      </c>
      <c r="E479" s="8">
        <v>24.8</v>
      </c>
      <c r="F479" s="8">
        <v>3.14</v>
      </c>
      <c r="G479" s="8">
        <v>24.7</v>
      </c>
    </row>
    <row r="480" spans="1:7" x14ac:dyDescent="0.2">
      <c r="A480" t="s">
        <v>603</v>
      </c>
      <c r="B480" s="1">
        <v>43049</v>
      </c>
      <c r="C480" t="s">
        <v>36</v>
      </c>
      <c r="D480" s="8">
        <v>7.2</v>
      </c>
      <c r="E480" s="8">
        <v>22.8</v>
      </c>
      <c r="F480" s="8">
        <v>2.98</v>
      </c>
      <c r="G480" s="8">
        <v>22.7</v>
      </c>
    </row>
    <row r="481" spans="1:7" x14ac:dyDescent="0.2">
      <c r="A481" t="s">
        <v>616</v>
      </c>
      <c r="B481" s="1">
        <v>43052</v>
      </c>
      <c r="C481" t="s">
        <v>36</v>
      </c>
      <c r="D481" s="8">
        <v>7.56</v>
      </c>
      <c r="E481" s="8">
        <v>23.8</v>
      </c>
      <c r="F481" s="8">
        <v>1.5009999999999999</v>
      </c>
      <c r="G481" s="8">
        <v>23.8</v>
      </c>
    </row>
    <row r="482" spans="1:7" x14ac:dyDescent="0.2">
      <c r="A482" t="s">
        <v>11</v>
      </c>
      <c r="B482" s="1">
        <v>43132</v>
      </c>
      <c r="C482" t="s">
        <v>65</v>
      </c>
      <c r="D482" s="8">
        <v>9.9</v>
      </c>
      <c r="E482" s="8">
        <v>23.3</v>
      </c>
      <c r="F482" s="8">
        <v>0.72199999999999998</v>
      </c>
      <c r="G482" s="8">
        <v>23</v>
      </c>
    </row>
    <row r="483" spans="1:7" x14ac:dyDescent="0.2">
      <c r="A483" t="s">
        <v>11</v>
      </c>
      <c r="B483" s="1">
        <v>43132</v>
      </c>
      <c r="C483" t="s">
        <v>65</v>
      </c>
      <c r="D483" s="8">
        <v>8.35</v>
      </c>
      <c r="E483" s="8">
        <v>24.2</v>
      </c>
      <c r="F483" s="8">
        <v>0.93200000000000005</v>
      </c>
      <c r="G483" s="8">
        <v>24.4</v>
      </c>
    </row>
    <row r="484" spans="1:7" x14ac:dyDescent="0.2">
      <c r="A484" t="s">
        <v>11</v>
      </c>
      <c r="B484" s="1">
        <v>43132</v>
      </c>
      <c r="C484" t="s">
        <v>65</v>
      </c>
      <c r="D484" s="8">
        <v>9.27</v>
      </c>
      <c r="E484" s="8">
        <v>23.3</v>
      </c>
      <c r="F484" s="8">
        <v>0.621</v>
      </c>
      <c r="G484" s="8">
        <v>23.4</v>
      </c>
    </row>
    <row r="485" spans="1:7" x14ac:dyDescent="0.2">
      <c r="A485" t="s">
        <v>11</v>
      </c>
      <c r="B485" s="1">
        <v>43132</v>
      </c>
      <c r="C485" t="s">
        <v>65</v>
      </c>
      <c r="D485" s="8">
        <v>7.44</v>
      </c>
      <c r="E485" s="8">
        <v>23.4</v>
      </c>
      <c r="F485" s="8">
        <v>0.73899999999999999</v>
      </c>
      <c r="G485" s="8">
        <v>23.4</v>
      </c>
    </row>
    <row r="486" spans="1:7" x14ac:dyDescent="0.2">
      <c r="A486" t="s">
        <v>11</v>
      </c>
      <c r="B486" s="1">
        <v>43132</v>
      </c>
      <c r="C486" t="s">
        <v>65</v>
      </c>
      <c r="D486" s="8">
        <v>7.42</v>
      </c>
      <c r="E486" s="8">
        <v>23.8</v>
      </c>
      <c r="F486" s="8">
        <v>0.92600000000000005</v>
      </c>
      <c r="G486" s="8">
        <v>24.1</v>
      </c>
    </row>
    <row r="487" spans="1:7" x14ac:dyDescent="0.2">
      <c r="A487" t="s">
        <v>11</v>
      </c>
      <c r="B487" s="1">
        <v>43132</v>
      </c>
      <c r="C487" t="s">
        <v>65</v>
      </c>
      <c r="D487" s="8">
        <v>9.1199999999999992</v>
      </c>
      <c r="E487" s="8">
        <v>24</v>
      </c>
      <c r="F487" s="8">
        <v>0.71299999999999997</v>
      </c>
      <c r="G487" s="8">
        <v>24</v>
      </c>
    </row>
    <row r="488" spans="1:7" x14ac:dyDescent="0.2">
      <c r="A488" t="s">
        <v>11</v>
      </c>
      <c r="B488" s="1">
        <v>43132</v>
      </c>
      <c r="C488" t="s">
        <v>65</v>
      </c>
      <c r="D488" s="8">
        <v>9.15</v>
      </c>
      <c r="E488" s="8">
        <v>24.6</v>
      </c>
      <c r="F488" s="8">
        <v>0.65900000000000003</v>
      </c>
      <c r="G488" s="8">
        <v>23.9</v>
      </c>
    </row>
    <row r="489" spans="1:7" x14ac:dyDescent="0.2">
      <c r="A489" t="s">
        <v>11</v>
      </c>
      <c r="B489" s="1">
        <v>43132</v>
      </c>
      <c r="C489" t="s">
        <v>65</v>
      </c>
      <c r="D489" s="8">
        <v>9.16</v>
      </c>
      <c r="E489" s="8">
        <v>23.5</v>
      </c>
      <c r="F489" s="8">
        <v>0.749</v>
      </c>
      <c r="G489" s="8">
        <v>23.5</v>
      </c>
    </row>
    <row r="490" spans="1:7" x14ac:dyDescent="0.2">
      <c r="A490" t="s">
        <v>11</v>
      </c>
      <c r="B490" s="1">
        <v>43132</v>
      </c>
      <c r="C490" t="s">
        <v>65</v>
      </c>
      <c r="D490" s="8">
        <v>6.69</v>
      </c>
      <c r="E490" s="8">
        <v>23</v>
      </c>
      <c r="F490" s="8">
        <v>1.395</v>
      </c>
      <c r="G490" s="8">
        <v>23.2</v>
      </c>
    </row>
    <row r="491" spans="1:7" x14ac:dyDescent="0.2">
      <c r="A491" t="s">
        <v>11</v>
      </c>
      <c r="B491" s="1">
        <v>43132</v>
      </c>
      <c r="C491" t="s">
        <v>65</v>
      </c>
      <c r="D491" s="8">
        <v>7.19</v>
      </c>
      <c r="E491" s="8">
        <v>23.9</v>
      </c>
      <c r="F491" s="8">
        <v>0.56499999999999995</v>
      </c>
      <c r="G491" s="8">
        <v>23.8</v>
      </c>
    </row>
    <row r="492" spans="1:7" x14ac:dyDescent="0.2">
      <c r="A492" t="s">
        <v>11</v>
      </c>
      <c r="B492" s="1">
        <v>43132</v>
      </c>
      <c r="C492" t="s">
        <v>65</v>
      </c>
      <c r="D492" s="8">
        <v>7.28</v>
      </c>
      <c r="E492" s="8">
        <v>24.2</v>
      </c>
      <c r="F492" s="8">
        <v>0.81899999999999995</v>
      </c>
      <c r="G492" s="8">
        <v>24.2</v>
      </c>
    </row>
    <row r="493" spans="1:7" x14ac:dyDescent="0.2">
      <c r="A493" t="s">
        <v>11</v>
      </c>
      <c r="B493" s="1">
        <v>43132</v>
      </c>
      <c r="C493" t="s">
        <v>65</v>
      </c>
      <c r="D493" s="8">
        <v>8.82</v>
      </c>
      <c r="E493" s="8">
        <v>23.9</v>
      </c>
      <c r="F493" s="8">
        <v>0.61799999999999999</v>
      </c>
      <c r="G493" s="8">
        <v>23.8</v>
      </c>
    </row>
    <row r="494" spans="1:7" x14ac:dyDescent="0.2">
      <c r="A494" t="s">
        <v>11</v>
      </c>
      <c r="B494" s="1">
        <v>43132</v>
      </c>
      <c r="C494" t="s">
        <v>65</v>
      </c>
      <c r="D494" s="8">
        <v>8.91</v>
      </c>
      <c r="E494" s="8">
        <v>23.6</v>
      </c>
      <c r="F494" s="8">
        <v>0.81200000000000006</v>
      </c>
      <c r="G494" s="8">
        <v>23.7</v>
      </c>
    </row>
    <row r="495" spans="1:7" x14ac:dyDescent="0.2">
      <c r="A495" t="s">
        <v>11</v>
      </c>
      <c r="B495" s="1">
        <v>43132</v>
      </c>
      <c r="C495" t="s">
        <v>65</v>
      </c>
      <c r="D495" s="8">
        <v>8.91</v>
      </c>
      <c r="E495" s="8">
        <v>24.4</v>
      </c>
      <c r="F495" s="8">
        <v>0.751</v>
      </c>
      <c r="G495" s="8">
        <v>24.5</v>
      </c>
    </row>
    <row r="496" spans="1:7" x14ac:dyDescent="0.2">
      <c r="A496" t="s">
        <v>11</v>
      </c>
      <c r="B496" s="1">
        <v>43132</v>
      </c>
      <c r="C496" t="s">
        <v>65</v>
      </c>
      <c r="D496" s="8">
        <v>9.43</v>
      </c>
      <c r="E496" s="8">
        <v>23.2</v>
      </c>
      <c r="F496" s="8">
        <v>0.65</v>
      </c>
      <c r="G496" s="8">
        <v>23</v>
      </c>
    </row>
    <row r="497" spans="1:7" x14ac:dyDescent="0.2">
      <c r="A497" t="s">
        <v>11</v>
      </c>
      <c r="B497" s="1">
        <v>43132</v>
      </c>
      <c r="C497" t="s">
        <v>65</v>
      </c>
      <c r="D497" s="8">
        <v>6.77</v>
      </c>
      <c r="E497" s="8">
        <v>23.5</v>
      </c>
      <c r="F497" s="8">
        <v>0.875</v>
      </c>
      <c r="G497" s="8">
        <v>23.3</v>
      </c>
    </row>
    <row r="498" spans="1:7" x14ac:dyDescent="0.2">
      <c r="A498" t="s">
        <v>11</v>
      </c>
      <c r="B498" s="1">
        <v>43132</v>
      </c>
      <c r="C498" t="s">
        <v>65</v>
      </c>
      <c r="D498" s="8">
        <v>10.119999999999999</v>
      </c>
      <c r="E498" s="8">
        <v>24.4</v>
      </c>
      <c r="F498" s="8">
        <v>0.78800000000000003</v>
      </c>
      <c r="G498" s="8">
        <v>24.6</v>
      </c>
    </row>
    <row r="499" spans="1:7" x14ac:dyDescent="0.2">
      <c r="A499" t="s">
        <v>11</v>
      </c>
      <c r="B499" s="1">
        <v>43132</v>
      </c>
      <c r="C499" t="s">
        <v>65</v>
      </c>
      <c r="D499" s="8">
        <v>9.09</v>
      </c>
      <c r="E499" s="8">
        <v>24.6</v>
      </c>
      <c r="F499" s="8">
        <v>0.82499999999999996</v>
      </c>
      <c r="G499" s="8">
        <v>24.4</v>
      </c>
    </row>
    <row r="500" spans="1:7" x14ac:dyDescent="0.2">
      <c r="A500" t="s">
        <v>11</v>
      </c>
      <c r="B500" s="1">
        <v>43132</v>
      </c>
      <c r="C500" t="s">
        <v>65</v>
      </c>
      <c r="D500" s="8">
        <v>7.48</v>
      </c>
      <c r="E500" s="8">
        <v>21.7</v>
      </c>
      <c r="F500" s="8">
        <v>0.89100000000000001</v>
      </c>
      <c r="G500" s="8">
        <v>21.2</v>
      </c>
    </row>
    <row r="501" spans="1:7" x14ac:dyDescent="0.2">
      <c r="A501" t="s">
        <v>11</v>
      </c>
      <c r="B501" s="1">
        <v>43132</v>
      </c>
      <c r="C501" t="s">
        <v>65</v>
      </c>
      <c r="D501" s="8">
        <v>8.1</v>
      </c>
      <c r="E501" s="8">
        <v>21.3</v>
      </c>
      <c r="F501" s="8">
        <v>0.69799999999999995</v>
      </c>
      <c r="G501" s="8">
        <v>22.4</v>
      </c>
    </row>
    <row r="502" spans="1:7" x14ac:dyDescent="0.2">
      <c r="A502" t="s">
        <v>11</v>
      </c>
      <c r="B502" s="1">
        <v>43132</v>
      </c>
      <c r="C502" t="s">
        <v>65</v>
      </c>
      <c r="D502" s="8">
        <v>8.25</v>
      </c>
      <c r="E502" s="8">
        <v>23.5</v>
      </c>
      <c r="F502" s="8">
        <v>0.78100000000000003</v>
      </c>
      <c r="G502" s="8">
        <v>23.6</v>
      </c>
    </row>
    <row r="503" spans="1:7" x14ac:dyDescent="0.2">
      <c r="A503" t="s">
        <v>11</v>
      </c>
      <c r="B503" s="1">
        <v>43132</v>
      </c>
      <c r="C503" t="s">
        <v>65</v>
      </c>
      <c r="D503" s="8">
        <v>7.25</v>
      </c>
      <c r="E503" s="8">
        <v>19.899999999999999</v>
      </c>
      <c r="F503" s="8">
        <v>0.65</v>
      </c>
      <c r="G503" s="8">
        <v>20.3</v>
      </c>
    </row>
    <row r="504" spans="1:7" x14ac:dyDescent="0.2">
      <c r="A504" t="s">
        <v>11</v>
      </c>
      <c r="B504" s="1">
        <v>43132</v>
      </c>
      <c r="C504" t="s">
        <v>65</v>
      </c>
      <c r="D504" s="8">
        <v>9.91</v>
      </c>
      <c r="E504" s="8">
        <v>23.7</v>
      </c>
      <c r="F504" s="8">
        <v>0.68600000000000005</v>
      </c>
      <c r="G504" s="8">
        <v>24</v>
      </c>
    </row>
    <row r="505" spans="1:7" x14ac:dyDescent="0.2">
      <c r="A505" t="s">
        <v>11</v>
      </c>
      <c r="B505" s="1">
        <v>43132</v>
      </c>
      <c r="C505" t="s">
        <v>65</v>
      </c>
      <c r="D505" s="8">
        <v>8.48</v>
      </c>
      <c r="E505" s="8">
        <v>24.2</v>
      </c>
      <c r="F505" s="8">
        <v>0.72299999999999998</v>
      </c>
      <c r="G505" s="8">
        <v>24.2</v>
      </c>
    </row>
    <row r="506" spans="1:7" x14ac:dyDescent="0.2">
      <c r="A506" t="s">
        <v>11</v>
      </c>
      <c r="B506" s="1">
        <v>43132</v>
      </c>
      <c r="C506" t="s">
        <v>65</v>
      </c>
      <c r="D506" s="8">
        <v>8.4499999999999993</v>
      </c>
      <c r="E506" s="8">
        <v>23.2</v>
      </c>
      <c r="F506" s="8">
        <v>0.78200000000000003</v>
      </c>
      <c r="G506" s="8">
        <v>23.2</v>
      </c>
    </row>
    <row r="507" spans="1:7" x14ac:dyDescent="0.2">
      <c r="A507" t="s">
        <v>11</v>
      </c>
      <c r="B507" s="1">
        <v>43132</v>
      </c>
      <c r="C507" t="s">
        <v>65</v>
      </c>
      <c r="D507" s="8">
        <v>7.2</v>
      </c>
      <c r="E507" s="8">
        <v>22.5</v>
      </c>
      <c r="F507" s="8">
        <v>0.67900000000000005</v>
      </c>
      <c r="G507" s="8">
        <v>22.6</v>
      </c>
    </row>
    <row r="508" spans="1:7" x14ac:dyDescent="0.2">
      <c r="A508" t="s">
        <v>11</v>
      </c>
      <c r="B508" s="1">
        <v>43132</v>
      </c>
      <c r="C508" t="s">
        <v>65</v>
      </c>
      <c r="D508" s="8">
        <v>7.24</v>
      </c>
      <c r="E508" s="8">
        <v>23.7</v>
      </c>
      <c r="F508" s="8">
        <v>0.70399999999999996</v>
      </c>
      <c r="G508" s="8">
        <v>23.6</v>
      </c>
    </row>
    <row r="509" spans="1:7" x14ac:dyDescent="0.2">
      <c r="A509" t="s">
        <v>11</v>
      </c>
      <c r="B509" s="1">
        <v>43132</v>
      </c>
      <c r="C509" t="s">
        <v>65</v>
      </c>
      <c r="D509" s="8">
        <v>7.17</v>
      </c>
      <c r="E509" s="8">
        <v>23.6</v>
      </c>
      <c r="F509" s="8">
        <v>0.79500000000000004</v>
      </c>
      <c r="G509" s="8">
        <v>23.6</v>
      </c>
    </row>
    <row r="510" spans="1:7" x14ac:dyDescent="0.2">
      <c r="A510" t="s">
        <v>11</v>
      </c>
      <c r="B510" s="1">
        <v>43132</v>
      </c>
      <c r="C510" t="s">
        <v>65</v>
      </c>
      <c r="D510" s="8">
        <v>7.4</v>
      </c>
      <c r="E510" s="8">
        <v>22.8</v>
      </c>
      <c r="F510" s="8">
        <v>0.75700000000000001</v>
      </c>
      <c r="G510" s="8">
        <v>22.5</v>
      </c>
    </row>
    <row r="511" spans="1:7" x14ac:dyDescent="0.2">
      <c r="A511" t="s">
        <v>11</v>
      </c>
      <c r="B511" s="1">
        <v>43132</v>
      </c>
      <c r="C511" t="s">
        <v>65</v>
      </c>
      <c r="D511" s="8">
        <v>8.68</v>
      </c>
      <c r="E511" s="8">
        <v>23.8</v>
      </c>
      <c r="F511" s="8">
        <v>0.68400000000000005</v>
      </c>
      <c r="G511" s="8">
        <v>23.7</v>
      </c>
    </row>
    <row r="512" spans="1:7" x14ac:dyDescent="0.2">
      <c r="A512" t="s">
        <v>11</v>
      </c>
      <c r="B512" s="1">
        <v>43132</v>
      </c>
      <c r="C512" t="s">
        <v>65</v>
      </c>
      <c r="D512" s="8">
        <v>8.6999999999999993</v>
      </c>
      <c r="E512" s="8">
        <v>23.1</v>
      </c>
      <c r="F512" s="8">
        <v>0.83499999999999996</v>
      </c>
      <c r="G512" s="8">
        <v>23.2</v>
      </c>
    </row>
    <row r="513" spans="1:7" x14ac:dyDescent="0.2">
      <c r="A513" t="s">
        <v>11</v>
      </c>
      <c r="B513" s="1">
        <v>43132</v>
      </c>
      <c r="C513" t="s">
        <v>65</v>
      </c>
      <c r="D513" s="8">
        <v>8.07</v>
      </c>
      <c r="E513" s="8">
        <v>23.1</v>
      </c>
      <c r="F513" s="8">
        <v>0.74399999999999999</v>
      </c>
      <c r="G513" s="8">
        <v>22.9</v>
      </c>
    </row>
    <row r="514" spans="1:7" x14ac:dyDescent="0.2">
      <c r="A514" t="s">
        <v>11</v>
      </c>
      <c r="B514" s="1">
        <v>43132</v>
      </c>
      <c r="C514" t="s">
        <v>65</v>
      </c>
      <c r="D514" s="8">
        <v>6.89</v>
      </c>
      <c r="E514" s="8">
        <v>23.7</v>
      </c>
      <c r="F514" s="8">
        <v>0.76</v>
      </c>
      <c r="G514" s="8">
        <v>23.7</v>
      </c>
    </row>
    <row r="515" spans="1:7" x14ac:dyDescent="0.2">
      <c r="A515" t="s">
        <v>11</v>
      </c>
      <c r="B515" s="1">
        <v>43132</v>
      </c>
      <c r="C515" t="s">
        <v>65</v>
      </c>
      <c r="D515" s="8">
        <v>7.07</v>
      </c>
      <c r="E515" s="8">
        <v>23.7</v>
      </c>
      <c r="F515" s="8">
        <v>0.94099999999999995</v>
      </c>
      <c r="G515" s="8">
        <v>23.5</v>
      </c>
    </row>
    <row r="516" spans="1:7" x14ac:dyDescent="0.2">
      <c r="A516" t="s">
        <v>11</v>
      </c>
      <c r="B516" s="1">
        <v>43132</v>
      </c>
      <c r="C516" t="s">
        <v>65</v>
      </c>
      <c r="D516" s="8">
        <v>9.5</v>
      </c>
      <c r="E516" s="8">
        <v>23.6</v>
      </c>
      <c r="F516" s="8">
        <v>0.63</v>
      </c>
      <c r="G516" s="8">
        <v>23.8</v>
      </c>
    </row>
    <row r="517" spans="1:7" x14ac:dyDescent="0.2">
      <c r="A517" t="s">
        <v>11</v>
      </c>
      <c r="B517" s="1">
        <v>43132</v>
      </c>
      <c r="C517" t="s">
        <v>65</v>
      </c>
      <c r="D517" s="8">
        <v>9.48</v>
      </c>
      <c r="E517" s="8">
        <v>15.1</v>
      </c>
      <c r="F517" s="8">
        <v>0.67900000000000005</v>
      </c>
      <c r="G517" s="8">
        <v>25</v>
      </c>
    </row>
    <row r="518" spans="1:7" x14ac:dyDescent="0.2">
      <c r="A518" t="s">
        <v>11</v>
      </c>
      <c r="B518" s="1">
        <v>43132</v>
      </c>
      <c r="C518" t="s">
        <v>65</v>
      </c>
      <c r="D518" s="8">
        <v>9.61</v>
      </c>
      <c r="E518" s="8">
        <v>24.5</v>
      </c>
      <c r="F518" s="8">
        <v>0.745</v>
      </c>
      <c r="G518" s="8">
        <v>24.6</v>
      </c>
    </row>
    <row r="519" spans="1:7" x14ac:dyDescent="0.2">
      <c r="A519" t="s">
        <v>11</v>
      </c>
      <c r="B519" s="1">
        <v>43132</v>
      </c>
      <c r="C519" t="s">
        <v>65</v>
      </c>
      <c r="D519" s="8">
        <v>7.32</v>
      </c>
      <c r="E519" s="8">
        <v>24.3</v>
      </c>
      <c r="F519" s="8">
        <v>0.77700000000000002</v>
      </c>
      <c r="G519" s="8">
        <v>23.8</v>
      </c>
    </row>
    <row r="520" spans="1:7" x14ac:dyDescent="0.2">
      <c r="A520" t="s">
        <v>11</v>
      </c>
      <c r="B520" s="1">
        <v>43132</v>
      </c>
      <c r="C520" t="s">
        <v>65</v>
      </c>
      <c r="D520" s="8">
        <v>6.86</v>
      </c>
      <c r="E520" s="8">
        <v>22.6</v>
      </c>
      <c r="F520" s="8">
        <v>0.83299999999999996</v>
      </c>
      <c r="G520" s="8">
        <v>22.6</v>
      </c>
    </row>
    <row r="521" spans="1:7" x14ac:dyDescent="0.2">
      <c r="A521" t="s">
        <v>11</v>
      </c>
      <c r="B521" s="1">
        <v>43132</v>
      </c>
      <c r="C521" t="s">
        <v>65</v>
      </c>
      <c r="D521" s="8">
        <v>6.85</v>
      </c>
      <c r="E521" s="8">
        <v>22.6</v>
      </c>
      <c r="F521" s="8">
        <v>0.84599999999999997</v>
      </c>
      <c r="G521" s="8">
        <v>22.7</v>
      </c>
    </row>
    <row r="522" spans="1:7" x14ac:dyDescent="0.2">
      <c r="A522" t="s">
        <v>11</v>
      </c>
      <c r="B522" s="1">
        <v>43132</v>
      </c>
      <c r="C522" t="s">
        <v>65</v>
      </c>
      <c r="D522" s="8">
        <v>9.74</v>
      </c>
      <c r="E522" s="8">
        <v>25.4</v>
      </c>
      <c r="F522" s="8">
        <v>0.99099999999999999</v>
      </c>
      <c r="G522" s="8">
        <v>25.7</v>
      </c>
    </row>
    <row r="523" spans="1:7" x14ac:dyDescent="0.2">
      <c r="A523" t="s">
        <v>11</v>
      </c>
      <c r="B523" s="1">
        <v>43132</v>
      </c>
      <c r="C523" t="s">
        <v>65</v>
      </c>
      <c r="D523" s="8">
        <v>6.93</v>
      </c>
      <c r="E523" s="8">
        <v>23.1</v>
      </c>
      <c r="F523" s="8">
        <v>0.94</v>
      </c>
      <c r="G523" s="8">
        <v>23.2</v>
      </c>
    </row>
    <row r="524" spans="1:7" x14ac:dyDescent="0.2">
      <c r="A524" t="s">
        <v>11</v>
      </c>
      <c r="B524" s="1">
        <v>43132</v>
      </c>
      <c r="C524" t="s">
        <v>65</v>
      </c>
      <c r="D524" s="8">
        <v>7.15</v>
      </c>
      <c r="E524" s="8">
        <v>22.5</v>
      </c>
      <c r="F524" s="8">
        <v>0.86399999999999999</v>
      </c>
      <c r="G524" s="8">
        <v>22.3</v>
      </c>
    </row>
    <row r="525" spans="1:7" x14ac:dyDescent="0.2">
      <c r="A525" t="s">
        <v>11</v>
      </c>
      <c r="B525" s="1">
        <v>43132</v>
      </c>
      <c r="C525" t="s">
        <v>65</v>
      </c>
      <c r="D525" s="8">
        <v>6.91</v>
      </c>
      <c r="E525" s="8">
        <v>23.6</v>
      </c>
      <c r="F525" s="8">
        <v>1.0660000000000001</v>
      </c>
      <c r="G525" s="8">
        <v>23.4</v>
      </c>
    </row>
    <row r="526" spans="1:7" x14ac:dyDescent="0.2">
      <c r="A526" t="s">
        <v>11</v>
      </c>
      <c r="B526" s="1">
        <v>43133</v>
      </c>
      <c r="C526" t="s">
        <v>65</v>
      </c>
      <c r="D526" s="8">
        <v>9.4499999999999993</v>
      </c>
      <c r="E526" s="8">
        <v>16.5</v>
      </c>
      <c r="F526" s="8">
        <v>0.65500000000000003</v>
      </c>
      <c r="G526" s="8">
        <v>16.100000000000001</v>
      </c>
    </row>
    <row r="527" spans="1:7" x14ac:dyDescent="0.2">
      <c r="A527" t="s">
        <v>11</v>
      </c>
      <c r="B527" s="1">
        <v>43133</v>
      </c>
      <c r="C527" t="s">
        <v>65</v>
      </c>
      <c r="D527" s="8">
        <v>9.7799999999999994</v>
      </c>
      <c r="E527" s="8">
        <v>16.3</v>
      </c>
      <c r="F527" s="8">
        <v>0.71399999999999997</v>
      </c>
      <c r="G527" s="8">
        <v>15.9</v>
      </c>
    </row>
    <row r="528" spans="1:7" x14ac:dyDescent="0.2">
      <c r="A528" t="s">
        <v>11</v>
      </c>
      <c r="B528" s="1">
        <v>43133</v>
      </c>
      <c r="C528" t="s">
        <v>65</v>
      </c>
      <c r="D528" s="8">
        <v>7.22</v>
      </c>
      <c r="E528" s="8">
        <v>16.7</v>
      </c>
      <c r="F528" s="8">
        <v>0.75800000000000001</v>
      </c>
      <c r="G528" s="8">
        <v>16.600000000000001</v>
      </c>
    </row>
    <row r="529" spans="1:7" x14ac:dyDescent="0.2">
      <c r="A529" t="s">
        <v>11</v>
      </c>
      <c r="B529" s="1">
        <v>43133</v>
      </c>
      <c r="C529" t="s">
        <v>65</v>
      </c>
      <c r="D529" s="8">
        <v>7.05</v>
      </c>
      <c r="E529" s="8">
        <v>15.5</v>
      </c>
      <c r="F529" s="8">
        <v>0.67600000000000005</v>
      </c>
      <c r="G529" s="8">
        <v>15.6</v>
      </c>
    </row>
    <row r="530" spans="1:7" x14ac:dyDescent="0.2">
      <c r="A530" t="s">
        <v>11</v>
      </c>
      <c r="B530" s="1">
        <v>43133</v>
      </c>
      <c r="C530" t="s">
        <v>65</v>
      </c>
      <c r="D530" s="8">
        <v>6.95</v>
      </c>
      <c r="E530" s="8">
        <v>14.7</v>
      </c>
      <c r="F530" s="8">
        <v>0.89300000000000002</v>
      </c>
      <c r="G530" s="8">
        <v>15.2</v>
      </c>
    </row>
    <row r="531" spans="1:7" x14ac:dyDescent="0.2">
      <c r="A531" t="s">
        <v>11</v>
      </c>
      <c r="B531" s="1">
        <v>43133</v>
      </c>
      <c r="C531" t="s">
        <v>65</v>
      </c>
      <c r="D531" s="8">
        <v>8.5299999999999994</v>
      </c>
      <c r="E531" s="8">
        <v>17</v>
      </c>
      <c r="F531" s="8">
        <v>0.68799999999999994</v>
      </c>
      <c r="G531" s="8">
        <v>17.100000000000001</v>
      </c>
    </row>
    <row r="532" spans="1:7" x14ac:dyDescent="0.2">
      <c r="A532" t="s">
        <v>11</v>
      </c>
      <c r="B532" s="1">
        <v>43133</v>
      </c>
      <c r="C532" t="s">
        <v>65</v>
      </c>
      <c r="D532" s="8">
        <v>9.6</v>
      </c>
      <c r="E532" s="8">
        <v>14.9</v>
      </c>
      <c r="F532" s="8">
        <v>0.57999999999999996</v>
      </c>
      <c r="G532" s="8">
        <v>14.7</v>
      </c>
    </row>
    <row r="533" spans="1:7" x14ac:dyDescent="0.2">
      <c r="A533" t="s">
        <v>11</v>
      </c>
      <c r="B533" s="1">
        <v>43133</v>
      </c>
      <c r="C533" t="s">
        <v>65</v>
      </c>
      <c r="D533" s="8">
        <v>6.85</v>
      </c>
      <c r="E533" s="8">
        <v>15.8</v>
      </c>
      <c r="F533" s="8">
        <v>0.626</v>
      </c>
      <c r="G533" s="8">
        <v>15.5</v>
      </c>
    </row>
    <row r="534" spans="1:7" x14ac:dyDescent="0.2">
      <c r="A534" t="s">
        <v>11</v>
      </c>
      <c r="B534" s="1">
        <v>43133</v>
      </c>
      <c r="C534" t="s">
        <v>65</v>
      </c>
      <c r="D534" s="8">
        <v>8.0500000000000007</v>
      </c>
      <c r="E534" s="8">
        <v>15</v>
      </c>
      <c r="F534" s="8">
        <v>0.78</v>
      </c>
      <c r="G534" s="8">
        <v>14.2</v>
      </c>
    </row>
    <row r="535" spans="1:7" x14ac:dyDescent="0.2">
      <c r="A535" t="s">
        <v>11</v>
      </c>
      <c r="B535" s="1">
        <v>43133</v>
      </c>
      <c r="C535" t="s">
        <v>65</v>
      </c>
      <c r="D535" s="8">
        <v>9.8000000000000007</v>
      </c>
      <c r="E535" s="8">
        <v>17.100000000000001</v>
      </c>
      <c r="F535" s="8">
        <v>0.57499999999999996</v>
      </c>
      <c r="G535" s="8">
        <v>17.100000000000001</v>
      </c>
    </row>
    <row r="536" spans="1:7" x14ac:dyDescent="0.2">
      <c r="A536" t="s">
        <v>11</v>
      </c>
      <c r="B536" s="1">
        <v>43133</v>
      </c>
      <c r="C536" t="s">
        <v>65</v>
      </c>
      <c r="D536" s="8">
        <v>7.68</v>
      </c>
      <c r="E536" s="8">
        <v>16.899999999999999</v>
      </c>
      <c r="F536" s="8">
        <v>0.80500000000000005</v>
      </c>
      <c r="G536" s="8">
        <v>16.7</v>
      </c>
    </row>
    <row r="537" spans="1:7" x14ac:dyDescent="0.2">
      <c r="A537" t="s">
        <v>11</v>
      </c>
      <c r="B537" s="1">
        <v>43133</v>
      </c>
      <c r="C537" t="s">
        <v>65</v>
      </c>
      <c r="D537" s="8">
        <v>7.28</v>
      </c>
      <c r="E537" s="8">
        <v>16.100000000000001</v>
      </c>
      <c r="F537" s="8">
        <v>0.94199999999999995</v>
      </c>
      <c r="G537" s="8">
        <v>16</v>
      </c>
    </row>
    <row r="538" spans="1:7" x14ac:dyDescent="0.2">
      <c r="A538" t="s">
        <v>11</v>
      </c>
      <c r="B538" s="1">
        <v>43133</v>
      </c>
      <c r="C538" t="s">
        <v>65</v>
      </c>
      <c r="D538" s="8">
        <v>8.44</v>
      </c>
      <c r="E538" s="8">
        <v>16.399999999999999</v>
      </c>
      <c r="F538" s="8">
        <v>0.78700000000000003</v>
      </c>
      <c r="G538" s="8">
        <v>16.600000000000001</v>
      </c>
    </row>
    <row r="539" spans="1:7" x14ac:dyDescent="0.2">
      <c r="A539" t="s">
        <v>11</v>
      </c>
      <c r="B539" s="1">
        <v>43133</v>
      </c>
      <c r="C539" t="s">
        <v>65</v>
      </c>
      <c r="D539" s="8">
        <v>7.4</v>
      </c>
      <c r="E539" s="8">
        <v>16</v>
      </c>
      <c r="F539" s="8">
        <v>0.72099999999999997</v>
      </c>
      <c r="G539" s="8">
        <v>15.9</v>
      </c>
    </row>
    <row r="540" spans="1:7" x14ac:dyDescent="0.2">
      <c r="A540" t="s">
        <v>11</v>
      </c>
      <c r="B540" s="1">
        <v>43133</v>
      </c>
      <c r="C540" t="s">
        <v>65</v>
      </c>
      <c r="D540" s="8">
        <v>9.5399999999999991</v>
      </c>
      <c r="E540" s="8">
        <v>15</v>
      </c>
      <c r="F540" s="8">
        <v>0.69</v>
      </c>
      <c r="G540" s="8">
        <v>15.4</v>
      </c>
    </row>
    <row r="541" spans="1:7" x14ac:dyDescent="0.2">
      <c r="A541" t="s">
        <v>11</v>
      </c>
      <c r="B541" s="1">
        <v>43133</v>
      </c>
      <c r="C541" t="s">
        <v>65</v>
      </c>
      <c r="D541" s="8">
        <v>9.6300000000000008</v>
      </c>
      <c r="E541" s="8">
        <v>16.899999999999999</v>
      </c>
      <c r="F541" s="8">
        <v>0.77700000000000002</v>
      </c>
      <c r="G541" s="8">
        <v>17.100000000000001</v>
      </c>
    </row>
    <row r="542" spans="1:7" x14ac:dyDescent="0.2">
      <c r="A542" t="s">
        <v>11</v>
      </c>
      <c r="B542" s="1">
        <v>43133</v>
      </c>
      <c r="C542" t="s">
        <v>65</v>
      </c>
      <c r="D542" s="8">
        <v>8.84</v>
      </c>
      <c r="E542" s="8">
        <v>15.3</v>
      </c>
      <c r="F542" s="8">
        <v>0.77400000000000002</v>
      </c>
      <c r="G542" s="8">
        <v>15.6</v>
      </c>
    </row>
    <row r="543" spans="1:7" x14ac:dyDescent="0.2">
      <c r="A543" t="s">
        <v>11</v>
      </c>
      <c r="B543" s="1">
        <v>43133</v>
      </c>
      <c r="C543" t="s">
        <v>65</v>
      </c>
      <c r="D543" s="8">
        <v>7.97</v>
      </c>
      <c r="E543" s="8">
        <v>16</v>
      </c>
      <c r="F543" s="8">
        <v>0.80800000000000005</v>
      </c>
      <c r="G543" s="8">
        <v>15.4</v>
      </c>
    </row>
    <row r="544" spans="1:7" x14ac:dyDescent="0.2">
      <c r="A544" t="s">
        <v>11</v>
      </c>
      <c r="B544" s="1">
        <v>43133</v>
      </c>
      <c r="C544" t="s">
        <v>65</v>
      </c>
      <c r="D544" s="8">
        <v>8.82</v>
      </c>
      <c r="E544" s="8">
        <v>14.5</v>
      </c>
      <c r="F544" s="8">
        <v>0.53600000000000003</v>
      </c>
      <c r="G544" s="8">
        <v>14.4</v>
      </c>
    </row>
    <row r="545" spans="1:7" x14ac:dyDescent="0.2">
      <c r="A545" t="s">
        <v>11</v>
      </c>
      <c r="B545" s="1">
        <v>43133</v>
      </c>
      <c r="C545" t="s">
        <v>65</v>
      </c>
      <c r="D545" s="8">
        <v>8.73</v>
      </c>
      <c r="E545" s="8">
        <v>15.1</v>
      </c>
      <c r="F545" s="8">
        <v>0.67800000000000005</v>
      </c>
      <c r="G545" s="8">
        <v>15.2</v>
      </c>
    </row>
    <row r="546" spans="1:7" x14ac:dyDescent="0.2">
      <c r="A546" t="s">
        <v>11</v>
      </c>
      <c r="B546" s="1">
        <v>43133</v>
      </c>
      <c r="C546" t="s">
        <v>65</v>
      </c>
      <c r="D546" s="8">
        <v>7</v>
      </c>
      <c r="E546" s="8">
        <v>16.600000000000001</v>
      </c>
      <c r="F546" s="8">
        <v>0.61799999999999999</v>
      </c>
      <c r="G546" s="8">
        <v>16.600000000000001</v>
      </c>
    </row>
    <row r="547" spans="1:7" x14ac:dyDescent="0.2">
      <c r="A547" t="s">
        <v>11</v>
      </c>
      <c r="B547" s="1">
        <v>43133</v>
      </c>
      <c r="C547" t="s">
        <v>65</v>
      </c>
      <c r="D547" s="8">
        <v>8.67</v>
      </c>
      <c r="E547" s="8">
        <v>16.7</v>
      </c>
      <c r="F547" s="8">
        <v>0.76</v>
      </c>
      <c r="G547" s="8">
        <v>16.7</v>
      </c>
    </row>
    <row r="548" spans="1:7" x14ac:dyDescent="0.2">
      <c r="A548" t="s">
        <v>11</v>
      </c>
      <c r="B548" s="1">
        <v>43133</v>
      </c>
      <c r="C548" t="s">
        <v>65</v>
      </c>
      <c r="D548" s="8">
        <v>7.64</v>
      </c>
      <c r="E548" s="8">
        <v>16.2</v>
      </c>
      <c r="F548" s="8">
        <v>0.72199999999999998</v>
      </c>
      <c r="G548" s="8">
        <v>16.399999999999999</v>
      </c>
    </row>
    <row r="549" spans="1:7" x14ac:dyDescent="0.2">
      <c r="A549" t="s">
        <v>11</v>
      </c>
      <c r="B549" s="1">
        <v>43133</v>
      </c>
      <c r="C549" t="s">
        <v>65</v>
      </c>
      <c r="D549" s="8">
        <v>7.03</v>
      </c>
      <c r="E549" s="8">
        <v>15</v>
      </c>
      <c r="F549" s="8">
        <v>0.65400000000000003</v>
      </c>
      <c r="G549" s="8">
        <v>15.2</v>
      </c>
    </row>
    <row r="550" spans="1:7" x14ac:dyDescent="0.2">
      <c r="A550" t="s">
        <v>11</v>
      </c>
      <c r="B550" s="1">
        <v>43133</v>
      </c>
      <c r="C550" t="s">
        <v>65</v>
      </c>
      <c r="D550" s="8">
        <v>7.29</v>
      </c>
      <c r="E550" s="8">
        <v>14.3</v>
      </c>
      <c r="F550" s="8">
        <v>0.79300000000000004</v>
      </c>
      <c r="G550" s="8">
        <v>14.6</v>
      </c>
    </row>
    <row r="551" spans="1:7" x14ac:dyDescent="0.2">
      <c r="A551" t="s">
        <v>11</v>
      </c>
      <c r="B551" s="1">
        <v>43133</v>
      </c>
      <c r="C551" t="s">
        <v>65</v>
      </c>
      <c r="D551" s="8">
        <v>7.21</v>
      </c>
      <c r="E551" s="8">
        <v>16.2</v>
      </c>
      <c r="F551" s="8">
        <v>0.72899999999999998</v>
      </c>
      <c r="G551" s="8">
        <v>16.3</v>
      </c>
    </row>
    <row r="552" spans="1:7" x14ac:dyDescent="0.2">
      <c r="A552" t="s">
        <v>11</v>
      </c>
      <c r="B552" s="1">
        <v>43133</v>
      </c>
      <c r="C552" t="s">
        <v>65</v>
      </c>
      <c r="D552" s="8">
        <v>9.15</v>
      </c>
      <c r="E552" s="8">
        <v>15</v>
      </c>
      <c r="F552" s="8">
        <v>0.53300000000000003</v>
      </c>
      <c r="G552" s="8">
        <v>14.9</v>
      </c>
    </row>
    <row r="553" spans="1:7" x14ac:dyDescent="0.2">
      <c r="A553" t="s">
        <v>11</v>
      </c>
      <c r="B553" s="1">
        <v>43133</v>
      </c>
      <c r="C553" t="s">
        <v>65</v>
      </c>
      <c r="D553" s="8">
        <v>10.45</v>
      </c>
      <c r="E553" s="8">
        <v>14</v>
      </c>
      <c r="F553" s="8">
        <v>0.59</v>
      </c>
      <c r="G553" s="8">
        <v>14.5</v>
      </c>
    </row>
    <row r="554" spans="1:7" x14ac:dyDescent="0.2">
      <c r="A554" t="s">
        <v>11</v>
      </c>
      <c r="B554" s="1">
        <v>43133</v>
      </c>
      <c r="C554" t="s">
        <v>65</v>
      </c>
      <c r="D554" s="8">
        <v>6.75</v>
      </c>
      <c r="E554" s="8">
        <v>15.3</v>
      </c>
      <c r="F554" s="8">
        <v>0.80400000000000005</v>
      </c>
      <c r="G554" s="8">
        <v>15.8</v>
      </c>
    </row>
    <row r="555" spans="1:7" x14ac:dyDescent="0.2">
      <c r="A555" t="s">
        <v>11</v>
      </c>
      <c r="B555" s="1">
        <v>43133</v>
      </c>
      <c r="C555" t="s">
        <v>65</v>
      </c>
      <c r="D555" s="8">
        <v>8.32</v>
      </c>
      <c r="E555" s="8">
        <v>16.100000000000001</v>
      </c>
      <c r="F555" s="8">
        <v>0.78200000000000003</v>
      </c>
      <c r="G555" s="8">
        <v>16.399999999999999</v>
      </c>
    </row>
    <row r="556" spans="1:7" x14ac:dyDescent="0.2">
      <c r="A556" t="s">
        <v>11</v>
      </c>
      <c r="B556" s="1">
        <v>43133</v>
      </c>
      <c r="C556" t="s">
        <v>65</v>
      </c>
      <c r="D556" s="8">
        <v>9.19</v>
      </c>
      <c r="E556" s="8">
        <v>16.100000000000001</v>
      </c>
      <c r="F556" s="8">
        <v>0.877</v>
      </c>
      <c r="G556" s="8">
        <v>16.399999999999999</v>
      </c>
    </row>
    <row r="557" spans="1:7" x14ac:dyDescent="0.2">
      <c r="A557" t="s">
        <v>11</v>
      </c>
      <c r="B557" s="1">
        <v>43133</v>
      </c>
      <c r="C557" t="s">
        <v>65</v>
      </c>
      <c r="D557" s="8">
        <v>9.36</v>
      </c>
      <c r="E557" s="8">
        <v>16.600000000000001</v>
      </c>
      <c r="F557" s="8">
        <v>0.69899999999999995</v>
      </c>
      <c r="G557" s="8">
        <v>16.399999999999999</v>
      </c>
    </row>
    <row r="558" spans="1:7" x14ac:dyDescent="0.2">
      <c r="A558" t="s">
        <v>11</v>
      </c>
      <c r="B558" s="1">
        <v>43133</v>
      </c>
      <c r="C558" t="s">
        <v>65</v>
      </c>
      <c r="D558" s="8">
        <v>8.5500000000000007</v>
      </c>
      <c r="E558" s="8">
        <v>15</v>
      </c>
      <c r="F558" s="8">
        <v>0.69699999999999995</v>
      </c>
      <c r="G558" s="8">
        <v>14.8</v>
      </c>
    </row>
    <row r="559" spans="1:7" x14ac:dyDescent="0.2">
      <c r="A559" t="s">
        <v>11</v>
      </c>
      <c r="B559" s="1">
        <v>43133</v>
      </c>
      <c r="C559" t="s">
        <v>65</v>
      </c>
      <c r="D559" s="8">
        <v>7.56</v>
      </c>
      <c r="E559" s="8">
        <v>15.2</v>
      </c>
      <c r="F559" s="8">
        <v>1.0209999999999999</v>
      </c>
      <c r="G559" s="8">
        <v>14.8</v>
      </c>
    </row>
    <row r="560" spans="1:7" x14ac:dyDescent="0.2">
      <c r="A560" t="s">
        <v>11</v>
      </c>
      <c r="B560" s="1">
        <v>43133</v>
      </c>
      <c r="C560" t="s">
        <v>65</v>
      </c>
      <c r="D560" s="8">
        <v>7.09</v>
      </c>
      <c r="E560" s="8">
        <v>16.5</v>
      </c>
      <c r="F560" s="8">
        <v>1.1060000000000001</v>
      </c>
      <c r="G560" s="8">
        <v>16.2</v>
      </c>
    </row>
    <row r="561" spans="1:7" x14ac:dyDescent="0.2">
      <c r="A561" t="s">
        <v>11</v>
      </c>
      <c r="B561" s="1">
        <v>43137</v>
      </c>
      <c r="C561" t="s">
        <v>65</v>
      </c>
      <c r="D561" s="8">
        <v>1.4</v>
      </c>
      <c r="E561" s="8">
        <v>22.5</v>
      </c>
      <c r="F561" s="8">
        <v>0.70799999999999996</v>
      </c>
      <c r="G561" s="8">
        <v>22.4</v>
      </c>
    </row>
    <row r="562" spans="1:7" x14ac:dyDescent="0.2">
      <c r="A562" t="s">
        <v>11</v>
      </c>
      <c r="B562" s="1">
        <v>43172</v>
      </c>
      <c r="C562" t="s">
        <v>65</v>
      </c>
      <c r="D562" s="8">
        <v>10.050000000000001</v>
      </c>
      <c r="E562" s="8">
        <v>24.6</v>
      </c>
      <c r="F562" s="8">
        <v>1.367</v>
      </c>
      <c r="G562" s="8">
        <v>25.1</v>
      </c>
    </row>
    <row r="563" spans="1:7" x14ac:dyDescent="0.2">
      <c r="A563" t="s">
        <v>11</v>
      </c>
      <c r="B563" s="1">
        <v>43172</v>
      </c>
      <c r="C563" t="s">
        <v>65</v>
      </c>
      <c r="D563" s="8">
        <v>7.96</v>
      </c>
      <c r="E563" s="8">
        <v>23</v>
      </c>
      <c r="F563" s="8">
        <v>1.454</v>
      </c>
      <c r="G563" s="8">
        <v>23.8</v>
      </c>
    </row>
    <row r="564" spans="1:7" x14ac:dyDescent="0.2">
      <c r="A564" t="s">
        <v>11</v>
      </c>
      <c r="B564" s="1">
        <v>43172</v>
      </c>
      <c r="C564" t="s">
        <v>65</v>
      </c>
      <c r="D564" s="8">
        <v>9.4</v>
      </c>
      <c r="E564" s="8">
        <v>22.1</v>
      </c>
      <c r="F564" s="8">
        <v>0.84299999999999997</v>
      </c>
      <c r="G564" s="8">
        <v>22.1</v>
      </c>
    </row>
    <row r="565" spans="1:7" x14ac:dyDescent="0.2">
      <c r="A565" t="s">
        <v>11</v>
      </c>
      <c r="B565" s="1">
        <v>43172</v>
      </c>
      <c r="C565" t="s">
        <v>65</v>
      </c>
      <c r="D565" s="8">
        <v>7.73</v>
      </c>
      <c r="E565" s="8">
        <v>24.2</v>
      </c>
      <c r="F565" s="8">
        <v>1.3580000000000001</v>
      </c>
      <c r="G565" s="8">
        <v>23.8</v>
      </c>
    </row>
    <row r="566" spans="1:7" x14ac:dyDescent="0.2">
      <c r="A566" t="s">
        <v>11</v>
      </c>
      <c r="B566" s="1">
        <v>43172</v>
      </c>
      <c r="C566" t="s">
        <v>65</v>
      </c>
      <c r="D566" s="8">
        <v>7.68</v>
      </c>
      <c r="E566" s="8">
        <v>22.3</v>
      </c>
      <c r="F566" s="8">
        <v>1.575</v>
      </c>
      <c r="G566" s="8">
        <v>22</v>
      </c>
    </row>
    <row r="567" spans="1:7" x14ac:dyDescent="0.2">
      <c r="A567" t="s">
        <v>11</v>
      </c>
      <c r="B567" s="1">
        <v>43172</v>
      </c>
      <c r="C567" t="s">
        <v>65</v>
      </c>
      <c r="D567" s="8">
        <v>7.88</v>
      </c>
      <c r="E567" s="8">
        <v>23.8</v>
      </c>
      <c r="F567" s="8">
        <v>1.1160000000000001</v>
      </c>
      <c r="G567" s="8">
        <v>23.7</v>
      </c>
    </row>
    <row r="568" spans="1:7" x14ac:dyDescent="0.2">
      <c r="A568" t="s">
        <v>11</v>
      </c>
      <c r="B568" s="1">
        <v>43172</v>
      </c>
      <c r="C568" t="s">
        <v>65</v>
      </c>
      <c r="D568" s="8">
        <v>8.64</v>
      </c>
      <c r="E568" s="8">
        <v>22.5</v>
      </c>
      <c r="F568" s="8">
        <v>1.1379999999999999</v>
      </c>
      <c r="G568" s="8">
        <v>22.2</v>
      </c>
    </row>
    <row r="569" spans="1:7" x14ac:dyDescent="0.2">
      <c r="A569" t="s">
        <v>11</v>
      </c>
      <c r="B569" s="1">
        <v>43172</v>
      </c>
      <c r="C569" t="s">
        <v>65</v>
      </c>
      <c r="D569" s="8">
        <v>8.49</v>
      </c>
      <c r="E569" s="8">
        <v>22.3</v>
      </c>
      <c r="F569" s="8">
        <v>1.0580000000000001</v>
      </c>
      <c r="G569" s="8">
        <v>22.7</v>
      </c>
    </row>
    <row r="570" spans="1:7" x14ac:dyDescent="0.2">
      <c r="A570" t="s">
        <v>11</v>
      </c>
      <c r="B570" s="1">
        <v>43172</v>
      </c>
      <c r="C570" t="s">
        <v>65</v>
      </c>
      <c r="D570" s="8">
        <v>9.5399999999999991</v>
      </c>
      <c r="E570" s="8">
        <v>22.8</v>
      </c>
      <c r="F570" s="8">
        <v>1.5189999999999999</v>
      </c>
      <c r="G570" s="8">
        <v>22.6</v>
      </c>
    </row>
    <row r="571" spans="1:7" x14ac:dyDescent="0.2">
      <c r="A571" t="s">
        <v>11</v>
      </c>
      <c r="B571" s="1">
        <v>43172</v>
      </c>
      <c r="C571" t="s">
        <v>65</v>
      </c>
      <c r="D571" s="8">
        <v>8.93</v>
      </c>
      <c r="E571" s="8">
        <v>21.9</v>
      </c>
      <c r="F571" s="8">
        <v>1.056</v>
      </c>
      <c r="G571" s="8">
        <v>22.25</v>
      </c>
    </row>
    <row r="572" spans="1:7" x14ac:dyDescent="0.2">
      <c r="A572" t="s">
        <v>11</v>
      </c>
      <c r="B572" s="1">
        <v>43172</v>
      </c>
      <c r="C572" t="s">
        <v>65</v>
      </c>
      <c r="D572" s="8">
        <v>7.43</v>
      </c>
      <c r="E572" s="8">
        <v>24</v>
      </c>
      <c r="F572" s="8">
        <v>0.996</v>
      </c>
      <c r="G572" s="8">
        <v>24.4</v>
      </c>
    </row>
    <row r="573" spans="1:7" x14ac:dyDescent="0.2">
      <c r="A573" t="s">
        <v>11</v>
      </c>
      <c r="B573" s="1">
        <v>43172</v>
      </c>
      <c r="C573" t="s">
        <v>65</v>
      </c>
      <c r="D573" s="8">
        <v>7.13</v>
      </c>
      <c r="E573" s="8">
        <v>22</v>
      </c>
      <c r="F573" s="8">
        <v>1.276</v>
      </c>
      <c r="G573" s="8">
        <v>22.1</v>
      </c>
    </row>
    <row r="574" spans="1:7" x14ac:dyDescent="0.2">
      <c r="A574" t="s">
        <v>11</v>
      </c>
      <c r="B574" s="1">
        <v>43172</v>
      </c>
      <c r="C574" t="s">
        <v>65</v>
      </c>
      <c r="D574" s="8">
        <v>9.1199999999999992</v>
      </c>
      <c r="E574" s="8">
        <v>24</v>
      </c>
      <c r="F574" s="8">
        <v>1.3049999999999999</v>
      </c>
      <c r="G574" s="8">
        <v>24</v>
      </c>
    </row>
    <row r="575" spans="1:7" x14ac:dyDescent="0.2">
      <c r="A575" t="s">
        <v>11</v>
      </c>
      <c r="B575" s="1">
        <v>43172</v>
      </c>
      <c r="C575" t="s">
        <v>65</v>
      </c>
      <c r="D575" s="8">
        <v>9.52</v>
      </c>
      <c r="E575" s="8">
        <v>21.6</v>
      </c>
      <c r="F575" s="8">
        <v>1.0349999999999999</v>
      </c>
      <c r="G575" s="8">
        <v>21.3</v>
      </c>
    </row>
    <row r="576" spans="1:7" x14ac:dyDescent="0.2">
      <c r="A576" t="s">
        <v>11</v>
      </c>
      <c r="B576" s="1">
        <v>43172</v>
      </c>
      <c r="C576" t="s">
        <v>65</v>
      </c>
      <c r="D576" s="8">
        <v>8.58</v>
      </c>
      <c r="E576" s="8">
        <v>26.1</v>
      </c>
      <c r="F576" s="8">
        <v>1.7669999999999999</v>
      </c>
      <c r="G576" s="8">
        <v>25.6</v>
      </c>
    </row>
    <row r="577" spans="1:7" x14ac:dyDescent="0.2">
      <c r="A577" t="s">
        <v>11</v>
      </c>
      <c r="B577" s="1">
        <v>43172</v>
      </c>
      <c r="C577" t="s">
        <v>65</v>
      </c>
      <c r="D577" s="8">
        <v>8.66</v>
      </c>
      <c r="E577" s="8">
        <v>24.5</v>
      </c>
      <c r="F577" s="8">
        <v>1.42</v>
      </c>
      <c r="G577" s="8">
        <v>25</v>
      </c>
    </row>
    <row r="578" spans="1:7" x14ac:dyDescent="0.2">
      <c r="A578" t="s">
        <v>11</v>
      </c>
      <c r="B578" s="1">
        <v>43172</v>
      </c>
      <c r="C578" t="s">
        <v>65</v>
      </c>
      <c r="D578" s="8">
        <v>10.25</v>
      </c>
      <c r="E578" s="8">
        <v>22.4</v>
      </c>
      <c r="F578" s="8">
        <v>1.331</v>
      </c>
      <c r="G578" s="8">
        <v>22.7</v>
      </c>
    </row>
    <row r="579" spans="1:7" x14ac:dyDescent="0.2">
      <c r="A579" t="s">
        <v>11</v>
      </c>
      <c r="B579" s="1">
        <v>43172</v>
      </c>
      <c r="C579" t="s">
        <v>65</v>
      </c>
      <c r="D579" s="8">
        <v>7.16</v>
      </c>
      <c r="E579" s="8">
        <v>23.9</v>
      </c>
      <c r="F579" s="8">
        <v>1.36</v>
      </c>
      <c r="G579" s="8">
        <v>23.6</v>
      </c>
    </row>
    <row r="580" spans="1:7" x14ac:dyDescent="0.2">
      <c r="A580" t="s">
        <v>11</v>
      </c>
      <c r="B580" s="1">
        <v>43172</v>
      </c>
      <c r="C580" t="s">
        <v>65</v>
      </c>
      <c r="D580" s="8">
        <v>8.4600000000000009</v>
      </c>
      <c r="E580" s="8">
        <v>22.5</v>
      </c>
      <c r="F580" s="8">
        <v>1.127</v>
      </c>
      <c r="G580" s="8">
        <v>23.1</v>
      </c>
    </row>
    <row r="581" spans="1:7" x14ac:dyDescent="0.2">
      <c r="A581" t="s">
        <v>11</v>
      </c>
      <c r="B581" s="1">
        <v>43172</v>
      </c>
      <c r="C581" t="s">
        <v>65</v>
      </c>
      <c r="D581" s="8">
        <v>9.84</v>
      </c>
      <c r="E581" s="8">
        <v>24</v>
      </c>
      <c r="F581" s="8">
        <v>1.33</v>
      </c>
      <c r="G581" s="8">
        <v>26</v>
      </c>
    </row>
    <row r="582" spans="1:7" x14ac:dyDescent="0.2">
      <c r="A582" t="s">
        <v>11</v>
      </c>
      <c r="B582" s="1">
        <v>43172</v>
      </c>
      <c r="C582" t="s">
        <v>65</v>
      </c>
      <c r="D582" s="8">
        <v>9</v>
      </c>
      <c r="E582" s="8">
        <v>23.5</v>
      </c>
      <c r="F582" s="8">
        <v>1.34</v>
      </c>
      <c r="G582" s="8">
        <v>24.2</v>
      </c>
    </row>
    <row r="583" spans="1:7" x14ac:dyDescent="0.2">
      <c r="A583" t="s">
        <v>11</v>
      </c>
      <c r="B583" s="1">
        <v>43172</v>
      </c>
      <c r="C583" t="s">
        <v>65</v>
      </c>
      <c r="D583" s="8">
        <v>9.82</v>
      </c>
      <c r="E583" s="8">
        <v>23</v>
      </c>
      <c r="F583" s="8">
        <v>1.212</v>
      </c>
      <c r="G583" s="8">
        <v>23.2</v>
      </c>
    </row>
    <row r="584" spans="1:7" x14ac:dyDescent="0.2">
      <c r="A584" t="s">
        <v>11</v>
      </c>
      <c r="B584" s="1">
        <v>43172</v>
      </c>
      <c r="C584" t="s">
        <v>65</v>
      </c>
      <c r="D584" s="8">
        <v>7.83</v>
      </c>
      <c r="E584" s="8">
        <v>20</v>
      </c>
      <c r="F584" s="8">
        <v>1.137</v>
      </c>
      <c r="G584" s="8">
        <v>20.2</v>
      </c>
    </row>
    <row r="585" spans="1:7" x14ac:dyDescent="0.2">
      <c r="A585" t="s">
        <v>11</v>
      </c>
      <c r="B585" s="1">
        <v>43172</v>
      </c>
      <c r="C585" t="s">
        <v>65</v>
      </c>
      <c r="D585" s="8">
        <v>8.23</v>
      </c>
      <c r="E585" s="8">
        <v>20.3</v>
      </c>
      <c r="F585" s="8">
        <v>1.508</v>
      </c>
      <c r="G585" s="8">
        <v>20.3</v>
      </c>
    </row>
    <row r="586" spans="1:7" x14ac:dyDescent="0.2">
      <c r="A586" t="s">
        <v>11</v>
      </c>
      <c r="B586" s="1">
        <v>43172</v>
      </c>
      <c r="C586" t="s">
        <v>65</v>
      </c>
      <c r="D586" s="8">
        <v>7.43</v>
      </c>
      <c r="E586" s="8">
        <v>23.3</v>
      </c>
      <c r="F586" s="8">
        <v>1.5640000000000001</v>
      </c>
      <c r="G586" s="8">
        <v>22.7</v>
      </c>
    </row>
    <row r="587" spans="1:7" x14ac:dyDescent="0.2">
      <c r="A587" t="s">
        <v>11</v>
      </c>
      <c r="B587" s="1">
        <v>43172</v>
      </c>
      <c r="C587" t="s">
        <v>65</v>
      </c>
      <c r="D587" s="8">
        <v>9.24</v>
      </c>
      <c r="E587" s="8">
        <v>24.8</v>
      </c>
      <c r="F587" s="8">
        <v>1.3540000000000001</v>
      </c>
      <c r="G587" s="8">
        <v>24.7</v>
      </c>
    </row>
    <row r="588" spans="1:7" x14ac:dyDescent="0.2">
      <c r="A588" t="s">
        <v>11</v>
      </c>
      <c r="B588" s="1">
        <v>43172</v>
      </c>
      <c r="C588" t="s">
        <v>65</v>
      </c>
      <c r="D588" s="8">
        <v>8.14</v>
      </c>
      <c r="E588" s="8">
        <v>23.5</v>
      </c>
      <c r="F588" s="8">
        <v>1.2390000000000001</v>
      </c>
      <c r="G588" s="8">
        <v>23.8</v>
      </c>
    </row>
    <row r="589" spans="1:7" x14ac:dyDescent="0.2">
      <c r="A589" t="s">
        <v>11</v>
      </c>
      <c r="B589" s="1">
        <v>43172</v>
      </c>
      <c r="C589" t="s">
        <v>65</v>
      </c>
      <c r="D589" s="8">
        <v>8.75</v>
      </c>
      <c r="E589" s="8">
        <v>24.1</v>
      </c>
      <c r="F589" s="8">
        <v>1.46</v>
      </c>
      <c r="G589" s="8">
        <v>24.3</v>
      </c>
    </row>
    <row r="590" spans="1:7" x14ac:dyDescent="0.2">
      <c r="A590" t="s">
        <v>11</v>
      </c>
      <c r="B590" s="1">
        <v>43172</v>
      </c>
      <c r="C590" t="s">
        <v>65</v>
      </c>
      <c r="D590" s="8">
        <v>7.95</v>
      </c>
      <c r="E590" s="8">
        <v>24</v>
      </c>
      <c r="F590" s="8">
        <v>1.1160000000000001</v>
      </c>
      <c r="G590" s="8">
        <v>24.6</v>
      </c>
    </row>
    <row r="591" spans="1:7" x14ac:dyDescent="0.2">
      <c r="A591" t="s">
        <v>11</v>
      </c>
      <c r="B591" s="1">
        <v>43172</v>
      </c>
      <c r="C591" t="s">
        <v>65</v>
      </c>
      <c r="D591" s="8">
        <v>7.27</v>
      </c>
      <c r="E591" s="8">
        <v>23.4</v>
      </c>
      <c r="F591" s="8">
        <v>1.2969999999999999</v>
      </c>
      <c r="G591" s="8">
        <v>23.3</v>
      </c>
    </row>
    <row r="592" spans="1:7" x14ac:dyDescent="0.2">
      <c r="A592" t="s">
        <v>11</v>
      </c>
      <c r="B592" s="1">
        <v>43172</v>
      </c>
      <c r="C592" t="s">
        <v>65</v>
      </c>
      <c r="D592" s="8">
        <v>7.08</v>
      </c>
      <c r="E592" s="8">
        <v>22.1</v>
      </c>
      <c r="F592" s="8">
        <v>1.1419999999999999</v>
      </c>
      <c r="G592" s="8">
        <v>22.2</v>
      </c>
    </row>
    <row r="593" spans="1:7" x14ac:dyDescent="0.2">
      <c r="A593" t="s">
        <v>11</v>
      </c>
      <c r="B593" s="1">
        <v>43172</v>
      </c>
      <c r="C593" t="s">
        <v>65</v>
      </c>
      <c r="D593" s="8">
        <v>7.87</v>
      </c>
      <c r="E593" s="8">
        <v>21.8</v>
      </c>
      <c r="F593" s="8">
        <v>1.5149999999999999</v>
      </c>
      <c r="G593" s="8">
        <v>21.4</v>
      </c>
    </row>
    <row r="594" spans="1:7" x14ac:dyDescent="0.2">
      <c r="A594" t="s">
        <v>11</v>
      </c>
      <c r="B594" s="1">
        <v>43172</v>
      </c>
      <c r="C594" t="s">
        <v>65</v>
      </c>
      <c r="D594" s="8">
        <v>8.57</v>
      </c>
      <c r="E594" s="8">
        <v>24.1</v>
      </c>
      <c r="F594" s="8">
        <v>1.2529999999999999</v>
      </c>
      <c r="G594" s="8">
        <v>24</v>
      </c>
    </row>
    <row r="595" spans="1:7" x14ac:dyDescent="0.2">
      <c r="A595" t="s">
        <v>11</v>
      </c>
      <c r="B595" s="1">
        <v>43172</v>
      </c>
      <c r="C595" t="s">
        <v>65</v>
      </c>
      <c r="D595" s="8">
        <v>7.31</v>
      </c>
      <c r="E595" s="8">
        <v>22.5</v>
      </c>
      <c r="F595" s="8">
        <v>1.4750000000000001</v>
      </c>
      <c r="G595" s="8">
        <v>21.8</v>
      </c>
    </row>
    <row r="596" spans="1:7" x14ac:dyDescent="0.2">
      <c r="A596" t="s">
        <v>11</v>
      </c>
      <c r="B596" s="1">
        <v>43172</v>
      </c>
      <c r="C596" t="s">
        <v>65</v>
      </c>
      <c r="D596" s="8">
        <v>8.67</v>
      </c>
      <c r="E596" s="8">
        <v>24.6</v>
      </c>
      <c r="F596" s="8">
        <v>1.077</v>
      </c>
      <c r="G596" s="8">
        <v>2438</v>
      </c>
    </row>
    <row r="597" spans="1:7" x14ac:dyDescent="0.2">
      <c r="A597" t="s">
        <v>11</v>
      </c>
      <c r="B597" s="1">
        <v>43172</v>
      </c>
      <c r="C597" t="s">
        <v>65</v>
      </c>
      <c r="D597" s="8">
        <v>7.73</v>
      </c>
      <c r="E597" s="8">
        <v>24.7</v>
      </c>
      <c r="F597" s="8">
        <v>1.1459999999999999</v>
      </c>
      <c r="G597" s="8">
        <v>24.2</v>
      </c>
    </row>
    <row r="598" spans="1:7" x14ac:dyDescent="0.2">
      <c r="A598" t="s">
        <v>11</v>
      </c>
      <c r="B598" s="1">
        <v>43172</v>
      </c>
      <c r="C598" t="s">
        <v>65</v>
      </c>
      <c r="D598" s="8">
        <v>6.98</v>
      </c>
      <c r="E598" s="8">
        <v>23.2</v>
      </c>
      <c r="F598" s="8">
        <v>1.5549999999999999</v>
      </c>
      <c r="G598" s="8">
        <v>23.2</v>
      </c>
    </row>
    <row r="599" spans="1:7" x14ac:dyDescent="0.2">
      <c r="A599" t="s">
        <v>11</v>
      </c>
      <c r="B599" s="1">
        <v>43172</v>
      </c>
      <c r="C599" t="s">
        <v>65</v>
      </c>
      <c r="D599" s="8">
        <v>7.15</v>
      </c>
      <c r="E599" s="8">
        <v>22.2</v>
      </c>
      <c r="F599" s="8">
        <v>1.6040000000000001</v>
      </c>
      <c r="G599" s="8">
        <v>22.1</v>
      </c>
    </row>
    <row r="600" spans="1:7" x14ac:dyDescent="0.2">
      <c r="A600" t="s">
        <v>11</v>
      </c>
      <c r="B600" s="1">
        <v>43172</v>
      </c>
      <c r="C600" t="s">
        <v>65</v>
      </c>
      <c r="D600" s="8">
        <v>9.84</v>
      </c>
      <c r="E600" s="8">
        <v>22</v>
      </c>
      <c r="F600" s="8">
        <v>1.204</v>
      </c>
      <c r="G600" s="8">
        <v>22</v>
      </c>
    </row>
    <row r="601" spans="1:7" x14ac:dyDescent="0.2">
      <c r="A601" t="s">
        <v>11</v>
      </c>
      <c r="B601" s="1">
        <v>43172</v>
      </c>
      <c r="C601" t="s">
        <v>65</v>
      </c>
      <c r="D601" s="8">
        <v>9.1300000000000008</v>
      </c>
      <c r="E601" s="8">
        <v>23.7</v>
      </c>
      <c r="F601" s="8">
        <v>1.337</v>
      </c>
      <c r="G601" s="8">
        <v>23.7</v>
      </c>
    </row>
    <row r="602" spans="1:7" x14ac:dyDescent="0.2">
      <c r="A602" t="s">
        <v>11</v>
      </c>
      <c r="B602" s="1">
        <v>43172</v>
      </c>
      <c r="C602" t="s">
        <v>65</v>
      </c>
      <c r="D602" s="8">
        <v>9.66</v>
      </c>
      <c r="E602" s="8">
        <v>23.2</v>
      </c>
      <c r="F602" s="8">
        <v>1.0529999999999999</v>
      </c>
      <c r="G602" s="8">
        <v>22.9</v>
      </c>
    </row>
    <row r="603" spans="1:7" x14ac:dyDescent="0.2">
      <c r="A603" t="s">
        <v>11</v>
      </c>
      <c r="B603" s="1">
        <v>43172</v>
      </c>
      <c r="C603" t="s">
        <v>65</v>
      </c>
      <c r="D603" s="8">
        <v>7.17</v>
      </c>
      <c r="E603" s="8">
        <v>21.4</v>
      </c>
      <c r="F603" s="8">
        <v>1.4650000000000001</v>
      </c>
      <c r="G603" s="8">
        <v>21.8</v>
      </c>
    </row>
    <row r="604" spans="1:7" x14ac:dyDescent="0.2">
      <c r="A604" t="s">
        <v>11</v>
      </c>
      <c r="B604" s="1">
        <v>43172</v>
      </c>
      <c r="C604" t="s">
        <v>65</v>
      </c>
      <c r="D604" s="8">
        <v>7.19</v>
      </c>
      <c r="E604" s="8">
        <v>23.1</v>
      </c>
      <c r="F604" s="8">
        <v>1.524</v>
      </c>
      <c r="G604" s="8">
        <v>23.4</v>
      </c>
    </row>
    <row r="605" spans="1:7" x14ac:dyDescent="0.2">
      <c r="A605" t="s">
        <v>11</v>
      </c>
      <c r="B605" s="1">
        <v>43172</v>
      </c>
      <c r="C605" t="s">
        <v>65</v>
      </c>
      <c r="D605" s="8">
        <v>9.14</v>
      </c>
      <c r="E605" s="8">
        <v>24</v>
      </c>
      <c r="F605" s="8">
        <v>1.613</v>
      </c>
      <c r="G605" s="8">
        <v>23.6</v>
      </c>
    </row>
    <row r="606" spans="1:7" x14ac:dyDescent="0.2">
      <c r="A606" t="s">
        <v>11</v>
      </c>
      <c r="B606" s="1">
        <v>43172</v>
      </c>
      <c r="C606" t="s">
        <v>65</v>
      </c>
      <c r="D606" s="8">
        <v>7.04</v>
      </c>
      <c r="E606" s="8">
        <v>23</v>
      </c>
      <c r="F606" s="8">
        <v>1.4430000000000001</v>
      </c>
      <c r="G606" s="8">
        <v>23.1</v>
      </c>
    </row>
    <row r="607" spans="1:7" x14ac:dyDescent="0.2">
      <c r="A607" t="s">
        <v>11</v>
      </c>
      <c r="B607" s="1">
        <v>43172</v>
      </c>
      <c r="C607" t="s">
        <v>65</v>
      </c>
      <c r="D607" s="8">
        <v>7.35</v>
      </c>
      <c r="E607" s="8">
        <v>23.2</v>
      </c>
      <c r="F607" s="8">
        <v>1.45</v>
      </c>
      <c r="G607" s="8">
        <v>23</v>
      </c>
    </row>
    <row r="608" spans="1:7" x14ac:dyDescent="0.2">
      <c r="A608" t="s">
        <v>11</v>
      </c>
      <c r="B608" s="1">
        <v>43172</v>
      </c>
      <c r="C608" t="s">
        <v>65</v>
      </c>
      <c r="D608" s="8">
        <v>7.29</v>
      </c>
      <c r="E608" s="8">
        <v>22.3</v>
      </c>
      <c r="F608" s="8">
        <v>1.581</v>
      </c>
      <c r="G608" s="8">
        <v>22.2</v>
      </c>
    </row>
    <row r="609" spans="1:7" x14ac:dyDescent="0.2">
      <c r="A609" t="s">
        <v>11</v>
      </c>
      <c r="B609" s="1">
        <v>43174</v>
      </c>
      <c r="C609" t="s">
        <v>65</v>
      </c>
      <c r="D609" s="8">
        <v>9.17</v>
      </c>
      <c r="E609" s="8">
        <v>26.6</v>
      </c>
      <c r="F609" s="8">
        <v>1.264</v>
      </c>
      <c r="G609" s="8">
        <v>25.8</v>
      </c>
    </row>
    <row r="610" spans="1:7" x14ac:dyDescent="0.2">
      <c r="A610" t="s">
        <v>11</v>
      </c>
      <c r="B610" s="1">
        <v>43174</v>
      </c>
      <c r="C610" t="s">
        <v>65</v>
      </c>
      <c r="D610" s="8">
        <v>9.98</v>
      </c>
      <c r="E610" s="8">
        <v>30.2</v>
      </c>
      <c r="F610" s="8">
        <v>1.6</v>
      </c>
      <c r="G610" s="8">
        <v>29.9</v>
      </c>
    </row>
    <row r="611" spans="1:7" x14ac:dyDescent="0.2">
      <c r="A611" t="s">
        <v>11</v>
      </c>
      <c r="B611" s="1">
        <v>43174</v>
      </c>
      <c r="C611" t="s">
        <v>65</v>
      </c>
      <c r="D611" s="8">
        <v>7.58</v>
      </c>
      <c r="E611" s="8">
        <v>25.3</v>
      </c>
      <c r="F611" s="8">
        <v>1.57</v>
      </c>
      <c r="G611" s="8">
        <v>25.4</v>
      </c>
    </row>
    <row r="612" spans="1:7" x14ac:dyDescent="0.2">
      <c r="A612" t="s">
        <v>11</v>
      </c>
      <c r="B612" s="1">
        <v>43174</v>
      </c>
      <c r="C612" t="s">
        <v>65</v>
      </c>
      <c r="D612" s="8">
        <v>7.24</v>
      </c>
      <c r="E612" s="8">
        <v>26.9</v>
      </c>
      <c r="F612" s="8">
        <v>1.4630000000000001</v>
      </c>
      <c r="G612" s="8">
        <v>27.3</v>
      </c>
    </row>
    <row r="613" spans="1:7" x14ac:dyDescent="0.2">
      <c r="A613" t="s">
        <v>11</v>
      </c>
      <c r="B613" s="1">
        <v>43174</v>
      </c>
      <c r="C613" t="s">
        <v>65</v>
      </c>
      <c r="D613" s="8">
        <v>9.17</v>
      </c>
      <c r="E613" s="8">
        <v>26.5</v>
      </c>
      <c r="F613" s="8">
        <v>1.077</v>
      </c>
      <c r="G613" s="8">
        <v>25.8</v>
      </c>
    </row>
    <row r="614" spans="1:7" x14ac:dyDescent="0.2">
      <c r="A614" t="s">
        <v>11</v>
      </c>
      <c r="B614" s="1">
        <v>43174</v>
      </c>
      <c r="C614" t="s">
        <v>65</v>
      </c>
      <c r="D614" s="8">
        <v>6.96</v>
      </c>
      <c r="E614" s="8">
        <v>21.9</v>
      </c>
      <c r="F614" s="8">
        <v>1.5009999999999999</v>
      </c>
      <c r="G614" s="8">
        <v>22.3</v>
      </c>
    </row>
    <row r="615" spans="1:7" x14ac:dyDescent="0.2">
      <c r="A615" t="s">
        <v>11</v>
      </c>
      <c r="B615" s="1">
        <v>43174</v>
      </c>
      <c r="C615" t="s">
        <v>65</v>
      </c>
      <c r="D615" s="8">
        <v>6.79</v>
      </c>
      <c r="E615" s="8">
        <v>24.9</v>
      </c>
      <c r="F615" s="8">
        <v>1.028</v>
      </c>
      <c r="G615" s="8">
        <v>24.4</v>
      </c>
    </row>
    <row r="616" spans="1:7" x14ac:dyDescent="0.2">
      <c r="A616" t="s">
        <v>11</v>
      </c>
      <c r="B616" s="1">
        <v>43174</v>
      </c>
      <c r="C616" t="s">
        <v>65</v>
      </c>
      <c r="D616" s="8">
        <v>8.0399999999999991</v>
      </c>
      <c r="E616" s="8">
        <v>27.1</v>
      </c>
      <c r="F616" s="8">
        <v>1.1739999999999999</v>
      </c>
      <c r="G616" s="8">
        <v>27</v>
      </c>
    </row>
    <row r="617" spans="1:7" x14ac:dyDescent="0.2">
      <c r="A617" t="s">
        <v>11</v>
      </c>
      <c r="B617" s="1">
        <v>43174</v>
      </c>
      <c r="C617" t="s">
        <v>65</v>
      </c>
      <c r="D617" s="8">
        <v>7.81</v>
      </c>
      <c r="E617" s="8">
        <v>25.8</v>
      </c>
      <c r="F617" s="8">
        <v>1.149</v>
      </c>
      <c r="G617" s="8">
        <v>22.1</v>
      </c>
    </row>
    <row r="618" spans="1:7" x14ac:dyDescent="0.2">
      <c r="A618" t="s">
        <v>11</v>
      </c>
      <c r="B618" s="1">
        <v>43174</v>
      </c>
      <c r="C618" t="s">
        <v>65</v>
      </c>
      <c r="D618" s="8">
        <v>7.75</v>
      </c>
      <c r="E618" s="8">
        <v>24.5</v>
      </c>
      <c r="F618" s="8">
        <v>1.0980000000000001</v>
      </c>
      <c r="G618" s="8">
        <v>24.1</v>
      </c>
    </row>
    <row r="619" spans="1:7" x14ac:dyDescent="0.2">
      <c r="A619" t="s">
        <v>11</v>
      </c>
      <c r="B619" s="1">
        <v>43174</v>
      </c>
      <c r="C619" t="s">
        <v>65</v>
      </c>
      <c r="D619" s="8">
        <v>8.06</v>
      </c>
      <c r="E619" s="8">
        <v>24.5</v>
      </c>
      <c r="F619" s="8">
        <v>1.1579999999999999</v>
      </c>
      <c r="G619" s="8">
        <v>24.4</v>
      </c>
    </row>
    <row r="620" spans="1:7" x14ac:dyDescent="0.2">
      <c r="A620" t="s">
        <v>11</v>
      </c>
      <c r="B620" s="1">
        <v>43174</v>
      </c>
      <c r="C620" t="s">
        <v>65</v>
      </c>
      <c r="D620" s="8">
        <v>9.66</v>
      </c>
      <c r="E620" s="8">
        <v>27.4</v>
      </c>
      <c r="F620" s="8">
        <v>1.2909999999999999</v>
      </c>
      <c r="G620" s="8">
        <v>27.8</v>
      </c>
    </row>
    <row r="621" spans="1:7" x14ac:dyDescent="0.2">
      <c r="A621" t="s">
        <v>11</v>
      </c>
      <c r="B621" s="1">
        <v>43174</v>
      </c>
      <c r="C621" t="s">
        <v>65</v>
      </c>
      <c r="D621" s="8">
        <v>8.01</v>
      </c>
      <c r="E621" s="8">
        <v>28.7</v>
      </c>
      <c r="F621" s="8">
        <v>1.28</v>
      </c>
      <c r="G621" s="8">
        <v>28.9</v>
      </c>
    </row>
    <row r="622" spans="1:7" x14ac:dyDescent="0.2">
      <c r="A622" t="s">
        <v>11</v>
      </c>
      <c r="B622" s="1">
        <v>43174</v>
      </c>
      <c r="C622" t="s">
        <v>65</v>
      </c>
      <c r="D622" s="8">
        <v>7.62</v>
      </c>
      <c r="E622" s="8">
        <v>25.9</v>
      </c>
      <c r="F622" s="8">
        <v>1.383</v>
      </c>
      <c r="G622" s="8">
        <v>25.4</v>
      </c>
    </row>
    <row r="623" spans="1:7" x14ac:dyDescent="0.2">
      <c r="A623" t="s">
        <v>11</v>
      </c>
      <c r="B623" s="1">
        <v>43174</v>
      </c>
      <c r="C623" t="s">
        <v>65</v>
      </c>
      <c r="D623" s="8">
        <v>6.94</v>
      </c>
      <c r="E623" s="8">
        <v>29</v>
      </c>
      <c r="F623" s="8">
        <v>0.63700000000000001</v>
      </c>
      <c r="G623" s="8">
        <v>29.9</v>
      </c>
    </row>
    <row r="624" spans="1:7" x14ac:dyDescent="0.2">
      <c r="A624" t="s">
        <v>11</v>
      </c>
      <c r="B624" s="1">
        <v>43174</v>
      </c>
      <c r="C624" t="s">
        <v>65</v>
      </c>
      <c r="D624" s="8">
        <v>9.0399999999999991</v>
      </c>
      <c r="E624" s="8">
        <v>29.4</v>
      </c>
      <c r="F624" s="8">
        <v>1.157</v>
      </c>
      <c r="G624" s="8">
        <v>29.4</v>
      </c>
    </row>
    <row r="625" spans="1:7" x14ac:dyDescent="0.2">
      <c r="A625" t="s">
        <v>11</v>
      </c>
      <c r="B625" s="1">
        <v>43174</v>
      </c>
      <c r="C625" t="s">
        <v>65</v>
      </c>
      <c r="D625" s="8">
        <v>8.18</v>
      </c>
      <c r="E625" s="8">
        <v>28.7</v>
      </c>
      <c r="F625" s="8">
        <v>1.1719999999999999</v>
      </c>
      <c r="G625" s="8">
        <v>28.8</v>
      </c>
    </row>
    <row r="626" spans="1:7" x14ac:dyDescent="0.2">
      <c r="A626" t="s">
        <v>11</v>
      </c>
      <c r="B626" s="1">
        <v>43174</v>
      </c>
      <c r="C626" t="s">
        <v>65</v>
      </c>
      <c r="D626" s="8">
        <v>7.34</v>
      </c>
      <c r="E626" s="8">
        <v>24.6</v>
      </c>
      <c r="F626" s="8">
        <v>1.6850000000000001</v>
      </c>
      <c r="G626" s="8">
        <v>24.8</v>
      </c>
    </row>
    <row r="627" spans="1:7" x14ac:dyDescent="0.2">
      <c r="A627" t="s">
        <v>11</v>
      </c>
      <c r="B627" s="1">
        <v>43174</v>
      </c>
      <c r="C627" t="s">
        <v>65</v>
      </c>
      <c r="D627" s="8">
        <v>7.92</v>
      </c>
      <c r="E627" s="8">
        <v>23.8</v>
      </c>
      <c r="F627" s="8">
        <v>0.93</v>
      </c>
      <c r="G627" s="8">
        <v>24</v>
      </c>
    </row>
    <row r="628" spans="1:7" x14ac:dyDescent="0.2">
      <c r="A628" t="s">
        <v>11</v>
      </c>
      <c r="B628" s="1">
        <v>43174</v>
      </c>
      <c r="C628" t="s">
        <v>65</v>
      </c>
      <c r="D628" s="8">
        <v>7.27</v>
      </c>
      <c r="E628" s="8">
        <v>28</v>
      </c>
      <c r="F628" s="8">
        <v>1.0900000000000001</v>
      </c>
      <c r="G628" s="8">
        <v>28</v>
      </c>
    </row>
    <row r="629" spans="1:7" x14ac:dyDescent="0.2">
      <c r="A629" t="s">
        <v>11</v>
      </c>
      <c r="B629" s="1">
        <v>43174</v>
      </c>
      <c r="C629" t="s">
        <v>65</v>
      </c>
      <c r="D629" s="8">
        <v>6.93</v>
      </c>
      <c r="E629" s="8">
        <v>29.5</v>
      </c>
      <c r="F629" s="8">
        <v>1.423</v>
      </c>
      <c r="G629" s="8">
        <v>29.5</v>
      </c>
    </row>
    <row r="630" spans="1:7" x14ac:dyDescent="0.2">
      <c r="A630" t="s">
        <v>11</v>
      </c>
      <c r="B630" s="1">
        <v>43174</v>
      </c>
      <c r="C630" t="s">
        <v>65</v>
      </c>
      <c r="D630" s="8">
        <v>6.97</v>
      </c>
      <c r="E630" s="8">
        <v>23.8</v>
      </c>
      <c r="F630" s="8">
        <v>1.5860000000000001</v>
      </c>
      <c r="G630" s="8">
        <v>23.9</v>
      </c>
    </row>
    <row r="631" spans="1:7" x14ac:dyDescent="0.2">
      <c r="A631" t="s">
        <v>11</v>
      </c>
      <c r="B631" s="1">
        <v>43174</v>
      </c>
      <c r="C631" t="s">
        <v>65</v>
      </c>
      <c r="D631" s="8">
        <v>8.06</v>
      </c>
      <c r="E631" s="8">
        <v>26.4</v>
      </c>
      <c r="F631" s="8">
        <v>1.55</v>
      </c>
      <c r="G631" s="8">
        <v>26.2</v>
      </c>
    </row>
    <row r="632" spans="1:7" x14ac:dyDescent="0.2">
      <c r="A632" t="s">
        <v>11</v>
      </c>
      <c r="B632" s="1">
        <v>43174</v>
      </c>
      <c r="C632" t="s">
        <v>65</v>
      </c>
      <c r="D632" s="8">
        <v>9.1199999999999992</v>
      </c>
      <c r="E632" s="8">
        <v>27.3</v>
      </c>
      <c r="F632" s="8">
        <v>1.081</v>
      </c>
      <c r="G632" s="8">
        <v>27.6</v>
      </c>
    </row>
    <row r="633" spans="1:7" x14ac:dyDescent="0.2">
      <c r="A633" t="s">
        <v>11</v>
      </c>
      <c r="B633" s="1">
        <v>43174</v>
      </c>
      <c r="C633" t="s">
        <v>65</v>
      </c>
      <c r="D633" s="8">
        <v>6.78</v>
      </c>
      <c r="E633" s="8">
        <v>26</v>
      </c>
      <c r="F633" s="8">
        <v>1.383</v>
      </c>
      <c r="G633" s="8">
        <v>26</v>
      </c>
    </row>
    <row r="634" spans="1:7" x14ac:dyDescent="0.2">
      <c r="A634" t="s">
        <v>11</v>
      </c>
      <c r="B634" s="1">
        <v>43174</v>
      </c>
      <c r="C634" t="s">
        <v>65</v>
      </c>
      <c r="D634" s="8">
        <v>7.87</v>
      </c>
      <c r="E634" s="8">
        <v>29</v>
      </c>
      <c r="F634" s="8">
        <v>1.3460000000000001</v>
      </c>
      <c r="G634" s="8">
        <v>28.7</v>
      </c>
    </row>
    <row r="635" spans="1:7" x14ac:dyDescent="0.2">
      <c r="A635" t="s">
        <v>11</v>
      </c>
      <c r="B635" s="1">
        <v>43174</v>
      </c>
      <c r="C635" t="s">
        <v>65</v>
      </c>
      <c r="D635" s="8">
        <v>7.05</v>
      </c>
      <c r="E635" s="8">
        <v>24.8</v>
      </c>
      <c r="F635" s="8">
        <v>1.25</v>
      </c>
      <c r="G635" s="8">
        <v>24.6</v>
      </c>
    </row>
    <row r="636" spans="1:7" x14ac:dyDescent="0.2">
      <c r="A636" t="s">
        <v>11</v>
      </c>
      <c r="B636" s="1">
        <v>43174</v>
      </c>
      <c r="C636" t="s">
        <v>65</v>
      </c>
      <c r="D636" s="8">
        <v>7.85</v>
      </c>
      <c r="E636" s="8">
        <v>28.2</v>
      </c>
      <c r="F636" s="8">
        <v>1.1870000000000001</v>
      </c>
      <c r="G636" s="8">
        <v>28.3</v>
      </c>
    </row>
    <row r="637" spans="1:7" x14ac:dyDescent="0.2">
      <c r="A637" t="s">
        <v>11</v>
      </c>
      <c r="B637" s="1">
        <v>43174</v>
      </c>
      <c r="C637" t="s">
        <v>65</v>
      </c>
      <c r="D637" s="8">
        <v>8.5500000000000007</v>
      </c>
      <c r="E637" s="8">
        <v>28.7</v>
      </c>
      <c r="F637" s="8">
        <v>1.3180000000000001</v>
      </c>
      <c r="G637" s="8">
        <v>28.7</v>
      </c>
    </row>
    <row r="638" spans="1:7" x14ac:dyDescent="0.2">
      <c r="A638" t="s">
        <v>11</v>
      </c>
      <c r="B638" s="1">
        <v>43174</v>
      </c>
      <c r="C638" t="s">
        <v>65</v>
      </c>
      <c r="D638" s="8">
        <v>8.85</v>
      </c>
      <c r="E638" s="8">
        <v>29.2</v>
      </c>
      <c r="F638" s="8">
        <v>1.341</v>
      </c>
      <c r="G638" s="8">
        <v>29.3</v>
      </c>
    </row>
    <row r="639" spans="1:7" x14ac:dyDescent="0.2">
      <c r="A639" t="s">
        <v>11</v>
      </c>
      <c r="B639" s="1">
        <v>43174</v>
      </c>
      <c r="C639" t="s">
        <v>65</v>
      </c>
      <c r="D639" s="8">
        <v>8.86</v>
      </c>
      <c r="E639" s="8">
        <v>30.3</v>
      </c>
      <c r="F639" s="8">
        <v>1.181</v>
      </c>
      <c r="G639" s="8">
        <v>30.3</v>
      </c>
    </row>
    <row r="640" spans="1:7" x14ac:dyDescent="0.2">
      <c r="A640" t="s">
        <v>11</v>
      </c>
      <c r="B640" s="1">
        <v>43174</v>
      </c>
      <c r="C640" t="s">
        <v>65</v>
      </c>
      <c r="D640" s="8">
        <v>7.83</v>
      </c>
      <c r="E640" s="8">
        <v>28.5</v>
      </c>
      <c r="F640" s="8">
        <v>1.5409999999999999</v>
      </c>
      <c r="G640" s="8">
        <v>28</v>
      </c>
    </row>
    <row r="641" spans="1:7" x14ac:dyDescent="0.2">
      <c r="A641" t="s">
        <v>11</v>
      </c>
      <c r="B641" s="1">
        <v>43174</v>
      </c>
      <c r="C641" t="s">
        <v>65</v>
      </c>
      <c r="D641" s="8">
        <v>7.02</v>
      </c>
      <c r="E641" s="8">
        <v>25</v>
      </c>
      <c r="F641" s="8">
        <v>1.486</v>
      </c>
      <c r="G641" s="8">
        <v>24.7</v>
      </c>
    </row>
    <row r="642" spans="1:7" x14ac:dyDescent="0.2">
      <c r="A642" t="s">
        <v>599</v>
      </c>
      <c r="B642" s="1">
        <v>43236</v>
      </c>
      <c r="C642" t="s">
        <v>65</v>
      </c>
      <c r="D642" s="8">
        <v>9.5</v>
      </c>
      <c r="E642" s="8" t="s">
        <v>11</v>
      </c>
      <c r="F642" s="8">
        <v>0.96199999999999997</v>
      </c>
      <c r="G642" s="8">
        <v>38.4</v>
      </c>
    </row>
    <row r="643" spans="1:7" x14ac:dyDescent="0.2">
      <c r="A643" t="s">
        <v>594</v>
      </c>
      <c r="B643" s="1">
        <v>43236</v>
      </c>
      <c r="C643" t="s">
        <v>65</v>
      </c>
      <c r="D643" s="8">
        <v>8.0399999999999991</v>
      </c>
      <c r="E643" s="8" t="s">
        <v>11</v>
      </c>
      <c r="F643" s="8">
        <v>0.65900000000000003</v>
      </c>
      <c r="G643" s="8">
        <v>37.9</v>
      </c>
    </row>
    <row r="644" spans="1:7" x14ac:dyDescent="0.2">
      <c r="A644" t="s">
        <v>590</v>
      </c>
      <c r="B644" s="1">
        <v>43236</v>
      </c>
      <c r="C644" t="s">
        <v>65</v>
      </c>
      <c r="D644" s="8">
        <v>9.08</v>
      </c>
      <c r="E644" s="8" t="s">
        <v>11</v>
      </c>
      <c r="F644" s="8">
        <v>0.57299999999999995</v>
      </c>
      <c r="G644" s="8">
        <v>37.700000000000003</v>
      </c>
    </row>
    <row r="645" spans="1:7" x14ac:dyDescent="0.2">
      <c r="A645" t="s">
        <v>585</v>
      </c>
      <c r="B645" s="1">
        <v>43236</v>
      </c>
      <c r="C645" t="s">
        <v>65</v>
      </c>
      <c r="D645" s="8">
        <v>9.77</v>
      </c>
      <c r="E645" s="8" t="s">
        <v>11</v>
      </c>
      <c r="F645" s="8">
        <v>0.60099999999999998</v>
      </c>
      <c r="G645" s="8">
        <v>37.9</v>
      </c>
    </row>
    <row r="646" spans="1:7" x14ac:dyDescent="0.2">
      <c r="A646" t="s">
        <v>572</v>
      </c>
      <c r="B646" s="1">
        <v>43236</v>
      </c>
      <c r="C646" t="s">
        <v>65</v>
      </c>
      <c r="D646" s="8">
        <v>9.3800000000000008</v>
      </c>
      <c r="E646" s="8" t="s">
        <v>11</v>
      </c>
      <c r="F646" s="8">
        <v>0.42199999999999999</v>
      </c>
      <c r="G646" s="8">
        <v>38.200000000000003</v>
      </c>
    </row>
    <row r="647" spans="1:7" x14ac:dyDescent="0.2">
      <c r="A647" t="s">
        <v>568</v>
      </c>
      <c r="B647" s="1">
        <v>43236</v>
      </c>
      <c r="C647" t="s">
        <v>65</v>
      </c>
      <c r="D647" s="8">
        <v>8.1300000000000008</v>
      </c>
      <c r="E647" s="8" t="s">
        <v>11</v>
      </c>
      <c r="F647" s="8">
        <v>0.47599999999999998</v>
      </c>
      <c r="G647" s="8">
        <v>39.6</v>
      </c>
    </row>
    <row r="648" spans="1:7" x14ac:dyDescent="0.2">
      <c r="A648" t="s">
        <v>560</v>
      </c>
      <c r="B648" s="1">
        <v>43236</v>
      </c>
      <c r="C648" t="s">
        <v>65</v>
      </c>
      <c r="D648" s="8">
        <v>7.24</v>
      </c>
      <c r="E648" s="8" t="s">
        <v>11</v>
      </c>
      <c r="F648" s="8">
        <v>0.84699999999999998</v>
      </c>
      <c r="G648" s="8">
        <v>38</v>
      </c>
    </row>
    <row r="649" spans="1:7" x14ac:dyDescent="0.2">
      <c r="A649" t="s">
        <v>559</v>
      </c>
      <c r="B649" s="1">
        <v>43236</v>
      </c>
      <c r="C649" t="s">
        <v>65</v>
      </c>
      <c r="D649" s="8">
        <v>7.83</v>
      </c>
      <c r="E649" s="8" t="s">
        <v>11</v>
      </c>
      <c r="F649" s="8">
        <v>0.56200000000000006</v>
      </c>
      <c r="G649" s="8">
        <v>38.6</v>
      </c>
    </row>
    <row r="650" spans="1:7" x14ac:dyDescent="0.2">
      <c r="A650" t="s">
        <v>544</v>
      </c>
      <c r="B650" s="1">
        <v>43236</v>
      </c>
      <c r="C650" t="s">
        <v>65</v>
      </c>
      <c r="D650" s="8">
        <v>7.58</v>
      </c>
      <c r="E650" s="8" t="s">
        <v>11</v>
      </c>
      <c r="F650" s="8">
        <v>0.69799999999999995</v>
      </c>
      <c r="G650" s="8">
        <v>32.9</v>
      </c>
    </row>
    <row r="651" spans="1:7" x14ac:dyDescent="0.2">
      <c r="A651" t="s">
        <v>542</v>
      </c>
      <c r="B651" s="1">
        <v>43236</v>
      </c>
      <c r="C651" t="s">
        <v>65</v>
      </c>
      <c r="D651" s="8">
        <v>7.43</v>
      </c>
      <c r="E651" s="8" t="s">
        <v>11</v>
      </c>
      <c r="F651" s="8">
        <v>0.83</v>
      </c>
      <c r="G651" s="8">
        <v>38.299999999999997</v>
      </c>
    </row>
    <row r="652" spans="1:7" x14ac:dyDescent="0.2">
      <c r="A652" t="s">
        <v>540</v>
      </c>
      <c r="B652" s="1">
        <v>43236</v>
      </c>
      <c r="C652" t="s">
        <v>65</v>
      </c>
      <c r="D652" s="8">
        <v>8.0299999999999994</v>
      </c>
      <c r="E652" s="8" t="s">
        <v>11</v>
      </c>
      <c r="F652" s="8">
        <v>0.72</v>
      </c>
      <c r="G652" s="8">
        <v>34.1</v>
      </c>
    </row>
    <row r="653" spans="1:7" x14ac:dyDescent="0.2">
      <c r="A653" t="s">
        <v>537</v>
      </c>
      <c r="B653" s="1">
        <v>43236</v>
      </c>
      <c r="C653" t="s">
        <v>65</v>
      </c>
      <c r="D653" s="8">
        <v>6.7</v>
      </c>
      <c r="E653" s="8" t="s">
        <v>11</v>
      </c>
      <c r="F653" s="8">
        <v>0.59799999999999998</v>
      </c>
      <c r="G653" s="8">
        <v>37.1</v>
      </c>
    </row>
    <row r="654" spans="1:7" x14ac:dyDescent="0.2">
      <c r="A654" t="s">
        <v>532</v>
      </c>
      <c r="B654" s="1">
        <v>43236</v>
      </c>
      <c r="C654" t="s">
        <v>65</v>
      </c>
      <c r="D654" s="8">
        <v>7.15</v>
      </c>
      <c r="E654" s="8" t="s">
        <v>11</v>
      </c>
      <c r="F654" s="8">
        <v>0.49299999999999999</v>
      </c>
      <c r="G654" s="8">
        <v>37.200000000000003</v>
      </c>
    </row>
    <row r="655" spans="1:7" x14ac:dyDescent="0.2">
      <c r="A655" t="s">
        <v>530</v>
      </c>
      <c r="B655" s="1">
        <v>43236</v>
      </c>
      <c r="C655" t="s">
        <v>65</v>
      </c>
      <c r="D655" s="8">
        <v>7.07</v>
      </c>
      <c r="E655" s="8" t="s">
        <v>11</v>
      </c>
      <c r="F655" s="8">
        <v>0.92100000000000004</v>
      </c>
      <c r="G655" s="8">
        <v>38.299999999999997</v>
      </c>
    </row>
    <row r="656" spans="1:7" x14ac:dyDescent="0.2">
      <c r="A656" t="s">
        <v>529</v>
      </c>
      <c r="B656" s="1">
        <v>43236</v>
      </c>
      <c r="C656" t="s">
        <v>65</v>
      </c>
      <c r="D656" s="8">
        <v>7.5</v>
      </c>
      <c r="E656" s="8" t="s">
        <v>11</v>
      </c>
      <c r="F656" s="8">
        <v>0.47299999999999998</v>
      </c>
      <c r="G656" s="8">
        <v>38.299999999999997</v>
      </c>
    </row>
    <row r="657" spans="1:7" x14ac:dyDescent="0.2">
      <c r="A657" t="s">
        <v>528</v>
      </c>
      <c r="B657" s="1">
        <v>43236</v>
      </c>
      <c r="C657" t="s">
        <v>65</v>
      </c>
      <c r="D657" s="8">
        <v>7.74</v>
      </c>
      <c r="E657" s="8" t="s">
        <v>11</v>
      </c>
      <c r="F657" s="8">
        <v>0.56499999999999995</v>
      </c>
      <c r="G657" s="8">
        <v>38.700000000000003</v>
      </c>
    </row>
    <row r="658" spans="1:7" x14ac:dyDescent="0.2">
      <c r="A658" t="s">
        <v>524</v>
      </c>
      <c r="B658" s="1">
        <v>43236</v>
      </c>
      <c r="C658" t="s">
        <v>65</v>
      </c>
      <c r="D658" s="8">
        <v>7.27</v>
      </c>
      <c r="E658" s="8" t="s">
        <v>11</v>
      </c>
      <c r="F658" s="8">
        <v>0.64500000000000002</v>
      </c>
      <c r="G658" s="8">
        <v>35.799999999999997</v>
      </c>
    </row>
    <row r="659" spans="1:7" x14ac:dyDescent="0.2">
      <c r="A659" t="s">
        <v>601</v>
      </c>
      <c r="B659" s="1">
        <v>43237</v>
      </c>
      <c r="C659" t="s">
        <v>65</v>
      </c>
      <c r="D659" s="8">
        <v>7.52</v>
      </c>
      <c r="E659" s="8" t="s">
        <v>11</v>
      </c>
      <c r="F659" s="8">
        <v>0.94299999999999995</v>
      </c>
      <c r="G659" s="8">
        <v>35.700000000000003</v>
      </c>
    </row>
    <row r="660" spans="1:7" x14ac:dyDescent="0.2">
      <c r="A660" t="s">
        <v>600</v>
      </c>
      <c r="B660" s="1">
        <v>43237</v>
      </c>
      <c r="C660" t="s">
        <v>65</v>
      </c>
      <c r="D660" s="8">
        <v>8.2799999999999994</v>
      </c>
      <c r="E660" s="8" t="s">
        <v>11</v>
      </c>
      <c r="F660" s="8">
        <v>0.60399999999999998</v>
      </c>
      <c r="G660" s="8">
        <v>38.4</v>
      </c>
    </row>
    <row r="661" spans="1:7" x14ac:dyDescent="0.2">
      <c r="A661" t="s">
        <v>596</v>
      </c>
      <c r="B661" s="1">
        <v>43237</v>
      </c>
      <c r="C661" t="s">
        <v>65</v>
      </c>
      <c r="D661" s="8">
        <v>7.48</v>
      </c>
      <c r="E661" s="8" t="s">
        <v>11</v>
      </c>
      <c r="F661" s="8">
        <v>0.68799999999999994</v>
      </c>
      <c r="G661" s="8">
        <v>38.200000000000003</v>
      </c>
    </row>
    <row r="662" spans="1:7" x14ac:dyDescent="0.2">
      <c r="A662" t="s">
        <v>595</v>
      </c>
      <c r="B662" s="1">
        <v>43237</v>
      </c>
      <c r="C662" t="s">
        <v>65</v>
      </c>
      <c r="D662" s="8">
        <v>7.38</v>
      </c>
      <c r="E662" s="8" t="s">
        <v>11</v>
      </c>
      <c r="F662" s="8">
        <v>0.60599999999999998</v>
      </c>
      <c r="G662" s="8">
        <v>32.6</v>
      </c>
    </row>
    <row r="663" spans="1:7" x14ac:dyDescent="0.2">
      <c r="A663" t="s">
        <v>592</v>
      </c>
      <c r="B663" s="1">
        <v>43237</v>
      </c>
      <c r="C663" t="s">
        <v>65</v>
      </c>
      <c r="D663" s="8">
        <v>7.56</v>
      </c>
      <c r="E663" s="8" t="s">
        <v>11</v>
      </c>
      <c r="F663" s="8">
        <v>0.69699999999999995</v>
      </c>
      <c r="G663" s="8">
        <v>35.700000000000003</v>
      </c>
    </row>
    <row r="664" spans="1:7" x14ac:dyDescent="0.2">
      <c r="A664" t="s">
        <v>591</v>
      </c>
      <c r="B664" s="1">
        <v>43237</v>
      </c>
      <c r="C664" t="s">
        <v>65</v>
      </c>
      <c r="D664" s="8">
        <v>7.98</v>
      </c>
      <c r="E664" s="8" t="s">
        <v>11</v>
      </c>
      <c r="F664" s="8">
        <v>0.66</v>
      </c>
      <c r="G664" s="8">
        <v>37.200000000000003</v>
      </c>
    </row>
    <row r="665" spans="1:7" x14ac:dyDescent="0.2">
      <c r="A665" t="s">
        <v>587</v>
      </c>
      <c r="B665" s="1">
        <v>43237</v>
      </c>
      <c r="C665" t="s">
        <v>65</v>
      </c>
      <c r="D665" s="8">
        <v>6.88</v>
      </c>
      <c r="E665" s="8" t="s">
        <v>11</v>
      </c>
      <c r="F665" s="8">
        <v>0.70299999999999996</v>
      </c>
      <c r="G665" s="8">
        <v>31.6</v>
      </c>
    </row>
    <row r="666" spans="1:7" x14ac:dyDescent="0.2">
      <c r="A666" t="s">
        <v>586</v>
      </c>
      <c r="B666" s="1">
        <v>43237</v>
      </c>
      <c r="C666" t="s">
        <v>65</v>
      </c>
      <c r="D666" s="8">
        <v>6.85</v>
      </c>
      <c r="E666" s="8" t="s">
        <v>11</v>
      </c>
      <c r="F666" s="8">
        <v>0.72499999999999998</v>
      </c>
      <c r="G666" s="8">
        <v>34.9</v>
      </c>
    </row>
    <row r="667" spans="1:7" x14ac:dyDescent="0.2">
      <c r="A667" t="s">
        <v>583</v>
      </c>
      <c r="B667" s="1">
        <v>43237</v>
      </c>
      <c r="C667" t="s">
        <v>65</v>
      </c>
      <c r="D667" s="8">
        <v>7.18</v>
      </c>
      <c r="E667" s="8" t="s">
        <v>11</v>
      </c>
      <c r="F667" s="8">
        <v>0.70699999999999996</v>
      </c>
      <c r="G667" s="8">
        <v>33.200000000000003</v>
      </c>
    </row>
    <row r="668" spans="1:7" x14ac:dyDescent="0.2">
      <c r="A668" t="s">
        <v>581</v>
      </c>
      <c r="B668" s="1">
        <v>43237</v>
      </c>
      <c r="C668" t="s">
        <v>65</v>
      </c>
      <c r="D668" s="8">
        <v>8.52</v>
      </c>
      <c r="E668" s="8" t="s">
        <v>11</v>
      </c>
      <c r="F668" s="8">
        <v>0.60199999999999998</v>
      </c>
      <c r="G668" s="8">
        <v>36.5</v>
      </c>
    </row>
    <row r="669" spans="1:7" x14ac:dyDescent="0.2">
      <c r="A669" t="s">
        <v>578</v>
      </c>
      <c r="B669" s="1">
        <v>43237</v>
      </c>
      <c r="C669" t="s">
        <v>65</v>
      </c>
      <c r="D669" s="8">
        <v>9.1300000000000008</v>
      </c>
      <c r="E669" s="8" t="s">
        <v>11</v>
      </c>
      <c r="F669" s="8">
        <v>0.55400000000000005</v>
      </c>
      <c r="G669" s="8">
        <v>36.299999999999997</v>
      </c>
    </row>
    <row r="670" spans="1:7" x14ac:dyDescent="0.2">
      <c r="A670" t="s">
        <v>577</v>
      </c>
      <c r="B670" s="1">
        <v>43237</v>
      </c>
      <c r="C670" t="s">
        <v>65</v>
      </c>
      <c r="D670" s="8">
        <v>7.25</v>
      </c>
      <c r="E670" s="8" t="s">
        <v>11</v>
      </c>
      <c r="F670" s="8">
        <v>0.76800000000000002</v>
      </c>
      <c r="G670" s="8">
        <v>33</v>
      </c>
    </row>
    <row r="671" spans="1:7" x14ac:dyDescent="0.2">
      <c r="A671" t="s">
        <v>576</v>
      </c>
      <c r="B671" s="1">
        <v>43237</v>
      </c>
      <c r="C671" t="s">
        <v>65</v>
      </c>
      <c r="D671" s="8">
        <v>7.42</v>
      </c>
      <c r="E671" s="8" t="s">
        <v>11</v>
      </c>
      <c r="F671" s="8">
        <v>1.0069999999999999</v>
      </c>
      <c r="G671" s="8">
        <v>34.1</v>
      </c>
    </row>
    <row r="672" spans="1:7" x14ac:dyDescent="0.2">
      <c r="A672" t="s">
        <v>574</v>
      </c>
      <c r="B672" s="1">
        <v>43237</v>
      </c>
      <c r="C672" t="s">
        <v>65</v>
      </c>
      <c r="D672" s="8">
        <v>7.56</v>
      </c>
      <c r="E672" s="8" t="s">
        <v>11</v>
      </c>
      <c r="F672" s="8">
        <v>0.64600000000000002</v>
      </c>
      <c r="G672" s="8">
        <v>31.5</v>
      </c>
    </row>
    <row r="673" spans="1:7" x14ac:dyDescent="0.2">
      <c r="A673" t="s">
        <v>573</v>
      </c>
      <c r="B673" s="1">
        <v>43237</v>
      </c>
      <c r="C673" t="s">
        <v>65</v>
      </c>
      <c r="D673" s="8">
        <v>7.19</v>
      </c>
      <c r="E673" s="8" t="s">
        <v>11</v>
      </c>
      <c r="F673" s="8">
        <v>0.83</v>
      </c>
      <c r="G673" s="8">
        <v>32.5</v>
      </c>
    </row>
    <row r="674" spans="1:7" x14ac:dyDescent="0.2">
      <c r="A674" t="s">
        <v>570</v>
      </c>
      <c r="B674" s="1">
        <v>43237</v>
      </c>
      <c r="C674" t="s">
        <v>65</v>
      </c>
      <c r="D674" s="8">
        <v>7.54</v>
      </c>
      <c r="E674" s="8" t="s">
        <v>11</v>
      </c>
      <c r="F674" s="8">
        <v>0.54400000000000004</v>
      </c>
      <c r="G674" s="8">
        <v>37.700000000000003</v>
      </c>
    </row>
    <row r="675" spans="1:7" x14ac:dyDescent="0.2">
      <c r="A675" t="s">
        <v>569</v>
      </c>
      <c r="B675" s="1">
        <v>43237</v>
      </c>
      <c r="C675" t="s">
        <v>65</v>
      </c>
      <c r="D675" s="8">
        <v>9.42</v>
      </c>
      <c r="E675" s="8" t="s">
        <v>11</v>
      </c>
      <c r="F675" s="8">
        <v>0.67600000000000005</v>
      </c>
      <c r="G675" s="8">
        <v>40</v>
      </c>
    </row>
    <row r="676" spans="1:7" x14ac:dyDescent="0.2">
      <c r="A676" t="s">
        <v>567</v>
      </c>
      <c r="B676" s="1">
        <v>43237</v>
      </c>
      <c r="C676" t="s">
        <v>65</v>
      </c>
      <c r="D676" s="8">
        <v>7.85</v>
      </c>
      <c r="E676" s="8" t="s">
        <v>11</v>
      </c>
      <c r="F676" s="8">
        <v>0.79900000000000004</v>
      </c>
      <c r="G676" s="8">
        <v>33.200000000000003</v>
      </c>
    </row>
    <row r="677" spans="1:7" x14ac:dyDescent="0.2">
      <c r="A677" t="s">
        <v>564</v>
      </c>
      <c r="B677" s="1">
        <v>43237</v>
      </c>
      <c r="C677" t="s">
        <v>65</v>
      </c>
      <c r="D677" s="8">
        <v>7.57</v>
      </c>
      <c r="E677" s="8" t="s">
        <v>11</v>
      </c>
      <c r="F677" s="8">
        <v>0.86099999999999999</v>
      </c>
      <c r="G677" s="8">
        <v>37.799999999999997</v>
      </c>
    </row>
    <row r="678" spans="1:7" x14ac:dyDescent="0.2">
      <c r="A678" t="s">
        <v>563</v>
      </c>
      <c r="B678" s="1">
        <v>43237</v>
      </c>
      <c r="C678" t="s">
        <v>65</v>
      </c>
      <c r="D678" s="8">
        <v>7.3</v>
      </c>
      <c r="E678" s="8" t="s">
        <v>11</v>
      </c>
      <c r="F678" s="8">
        <v>0.73899999999999999</v>
      </c>
      <c r="G678" s="8">
        <v>32.9</v>
      </c>
    </row>
    <row r="679" spans="1:7" x14ac:dyDescent="0.2">
      <c r="A679" t="s">
        <v>554</v>
      </c>
      <c r="B679" s="1">
        <v>43237</v>
      </c>
      <c r="C679" t="s">
        <v>65</v>
      </c>
      <c r="D679" s="8">
        <v>7.05</v>
      </c>
      <c r="E679" s="8" t="s">
        <v>11</v>
      </c>
      <c r="F679" s="8">
        <v>0.60599999999999998</v>
      </c>
      <c r="G679" s="8">
        <v>31.4</v>
      </c>
    </row>
    <row r="680" spans="1:7" x14ac:dyDescent="0.2">
      <c r="A680" t="s">
        <v>551</v>
      </c>
      <c r="B680" s="1">
        <v>43237</v>
      </c>
      <c r="C680" t="s">
        <v>65</v>
      </c>
      <c r="D680" s="8">
        <v>7.68</v>
      </c>
      <c r="E680" s="8" t="s">
        <v>11</v>
      </c>
      <c r="F680" s="8">
        <v>0.54400000000000004</v>
      </c>
      <c r="G680" s="8">
        <v>37.200000000000003</v>
      </c>
    </row>
    <row r="681" spans="1:7" x14ac:dyDescent="0.2">
      <c r="A681" t="s">
        <v>550</v>
      </c>
      <c r="B681" s="1">
        <v>43237</v>
      </c>
      <c r="C681" t="s">
        <v>65</v>
      </c>
      <c r="D681" s="8">
        <v>7.48</v>
      </c>
      <c r="E681" s="8" t="s">
        <v>11</v>
      </c>
      <c r="F681" s="8">
        <v>1.0620000000000001</v>
      </c>
      <c r="G681" s="8">
        <v>33.5</v>
      </c>
    </row>
    <row r="682" spans="1:7" x14ac:dyDescent="0.2">
      <c r="A682" t="s">
        <v>543</v>
      </c>
      <c r="B682" s="1">
        <v>43237</v>
      </c>
      <c r="C682" t="s">
        <v>65</v>
      </c>
      <c r="D682" s="8">
        <v>7.17</v>
      </c>
      <c r="E682" s="8" t="s">
        <v>11</v>
      </c>
      <c r="F682" s="8">
        <v>0.75900000000000001</v>
      </c>
      <c r="G682" s="8">
        <v>33.799999999999997</v>
      </c>
    </row>
    <row r="683" spans="1:7" x14ac:dyDescent="0.2">
      <c r="A683" t="s">
        <v>539</v>
      </c>
      <c r="B683" s="1">
        <v>43237</v>
      </c>
      <c r="C683" t="s">
        <v>65</v>
      </c>
      <c r="D683" s="8">
        <v>7.62</v>
      </c>
      <c r="E683" s="8" t="s">
        <v>11</v>
      </c>
      <c r="F683" s="8">
        <v>0.68500000000000005</v>
      </c>
      <c r="G683" s="8">
        <v>37.299999999999997</v>
      </c>
    </row>
    <row r="684" spans="1:7" x14ac:dyDescent="0.2">
      <c r="A684" t="s">
        <v>538</v>
      </c>
      <c r="B684" s="1">
        <v>43237</v>
      </c>
      <c r="C684" t="s">
        <v>65</v>
      </c>
      <c r="D684" s="8">
        <v>8.31</v>
      </c>
      <c r="E684" s="8" t="s">
        <v>11</v>
      </c>
      <c r="F684" s="8">
        <v>0.51200000000000001</v>
      </c>
      <c r="G684" s="8">
        <v>38.299999999999997</v>
      </c>
    </row>
    <row r="685" spans="1:7" x14ac:dyDescent="0.2">
      <c r="A685" t="s">
        <v>536</v>
      </c>
      <c r="B685" s="1">
        <v>43237</v>
      </c>
      <c r="C685" t="s">
        <v>65</v>
      </c>
      <c r="D685" s="8">
        <v>7.2</v>
      </c>
      <c r="E685" s="8" t="s">
        <v>11</v>
      </c>
      <c r="F685" s="8">
        <v>6.82</v>
      </c>
      <c r="G685" s="8">
        <v>33</v>
      </c>
    </row>
    <row r="686" spans="1:7" x14ac:dyDescent="0.2">
      <c r="A686" t="s">
        <v>533</v>
      </c>
      <c r="B686" s="1">
        <v>43237</v>
      </c>
      <c r="C686" t="s">
        <v>65</v>
      </c>
      <c r="D686" s="8">
        <v>6.79</v>
      </c>
      <c r="E686" s="8" t="s">
        <v>11</v>
      </c>
      <c r="F686" s="8">
        <v>0.77900000000000003</v>
      </c>
      <c r="G686" s="8">
        <v>31.6</v>
      </c>
    </row>
    <row r="687" spans="1:7" x14ac:dyDescent="0.2">
      <c r="A687" t="s">
        <v>531</v>
      </c>
      <c r="B687" s="1">
        <v>43237</v>
      </c>
      <c r="C687" t="s">
        <v>65</v>
      </c>
      <c r="D687" s="8">
        <v>7.65</v>
      </c>
      <c r="E687" s="8" t="s">
        <v>11</v>
      </c>
      <c r="F687" s="8">
        <v>0.85399999999999998</v>
      </c>
      <c r="G687" s="8">
        <v>36.799999999999997</v>
      </c>
    </row>
    <row r="688" spans="1:7" x14ac:dyDescent="0.2">
      <c r="A688" t="s">
        <v>523</v>
      </c>
      <c r="B688" s="1">
        <v>43237</v>
      </c>
      <c r="C688" t="s">
        <v>65</v>
      </c>
      <c r="D688" s="8">
        <v>7.15</v>
      </c>
      <c r="E688" s="8" t="s">
        <v>11</v>
      </c>
      <c r="F688" s="8">
        <v>0.75600000000000001</v>
      </c>
      <c r="G688" s="8">
        <v>31.9</v>
      </c>
    </row>
    <row r="689" spans="1:7" x14ac:dyDescent="0.2">
      <c r="A689" t="s">
        <v>602</v>
      </c>
      <c r="B689" s="1">
        <v>43238</v>
      </c>
      <c r="C689" t="s">
        <v>65</v>
      </c>
      <c r="D689" s="8">
        <v>7.8</v>
      </c>
      <c r="E689" s="8" t="s">
        <v>11</v>
      </c>
      <c r="F689" s="8">
        <v>0.51900000000000002</v>
      </c>
      <c r="G689" s="8">
        <v>34.6</v>
      </c>
    </row>
    <row r="690" spans="1:7" x14ac:dyDescent="0.2">
      <c r="A690" t="s">
        <v>598</v>
      </c>
      <c r="B690" s="1">
        <v>43238</v>
      </c>
      <c r="C690" t="s">
        <v>65</v>
      </c>
      <c r="D690" s="8">
        <v>8.86</v>
      </c>
      <c r="E690" s="8" t="s">
        <v>11</v>
      </c>
      <c r="F690" s="8">
        <v>0.56299999999999994</v>
      </c>
      <c r="G690" s="8">
        <v>34</v>
      </c>
    </row>
    <row r="691" spans="1:7" x14ac:dyDescent="0.2">
      <c r="A691" t="s">
        <v>597</v>
      </c>
      <c r="B691" s="1">
        <v>43238</v>
      </c>
      <c r="C691" t="s">
        <v>65</v>
      </c>
      <c r="D691" s="8">
        <v>7.57</v>
      </c>
      <c r="E691" s="8" t="s">
        <v>11</v>
      </c>
      <c r="F691" s="8">
        <v>0.59799999999999998</v>
      </c>
      <c r="G691" s="8">
        <v>35.1</v>
      </c>
    </row>
    <row r="692" spans="1:7" x14ac:dyDescent="0.2">
      <c r="A692" t="s">
        <v>593</v>
      </c>
      <c r="B692" s="1">
        <v>43238</v>
      </c>
      <c r="C692" t="s">
        <v>65</v>
      </c>
      <c r="D692" s="8">
        <v>7.36</v>
      </c>
      <c r="E692" s="8" t="s">
        <v>11</v>
      </c>
      <c r="F692" s="8">
        <v>0.60499999999999998</v>
      </c>
      <c r="G692" s="8">
        <v>34.299999999999997</v>
      </c>
    </row>
    <row r="693" spans="1:7" x14ac:dyDescent="0.2">
      <c r="A693" t="s">
        <v>589</v>
      </c>
      <c r="B693" s="1">
        <v>43238</v>
      </c>
      <c r="C693" t="s">
        <v>65</v>
      </c>
      <c r="D693" s="8">
        <v>8.48</v>
      </c>
      <c r="E693" s="8" t="s">
        <v>11</v>
      </c>
      <c r="F693" s="8">
        <v>0.78300000000000003</v>
      </c>
      <c r="G693" s="8">
        <v>33.9</v>
      </c>
    </row>
    <row r="694" spans="1:7" x14ac:dyDescent="0.2">
      <c r="A694" t="s">
        <v>588</v>
      </c>
      <c r="B694" s="1">
        <v>43238</v>
      </c>
      <c r="C694" t="s">
        <v>65</v>
      </c>
      <c r="D694" s="8">
        <v>8.44</v>
      </c>
      <c r="E694" s="8" t="s">
        <v>11</v>
      </c>
      <c r="F694" s="8">
        <v>0.56000000000000005</v>
      </c>
      <c r="G694" s="8">
        <v>34.1</v>
      </c>
    </row>
    <row r="695" spans="1:7" x14ac:dyDescent="0.2">
      <c r="A695" t="s">
        <v>584</v>
      </c>
      <c r="B695" s="1">
        <v>43238</v>
      </c>
      <c r="C695" t="s">
        <v>65</v>
      </c>
      <c r="D695" s="8">
        <v>6.78</v>
      </c>
      <c r="E695" s="8" t="s">
        <v>11</v>
      </c>
      <c r="F695" s="8">
        <v>0.80300000000000005</v>
      </c>
      <c r="G695" s="8">
        <v>32.1</v>
      </c>
    </row>
    <row r="696" spans="1:7" x14ac:dyDescent="0.2">
      <c r="A696" t="s">
        <v>582</v>
      </c>
      <c r="B696" s="1">
        <v>43238</v>
      </c>
      <c r="C696" t="s">
        <v>65</v>
      </c>
      <c r="D696" s="8">
        <v>8.56</v>
      </c>
      <c r="E696" s="8" t="s">
        <v>11</v>
      </c>
      <c r="F696" s="8">
        <v>0.60599999999999998</v>
      </c>
      <c r="G696" s="8">
        <v>32.6</v>
      </c>
    </row>
    <row r="697" spans="1:7" x14ac:dyDescent="0.2">
      <c r="A697" t="s">
        <v>580</v>
      </c>
      <c r="B697" s="1">
        <v>43238</v>
      </c>
      <c r="C697" t="s">
        <v>65</v>
      </c>
      <c r="D697" s="8">
        <v>8.23</v>
      </c>
      <c r="E697" s="8" t="s">
        <v>11</v>
      </c>
      <c r="F697" s="8">
        <v>0.65400000000000003</v>
      </c>
      <c r="G697" s="8">
        <v>32.4</v>
      </c>
    </row>
    <row r="698" spans="1:7" x14ac:dyDescent="0.2">
      <c r="A698" t="s">
        <v>579</v>
      </c>
      <c r="B698" s="1">
        <v>43238</v>
      </c>
      <c r="C698" t="s">
        <v>65</v>
      </c>
      <c r="D698" s="8">
        <v>7.74</v>
      </c>
      <c r="E698" s="8" t="s">
        <v>11</v>
      </c>
      <c r="F698" s="8">
        <v>0.56100000000000005</v>
      </c>
      <c r="G698" s="8">
        <v>32.799999999999997</v>
      </c>
    </row>
    <row r="699" spans="1:7" x14ac:dyDescent="0.2">
      <c r="A699" t="s">
        <v>575</v>
      </c>
      <c r="B699" s="1">
        <v>43238</v>
      </c>
      <c r="C699" t="s">
        <v>65</v>
      </c>
      <c r="D699" s="8">
        <v>6.85</v>
      </c>
      <c r="E699" s="8" t="s">
        <v>11</v>
      </c>
      <c r="F699" s="8">
        <v>0.627</v>
      </c>
      <c r="G699" s="8">
        <v>34.700000000000003</v>
      </c>
    </row>
    <row r="700" spans="1:7" x14ac:dyDescent="0.2">
      <c r="A700" t="s">
        <v>571</v>
      </c>
      <c r="B700" s="1">
        <v>43238</v>
      </c>
      <c r="C700" t="s">
        <v>65</v>
      </c>
      <c r="D700" s="8">
        <v>8.75</v>
      </c>
      <c r="E700" s="8" t="s">
        <v>11</v>
      </c>
      <c r="F700" s="8">
        <v>0.64100000000000001</v>
      </c>
      <c r="G700" s="8">
        <v>33.299999999999997</v>
      </c>
    </row>
    <row r="701" spans="1:7" x14ac:dyDescent="0.2">
      <c r="A701" t="s">
        <v>566</v>
      </c>
      <c r="B701" s="1">
        <v>43238</v>
      </c>
      <c r="C701" t="s">
        <v>65</v>
      </c>
      <c r="D701" s="8">
        <v>7.23</v>
      </c>
      <c r="E701" s="8" t="s">
        <v>11</v>
      </c>
      <c r="F701" s="8">
        <v>0.89200000000000002</v>
      </c>
      <c r="G701" s="8">
        <v>34.9</v>
      </c>
    </row>
    <row r="702" spans="1:7" x14ac:dyDescent="0.2">
      <c r="A702" t="s">
        <v>565</v>
      </c>
      <c r="B702" s="1">
        <v>43238</v>
      </c>
      <c r="C702" t="s">
        <v>65</v>
      </c>
      <c r="D702" s="8">
        <v>7.33</v>
      </c>
      <c r="E702" s="8" t="s">
        <v>11</v>
      </c>
      <c r="F702" s="8">
        <v>0.67200000000000004</v>
      </c>
      <c r="G702" s="8">
        <v>33.700000000000003</v>
      </c>
    </row>
    <row r="703" spans="1:7" x14ac:dyDescent="0.2">
      <c r="A703" t="s">
        <v>562</v>
      </c>
      <c r="B703" s="1">
        <v>43238</v>
      </c>
      <c r="C703" t="s">
        <v>65</v>
      </c>
      <c r="D703" s="8">
        <v>7.19</v>
      </c>
      <c r="E703" s="8" t="s">
        <v>11</v>
      </c>
      <c r="F703" s="8">
        <v>0.499</v>
      </c>
      <c r="G703" s="8">
        <v>35.299999999999997</v>
      </c>
    </row>
    <row r="704" spans="1:7" x14ac:dyDescent="0.2">
      <c r="A704" t="s">
        <v>561</v>
      </c>
      <c r="B704" s="1">
        <v>43238</v>
      </c>
      <c r="C704" t="s">
        <v>65</v>
      </c>
      <c r="D704" s="8">
        <v>7.68</v>
      </c>
      <c r="E704" s="8" t="s">
        <v>11</v>
      </c>
      <c r="F704" s="8">
        <v>0.503</v>
      </c>
      <c r="G704" s="8">
        <v>33.200000000000003</v>
      </c>
    </row>
    <row r="705" spans="1:7" x14ac:dyDescent="0.2">
      <c r="A705" t="s">
        <v>558</v>
      </c>
      <c r="B705" s="1">
        <v>43238</v>
      </c>
      <c r="C705" t="s">
        <v>65</v>
      </c>
      <c r="D705" s="8">
        <v>7.58</v>
      </c>
      <c r="E705" s="8" t="s">
        <v>11</v>
      </c>
      <c r="F705" s="8">
        <v>0.52400000000000002</v>
      </c>
      <c r="G705" s="8">
        <v>34.299999999999997</v>
      </c>
    </row>
    <row r="706" spans="1:7" x14ac:dyDescent="0.2">
      <c r="A706" t="s">
        <v>557</v>
      </c>
      <c r="B706" s="1">
        <v>43238</v>
      </c>
      <c r="C706" t="s">
        <v>65</v>
      </c>
      <c r="D706" s="8">
        <v>7.75</v>
      </c>
      <c r="E706" s="8" t="s">
        <v>11</v>
      </c>
      <c r="F706" s="8">
        <v>0.60499999999999998</v>
      </c>
      <c r="G706" s="8">
        <v>34.9</v>
      </c>
    </row>
    <row r="707" spans="1:7" x14ac:dyDescent="0.2">
      <c r="A707" t="s">
        <v>556</v>
      </c>
      <c r="B707" s="1">
        <v>43238</v>
      </c>
      <c r="C707" t="s">
        <v>65</v>
      </c>
      <c r="D707" s="8">
        <v>6.69</v>
      </c>
      <c r="E707" s="8" t="s">
        <v>11</v>
      </c>
      <c r="F707" s="8">
        <v>0.64900000000000002</v>
      </c>
      <c r="G707" s="8">
        <v>34.1</v>
      </c>
    </row>
    <row r="708" spans="1:7" x14ac:dyDescent="0.2">
      <c r="A708" t="s">
        <v>555</v>
      </c>
      <c r="B708" s="1">
        <v>43238</v>
      </c>
      <c r="C708" t="s">
        <v>65</v>
      </c>
      <c r="D708" s="8">
        <v>6.94</v>
      </c>
      <c r="E708" s="8" t="s">
        <v>11</v>
      </c>
      <c r="F708" s="8">
        <v>0.68100000000000005</v>
      </c>
      <c r="G708" s="8">
        <v>32</v>
      </c>
    </row>
    <row r="709" spans="1:7" x14ac:dyDescent="0.2">
      <c r="A709" t="s">
        <v>553</v>
      </c>
      <c r="B709" s="1">
        <v>43238</v>
      </c>
      <c r="C709" t="s">
        <v>65</v>
      </c>
      <c r="D709" s="8">
        <v>7.33</v>
      </c>
      <c r="E709" s="8" t="s">
        <v>11</v>
      </c>
      <c r="F709" s="8">
        <v>0.623</v>
      </c>
      <c r="G709" s="8">
        <v>34.4</v>
      </c>
    </row>
    <row r="710" spans="1:7" x14ac:dyDescent="0.2">
      <c r="A710" t="s">
        <v>552</v>
      </c>
      <c r="B710" s="1">
        <v>43238</v>
      </c>
      <c r="C710" t="s">
        <v>65</v>
      </c>
      <c r="D710" s="8">
        <v>7.55</v>
      </c>
      <c r="E710" s="8" t="s">
        <v>11</v>
      </c>
      <c r="F710" s="8">
        <v>0.54</v>
      </c>
      <c r="G710" s="8">
        <v>33.200000000000003</v>
      </c>
    </row>
    <row r="711" spans="1:7" x14ac:dyDescent="0.2">
      <c r="A711" t="s">
        <v>549</v>
      </c>
      <c r="B711" s="1">
        <v>43238</v>
      </c>
      <c r="C711" t="s">
        <v>65</v>
      </c>
      <c r="D711" s="8">
        <v>7.39</v>
      </c>
      <c r="E711" s="8" t="s">
        <v>11</v>
      </c>
      <c r="F711" s="8">
        <v>0.52800000000000002</v>
      </c>
      <c r="G711" s="8">
        <v>34.6</v>
      </c>
    </row>
    <row r="712" spans="1:7" x14ac:dyDescent="0.2">
      <c r="A712" t="s">
        <v>548</v>
      </c>
      <c r="B712" s="1">
        <v>43238</v>
      </c>
      <c r="C712" t="s">
        <v>65</v>
      </c>
      <c r="D712" s="8">
        <v>7.88</v>
      </c>
      <c r="E712" s="8" t="s">
        <v>11</v>
      </c>
      <c r="F712" s="8">
        <v>0.58199999999999996</v>
      </c>
      <c r="G712" s="8">
        <v>34.700000000000003</v>
      </c>
    </row>
    <row r="713" spans="1:7" x14ac:dyDescent="0.2">
      <c r="A713" t="s">
        <v>547</v>
      </c>
      <c r="B713" s="1">
        <v>43238</v>
      </c>
      <c r="C713" t="s">
        <v>65</v>
      </c>
      <c r="D713" s="8">
        <v>6.96</v>
      </c>
      <c r="E713" s="8" t="s">
        <v>11</v>
      </c>
      <c r="F713" s="8">
        <v>0.65900000000000003</v>
      </c>
      <c r="G713" s="8">
        <v>32.799999999999997</v>
      </c>
    </row>
    <row r="714" spans="1:7" x14ac:dyDescent="0.2">
      <c r="A714" t="s">
        <v>545</v>
      </c>
      <c r="B714" s="1">
        <v>43238</v>
      </c>
      <c r="C714" t="s">
        <v>65</v>
      </c>
      <c r="D714" s="8">
        <v>7.29</v>
      </c>
      <c r="E714" s="8" t="s">
        <v>11</v>
      </c>
      <c r="F714" s="8">
        <v>0.75700000000000001</v>
      </c>
      <c r="G714" s="8">
        <v>36</v>
      </c>
    </row>
    <row r="715" spans="1:7" x14ac:dyDescent="0.2">
      <c r="A715" t="s">
        <v>541</v>
      </c>
      <c r="B715" s="1">
        <v>43238</v>
      </c>
      <c r="C715" t="s">
        <v>65</v>
      </c>
      <c r="D715" s="8">
        <v>10.19</v>
      </c>
      <c r="E715" s="8" t="s">
        <v>11</v>
      </c>
      <c r="F715" s="8">
        <v>0.47699999999999998</v>
      </c>
      <c r="G715" s="8">
        <v>37.6</v>
      </c>
    </row>
    <row r="716" spans="1:7" x14ac:dyDescent="0.2">
      <c r="A716" t="s">
        <v>535</v>
      </c>
      <c r="B716" s="1">
        <v>43238</v>
      </c>
      <c r="C716" t="s">
        <v>65</v>
      </c>
      <c r="D716" s="8">
        <v>7.28</v>
      </c>
      <c r="E716" s="8" t="s">
        <v>11</v>
      </c>
      <c r="F716" s="8">
        <v>0.67800000000000005</v>
      </c>
      <c r="G716" s="8">
        <v>34.4</v>
      </c>
    </row>
    <row r="717" spans="1:7" x14ac:dyDescent="0.2">
      <c r="A717" t="s">
        <v>534</v>
      </c>
      <c r="B717" s="1">
        <v>43238</v>
      </c>
      <c r="C717" t="s">
        <v>65</v>
      </c>
      <c r="D717" s="8">
        <v>7.38</v>
      </c>
      <c r="E717" s="8" t="s">
        <v>11</v>
      </c>
      <c r="F717" s="8">
        <v>0.59599999999999997</v>
      </c>
      <c r="G717" s="8">
        <v>34.299999999999997</v>
      </c>
    </row>
    <row r="718" spans="1:7" x14ac:dyDescent="0.2">
      <c r="A718" t="s">
        <v>527</v>
      </c>
      <c r="B718" s="1">
        <v>43238</v>
      </c>
      <c r="C718" t="s">
        <v>65</v>
      </c>
      <c r="D718" s="8">
        <v>7.18</v>
      </c>
      <c r="E718" s="8" t="s">
        <v>11</v>
      </c>
      <c r="F718" s="8">
        <v>0.92500000000000004</v>
      </c>
      <c r="G718" s="8">
        <v>37.299999999999997</v>
      </c>
    </row>
    <row r="719" spans="1:7" x14ac:dyDescent="0.2">
      <c r="A719" t="s">
        <v>526</v>
      </c>
      <c r="B719" s="1">
        <v>43238</v>
      </c>
      <c r="C719" t="s">
        <v>65</v>
      </c>
      <c r="D719" s="8">
        <v>7.01</v>
      </c>
      <c r="E719" s="8" t="s">
        <v>11</v>
      </c>
      <c r="F719" s="8">
        <v>0.71099999999999997</v>
      </c>
      <c r="G719" s="8">
        <v>33.9</v>
      </c>
    </row>
    <row r="720" spans="1:7" x14ac:dyDescent="0.2">
      <c r="A720" t="s">
        <v>525</v>
      </c>
      <c r="B720" s="1">
        <v>43238</v>
      </c>
      <c r="C720" t="s">
        <v>65</v>
      </c>
      <c r="D720" s="8">
        <v>7.1</v>
      </c>
      <c r="E720" s="8" t="s">
        <v>11</v>
      </c>
      <c r="F720" s="8">
        <v>0.77900000000000003</v>
      </c>
      <c r="G720" s="8">
        <v>34.799999999999997</v>
      </c>
    </row>
    <row r="721" spans="1:7" x14ac:dyDescent="0.2">
      <c r="A721" t="s">
        <v>546</v>
      </c>
      <c r="B721" t="s">
        <v>11</v>
      </c>
      <c r="C721" t="s">
        <v>11</v>
      </c>
      <c r="D721" s="8" t="s">
        <v>11</v>
      </c>
      <c r="E721" s="8" t="s">
        <v>11</v>
      </c>
      <c r="F721" s="8" t="s">
        <v>11</v>
      </c>
      <c r="G721" s="8" t="s">
        <v>11</v>
      </c>
    </row>
  </sheetData>
  <sortState xmlns:xlrd2="http://schemas.microsoft.com/office/spreadsheetml/2017/richdata2" ref="A2:G721">
    <sortCondition ref="B2:B721"/>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269"/>
  <sheetViews>
    <sheetView workbookViewId="0">
      <pane ySplit="1" topLeftCell="A2" activePane="bottomLeft" state="frozen"/>
      <selection pane="bottomLeft" activeCell="A2" sqref="A2"/>
    </sheetView>
  </sheetViews>
  <sheetFormatPr baseColWidth="10" defaultColWidth="8.83203125" defaultRowHeight="15" x14ac:dyDescent="0.2"/>
  <cols>
    <col min="1" max="2" width="14.83203125" bestFit="1" customWidth="1"/>
    <col min="3" max="3" width="8.5" customWidth="1"/>
    <col min="4" max="4" width="19.5" bestFit="1" customWidth="1"/>
    <col min="5" max="5" width="17.5" bestFit="1" customWidth="1"/>
    <col min="6" max="6" width="19.1640625" bestFit="1" customWidth="1"/>
    <col min="7" max="7" width="21.5" customWidth="1"/>
    <col min="8" max="8" width="19.6640625" customWidth="1"/>
    <col min="9" max="9" width="18" customWidth="1"/>
    <col min="10" max="10" width="11.1640625" bestFit="1" customWidth="1"/>
    <col min="11" max="11" width="9.6640625" bestFit="1" customWidth="1"/>
  </cols>
  <sheetData>
    <row r="1" spans="1:12" x14ac:dyDescent="0.2">
      <c r="A1" s="2" t="s">
        <v>923</v>
      </c>
      <c r="B1" s="2" t="s">
        <v>924</v>
      </c>
      <c r="C1" s="2" t="s">
        <v>71</v>
      </c>
      <c r="D1" s="2" t="s">
        <v>321</v>
      </c>
      <c r="E1" s="2" t="s">
        <v>322</v>
      </c>
      <c r="F1" s="2" t="s">
        <v>323</v>
      </c>
      <c r="G1" s="2" t="s">
        <v>324</v>
      </c>
      <c r="H1" s="2" t="s">
        <v>325</v>
      </c>
      <c r="I1" s="2" t="s">
        <v>326</v>
      </c>
      <c r="J1" s="2" t="s">
        <v>327</v>
      </c>
      <c r="K1" s="2" t="s">
        <v>328</v>
      </c>
      <c r="L1" s="2" t="s">
        <v>329</v>
      </c>
    </row>
    <row r="2" spans="1:12" x14ac:dyDescent="0.2">
      <c r="A2" t="s">
        <v>837</v>
      </c>
      <c r="B2" t="s">
        <v>2030</v>
      </c>
      <c r="C2" t="s">
        <v>317</v>
      </c>
      <c r="D2">
        <v>0.05</v>
      </c>
      <c r="E2">
        <v>0.82500000000000029</v>
      </c>
      <c r="F2">
        <v>6.020000000000001E-2</v>
      </c>
      <c r="G2">
        <v>5.0200000000000002E-2</v>
      </c>
      <c r="H2">
        <v>8.030000000000001E-2</v>
      </c>
      <c r="I2">
        <v>3.0000000000000003E-4</v>
      </c>
      <c r="J2">
        <v>0.99504132231404951</v>
      </c>
      <c r="K2">
        <v>0.99405940594059405</v>
      </c>
      <c r="L2">
        <v>0.99627791563275436</v>
      </c>
    </row>
    <row r="3" spans="1:12" x14ac:dyDescent="0.2">
      <c r="A3" t="s">
        <v>836</v>
      </c>
      <c r="B3" t="s">
        <v>2031</v>
      </c>
      <c r="C3" t="s">
        <v>317</v>
      </c>
      <c r="D3">
        <v>0.06</v>
      </c>
      <c r="E3">
        <v>2.6399999999999988</v>
      </c>
      <c r="F3">
        <v>0.12020000000000002</v>
      </c>
      <c r="G3">
        <v>2.0199999999999999E-2</v>
      </c>
      <c r="H3">
        <v>7.0300000000000015E-2</v>
      </c>
      <c r="I3">
        <v>3.0000000000000003E-4</v>
      </c>
      <c r="J3">
        <v>0.99751037344398341</v>
      </c>
      <c r="K3">
        <v>0.98536585365853646</v>
      </c>
      <c r="L3">
        <v>0.99575070821529754</v>
      </c>
    </row>
    <row r="4" spans="1:12" x14ac:dyDescent="0.2">
      <c r="A4" t="s">
        <v>835</v>
      </c>
      <c r="B4" t="s">
        <v>130</v>
      </c>
      <c r="C4" t="s">
        <v>317</v>
      </c>
      <c r="D4">
        <v>1.46</v>
      </c>
      <c r="E4">
        <v>0.83500000000000052</v>
      </c>
      <c r="F4">
        <v>0.19019999999999998</v>
      </c>
      <c r="G4">
        <v>1.0200000000000001E-2</v>
      </c>
      <c r="H4">
        <v>4.0300000000000009E-2</v>
      </c>
      <c r="I4">
        <v>3.0000000000000003E-4</v>
      </c>
      <c r="J4">
        <v>0.99842519685039377</v>
      </c>
      <c r="K4">
        <v>0.97142857142857142</v>
      </c>
      <c r="L4">
        <v>0.9926108374384236</v>
      </c>
    </row>
    <row r="5" spans="1:12" x14ac:dyDescent="0.2">
      <c r="A5" t="s">
        <v>834</v>
      </c>
      <c r="B5" t="s">
        <v>131</v>
      </c>
      <c r="C5" t="s">
        <v>317</v>
      </c>
      <c r="D5">
        <v>0.03</v>
      </c>
      <c r="E5">
        <v>0.69500000000000028</v>
      </c>
      <c r="F5">
        <v>6.0200000000000004E-2</v>
      </c>
      <c r="G5">
        <v>3.0199999999999998E-2</v>
      </c>
      <c r="H5">
        <v>4.0300000000000009E-2</v>
      </c>
      <c r="I5">
        <v>3.0000000000000003E-4</v>
      </c>
      <c r="J5">
        <v>0.99504132231404951</v>
      </c>
      <c r="K5">
        <v>0.99016393442622941</v>
      </c>
      <c r="L5">
        <v>0.9926108374384236</v>
      </c>
    </row>
    <row r="6" spans="1:12" x14ac:dyDescent="0.2">
      <c r="A6" t="s">
        <v>833</v>
      </c>
      <c r="B6" t="s">
        <v>2032</v>
      </c>
      <c r="C6" t="s">
        <v>317</v>
      </c>
      <c r="D6">
        <v>0.03</v>
      </c>
      <c r="E6">
        <v>0.64500000000000024</v>
      </c>
      <c r="F6">
        <v>4.0300000000000009E-2</v>
      </c>
      <c r="G6">
        <v>1.0200000000000001E-2</v>
      </c>
      <c r="H6">
        <v>1.0299999999999998E-2</v>
      </c>
      <c r="I6">
        <v>3.0000000000000003E-4</v>
      </c>
      <c r="J6">
        <v>0.9926108374384236</v>
      </c>
      <c r="K6">
        <v>0.97142857142857142</v>
      </c>
      <c r="L6">
        <v>0.97169811320754718</v>
      </c>
    </row>
    <row r="7" spans="1:12" x14ac:dyDescent="0.2">
      <c r="A7" t="s">
        <v>827</v>
      </c>
      <c r="B7" t="s">
        <v>2033</v>
      </c>
      <c r="C7" t="s">
        <v>317</v>
      </c>
      <c r="D7">
        <v>0.04</v>
      </c>
      <c r="E7">
        <v>1.6049999999999995</v>
      </c>
      <c r="F7">
        <v>0.38</v>
      </c>
      <c r="G7">
        <v>5.0200000000000002E-2</v>
      </c>
      <c r="H7">
        <v>0.42010000000000003</v>
      </c>
      <c r="I7">
        <v>1.0200000000000001E-2</v>
      </c>
      <c r="J7">
        <v>0.97385955920041012</v>
      </c>
      <c r="K7">
        <v>0.83112582781456956</v>
      </c>
      <c r="L7">
        <v>0.97629560771554735</v>
      </c>
    </row>
    <row r="8" spans="1:12" x14ac:dyDescent="0.2">
      <c r="A8" t="s">
        <v>826</v>
      </c>
      <c r="B8" t="s">
        <v>2034</v>
      </c>
      <c r="C8" t="s">
        <v>317</v>
      </c>
      <c r="D8">
        <v>0.02</v>
      </c>
      <c r="E8">
        <v>1.3449999999999998</v>
      </c>
      <c r="F8">
        <v>0.34</v>
      </c>
      <c r="G8">
        <v>3.0199999999999998E-2</v>
      </c>
      <c r="H8">
        <v>0.23010000000000003</v>
      </c>
      <c r="I8">
        <v>3.0000000000000003E-4</v>
      </c>
      <c r="J8">
        <v>0.9991184249191889</v>
      </c>
      <c r="K8">
        <v>0.99016393442622941</v>
      </c>
      <c r="L8">
        <v>0.99869791666666674</v>
      </c>
    </row>
    <row r="9" spans="1:12" x14ac:dyDescent="0.2">
      <c r="A9" t="s">
        <v>825</v>
      </c>
      <c r="B9" t="s">
        <v>2035</v>
      </c>
      <c r="C9" t="s">
        <v>317</v>
      </c>
      <c r="D9">
        <v>0</v>
      </c>
      <c r="E9">
        <v>0.74500000000000044</v>
      </c>
      <c r="F9">
        <v>0.14019999999999999</v>
      </c>
      <c r="G9">
        <v>2.0199999999999999E-2</v>
      </c>
      <c r="H9">
        <v>4.0000000000000002E-4</v>
      </c>
      <c r="I9">
        <v>3.0000000000000003E-4</v>
      </c>
      <c r="J9">
        <v>0.99786476868327401</v>
      </c>
      <c r="K9">
        <v>0.98536585365853646</v>
      </c>
      <c r="L9">
        <v>0.5714285714285714</v>
      </c>
    </row>
    <row r="10" spans="1:12" x14ac:dyDescent="0.2">
      <c r="A10" t="s">
        <v>824</v>
      </c>
      <c r="B10" t="s">
        <v>132</v>
      </c>
      <c r="C10" t="s">
        <v>317</v>
      </c>
      <c r="D10">
        <v>0.06</v>
      </c>
      <c r="E10">
        <v>1.645</v>
      </c>
      <c r="F10">
        <v>0.32000000000000006</v>
      </c>
      <c r="G10">
        <v>0.1502</v>
      </c>
      <c r="H10">
        <v>0.38000000000000006</v>
      </c>
      <c r="I10">
        <v>0.1101</v>
      </c>
      <c r="J10">
        <v>0.74401302022785409</v>
      </c>
      <c r="K10">
        <v>0.57702650787552834</v>
      </c>
      <c r="L10">
        <v>0.77535196898592118</v>
      </c>
    </row>
    <row r="11" spans="1:12" x14ac:dyDescent="0.2">
      <c r="A11" t="s">
        <v>823</v>
      </c>
      <c r="B11" t="s">
        <v>2036</v>
      </c>
      <c r="C11" t="s">
        <v>317</v>
      </c>
      <c r="D11">
        <v>0</v>
      </c>
      <c r="E11">
        <v>0.74500000000000044</v>
      </c>
      <c r="F11">
        <v>0.14019999999999999</v>
      </c>
      <c r="G11">
        <v>2.0199999999999999E-2</v>
      </c>
      <c r="H11">
        <v>4.0000000000000002E-4</v>
      </c>
      <c r="I11">
        <v>3.0000000000000003E-4</v>
      </c>
      <c r="J11">
        <v>0.99786476868327401</v>
      </c>
      <c r="K11">
        <v>0.98536585365853646</v>
      </c>
      <c r="L11">
        <v>0.5714285714285714</v>
      </c>
    </row>
    <row r="12" spans="1:12" x14ac:dyDescent="0.2">
      <c r="A12" t="s">
        <v>817</v>
      </c>
      <c r="B12" t="s">
        <v>2037</v>
      </c>
      <c r="C12" t="s">
        <v>317</v>
      </c>
      <c r="D12">
        <v>1.27</v>
      </c>
      <c r="E12">
        <v>0.80500000000000038</v>
      </c>
      <c r="F12">
        <v>7.0300000000000015E-2</v>
      </c>
      <c r="G12">
        <v>3.0199999999999998E-2</v>
      </c>
      <c r="H12">
        <v>0.1203</v>
      </c>
      <c r="I12">
        <v>3.0000000000000003E-4</v>
      </c>
      <c r="J12">
        <v>0.99575070821529754</v>
      </c>
      <c r="K12">
        <v>0.99016393442622941</v>
      </c>
      <c r="L12">
        <v>0.99751243781094534</v>
      </c>
    </row>
    <row r="13" spans="1:12" x14ac:dyDescent="0.2">
      <c r="A13" t="s">
        <v>816</v>
      </c>
      <c r="B13" t="s">
        <v>133</v>
      </c>
      <c r="C13" t="s">
        <v>317</v>
      </c>
      <c r="D13">
        <v>1.34</v>
      </c>
      <c r="E13">
        <v>0.81500000000000039</v>
      </c>
      <c r="F13">
        <v>0.17019999999999996</v>
      </c>
      <c r="G13">
        <v>2.0199999999999999E-2</v>
      </c>
      <c r="H13">
        <v>8.0200000000000007E-2</v>
      </c>
      <c r="I13">
        <v>3.0000000000000003E-4</v>
      </c>
      <c r="J13">
        <v>0.99824046920821119</v>
      </c>
      <c r="K13">
        <v>0.98536585365853646</v>
      </c>
      <c r="L13">
        <v>0.99627329192546588</v>
      </c>
    </row>
    <row r="14" spans="1:12" x14ac:dyDescent="0.2">
      <c r="A14" t="s">
        <v>815</v>
      </c>
      <c r="B14" t="s">
        <v>2038</v>
      </c>
      <c r="C14" t="s">
        <v>317</v>
      </c>
      <c r="D14">
        <v>0.49000000000000005</v>
      </c>
      <c r="E14">
        <v>0.79500000000000037</v>
      </c>
      <c r="F14">
        <v>0.14019999999999999</v>
      </c>
      <c r="G14">
        <v>3.0199999999999998E-2</v>
      </c>
      <c r="H14">
        <v>8.030000000000001E-2</v>
      </c>
      <c r="I14">
        <v>3.0000000000000003E-4</v>
      </c>
      <c r="J14">
        <v>0.99786476868327401</v>
      </c>
      <c r="K14">
        <v>0.99016393442622941</v>
      </c>
      <c r="L14">
        <v>0.99627791563275436</v>
      </c>
    </row>
    <row r="15" spans="1:12" x14ac:dyDescent="0.2">
      <c r="A15" t="s">
        <v>814</v>
      </c>
      <c r="B15" t="s">
        <v>134</v>
      </c>
      <c r="C15" t="s">
        <v>317</v>
      </c>
      <c r="D15">
        <v>0.02</v>
      </c>
      <c r="E15">
        <v>0.75000000000000033</v>
      </c>
      <c r="F15">
        <v>9.0200000000000002E-2</v>
      </c>
      <c r="G15">
        <v>2.0199999999999999E-2</v>
      </c>
      <c r="H15">
        <v>8.030000000000001E-2</v>
      </c>
      <c r="I15">
        <v>3.0000000000000003E-4</v>
      </c>
      <c r="J15">
        <v>0.99668508287292823</v>
      </c>
      <c r="K15">
        <v>0.98536585365853646</v>
      </c>
      <c r="L15">
        <v>0.99627791563275436</v>
      </c>
    </row>
    <row r="16" spans="1:12" x14ac:dyDescent="0.2">
      <c r="A16" t="s">
        <v>813</v>
      </c>
      <c r="B16" t="s">
        <v>135</v>
      </c>
      <c r="C16" t="s">
        <v>317</v>
      </c>
      <c r="D16">
        <v>0.08</v>
      </c>
      <c r="E16">
        <v>3.2650000000000001</v>
      </c>
      <c r="F16">
        <v>4.0000000000000002E-4</v>
      </c>
      <c r="G16">
        <v>2.0000000000000001E-4</v>
      </c>
      <c r="H16">
        <v>1.0902000000000001</v>
      </c>
      <c r="I16">
        <v>1.3101</v>
      </c>
      <c r="J16">
        <v>3.052270125906143E-4</v>
      </c>
      <c r="K16">
        <v>1.5263680073265666E-4</v>
      </c>
      <c r="L16">
        <v>0.45419322584676913</v>
      </c>
    </row>
    <row r="17" spans="1:12" x14ac:dyDescent="0.2">
      <c r="A17" t="s">
        <v>807</v>
      </c>
      <c r="B17" t="s">
        <v>2039</v>
      </c>
      <c r="C17" t="s">
        <v>317</v>
      </c>
      <c r="D17">
        <v>0.09</v>
      </c>
      <c r="E17">
        <v>2.92</v>
      </c>
      <c r="F17">
        <v>2.0299999999999999E-2</v>
      </c>
      <c r="G17">
        <v>2.0000000000000001E-4</v>
      </c>
      <c r="H17">
        <v>1.0002</v>
      </c>
      <c r="I17">
        <v>1.3101</v>
      </c>
      <c r="J17">
        <v>1.5258568851473239E-2</v>
      </c>
      <c r="K17">
        <v>1.5263680073265666E-4</v>
      </c>
      <c r="L17">
        <v>0.43293078820932351</v>
      </c>
    </row>
    <row r="18" spans="1:12" x14ac:dyDescent="0.2">
      <c r="A18" t="s">
        <v>806</v>
      </c>
      <c r="B18" t="s">
        <v>2040</v>
      </c>
      <c r="C18" t="s">
        <v>317</v>
      </c>
      <c r="D18">
        <v>2.11</v>
      </c>
      <c r="E18">
        <v>30.979999999999993</v>
      </c>
      <c r="F18">
        <v>4.0000000000000002E-4</v>
      </c>
      <c r="G18">
        <v>3.0000000000000003E-4</v>
      </c>
      <c r="H18">
        <v>7.03</v>
      </c>
      <c r="I18">
        <v>0.93</v>
      </c>
      <c r="J18">
        <v>4.299226139294927E-4</v>
      </c>
      <c r="K18">
        <v>3.2247662044501777E-4</v>
      </c>
      <c r="L18">
        <v>0.88316582914572872</v>
      </c>
    </row>
    <row r="19" spans="1:12" x14ac:dyDescent="0.2">
      <c r="A19" t="s">
        <v>805</v>
      </c>
      <c r="B19" t="s">
        <v>2041</v>
      </c>
      <c r="C19" t="s">
        <v>317</v>
      </c>
      <c r="D19">
        <v>0.04</v>
      </c>
      <c r="E19">
        <v>4.004999999999999</v>
      </c>
      <c r="F19">
        <v>1.0003</v>
      </c>
      <c r="G19">
        <v>2.0000000000000001E-4</v>
      </c>
      <c r="H19">
        <v>1.0402</v>
      </c>
      <c r="I19">
        <v>1.2701</v>
      </c>
      <c r="J19">
        <v>0.44058315715292456</v>
      </c>
      <c r="K19">
        <v>1.5744312367157366E-4</v>
      </c>
      <c r="L19">
        <v>0.4502445569839415</v>
      </c>
    </row>
    <row r="20" spans="1:12" x14ac:dyDescent="0.2">
      <c r="A20" t="s">
        <v>804</v>
      </c>
      <c r="B20" t="s">
        <v>2042</v>
      </c>
      <c r="C20" t="s">
        <v>317</v>
      </c>
      <c r="D20">
        <v>0.01</v>
      </c>
      <c r="E20">
        <v>0.73500000000000043</v>
      </c>
      <c r="F20">
        <v>8.0200000000000007E-2</v>
      </c>
      <c r="G20">
        <v>2.0199999999999999E-2</v>
      </c>
      <c r="H20">
        <v>3.0299999999999997E-2</v>
      </c>
      <c r="I20">
        <v>3.0000000000000003E-4</v>
      </c>
      <c r="J20">
        <v>0.99627329192546588</v>
      </c>
      <c r="K20">
        <v>0.98536585365853646</v>
      </c>
      <c r="L20">
        <v>0.99019607843137247</v>
      </c>
    </row>
    <row r="21" spans="1:12" x14ac:dyDescent="0.2">
      <c r="A21" t="s">
        <v>798</v>
      </c>
      <c r="B21" t="s">
        <v>2043</v>
      </c>
      <c r="C21" t="s">
        <v>317</v>
      </c>
      <c r="D21">
        <v>0.01</v>
      </c>
      <c r="E21">
        <v>0.64000000000000024</v>
      </c>
      <c r="F21">
        <v>5.0200000000000009E-2</v>
      </c>
      <c r="G21">
        <v>1.0200000000000001E-2</v>
      </c>
      <c r="H21">
        <v>7.0199999999999999E-2</v>
      </c>
      <c r="I21">
        <v>3.0000000000000003E-4</v>
      </c>
      <c r="J21">
        <v>0.99405940594059405</v>
      </c>
      <c r="K21">
        <v>0.97142857142857142</v>
      </c>
      <c r="L21">
        <v>0.99574468085106393</v>
      </c>
    </row>
    <row r="22" spans="1:12" x14ac:dyDescent="0.2">
      <c r="A22" t="s">
        <v>797</v>
      </c>
      <c r="B22" t="s">
        <v>2044</v>
      </c>
      <c r="C22" t="s">
        <v>317</v>
      </c>
      <c r="D22">
        <v>0.01</v>
      </c>
      <c r="E22">
        <v>0.76000000000000045</v>
      </c>
      <c r="F22">
        <v>0.17019999999999996</v>
      </c>
      <c r="G22">
        <v>2.0199999999999999E-2</v>
      </c>
      <c r="H22">
        <v>1.0299999999999998E-2</v>
      </c>
      <c r="I22">
        <v>3.0000000000000003E-4</v>
      </c>
      <c r="J22">
        <v>0.99824046920821119</v>
      </c>
      <c r="K22">
        <v>0.98536585365853646</v>
      </c>
      <c r="L22">
        <v>0.97169811320754718</v>
      </c>
    </row>
    <row r="23" spans="1:12" x14ac:dyDescent="0.2">
      <c r="A23" t="s">
        <v>796</v>
      </c>
      <c r="B23" t="s">
        <v>136</v>
      </c>
      <c r="C23" t="s">
        <v>317</v>
      </c>
      <c r="D23">
        <v>0.33</v>
      </c>
      <c r="E23">
        <v>0.80000000000000038</v>
      </c>
      <c r="F23">
        <v>0.14019999999999999</v>
      </c>
      <c r="G23">
        <v>1.0200000000000001E-2</v>
      </c>
      <c r="H23">
        <v>9.0300000000000005E-2</v>
      </c>
      <c r="I23">
        <v>3.0000000000000003E-4</v>
      </c>
      <c r="J23">
        <v>0.99786476868327401</v>
      </c>
      <c r="K23">
        <v>0.97142857142857142</v>
      </c>
      <c r="L23">
        <v>0.9966887417218544</v>
      </c>
    </row>
    <row r="24" spans="1:12" x14ac:dyDescent="0.2">
      <c r="A24" t="s">
        <v>795</v>
      </c>
      <c r="B24" t="s">
        <v>2045</v>
      </c>
      <c r="C24" t="s">
        <v>317</v>
      </c>
      <c r="D24">
        <v>0.61</v>
      </c>
      <c r="E24">
        <v>0.65500000000000025</v>
      </c>
      <c r="F24">
        <v>6.0300000000000006E-2</v>
      </c>
      <c r="G24">
        <v>2.0199999999999999E-2</v>
      </c>
      <c r="H24">
        <v>4.0200000000000007E-2</v>
      </c>
      <c r="I24">
        <v>3.0000000000000003E-4</v>
      </c>
      <c r="J24">
        <v>0.99504950495049505</v>
      </c>
      <c r="K24">
        <v>0.98536585365853646</v>
      </c>
      <c r="L24">
        <v>0.99259259259259258</v>
      </c>
    </row>
    <row r="25" spans="1:12" x14ac:dyDescent="0.2">
      <c r="A25" t="s">
        <v>794</v>
      </c>
      <c r="B25" t="s">
        <v>137</v>
      </c>
      <c r="C25" t="s">
        <v>317</v>
      </c>
      <c r="D25">
        <v>0.01</v>
      </c>
      <c r="E25">
        <v>0.72500000000000042</v>
      </c>
      <c r="F25">
        <v>0.13019999999999998</v>
      </c>
      <c r="G25">
        <v>2.0199999999999999E-2</v>
      </c>
      <c r="H25">
        <v>4.0000000000000002E-4</v>
      </c>
      <c r="I25">
        <v>3.0000000000000003E-4</v>
      </c>
      <c r="J25">
        <v>0.99770114942528743</v>
      </c>
      <c r="K25">
        <v>0.98536585365853646</v>
      </c>
      <c r="L25">
        <v>0.5714285714285714</v>
      </c>
    </row>
    <row r="26" spans="1:12" x14ac:dyDescent="0.2">
      <c r="A26" t="s">
        <v>793</v>
      </c>
      <c r="B26" t="s">
        <v>2046</v>
      </c>
      <c r="C26" t="s">
        <v>317</v>
      </c>
      <c r="D26">
        <v>0.93</v>
      </c>
      <c r="E26">
        <v>0.76000000000000045</v>
      </c>
      <c r="F26">
        <v>0.16019999999999998</v>
      </c>
      <c r="G26">
        <v>3.0199999999999998E-2</v>
      </c>
      <c r="H26">
        <v>4.0000000000000002E-4</v>
      </c>
      <c r="I26">
        <v>3.0000000000000003E-4</v>
      </c>
      <c r="J26">
        <v>0.9981308411214953</v>
      </c>
      <c r="K26">
        <v>0.99016393442622941</v>
      </c>
      <c r="L26">
        <v>0.5714285714285714</v>
      </c>
    </row>
    <row r="27" spans="1:12" x14ac:dyDescent="0.2">
      <c r="A27" t="s">
        <v>787</v>
      </c>
      <c r="B27" t="s">
        <v>2047</v>
      </c>
      <c r="C27" t="s">
        <v>317</v>
      </c>
      <c r="D27">
        <v>0.41</v>
      </c>
      <c r="E27">
        <v>0.72000000000000042</v>
      </c>
      <c r="F27">
        <v>0.12020000000000002</v>
      </c>
      <c r="G27">
        <v>1.0200000000000001E-2</v>
      </c>
      <c r="H27">
        <v>4.0000000000000002E-4</v>
      </c>
      <c r="I27">
        <v>3.0000000000000003E-4</v>
      </c>
      <c r="J27">
        <v>0.99751037344398341</v>
      </c>
      <c r="K27">
        <v>0.97142857142857142</v>
      </c>
      <c r="L27">
        <v>0.5714285714285714</v>
      </c>
    </row>
    <row r="28" spans="1:12" x14ac:dyDescent="0.2">
      <c r="A28" t="s">
        <v>786</v>
      </c>
      <c r="B28" t="s">
        <v>2048</v>
      </c>
      <c r="C28" t="s">
        <v>317</v>
      </c>
      <c r="D28">
        <v>0.95</v>
      </c>
      <c r="E28">
        <v>0.70000000000000029</v>
      </c>
      <c r="F28">
        <v>0.14019999999999999</v>
      </c>
      <c r="G28">
        <v>2.0199999999999999E-2</v>
      </c>
      <c r="H28">
        <v>1.0299999999999998E-2</v>
      </c>
      <c r="I28">
        <v>3.0000000000000003E-4</v>
      </c>
      <c r="J28">
        <v>0.99786476868327401</v>
      </c>
      <c r="K28">
        <v>0.98536585365853646</v>
      </c>
      <c r="L28">
        <v>0.97169811320754718</v>
      </c>
    </row>
    <row r="29" spans="1:12" x14ac:dyDescent="0.2">
      <c r="A29" t="s">
        <v>785</v>
      </c>
      <c r="B29" t="s">
        <v>2049</v>
      </c>
      <c r="C29" t="s">
        <v>317</v>
      </c>
      <c r="D29">
        <v>0.51</v>
      </c>
      <c r="E29">
        <v>0.72500000000000031</v>
      </c>
      <c r="F29">
        <v>0.10020000000000001</v>
      </c>
      <c r="G29">
        <v>2.0199999999999999E-2</v>
      </c>
      <c r="H29">
        <v>6.0300000000000006E-2</v>
      </c>
      <c r="I29">
        <v>3.0000000000000003E-4</v>
      </c>
      <c r="J29">
        <v>0.99701492537313441</v>
      </c>
      <c r="K29">
        <v>0.98536585365853646</v>
      </c>
      <c r="L29">
        <v>0.99504950495049505</v>
      </c>
    </row>
    <row r="30" spans="1:12" x14ac:dyDescent="0.2">
      <c r="A30" t="s">
        <v>784</v>
      </c>
      <c r="B30" t="s">
        <v>2050</v>
      </c>
      <c r="C30" t="s">
        <v>317</v>
      </c>
      <c r="D30">
        <v>1.86</v>
      </c>
      <c r="E30">
        <v>0.74500000000000033</v>
      </c>
      <c r="F30">
        <v>0.14019999999999999</v>
      </c>
      <c r="G30">
        <v>2.0000000000000001E-4</v>
      </c>
      <c r="H30">
        <v>4.0300000000000009E-2</v>
      </c>
      <c r="I30">
        <v>3.0000000000000003E-4</v>
      </c>
      <c r="J30">
        <v>0.99786476868327401</v>
      </c>
      <c r="K30">
        <v>0.4</v>
      </c>
      <c r="L30">
        <v>0.9926108374384236</v>
      </c>
    </row>
    <row r="31" spans="1:12" x14ac:dyDescent="0.2">
      <c r="A31" t="s">
        <v>783</v>
      </c>
      <c r="B31" t="s">
        <v>138</v>
      </c>
      <c r="C31" t="s">
        <v>317</v>
      </c>
      <c r="D31">
        <v>1.1599999999999999</v>
      </c>
      <c r="E31">
        <v>0.83000000000000052</v>
      </c>
      <c r="F31">
        <v>0.20019999999999999</v>
      </c>
      <c r="G31">
        <v>2.0199999999999999E-2</v>
      </c>
      <c r="H31">
        <v>4.0000000000000002E-4</v>
      </c>
      <c r="I31">
        <v>3.0000000000000003E-4</v>
      </c>
      <c r="J31">
        <v>0.9985037406483791</v>
      </c>
      <c r="K31">
        <v>0.98536585365853646</v>
      </c>
      <c r="L31">
        <v>0.5714285714285714</v>
      </c>
    </row>
    <row r="32" spans="1:12" x14ac:dyDescent="0.2">
      <c r="A32" t="s">
        <v>777</v>
      </c>
      <c r="B32" t="s">
        <v>139</v>
      </c>
      <c r="C32" t="s">
        <v>317</v>
      </c>
      <c r="D32">
        <v>0.08</v>
      </c>
      <c r="E32">
        <v>0.77000000000000035</v>
      </c>
      <c r="F32">
        <v>0.13019999999999998</v>
      </c>
      <c r="G32">
        <v>2.0199999999999999E-2</v>
      </c>
      <c r="H32">
        <v>6.0300000000000006E-2</v>
      </c>
      <c r="I32">
        <v>3.0000000000000003E-4</v>
      </c>
      <c r="J32">
        <v>0.99770114942528743</v>
      </c>
      <c r="K32">
        <v>0.98536585365853646</v>
      </c>
      <c r="L32">
        <v>0.99504950495049505</v>
      </c>
    </row>
    <row r="33" spans="1:12" x14ac:dyDescent="0.2">
      <c r="A33" t="s">
        <v>776</v>
      </c>
      <c r="B33" t="s">
        <v>2051</v>
      </c>
      <c r="C33" t="s">
        <v>317</v>
      </c>
      <c r="D33">
        <v>0.19</v>
      </c>
      <c r="E33">
        <v>0.76000000000000034</v>
      </c>
      <c r="F33">
        <v>0.16009999999999999</v>
      </c>
      <c r="G33">
        <v>1.0200000000000001E-2</v>
      </c>
      <c r="H33">
        <v>2.0299999999999999E-2</v>
      </c>
      <c r="I33">
        <v>3.0000000000000003E-4</v>
      </c>
      <c r="J33">
        <v>0.99812967581047385</v>
      </c>
      <c r="K33">
        <v>0.97142857142857142</v>
      </c>
      <c r="L33">
        <v>0.98543689320388339</v>
      </c>
    </row>
    <row r="34" spans="1:12" x14ac:dyDescent="0.2">
      <c r="A34" t="s">
        <v>775</v>
      </c>
      <c r="B34" t="s">
        <v>140</v>
      </c>
      <c r="C34" t="s">
        <v>317</v>
      </c>
      <c r="D34">
        <v>0.01</v>
      </c>
      <c r="E34">
        <v>1.5549999999999988</v>
      </c>
      <c r="F34">
        <v>4.0200000000000007E-2</v>
      </c>
      <c r="G34">
        <v>1.0200000000000001E-2</v>
      </c>
      <c r="H34">
        <v>0.11030000000000002</v>
      </c>
      <c r="I34">
        <v>3.0000000000000003E-4</v>
      </c>
      <c r="J34">
        <v>0.99259259259259258</v>
      </c>
      <c r="K34">
        <v>0.97142857142857142</v>
      </c>
      <c r="L34">
        <v>0.99728752260397835</v>
      </c>
    </row>
    <row r="35" spans="1:12" x14ac:dyDescent="0.2">
      <c r="A35" t="s">
        <v>774</v>
      </c>
      <c r="B35" t="s">
        <v>141</v>
      </c>
      <c r="C35" t="s">
        <v>317</v>
      </c>
      <c r="D35">
        <v>0.05</v>
      </c>
      <c r="E35">
        <v>1.5099999999999985</v>
      </c>
      <c r="F35">
        <v>0.83029999999999982</v>
      </c>
      <c r="G35">
        <v>1.0200000000000001E-2</v>
      </c>
      <c r="H35">
        <v>7.0300000000000015E-2</v>
      </c>
      <c r="I35">
        <v>3.0000000000000003E-4</v>
      </c>
      <c r="J35">
        <v>0.99963881531423071</v>
      </c>
      <c r="K35">
        <v>0.97142857142857142</v>
      </c>
      <c r="L35">
        <v>0.99575070821529754</v>
      </c>
    </row>
    <row r="36" spans="1:12" x14ac:dyDescent="0.2">
      <c r="A36" t="s">
        <v>773</v>
      </c>
      <c r="B36" t="s">
        <v>2052</v>
      </c>
      <c r="C36" t="s">
        <v>317</v>
      </c>
      <c r="D36">
        <v>1.1599999999999999</v>
      </c>
      <c r="E36">
        <v>1.6649999999999987</v>
      </c>
      <c r="F36">
        <v>0.82029999999999992</v>
      </c>
      <c r="G36">
        <v>1.0200000000000001E-2</v>
      </c>
      <c r="H36">
        <v>0.11030000000000002</v>
      </c>
      <c r="I36">
        <v>3.0000000000000003E-4</v>
      </c>
      <c r="J36">
        <v>0.99963441384352913</v>
      </c>
      <c r="K36">
        <v>0.97142857142857142</v>
      </c>
      <c r="L36">
        <v>0.99728752260397835</v>
      </c>
    </row>
    <row r="37" spans="1:12" x14ac:dyDescent="0.2">
      <c r="A37" t="s">
        <v>767</v>
      </c>
      <c r="B37" t="s">
        <v>2053</v>
      </c>
      <c r="C37" t="s">
        <v>317</v>
      </c>
      <c r="D37">
        <v>0.27</v>
      </c>
      <c r="E37">
        <v>1.6349999999999982</v>
      </c>
      <c r="F37">
        <v>0.96029999999999993</v>
      </c>
      <c r="G37">
        <v>1.0200000000000001E-2</v>
      </c>
      <c r="H37">
        <v>6.0300000000000006E-2</v>
      </c>
      <c r="I37">
        <v>3.0000000000000003E-4</v>
      </c>
      <c r="J37">
        <v>0.99968769519050593</v>
      </c>
      <c r="K37">
        <v>0.97142857142857142</v>
      </c>
      <c r="L37">
        <v>0.99504950495049505</v>
      </c>
    </row>
    <row r="38" spans="1:12" x14ac:dyDescent="0.2">
      <c r="A38" t="s">
        <v>766</v>
      </c>
      <c r="B38" t="s">
        <v>2054</v>
      </c>
      <c r="C38" t="s">
        <v>317</v>
      </c>
      <c r="D38">
        <v>0.45</v>
      </c>
      <c r="E38">
        <v>1.3899999999999995</v>
      </c>
      <c r="F38">
        <v>0.45029999999999998</v>
      </c>
      <c r="G38">
        <v>1.0200000000000001E-2</v>
      </c>
      <c r="H38">
        <v>0.14029999999999998</v>
      </c>
      <c r="I38">
        <v>3.0000000000000003E-4</v>
      </c>
      <c r="J38">
        <v>0.99933422103861513</v>
      </c>
      <c r="K38">
        <v>0.97142857142857142</v>
      </c>
      <c r="L38">
        <v>0.99786628733997162</v>
      </c>
    </row>
    <row r="39" spans="1:12" x14ac:dyDescent="0.2">
      <c r="A39" t="s">
        <v>765</v>
      </c>
      <c r="B39" t="s">
        <v>2055</v>
      </c>
      <c r="C39" t="s">
        <v>317</v>
      </c>
      <c r="D39">
        <v>0.14000000000000001</v>
      </c>
      <c r="E39">
        <v>1.6699999999999988</v>
      </c>
      <c r="F39">
        <v>0.86019999999999985</v>
      </c>
      <c r="G39">
        <v>1.0200000000000001E-2</v>
      </c>
      <c r="H39">
        <v>0.10030000000000001</v>
      </c>
      <c r="I39">
        <v>2.0199999999999999E-2</v>
      </c>
      <c r="J39">
        <v>0.97705588368923213</v>
      </c>
      <c r="K39">
        <v>0.33552631578947373</v>
      </c>
      <c r="L39">
        <v>0.83236514522821581</v>
      </c>
    </row>
    <row r="40" spans="1:12" x14ac:dyDescent="0.2">
      <c r="A40" t="s">
        <v>764</v>
      </c>
      <c r="B40" t="s">
        <v>2056</v>
      </c>
      <c r="C40" t="s">
        <v>317</v>
      </c>
      <c r="D40">
        <v>0.05</v>
      </c>
      <c r="E40">
        <v>1.554999999999999</v>
      </c>
      <c r="F40">
        <v>0.79020000000000001</v>
      </c>
      <c r="G40">
        <v>2.0000000000000001E-4</v>
      </c>
      <c r="H40">
        <v>0.13029999999999997</v>
      </c>
      <c r="I40">
        <v>3.0000000000000003E-4</v>
      </c>
      <c r="J40">
        <v>0.99962049335863379</v>
      </c>
      <c r="K40">
        <v>0.4</v>
      </c>
      <c r="L40">
        <v>0.99770290964777952</v>
      </c>
    </row>
    <row r="41" spans="1:12" x14ac:dyDescent="0.2">
      <c r="A41" t="s">
        <v>763</v>
      </c>
      <c r="B41" t="s">
        <v>2057</v>
      </c>
      <c r="C41" t="s">
        <v>317</v>
      </c>
      <c r="D41">
        <v>0.35</v>
      </c>
      <c r="E41">
        <v>1.7149999999999987</v>
      </c>
      <c r="F41">
        <v>0.93020000000000014</v>
      </c>
      <c r="G41">
        <v>1.0200000000000001E-2</v>
      </c>
      <c r="H41">
        <v>8.030000000000001E-2</v>
      </c>
      <c r="I41">
        <v>3.0000000000000003E-4</v>
      </c>
      <c r="J41">
        <v>0.9996775926921011</v>
      </c>
      <c r="K41">
        <v>0.97142857142857142</v>
      </c>
      <c r="L41">
        <v>0.99627791563275436</v>
      </c>
    </row>
    <row r="42" spans="1:12" x14ac:dyDescent="0.2">
      <c r="A42" t="s">
        <v>837</v>
      </c>
      <c r="B42" t="s">
        <v>2058</v>
      </c>
      <c r="C42" t="s">
        <v>318</v>
      </c>
      <c r="D42">
        <v>0.02</v>
      </c>
      <c r="E42">
        <v>0.70500000000000029</v>
      </c>
      <c r="F42">
        <v>0.11020000000000001</v>
      </c>
      <c r="G42">
        <v>3.0000000000000003E-4</v>
      </c>
      <c r="H42">
        <v>4.0000000000000002E-4</v>
      </c>
      <c r="I42">
        <v>3.0000000000000003E-4</v>
      </c>
      <c r="J42">
        <v>0.99728506787330318</v>
      </c>
      <c r="K42">
        <v>0.5</v>
      </c>
      <c r="L42">
        <v>0.5714285714285714</v>
      </c>
    </row>
    <row r="43" spans="1:12" x14ac:dyDescent="0.2">
      <c r="A43" t="s">
        <v>836</v>
      </c>
      <c r="B43" t="s">
        <v>2059</v>
      </c>
      <c r="C43" t="s">
        <v>318</v>
      </c>
      <c r="D43">
        <v>0.04</v>
      </c>
      <c r="E43">
        <v>34.434999999999995</v>
      </c>
      <c r="F43">
        <v>1.07</v>
      </c>
      <c r="G43">
        <v>3.4200000000000004</v>
      </c>
      <c r="H43">
        <v>21.61</v>
      </c>
      <c r="I43">
        <v>3.2199999999999998</v>
      </c>
      <c r="J43">
        <v>0.24941724941724944</v>
      </c>
      <c r="K43">
        <v>0.51506024096385539</v>
      </c>
      <c r="L43">
        <v>0.87031816351188085</v>
      </c>
    </row>
    <row r="44" spans="1:12" x14ac:dyDescent="0.2">
      <c r="A44" t="s">
        <v>755</v>
      </c>
      <c r="B44" t="s">
        <v>180</v>
      </c>
      <c r="C44" t="s">
        <v>318</v>
      </c>
      <c r="D44">
        <v>0.31</v>
      </c>
      <c r="E44">
        <v>1.08</v>
      </c>
      <c r="F44">
        <v>0.13029999999999997</v>
      </c>
      <c r="G44">
        <v>0.16009999999999999</v>
      </c>
      <c r="H44">
        <v>4.0000000000000002E-4</v>
      </c>
      <c r="I44">
        <v>0.79</v>
      </c>
      <c r="J44">
        <v>0.14158426600021728</v>
      </c>
      <c r="K44">
        <v>0.16850857804441635</v>
      </c>
      <c r="L44">
        <v>5.0607287449392713E-4</v>
      </c>
    </row>
    <row r="45" spans="1:12" x14ac:dyDescent="0.2">
      <c r="A45" t="s">
        <v>595</v>
      </c>
      <c r="B45" t="s">
        <v>115</v>
      </c>
      <c r="C45" t="s">
        <v>318</v>
      </c>
      <c r="D45">
        <v>0.6</v>
      </c>
      <c r="E45">
        <v>3.1757000000000009</v>
      </c>
      <c r="F45">
        <v>0.15029999999999996</v>
      </c>
      <c r="G45">
        <v>2.0251000000000001</v>
      </c>
      <c r="H45">
        <v>0.2303</v>
      </c>
      <c r="I45">
        <v>0.77</v>
      </c>
      <c r="J45">
        <v>0.16331630989894597</v>
      </c>
      <c r="K45">
        <v>0.72451790633608815</v>
      </c>
      <c r="L45">
        <v>0.23023093072078377</v>
      </c>
    </row>
    <row r="46" spans="1:12" x14ac:dyDescent="0.2">
      <c r="A46" t="s">
        <v>835</v>
      </c>
      <c r="B46" t="s">
        <v>168</v>
      </c>
      <c r="C46" t="s">
        <v>318</v>
      </c>
      <c r="D46">
        <v>0.01</v>
      </c>
      <c r="E46">
        <v>0.77000000000000035</v>
      </c>
      <c r="F46">
        <v>6.020000000000001E-2</v>
      </c>
      <c r="G46">
        <v>1.0200000000000001E-2</v>
      </c>
      <c r="H46">
        <v>0.10030000000000001</v>
      </c>
      <c r="I46">
        <v>3.0000000000000003E-4</v>
      </c>
      <c r="J46">
        <v>0.99504132231404951</v>
      </c>
      <c r="K46">
        <v>0.97142857142857142</v>
      </c>
      <c r="L46">
        <v>0.99701789264413521</v>
      </c>
    </row>
    <row r="47" spans="1:12" x14ac:dyDescent="0.2">
      <c r="A47" t="s">
        <v>675</v>
      </c>
      <c r="B47" t="s">
        <v>192</v>
      </c>
      <c r="C47" t="s">
        <v>318</v>
      </c>
      <c r="D47">
        <v>1E-4</v>
      </c>
      <c r="E47">
        <v>0.25</v>
      </c>
      <c r="F47">
        <v>0.25</v>
      </c>
      <c r="G47">
        <v>1E-4</v>
      </c>
      <c r="H47">
        <v>1E-4</v>
      </c>
      <c r="I47">
        <v>1E-4</v>
      </c>
      <c r="J47">
        <v>0.99960015993602558</v>
      </c>
      <c r="K47">
        <v>0.5</v>
      </c>
      <c r="L47">
        <v>0.5</v>
      </c>
    </row>
    <row r="48" spans="1:12" x14ac:dyDescent="0.2">
      <c r="A48" t="s">
        <v>754</v>
      </c>
      <c r="B48" t="s">
        <v>181</v>
      </c>
      <c r="C48" t="s">
        <v>318</v>
      </c>
      <c r="D48">
        <v>1.3</v>
      </c>
      <c r="E48">
        <v>13.7</v>
      </c>
      <c r="F48">
        <v>0.71009999999999995</v>
      </c>
      <c r="G48">
        <v>2.0500000000000003</v>
      </c>
      <c r="H48">
        <v>6.0600000000000005</v>
      </c>
      <c r="I48">
        <v>3.4099999999999997</v>
      </c>
      <c r="J48">
        <v>0.17235018567510496</v>
      </c>
      <c r="K48">
        <v>0.37545787545787551</v>
      </c>
      <c r="L48">
        <v>0.63991552270327345</v>
      </c>
    </row>
    <row r="49" spans="1:12" x14ac:dyDescent="0.2">
      <c r="A49" t="s">
        <v>594</v>
      </c>
      <c r="B49" t="s">
        <v>114</v>
      </c>
      <c r="C49" t="s">
        <v>318</v>
      </c>
      <c r="D49">
        <v>0.36</v>
      </c>
      <c r="E49">
        <v>0.71</v>
      </c>
      <c r="F49">
        <v>0.71</v>
      </c>
      <c r="G49">
        <v>0.28000000000000003</v>
      </c>
      <c r="H49">
        <v>0.03</v>
      </c>
      <c r="I49">
        <v>0.31</v>
      </c>
      <c r="J49">
        <v>0.69607843137254899</v>
      </c>
      <c r="K49">
        <v>0.47457627118644063</v>
      </c>
      <c r="L49">
        <v>8.8235294117647065E-2</v>
      </c>
    </row>
    <row r="50" spans="1:12" x14ac:dyDescent="0.2">
      <c r="A50" t="s">
        <v>834</v>
      </c>
      <c r="B50" t="s">
        <v>169</v>
      </c>
      <c r="C50" t="s">
        <v>318</v>
      </c>
      <c r="D50">
        <v>0.21000000000000002</v>
      </c>
      <c r="E50">
        <v>86.295000000000002</v>
      </c>
      <c r="F50">
        <v>3.42</v>
      </c>
      <c r="G50">
        <v>9.74</v>
      </c>
      <c r="H50">
        <v>52.24</v>
      </c>
      <c r="I50">
        <v>8.02</v>
      </c>
      <c r="J50">
        <v>0.29895104895104896</v>
      </c>
      <c r="K50">
        <v>0.54842342342342354</v>
      </c>
      <c r="L50">
        <v>0.86691005642217056</v>
      </c>
    </row>
    <row r="51" spans="1:12" x14ac:dyDescent="0.2">
      <c r="A51" t="s">
        <v>674</v>
      </c>
      <c r="B51" t="s">
        <v>193</v>
      </c>
      <c r="C51" t="s">
        <v>318</v>
      </c>
      <c r="D51">
        <v>1E-4</v>
      </c>
      <c r="E51">
        <v>1.1100000000000001</v>
      </c>
      <c r="F51">
        <v>0.90999999999999992</v>
      </c>
      <c r="G51">
        <v>1E-4</v>
      </c>
      <c r="H51">
        <v>0.04</v>
      </c>
      <c r="I51">
        <v>1E-4</v>
      </c>
      <c r="J51">
        <v>0.99989012196461924</v>
      </c>
      <c r="K51">
        <v>0.5</v>
      </c>
      <c r="L51">
        <v>0.99750623441396502</v>
      </c>
    </row>
    <row r="52" spans="1:12" x14ac:dyDescent="0.2">
      <c r="A52" t="s">
        <v>833</v>
      </c>
      <c r="B52" t="s">
        <v>2060</v>
      </c>
      <c r="C52" t="s">
        <v>318</v>
      </c>
      <c r="D52">
        <v>0.02</v>
      </c>
      <c r="E52">
        <v>0.9400000000000005</v>
      </c>
      <c r="F52">
        <v>0.1201</v>
      </c>
      <c r="G52">
        <v>1.0200000000000001E-2</v>
      </c>
      <c r="H52">
        <v>0.22019999999999998</v>
      </c>
      <c r="I52">
        <v>3.0000000000000003E-4</v>
      </c>
      <c r="J52">
        <v>0.99750830564784054</v>
      </c>
      <c r="K52">
        <v>0.97142857142857142</v>
      </c>
      <c r="L52">
        <v>0.99863945578231295</v>
      </c>
    </row>
    <row r="53" spans="1:12" x14ac:dyDescent="0.2">
      <c r="A53" t="s">
        <v>827</v>
      </c>
      <c r="B53" t="s">
        <v>2061</v>
      </c>
      <c r="C53" t="s">
        <v>318</v>
      </c>
      <c r="D53">
        <v>0.01</v>
      </c>
      <c r="E53">
        <v>0.75500000000000045</v>
      </c>
      <c r="F53">
        <v>0.11020000000000001</v>
      </c>
      <c r="G53">
        <v>1.0200000000000001E-2</v>
      </c>
      <c r="H53">
        <v>4.0000000000000002E-4</v>
      </c>
      <c r="I53">
        <v>3.0000000000000003E-4</v>
      </c>
      <c r="J53">
        <v>0.99728506787330318</v>
      </c>
      <c r="K53">
        <v>0.97142857142857142</v>
      </c>
      <c r="L53">
        <v>0.5714285714285714</v>
      </c>
    </row>
    <row r="54" spans="1:12" x14ac:dyDescent="0.2">
      <c r="A54" t="s">
        <v>826</v>
      </c>
      <c r="B54" t="s">
        <v>2062</v>
      </c>
      <c r="C54" t="s">
        <v>318</v>
      </c>
      <c r="D54">
        <v>0.01</v>
      </c>
      <c r="E54">
        <v>2.0649999999999995</v>
      </c>
      <c r="F54">
        <v>0.16019999999999998</v>
      </c>
      <c r="G54">
        <v>3.0099999999999998E-2</v>
      </c>
      <c r="H54">
        <v>1.3301000000000001</v>
      </c>
      <c r="I54">
        <v>9.01E-2</v>
      </c>
      <c r="J54">
        <v>0.64003196164602483</v>
      </c>
      <c r="K54">
        <v>0.25041597337770383</v>
      </c>
      <c r="L54">
        <v>0.93655823123503723</v>
      </c>
    </row>
    <row r="55" spans="1:12" x14ac:dyDescent="0.2">
      <c r="A55" t="s">
        <v>825</v>
      </c>
      <c r="B55" t="s">
        <v>2063</v>
      </c>
      <c r="C55" t="s">
        <v>318</v>
      </c>
      <c r="D55">
        <v>0.04</v>
      </c>
      <c r="E55">
        <v>21.180000000000007</v>
      </c>
      <c r="F55">
        <v>0.32999999999999996</v>
      </c>
      <c r="G55">
        <v>2.4700000000000002</v>
      </c>
      <c r="H55">
        <v>13.9</v>
      </c>
      <c r="I55">
        <v>1.69</v>
      </c>
      <c r="J55">
        <v>0.16336633663366334</v>
      </c>
      <c r="K55">
        <v>0.59375</v>
      </c>
      <c r="L55">
        <v>0.89159717767799873</v>
      </c>
    </row>
    <row r="56" spans="1:12" x14ac:dyDescent="0.2">
      <c r="A56" t="s">
        <v>744</v>
      </c>
      <c r="B56" t="s">
        <v>182</v>
      </c>
      <c r="C56" t="s">
        <v>318</v>
      </c>
      <c r="D56">
        <v>0.05</v>
      </c>
      <c r="E56">
        <v>1.59</v>
      </c>
      <c r="F56">
        <v>0.1203</v>
      </c>
      <c r="G56">
        <v>8.0100000000000005E-2</v>
      </c>
      <c r="H56">
        <v>4.0000000000000002E-4</v>
      </c>
      <c r="I56">
        <v>0.77</v>
      </c>
      <c r="J56">
        <v>0.13512299224980345</v>
      </c>
      <c r="K56">
        <v>9.4224208916598037E-2</v>
      </c>
      <c r="L56">
        <v>5.1921079958463145E-4</v>
      </c>
    </row>
    <row r="57" spans="1:12" x14ac:dyDescent="0.2">
      <c r="A57" t="s">
        <v>584</v>
      </c>
      <c r="B57" t="s">
        <v>113</v>
      </c>
      <c r="C57" t="s">
        <v>318</v>
      </c>
      <c r="D57">
        <v>1E-4</v>
      </c>
      <c r="E57">
        <v>0.25</v>
      </c>
      <c r="F57">
        <v>0.26</v>
      </c>
      <c r="G57">
        <v>1E-4</v>
      </c>
      <c r="H57">
        <v>1E-4</v>
      </c>
      <c r="I57">
        <v>1E-4</v>
      </c>
      <c r="J57">
        <v>0.9996155324875049</v>
      </c>
      <c r="K57">
        <v>0.5</v>
      </c>
      <c r="L57">
        <v>0.5</v>
      </c>
    </row>
    <row r="58" spans="1:12" x14ac:dyDescent="0.2">
      <c r="A58" t="s">
        <v>824</v>
      </c>
      <c r="B58" t="s">
        <v>170</v>
      </c>
      <c r="C58" t="s">
        <v>318</v>
      </c>
      <c r="D58">
        <v>0.01</v>
      </c>
      <c r="E58">
        <v>0.7050000000000004</v>
      </c>
      <c r="F58">
        <v>0.11020000000000001</v>
      </c>
      <c r="G58">
        <v>2.0199999999999999E-2</v>
      </c>
      <c r="H58">
        <v>4.0000000000000002E-4</v>
      </c>
      <c r="I58">
        <v>3.0000000000000003E-4</v>
      </c>
      <c r="J58">
        <v>0.99728506787330318</v>
      </c>
      <c r="K58">
        <v>0.98536585365853646</v>
      </c>
      <c r="L58">
        <v>0.5714285714285714</v>
      </c>
    </row>
    <row r="59" spans="1:12" x14ac:dyDescent="0.2">
      <c r="A59" t="s">
        <v>664</v>
      </c>
      <c r="B59" t="s">
        <v>194</v>
      </c>
      <c r="C59" t="s">
        <v>318</v>
      </c>
      <c r="D59">
        <v>0.35</v>
      </c>
      <c r="E59">
        <v>0.25</v>
      </c>
      <c r="F59">
        <v>0.25</v>
      </c>
      <c r="G59">
        <v>1E-4</v>
      </c>
      <c r="H59">
        <v>1E-4</v>
      </c>
      <c r="I59">
        <v>1E-4</v>
      </c>
      <c r="J59">
        <v>0.99960015993602558</v>
      </c>
      <c r="K59">
        <v>0.5</v>
      </c>
      <c r="L59">
        <v>0.5</v>
      </c>
    </row>
    <row r="60" spans="1:12" x14ac:dyDescent="0.2">
      <c r="A60" t="s">
        <v>823</v>
      </c>
      <c r="B60" t="s">
        <v>2064</v>
      </c>
      <c r="C60" t="s">
        <v>318</v>
      </c>
      <c r="D60">
        <v>0.01</v>
      </c>
      <c r="E60">
        <v>0.68000000000000038</v>
      </c>
      <c r="F60">
        <v>9.0200000000000002E-2</v>
      </c>
      <c r="G60">
        <v>1.0200000000000001E-2</v>
      </c>
      <c r="H60">
        <v>4.0000000000000002E-4</v>
      </c>
      <c r="I60">
        <v>3.0000000000000003E-4</v>
      </c>
      <c r="J60">
        <v>0.99668508287292823</v>
      </c>
      <c r="K60">
        <v>0.97142857142857142</v>
      </c>
      <c r="L60">
        <v>0.5714285714285714</v>
      </c>
    </row>
    <row r="61" spans="1:12" x14ac:dyDescent="0.2">
      <c r="A61" t="s">
        <v>817</v>
      </c>
      <c r="B61" t="s">
        <v>2065</v>
      </c>
      <c r="C61" t="s">
        <v>318</v>
      </c>
      <c r="D61">
        <v>0.13</v>
      </c>
      <c r="E61">
        <v>112.80500000000001</v>
      </c>
      <c r="F61">
        <v>8.49</v>
      </c>
      <c r="G61">
        <v>10.799999999999999</v>
      </c>
      <c r="H61">
        <v>74.819999999999993</v>
      </c>
      <c r="I61">
        <v>7.29</v>
      </c>
      <c r="J61">
        <v>0.53802281368821292</v>
      </c>
      <c r="K61">
        <v>0.59701492537313428</v>
      </c>
      <c r="L61">
        <v>0.91121666057727435</v>
      </c>
    </row>
    <row r="62" spans="1:12" x14ac:dyDescent="0.2">
      <c r="A62" t="s">
        <v>736</v>
      </c>
      <c r="B62" t="s">
        <v>183</v>
      </c>
      <c r="C62" t="s">
        <v>318</v>
      </c>
      <c r="D62">
        <v>0.73</v>
      </c>
      <c r="E62">
        <v>3.4800000000000004</v>
      </c>
      <c r="F62">
        <v>0.15009999999999998</v>
      </c>
      <c r="G62">
        <v>0.50009999999999999</v>
      </c>
      <c r="H62">
        <v>0.84999999999999987</v>
      </c>
      <c r="I62">
        <v>1.7200000000000002</v>
      </c>
      <c r="J62">
        <v>8.0263087535425895E-2</v>
      </c>
      <c r="K62">
        <v>0.22526012341786403</v>
      </c>
      <c r="L62">
        <v>0.33073929961089488</v>
      </c>
    </row>
    <row r="63" spans="1:12" x14ac:dyDescent="0.2">
      <c r="A63" t="s">
        <v>576</v>
      </c>
      <c r="B63" t="s">
        <v>112</v>
      </c>
      <c r="C63" t="s">
        <v>318</v>
      </c>
      <c r="D63">
        <v>1E-4</v>
      </c>
      <c r="E63">
        <v>0.67</v>
      </c>
      <c r="F63">
        <v>0.71</v>
      </c>
      <c r="G63">
        <v>1E-4</v>
      </c>
      <c r="H63">
        <v>1E-4</v>
      </c>
      <c r="I63">
        <v>0.28999999999999998</v>
      </c>
      <c r="J63">
        <v>0.71</v>
      </c>
      <c r="K63">
        <v>3.4470872113064467E-4</v>
      </c>
      <c r="L63">
        <v>3.4470872113064467E-4</v>
      </c>
    </row>
    <row r="64" spans="1:12" x14ac:dyDescent="0.2">
      <c r="A64" t="s">
        <v>816</v>
      </c>
      <c r="B64" t="s">
        <v>171</v>
      </c>
      <c r="C64" t="s">
        <v>318</v>
      </c>
      <c r="D64">
        <v>0.93</v>
      </c>
      <c r="E64">
        <v>148.22999999999999</v>
      </c>
      <c r="F64">
        <v>10.559999999999999</v>
      </c>
      <c r="G64">
        <v>16.170000000000002</v>
      </c>
      <c r="H64">
        <v>87.94</v>
      </c>
      <c r="I64">
        <v>17.970000000000002</v>
      </c>
      <c r="J64">
        <v>0.37013669821240791</v>
      </c>
      <c r="K64">
        <v>0.47363796133567665</v>
      </c>
      <c r="L64">
        <v>0.83032763667264664</v>
      </c>
    </row>
    <row r="65" spans="1:12" x14ac:dyDescent="0.2">
      <c r="A65" t="s">
        <v>656</v>
      </c>
      <c r="B65" t="s">
        <v>195</v>
      </c>
      <c r="C65" t="s">
        <v>318</v>
      </c>
      <c r="D65">
        <v>1E-4</v>
      </c>
      <c r="E65">
        <v>0.5</v>
      </c>
      <c r="F65">
        <v>0.45</v>
      </c>
      <c r="G65">
        <v>0.28000000000000003</v>
      </c>
      <c r="H65">
        <v>1E-4</v>
      </c>
      <c r="I65">
        <v>0.3</v>
      </c>
      <c r="J65">
        <v>0.6</v>
      </c>
      <c r="K65">
        <v>0.48275862068965514</v>
      </c>
      <c r="L65">
        <v>3.3322225924691776E-4</v>
      </c>
    </row>
    <row r="66" spans="1:12" x14ac:dyDescent="0.2">
      <c r="A66" t="s">
        <v>815</v>
      </c>
      <c r="B66" t="s">
        <v>2066</v>
      </c>
      <c r="C66" t="s">
        <v>318</v>
      </c>
      <c r="D66">
        <v>0.02</v>
      </c>
      <c r="E66">
        <v>0.68500000000000028</v>
      </c>
      <c r="F66">
        <v>3.0199999999999998E-2</v>
      </c>
      <c r="G66">
        <v>1.0200000000000001E-2</v>
      </c>
      <c r="H66">
        <v>4.0000000000000002E-4</v>
      </c>
      <c r="I66">
        <v>3.0000000000000003E-4</v>
      </c>
      <c r="J66">
        <v>0.99016393442622941</v>
      </c>
      <c r="K66">
        <v>0.97142857142857142</v>
      </c>
      <c r="L66">
        <v>0.5714285714285714</v>
      </c>
    </row>
    <row r="67" spans="1:12" x14ac:dyDescent="0.2">
      <c r="A67" t="s">
        <v>734</v>
      </c>
      <c r="B67" t="s">
        <v>184</v>
      </c>
      <c r="C67" t="s">
        <v>318</v>
      </c>
      <c r="D67">
        <v>0.6</v>
      </c>
      <c r="E67">
        <v>3.7299999999999995</v>
      </c>
      <c r="F67">
        <v>0.14029999999999998</v>
      </c>
      <c r="G67">
        <v>0.48010000000000003</v>
      </c>
      <c r="H67">
        <v>1</v>
      </c>
      <c r="I67">
        <v>1.47</v>
      </c>
      <c r="J67">
        <v>8.7126622368502743E-2</v>
      </c>
      <c r="K67">
        <v>0.24619250294856676</v>
      </c>
      <c r="L67">
        <v>0.40485829959514175</v>
      </c>
    </row>
    <row r="68" spans="1:12" x14ac:dyDescent="0.2">
      <c r="A68" t="s">
        <v>574</v>
      </c>
      <c r="B68" t="s">
        <v>111</v>
      </c>
      <c r="C68" t="s">
        <v>318</v>
      </c>
      <c r="D68">
        <v>1E-4</v>
      </c>
      <c r="E68">
        <v>0.34</v>
      </c>
      <c r="F68">
        <v>0.36</v>
      </c>
      <c r="G68">
        <v>0.28000000000000003</v>
      </c>
      <c r="H68">
        <v>1E-4</v>
      </c>
      <c r="I68">
        <v>0.31</v>
      </c>
      <c r="J68">
        <v>0.53731343283582089</v>
      </c>
      <c r="K68">
        <v>0.47457627118644063</v>
      </c>
      <c r="L68">
        <v>3.2247662044501777E-4</v>
      </c>
    </row>
    <row r="69" spans="1:12" x14ac:dyDescent="0.2">
      <c r="A69" t="s">
        <v>814</v>
      </c>
      <c r="B69" t="s">
        <v>172</v>
      </c>
      <c r="C69" t="s">
        <v>318</v>
      </c>
      <c r="D69">
        <v>0.03</v>
      </c>
      <c r="E69">
        <v>3.7049999999999996</v>
      </c>
      <c r="F69">
        <v>0.10010000000000001</v>
      </c>
      <c r="G69">
        <v>0.25009999999999999</v>
      </c>
      <c r="H69">
        <v>2.2701000000000002</v>
      </c>
      <c r="I69">
        <v>0.61</v>
      </c>
      <c r="J69">
        <v>0.14096606111815238</v>
      </c>
      <c r="K69">
        <v>0.29078014184397161</v>
      </c>
      <c r="L69">
        <v>0.78820179854866157</v>
      </c>
    </row>
    <row r="70" spans="1:12" x14ac:dyDescent="0.2">
      <c r="A70" t="s">
        <v>654</v>
      </c>
      <c r="B70" t="s">
        <v>196</v>
      </c>
      <c r="C70" t="s">
        <v>318</v>
      </c>
      <c r="D70" t="s">
        <v>11</v>
      </c>
      <c r="E70" t="s">
        <v>11</v>
      </c>
      <c r="F70" t="s">
        <v>11</v>
      </c>
      <c r="G70" t="s">
        <v>11</v>
      </c>
      <c r="H70" t="s">
        <v>11</v>
      </c>
      <c r="I70" t="s">
        <v>11</v>
      </c>
      <c r="J70" t="s">
        <v>11</v>
      </c>
      <c r="K70" t="s">
        <v>11</v>
      </c>
      <c r="L70" t="s">
        <v>11</v>
      </c>
    </row>
    <row r="71" spans="1:12" x14ac:dyDescent="0.2">
      <c r="A71" t="s">
        <v>733</v>
      </c>
      <c r="B71" t="s">
        <v>185</v>
      </c>
      <c r="C71" t="s">
        <v>318</v>
      </c>
      <c r="D71">
        <v>0.03</v>
      </c>
      <c r="E71">
        <v>1.44</v>
      </c>
      <c r="F71">
        <v>0.11030000000000002</v>
      </c>
      <c r="G71">
        <v>1.0199999999999999E-2</v>
      </c>
      <c r="H71">
        <v>4.0000000000000002E-4</v>
      </c>
      <c r="I71">
        <v>0.96</v>
      </c>
      <c r="J71">
        <v>0.10305521816313185</v>
      </c>
      <c r="K71">
        <v>1.0513296227581941E-2</v>
      </c>
      <c r="L71">
        <v>4.1649312786339032E-4</v>
      </c>
    </row>
    <row r="72" spans="1:12" x14ac:dyDescent="0.2">
      <c r="A72" t="s">
        <v>573</v>
      </c>
      <c r="B72" t="s">
        <v>110</v>
      </c>
      <c r="C72" t="s">
        <v>318</v>
      </c>
      <c r="D72">
        <v>0.35</v>
      </c>
      <c r="E72">
        <v>0.25</v>
      </c>
      <c r="F72">
        <v>0.26</v>
      </c>
      <c r="G72">
        <v>1E-4</v>
      </c>
      <c r="H72">
        <v>1E-4</v>
      </c>
      <c r="I72">
        <v>1E-4</v>
      </c>
      <c r="J72">
        <v>0.9996155324875049</v>
      </c>
      <c r="K72">
        <v>0.5</v>
      </c>
      <c r="L72">
        <v>0.5</v>
      </c>
    </row>
    <row r="73" spans="1:12" x14ac:dyDescent="0.2">
      <c r="A73" t="s">
        <v>813</v>
      </c>
      <c r="B73" t="s">
        <v>173</v>
      </c>
      <c r="C73" t="s">
        <v>318</v>
      </c>
      <c r="D73">
        <v>0.04</v>
      </c>
      <c r="E73">
        <v>0.67000000000000037</v>
      </c>
      <c r="F73">
        <v>6.020000000000001E-2</v>
      </c>
      <c r="G73">
        <v>2.0199999999999999E-2</v>
      </c>
      <c r="H73">
        <v>4.0000000000000002E-4</v>
      </c>
      <c r="I73">
        <v>3.0000000000000003E-4</v>
      </c>
      <c r="J73">
        <v>0.99504132231404951</v>
      </c>
      <c r="K73">
        <v>0.98536585365853646</v>
      </c>
      <c r="L73">
        <v>0.5714285714285714</v>
      </c>
    </row>
    <row r="74" spans="1:12" x14ac:dyDescent="0.2">
      <c r="A74" t="s">
        <v>653</v>
      </c>
      <c r="B74" t="s">
        <v>197</v>
      </c>
      <c r="C74" t="s">
        <v>318</v>
      </c>
      <c r="D74">
        <v>1E-4</v>
      </c>
      <c r="E74">
        <v>0.25</v>
      </c>
      <c r="F74">
        <v>0.26</v>
      </c>
      <c r="G74">
        <v>1E-4</v>
      </c>
      <c r="H74">
        <v>1E-4</v>
      </c>
      <c r="I74">
        <v>0.31</v>
      </c>
      <c r="J74">
        <v>0.45614035087719296</v>
      </c>
      <c r="K74">
        <v>3.2247662044501777E-4</v>
      </c>
      <c r="L74">
        <v>3.2247662044501777E-4</v>
      </c>
    </row>
    <row r="75" spans="1:12" x14ac:dyDescent="0.2">
      <c r="A75" t="s">
        <v>807</v>
      </c>
      <c r="B75" t="s">
        <v>2067</v>
      </c>
      <c r="C75" t="s">
        <v>318</v>
      </c>
      <c r="D75">
        <v>0.04</v>
      </c>
      <c r="E75">
        <v>12.88</v>
      </c>
      <c r="F75">
        <v>0.1101</v>
      </c>
      <c r="G75">
        <v>1.2701</v>
      </c>
      <c r="H75">
        <v>9.4700000000000006</v>
      </c>
      <c r="I75">
        <v>1.2200000000000002</v>
      </c>
      <c r="J75">
        <v>8.2775731148033965E-2</v>
      </c>
      <c r="K75">
        <v>0.51005983695433921</v>
      </c>
      <c r="L75">
        <v>0.88587464920486436</v>
      </c>
    </row>
    <row r="76" spans="1:12" x14ac:dyDescent="0.2">
      <c r="A76" t="s">
        <v>806</v>
      </c>
      <c r="B76" t="s">
        <v>2068</v>
      </c>
      <c r="C76" t="s">
        <v>318</v>
      </c>
      <c r="D76">
        <v>0.22000000000000003</v>
      </c>
      <c r="E76">
        <v>53.134999999999991</v>
      </c>
      <c r="F76">
        <v>3.4001000000000001</v>
      </c>
      <c r="G76">
        <v>6.9600000000000009</v>
      </c>
      <c r="H76">
        <v>33.559999999999995</v>
      </c>
      <c r="I76">
        <v>4.28</v>
      </c>
      <c r="J76">
        <v>0.44271558964075985</v>
      </c>
      <c r="K76">
        <v>0.61921708185053381</v>
      </c>
      <c r="L76">
        <v>0.88689217758985195</v>
      </c>
    </row>
    <row r="77" spans="1:12" x14ac:dyDescent="0.2">
      <c r="A77" t="s">
        <v>805</v>
      </c>
      <c r="B77" t="s">
        <v>2069</v>
      </c>
      <c r="C77" t="s">
        <v>318</v>
      </c>
      <c r="D77">
        <v>0.03</v>
      </c>
      <c r="E77">
        <v>0.71000000000000041</v>
      </c>
      <c r="F77">
        <v>0.1401</v>
      </c>
      <c r="G77">
        <v>2.0000000000000001E-4</v>
      </c>
      <c r="H77">
        <v>4.0000000000000002E-4</v>
      </c>
      <c r="I77">
        <v>3.0000000000000003E-4</v>
      </c>
      <c r="J77">
        <v>0.99786324786324787</v>
      </c>
      <c r="K77">
        <v>0.4</v>
      </c>
      <c r="L77">
        <v>0.5714285714285714</v>
      </c>
    </row>
    <row r="78" spans="1:12" x14ac:dyDescent="0.2">
      <c r="A78" t="s">
        <v>804</v>
      </c>
      <c r="B78" t="s">
        <v>2070</v>
      </c>
      <c r="C78" t="s">
        <v>318</v>
      </c>
      <c r="D78">
        <v>1E-4</v>
      </c>
      <c r="E78">
        <v>1.1250000000000002</v>
      </c>
      <c r="F78">
        <v>7.0199999999999999E-2</v>
      </c>
      <c r="G78">
        <v>2.0199999999999999E-2</v>
      </c>
      <c r="H78">
        <v>0.5101</v>
      </c>
      <c r="I78">
        <v>0.03</v>
      </c>
      <c r="J78">
        <v>0.70059880239520955</v>
      </c>
      <c r="K78">
        <v>0.40239043824701198</v>
      </c>
      <c r="L78">
        <v>0.94445473060544338</v>
      </c>
    </row>
    <row r="79" spans="1:12" x14ac:dyDescent="0.2">
      <c r="A79" t="s">
        <v>798</v>
      </c>
      <c r="B79" t="s">
        <v>2071</v>
      </c>
      <c r="C79" t="s">
        <v>318</v>
      </c>
      <c r="D79">
        <v>0.01</v>
      </c>
      <c r="E79">
        <v>0.76500000000000035</v>
      </c>
      <c r="F79">
        <v>3.0200000000000001E-2</v>
      </c>
      <c r="G79">
        <v>2.0000000000000001E-4</v>
      </c>
      <c r="H79">
        <v>4.0000000000000002E-4</v>
      </c>
      <c r="I79">
        <v>3.0000000000000003E-4</v>
      </c>
      <c r="J79">
        <v>0.99016393442622941</v>
      </c>
      <c r="K79">
        <v>0.4</v>
      </c>
      <c r="L79">
        <v>0.5714285714285714</v>
      </c>
    </row>
    <row r="80" spans="1:12" x14ac:dyDescent="0.2">
      <c r="A80" t="s">
        <v>797</v>
      </c>
      <c r="B80" t="s">
        <v>2072</v>
      </c>
      <c r="C80" t="s">
        <v>318</v>
      </c>
      <c r="D80">
        <v>0.24</v>
      </c>
      <c r="E80">
        <v>149.34999999999997</v>
      </c>
      <c r="F80">
        <v>11.5901</v>
      </c>
      <c r="G80">
        <v>13.56</v>
      </c>
      <c r="H80">
        <v>89.86999999999999</v>
      </c>
      <c r="I80">
        <v>7.6</v>
      </c>
      <c r="J80">
        <v>0.60396245981000618</v>
      </c>
      <c r="K80">
        <v>0.64083175803402648</v>
      </c>
      <c r="L80">
        <v>0.92202729044834308</v>
      </c>
    </row>
    <row r="81" spans="1:12" x14ac:dyDescent="0.2">
      <c r="A81" t="s">
        <v>716</v>
      </c>
      <c r="B81" t="s">
        <v>186</v>
      </c>
      <c r="C81" t="s">
        <v>318</v>
      </c>
      <c r="D81">
        <v>1.38</v>
      </c>
      <c r="E81">
        <v>2.27</v>
      </c>
      <c r="F81">
        <v>0.14019999999999999</v>
      </c>
      <c r="G81">
        <v>2.0199999999999999E-2</v>
      </c>
      <c r="H81">
        <v>0.11020000000000001</v>
      </c>
      <c r="I81">
        <v>1.37</v>
      </c>
      <c r="J81">
        <v>9.2835386041583881E-2</v>
      </c>
      <c r="K81">
        <v>1.4530283412458638E-2</v>
      </c>
      <c r="L81">
        <v>7.4449398729901362E-2</v>
      </c>
    </row>
    <row r="82" spans="1:12" x14ac:dyDescent="0.2">
      <c r="A82" t="s">
        <v>556</v>
      </c>
      <c r="B82" t="s">
        <v>109</v>
      </c>
      <c r="C82" t="s">
        <v>318</v>
      </c>
      <c r="D82">
        <v>0.35</v>
      </c>
      <c r="E82">
        <v>0.62</v>
      </c>
      <c r="F82">
        <v>0.61</v>
      </c>
      <c r="G82">
        <v>0.28000000000000003</v>
      </c>
      <c r="H82">
        <v>1E-4</v>
      </c>
      <c r="I82">
        <v>1E-4</v>
      </c>
      <c r="J82">
        <v>0.99983609244386173</v>
      </c>
      <c r="K82">
        <v>0.99964298464833989</v>
      </c>
      <c r="L82">
        <v>0.5</v>
      </c>
    </row>
    <row r="83" spans="1:12" x14ac:dyDescent="0.2">
      <c r="A83" t="s">
        <v>796</v>
      </c>
      <c r="B83" t="s">
        <v>174</v>
      </c>
      <c r="C83" t="s">
        <v>318</v>
      </c>
      <c r="D83">
        <v>0.5</v>
      </c>
      <c r="E83">
        <v>126.785</v>
      </c>
      <c r="F83">
        <v>9.09</v>
      </c>
      <c r="G83">
        <v>15.700000000000001</v>
      </c>
      <c r="H83">
        <v>72.13000000000001</v>
      </c>
      <c r="I83">
        <v>10.36</v>
      </c>
      <c r="J83">
        <v>0.46735218508997428</v>
      </c>
      <c r="K83">
        <v>0.60245587106676901</v>
      </c>
      <c r="L83">
        <v>0.87440901927506365</v>
      </c>
    </row>
    <row r="84" spans="1:12" x14ac:dyDescent="0.2">
      <c r="A84" t="s">
        <v>636</v>
      </c>
      <c r="B84" t="s">
        <v>198</v>
      </c>
      <c r="C84" t="s">
        <v>318</v>
      </c>
      <c r="D84">
        <v>1E-4</v>
      </c>
      <c r="E84">
        <v>1.1000000000000001</v>
      </c>
      <c r="F84">
        <v>0.95</v>
      </c>
      <c r="G84">
        <v>1E-4</v>
      </c>
      <c r="H84">
        <v>1E-4</v>
      </c>
      <c r="I84">
        <v>1E-4</v>
      </c>
      <c r="J84">
        <v>0.99989474792127142</v>
      </c>
      <c r="K84">
        <v>0.5</v>
      </c>
      <c r="L84">
        <v>0.5</v>
      </c>
    </row>
    <row r="85" spans="1:12" x14ac:dyDescent="0.2">
      <c r="A85" t="s">
        <v>795</v>
      </c>
      <c r="B85" t="s">
        <v>2073</v>
      </c>
      <c r="C85" t="s">
        <v>318</v>
      </c>
      <c r="D85">
        <v>0.05</v>
      </c>
      <c r="E85">
        <v>1.0850000000000002</v>
      </c>
      <c r="F85">
        <v>0.30000000000000004</v>
      </c>
      <c r="G85">
        <v>2.0000000000000001E-4</v>
      </c>
      <c r="H85">
        <v>0.2402</v>
      </c>
      <c r="I85">
        <v>6.0100000000000008E-2</v>
      </c>
      <c r="J85">
        <v>0.83310191613440721</v>
      </c>
      <c r="K85">
        <v>3.3167495854063015E-3</v>
      </c>
      <c r="L85">
        <v>0.79986679986679987</v>
      </c>
    </row>
    <row r="86" spans="1:12" x14ac:dyDescent="0.2">
      <c r="A86" t="s">
        <v>714</v>
      </c>
      <c r="B86" t="s">
        <v>187</v>
      </c>
      <c r="C86" t="s">
        <v>318</v>
      </c>
      <c r="D86">
        <v>1.34</v>
      </c>
      <c r="E86">
        <v>2.99</v>
      </c>
      <c r="F86">
        <v>0.15019999999999997</v>
      </c>
      <c r="G86">
        <v>0.44009999999999999</v>
      </c>
      <c r="H86">
        <v>0.38009999999999999</v>
      </c>
      <c r="I86">
        <v>1.38</v>
      </c>
      <c r="J86">
        <v>9.8157103646582144E-2</v>
      </c>
      <c r="K86">
        <v>0.24179990110433494</v>
      </c>
      <c r="L86">
        <v>0.21595363899778422</v>
      </c>
    </row>
    <row r="87" spans="1:12" x14ac:dyDescent="0.2">
      <c r="A87" t="s">
        <v>554</v>
      </c>
      <c r="B87" t="s">
        <v>108</v>
      </c>
      <c r="C87" t="s">
        <v>318</v>
      </c>
      <c r="D87">
        <v>0.35</v>
      </c>
      <c r="E87">
        <v>0.54</v>
      </c>
      <c r="F87">
        <v>0.45</v>
      </c>
      <c r="G87">
        <v>1E-4</v>
      </c>
      <c r="H87">
        <v>1E-4</v>
      </c>
      <c r="I87">
        <v>0.31</v>
      </c>
      <c r="J87">
        <v>0.59210526315789469</v>
      </c>
      <c r="K87">
        <v>3.2247662044501777E-4</v>
      </c>
      <c r="L87">
        <v>3.2247662044501777E-4</v>
      </c>
    </row>
    <row r="88" spans="1:12" x14ac:dyDescent="0.2">
      <c r="A88" t="s">
        <v>794</v>
      </c>
      <c r="B88" t="s">
        <v>175</v>
      </c>
      <c r="C88" t="s">
        <v>318</v>
      </c>
      <c r="D88">
        <v>0.06</v>
      </c>
      <c r="E88">
        <v>1.1150000000000004</v>
      </c>
      <c r="F88">
        <v>0.16019999999999998</v>
      </c>
      <c r="G88">
        <v>2.0199999999999999E-2</v>
      </c>
      <c r="H88">
        <v>0.14019999999999999</v>
      </c>
      <c r="I88">
        <v>0.13009999999999999</v>
      </c>
      <c r="J88">
        <v>0.55184292111608679</v>
      </c>
      <c r="K88">
        <v>0.13439787092481703</v>
      </c>
      <c r="L88">
        <v>0.51868294487606359</v>
      </c>
    </row>
    <row r="89" spans="1:12" x14ac:dyDescent="0.2">
      <c r="A89" t="s">
        <v>634</v>
      </c>
      <c r="B89" t="s">
        <v>199</v>
      </c>
      <c r="C89" t="s">
        <v>318</v>
      </c>
      <c r="D89">
        <v>0.35</v>
      </c>
      <c r="E89">
        <v>0.55000000000000004</v>
      </c>
      <c r="F89">
        <v>0.41</v>
      </c>
      <c r="G89">
        <v>1E-4</v>
      </c>
      <c r="H89">
        <v>1E-4</v>
      </c>
      <c r="I89">
        <v>1E-4</v>
      </c>
      <c r="J89">
        <v>0.99975615703486953</v>
      </c>
      <c r="K89">
        <v>0.5</v>
      </c>
      <c r="L89">
        <v>0.5</v>
      </c>
    </row>
    <row r="90" spans="1:12" x14ac:dyDescent="0.2">
      <c r="A90" t="s">
        <v>793</v>
      </c>
      <c r="B90" t="s">
        <v>2074</v>
      </c>
      <c r="C90" t="s">
        <v>318</v>
      </c>
      <c r="D90">
        <v>0.06</v>
      </c>
      <c r="E90">
        <v>1.0200000000000002</v>
      </c>
      <c r="F90">
        <v>6.0200000000000004E-2</v>
      </c>
      <c r="G90">
        <v>5.0099999999999999E-2</v>
      </c>
      <c r="H90">
        <v>0.31009999999999999</v>
      </c>
      <c r="I90">
        <v>0.16010000000000002</v>
      </c>
      <c r="J90">
        <v>0.27326373127553333</v>
      </c>
      <c r="K90">
        <v>0.23834443387250234</v>
      </c>
      <c r="L90">
        <v>0.6595065929391748</v>
      </c>
    </row>
    <row r="91" spans="1:12" x14ac:dyDescent="0.2">
      <c r="A91" t="s">
        <v>787</v>
      </c>
      <c r="B91" t="s">
        <v>2075</v>
      </c>
      <c r="C91" t="s">
        <v>318</v>
      </c>
      <c r="D91">
        <v>0.32</v>
      </c>
      <c r="E91">
        <v>114.66</v>
      </c>
      <c r="F91">
        <v>9.379999999999999</v>
      </c>
      <c r="G91">
        <v>11.92</v>
      </c>
      <c r="H91">
        <v>70.710000000000008</v>
      </c>
      <c r="I91">
        <v>6.74</v>
      </c>
      <c r="J91">
        <v>0.58188585607940446</v>
      </c>
      <c r="K91">
        <v>0.6387995712754555</v>
      </c>
      <c r="L91">
        <v>0.91297611362169151</v>
      </c>
    </row>
    <row r="92" spans="1:12" x14ac:dyDescent="0.2">
      <c r="A92" t="s">
        <v>786</v>
      </c>
      <c r="B92" t="s">
        <v>2076</v>
      </c>
      <c r="C92" t="s">
        <v>318</v>
      </c>
      <c r="D92">
        <v>0.14000000000000001</v>
      </c>
      <c r="E92">
        <v>2.2750000000000004</v>
      </c>
      <c r="F92">
        <v>7.010000000000001E-2</v>
      </c>
      <c r="G92">
        <v>9.0200000000000002E-2</v>
      </c>
      <c r="H92">
        <v>0.92010000000000003</v>
      </c>
      <c r="I92">
        <v>0.56000000000000005</v>
      </c>
      <c r="J92">
        <v>0.11125218219330264</v>
      </c>
      <c r="K92">
        <v>0.13872654567825282</v>
      </c>
      <c r="L92">
        <v>0.62164718600094582</v>
      </c>
    </row>
    <row r="93" spans="1:12" x14ac:dyDescent="0.2">
      <c r="A93" t="s">
        <v>785</v>
      </c>
      <c r="B93" t="s">
        <v>2077</v>
      </c>
      <c r="C93" t="s">
        <v>318</v>
      </c>
      <c r="D93">
        <v>0.14000000000000001</v>
      </c>
      <c r="E93">
        <v>11.924999999999999</v>
      </c>
      <c r="F93">
        <v>0.59</v>
      </c>
      <c r="G93">
        <v>0.80999999999999994</v>
      </c>
      <c r="H93">
        <v>7.19</v>
      </c>
      <c r="I93">
        <v>1.7499999999999998</v>
      </c>
      <c r="J93">
        <v>0.25213675213675213</v>
      </c>
      <c r="K93">
        <v>0.31640625</v>
      </c>
      <c r="L93">
        <v>0.80425055928411637</v>
      </c>
    </row>
    <row r="94" spans="1:12" x14ac:dyDescent="0.2">
      <c r="A94" t="s">
        <v>784</v>
      </c>
      <c r="B94" t="s">
        <v>2078</v>
      </c>
      <c r="C94" t="s">
        <v>318</v>
      </c>
      <c r="D94">
        <v>0.27</v>
      </c>
      <c r="E94">
        <v>95.755000000000024</v>
      </c>
      <c r="F94">
        <v>5.7401</v>
      </c>
      <c r="G94">
        <v>8.4599999999999991</v>
      </c>
      <c r="H94">
        <v>60.12</v>
      </c>
      <c r="I94">
        <v>7.49</v>
      </c>
      <c r="J94">
        <v>0.4338667130256007</v>
      </c>
      <c r="K94">
        <v>0.53040752351097176</v>
      </c>
      <c r="L94">
        <v>0.88921757136518265</v>
      </c>
    </row>
    <row r="95" spans="1:12" x14ac:dyDescent="0.2">
      <c r="A95" t="s">
        <v>703</v>
      </c>
      <c r="B95" t="s">
        <v>188</v>
      </c>
      <c r="C95" t="s">
        <v>318</v>
      </c>
      <c r="D95">
        <v>0.33</v>
      </c>
      <c r="E95">
        <v>5.6</v>
      </c>
      <c r="F95">
        <v>0.55010000000000003</v>
      </c>
      <c r="G95">
        <v>0.85000000000000009</v>
      </c>
      <c r="H95">
        <v>1.6000000000000003</v>
      </c>
      <c r="I95">
        <v>1.61</v>
      </c>
      <c r="J95">
        <v>0.25466413591963338</v>
      </c>
      <c r="K95">
        <v>0.34552845528455289</v>
      </c>
      <c r="L95">
        <v>0.49844236760124616</v>
      </c>
    </row>
    <row r="96" spans="1:12" x14ac:dyDescent="0.2">
      <c r="A96" t="s">
        <v>543</v>
      </c>
      <c r="B96" t="s">
        <v>107</v>
      </c>
      <c r="C96" t="s">
        <v>318</v>
      </c>
      <c r="D96">
        <v>0.36</v>
      </c>
      <c r="E96">
        <v>0.72</v>
      </c>
      <c r="F96">
        <v>0.72</v>
      </c>
      <c r="G96">
        <v>0.28000000000000003</v>
      </c>
      <c r="H96">
        <v>1E-4</v>
      </c>
      <c r="I96">
        <v>0.31</v>
      </c>
      <c r="J96">
        <v>0.69902912621359214</v>
      </c>
      <c r="K96">
        <v>0.47457627118644063</v>
      </c>
      <c r="L96">
        <v>3.2247662044501777E-4</v>
      </c>
    </row>
    <row r="97" spans="1:12" x14ac:dyDescent="0.2">
      <c r="A97" t="s">
        <v>783</v>
      </c>
      <c r="B97" t="s">
        <v>176</v>
      </c>
      <c r="C97" t="s">
        <v>318</v>
      </c>
      <c r="D97">
        <v>0.25</v>
      </c>
      <c r="E97">
        <v>99.345000000000013</v>
      </c>
      <c r="F97">
        <v>7.3801000000000005</v>
      </c>
      <c r="G97">
        <v>9.61</v>
      </c>
      <c r="H97">
        <v>58.370000000000005</v>
      </c>
      <c r="I97">
        <v>6.3</v>
      </c>
      <c r="J97">
        <v>0.53947705060635531</v>
      </c>
      <c r="K97">
        <v>0.60402262727844114</v>
      </c>
      <c r="L97">
        <v>0.90258234111643731</v>
      </c>
    </row>
    <row r="98" spans="1:12" x14ac:dyDescent="0.2">
      <c r="A98" t="s">
        <v>623</v>
      </c>
      <c r="B98" t="s">
        <v>200</v>
      </c>
      <c r="C98" t="s">
        <v>318</v>
      </c>
      <c r="D98">
        <v>0.35</v>
      </c>
      <c r="E98">
        <v>0.54</v>
      </c>
      <c r="F98">
        <v>0.46000000000000008</v>
      </c>
      <c r="G98">
        <v>1E-4</v>
      </c>
      <c r="H98">
        <v>1E-4</v>
      </c>
      <c r="I98">
        <v>1E-4</v>
      </c>
      <c r="J98">
        <v>0.99978265594436</v>
      </c>
      <c r="K98">
        <v>0.5</v>
      </c>
      <c r="L98">
        <v>0.5</v>
      </c>
    </row>
    <row r="99" spans="1:12" x14ac:dyDescent="0.2">
      <c r="A99" t="s">
        <v>697</v>
      </c>
      <c r="B99" t="s">
        <v>189</v>
      </c>
      <c r="C99" t="s">
        <v>318</v>
      </c>
      <c r="D99">
        <v>0.98000000000000009</v>
      </c>
      <c r="E99">
        <v>2.86</v>
      </c>
      <c r="F99">
        <v>0.13029999999999997</v>
      </c>
      <c r="G99">
        <v>0.29010000000000002</v>
      </c>
      <c r="H99">
        <v>0.26019999999999999</v>
      </c>
      <c r="I99">
        <v>1.54</v>
      </c>
      <c r="J99">
        <v>7.8009938334430914E-2</v>
      </c>
      <c r="K99">
        <v>0.15851592809136114</v>
      </c>
      <c r="L99">
        <v>0.14453949561159871</v>
      </c>
    </row>
    <row r="100" spans="1:12" x14ac:dyDescent="0.2">
      <c r="A100" t="s">
        <v>537</v>
      </c>
      <c r="B100" t="s">
        <v>106</v>
      </c>
      <c r="C100" t="s">
        <v>318</v>
      </c>
      <c r="D100">
        <v>0.36</v>
      </c>
      <c r="E100">
        <v>0.65</v>
      </c>
      <c r="F100">
        <v>0.51</v>
      </c>
      <c r="G100">
        <v>1E-4</v>
      </c>
      <c r="H100">
        <v>0.03</v>
      </c>
      <c r="I100">
        <v>1E-4</v>
      </c>
      <c r="J100">
        <v>0.99980396000784166</v>
      </c>
      <c r="K100">
        <v>0.5</v>
      </c>
      <c r="L100">
        <v>0.99667774086378735</v>
      </c>
    </row>
    <row r="101" spans="1:12" x14ac:dyDescent="0.2">
      <c r="A101" t="s">
        <v>777</v>
      </c>
      <c r="B101" t="s">
        <v>177</v>
      </c>
      <c r="C101" t="s">
        <v>318</v>
      </c>
      <c r="D101">
        <v>0.05</v>
      </c>
      <c r="E101">
        <v>0.86000000000000043</v>
      </c>
      <c r="F101">
        <v>9.0200000000000016E-2</v>
      </c>
      <c r="G101">
        <v>2.0000000000000001E-4</v>
      </c>
      <c r="H101">
        <v>5.0300000000000004E-2</v>
      </c>
      <c r="I101">
        <v>0.19009999999999999</v>
      </c>
      <c r="J101">
        <v>0.32179807349268646</v>
      </c>
      <c r="K101">
        <v>1.0509721492380452E-3</v>
      </c>
      <c r="L101">
        <v>0.20923460898502497</v>
      </c>
    </row>
    <row r="102" spans="1:12" x14ac:dyDescent="0.2">
      <c r="A102" t="s">
        <v>617</v>
      </c>
      <c r="B102" t="s">
        <v>201</v>
      </c>
      <c r="C102" t="s">
        <v>318</v>
      </c>
      <c r="D102">
        <v>0.35</v>
      </c>
      <c r="E102">
        <v>0.45</v>
      </c>
      <c r="F102">
        <v>0.43</v>
      </c>
      <c r="G102">
        <v>0.28000000000000003</v>
      </c>
      <c r="H102">
        <v>1E-4</v>
      </c>
      <c r="I102">
        <v>1E-4</v>
      </c>
      <c r="J102">
        <v>0.99976749593117886</v>
      </c>
      <c r="K102">
        <v>0.99964298464833989</v>
      </c>
      <c r="L102">
        <v>0.5</v>
      </c>
    </row>
    <row r="103" spans="1:12" x14ac:dyDescent="0.2">
      <c r="A103" t="s">
        <v>776</v>
      </c>
      <c r="B103" t="s">
        <v>2079</v>
      </c>
      <c r="C103" t="s">
        <v>318</v>
      </c>
      <c r="D103">
        <v>0.08</v>
      </c>
      <c r="E103">
        <v>0.94000000000000039</v>
      </c>
      <c r="F103">
        <v>1.0299999999999998E-2</v>
      </c>
      <c r="G103">
        <v>4.02E-2</v>
      </c>
      <c r="H103">
        <v>2.0299999999999999E-2</v>
      </c>
      <c r="I103">
        <v>0.32010000000000005</v>
      </c>
      <c r="J103">
        <v>3.1174334140435828E-2</v>
      </c>
      <c r="K103">
        <v>0.11157368859283928</v>
      </c>
      <c r="L103">
        <v>5.9635722679200927E-2</v>
      </c>
    </row>
    <row r="104" spans="1:12" x14ac:dyDescent="0.2">
      <c r="A104" t="s">
        <v>695</v>
      </c>
      <c r="B104" t="s">
        <v>190</v>
      </c>
      <c r="C104" t="s">
        <v>318</v>
      </c>
      <c r="D104">
        <v>0.68</v>
      </c>
      <c r="E104">
        <v>2.5300000000000002</v>
      </c>
      <c r="F104">
        <v>0.1203</v>
      </c>
      <c r="G104">
        <v>0.25009999999999999</v>
      </c>
      <c r="H104">
        <v>0.1003</v>
      </c>
      <c r="I104">
        <v>1.4300000000000002</v>
      </c>
      <c r="J104">
        <v>7.759788428046184E-2</v>
      </c>
      <c r="K104">
        <v>0.14886018689363725</v>
      </c>
      <c r="L104">
        <v>6.5542704044958502E-2</v>
      </c>
    </row>
    <row r="105" spans="1:12" x14ac:dyDescent="0.2">
      <c r="A105" t="s">
        <v>535</v>
      </c>
      <c r="B105" t="s">
        <v>105</v>
      </c>
      <c r="C105" t="s">
        <v>318</v>
      </c>
      <c r="D105">
        <v>1E-4</v>
      </c>
      <c r="E105">
        <v>0.68</v>
      </c>
      <c r="F105">
        <v>0.61</v>
      </c>
      <c r="G105">
        <v>0.28000000000000003</v>
      </c>
      <c r="H105">
        <v>0.05</v>
      </c>
      <c r="I105">
        <v>1E-4</v>
      </c>
      <c r="J105">
        <v>0.99983609244386173</v>
      </c>
      <c r="K105">
        <v>0.99964298464833989</v>
      </c>
      <c r="L105">
        <v>0.99800399201596801</v>
      </c>
    </row>
    <row r="106" spans="1:12" x14ac:dyDescent="0.2">
      <c r="A106" t="s">
        <v>775</v>
      </c>
      <c r="B106" t="s">
        <v>178</v>
      </c>
      <c r="C106" t="s">
        <v>318</v>
      </c>
      <c r="D106">
        <v>0.05</v>
      </c>
      <c r="E106">
        <v>0.68000000000000027</v>
      </c>
      <c r="F106">
        <v>1.0199999999999999E-2</v>
      </c>
      <c r="G106">
        <v>3.0199999999999998E-2</v>
      </c>
      <c r="H106">
        <v>6.0200000000000004E-2</v>
      </c>
      <c r="I106">
        <v>8.0100000000000005E-2</v>
      </c>
      <c r="J106">
        <v>0.11295681063122921</v>
      </c>
      <c r="K106">
        <v>0.27379873073436078</v>
      </c>
      <c r="L106">
        <v>0.42908054169636495</v>
      </c>
    </row>
    <row r="107" spans="1:12" x14ac:dyDescent="0.2">
      <c r="A107" t="s">
        <v>615</v>
      </c>
      <c r="B107" t="s">
        <v>202</v>
      </c>
      <c r="C107" t="s">
        <v>318</v>
      </c>
      <c r="D107">
        <v>1E-4</v>
      </c>
      <c r="E107">
        <v>0.45</v>
      </c>
      <c r="F107">
        <v>0.39</v>
      </c>
      <c r="G107">
        <v>1E-4</v>
      </c>
      <c r="H107">
        <v>1E-4</v>
      </c>
      <c r="I107">
        <v>1E-4</v>
      </c>
      <c r="J107">
        <v>0.99974365547295563</v>
      </c>
      <c r="K107">
        <v>0.5</v>
      </c>
      <c r="L107">
        <v>0.5</v>
      </c>
    </row>
    <row r="108" spans="1:12" x14ac:dyDescent="0.2">
      <c r="A108" t="s">
        <v>694</v>
      </c>
      <c r="B108" t="s">
        <v>191</v>
      </c>
      <c r="C108" t="s">
        <v>318</v>
      </c>
      <c r="D108">
        <v>1E-4</v>
      </c>
      <c r="E108">
        <v>0.42000000000000004</v>
      </c>
      <c r="F108">
        <v>0.34</v>
      </c>
      <c r="G108">
        <v>1E-4</v>
      </c>
      <c r="H108">
        <v>1E-4</v>
      </c>
      <c r="I108">
        <v>1E-4</v>
      </c>
      <c r="J108">
        <v>0.99970596883269625</v>
      </c>
      <c r="K108">
        <v>0.5</v>
      </c>
      <c r="L108">
        <v>0.5</v>
      </c>
    </row>
    <row r="109" spans="1:12" x14ac:dyDescent="0.2">
      <c r="A109" t="s">
        <v>534</v>
      </c>
      <c r="B109" t="s">
        <v>104</v>
      </c>
      <c r="C109" t="s">
        <v>318</v>
      </c>
      <c r="D109">
        <v>1E-4</v>
      </c>
      <c r="E109">
        <v>0.71</v>
      </c>
      <c r="F109">
        <v>0.64</v>
      </c>
      <c r="G109">
        <v>1E-4</v>
      </c>
      <c r="H109">
        <v>0.03</v>
      </c>
      <c r="I109">
        <v>1E-4</v>
      </c>
      <c r="J109">
        <v>0.99984377441024841</v>
      </c>
      <c r="K109">
        <v>0.5</v>
      </c>
      <c r="L109">
        <v>0.99667774086378735</v>
      </c>
    </row>
    <row r="110" spans="1:12" x14ac:dyDescent="0.2">
      <c r="A110" t="s">
        <v>774</v>
      </c>
      <c r="B110" t="s">
        <v>179</v>
      </c>
      <c r="C110" t="s">
        <v>318</v>
      </c>
      <c r="D110">
        <v>0.36</v>
      </c>
      <c r="E110">
        <v>144.285</v>
      </c>
      <c r="F110">
        <v>10.229999999999999</v>
      </c>
      <c r="G110">
        <v>15.420000000000002</v>
      </c>
      <c r="H110">
        <v>81.86</v>
      </c>
      <c r="I110">
        <v>12.649999999999999</v>
      </c>
      <c r="J110">
        <v>0.44711538461538464</v>
      </c>
      <c r="K110">
        <v>0.54934093338083367</v>
      </c>
      <c r="L110">
        <v>0.86615172997566403</v>
      </c>
    </row>
    <row r="111" spans="1:12" x14ac:dyDescent="0.2">
      <c r="A111" t="s">
        <v>614</v>
      </c>
      <c r="B111" t="s">
        <v>203</v>
      </c>
      <c r="C111" t="s">
        <v>318</v>
      </c>
      <c r="D111">
        <v>1E-4</v>
      </c>
      <c r="E111">
        <v>0.45</v>
      </c>
      <c r="F111">
        <v>0.45</v>
      </c>
      <c r="G111">
        <v>1E-4</v>
      </c>
      <c r="H111">
        <v>1E-4</v>
      </c>
      <c r="I111">
        <v>1E-4</v>
      </c>
      <c r="J111">
        <v>0.99977782714952235</v>
      </c>
      <c r="K111">
        <v>0.5</v>
      </c>
      <c r="L111">
        <v>0.5</v>
      </c>
    </row>
    <row r="112" spans="1:12" x14ac:dyDescent="0.2">
      <c r="A112" t="s">
        <v>773</v>
      </c>
      <c r="B112" t="s">
        <v>2080</v>
      </c>
      <c r="C112" t="s">
        <v>318</v>
      </c>
      <c r="D112">
        <v>0.03</v>
      </c>
      <c r="E112">
        <v>0.91500000000000037</v>
      </c>
      <c r="F112">
        <v>0.15009999999999998</v>
      </c>
      <c r="G112">
        <v>1.0200000000000001E-2</v>
      </c>
      <c r="H112">
        <v>0.21029999999999999</v>
      </c>
      <c r="I112">
        <v>2.0199999999999999E-2</v>
      </c>
      <c r="J112">
        <v>0.88138578978273641</v>
      </c>
      <c r="K112">
        <v>0.33552631578947373</v>
      </c>
      <c r="L112">
        <v>0.91236442516268978</v>
      </c>
    </row>
    <row r="113" spans="1:12" x14ac:dyDescent="0.2">
      <c r="A113" t="s">
        <v>767</v>
      </c>
      <c r="B113" t="s">
        <v>2081</v>
      </c>
      <c r="C113" t="s">
        <v>318</v>
      </c>
      <c r="D113">
        <v>0.17</v>
      </c>
      <c r="E113">
        <v>19.275000000000002</v>
      </c>
      <c r="F113">
        <v>0.8</v>
      </c>
      <c r="G113">
        <v>1.92</v>
      </c>
      <c r="H113">
        <v>11.82</v>
      </c>
      <c r="I113">
        <v>2.98</v>
      </c>
      <c r="J113">
        <v>0.21164021164021163</v>
      </c>
      <c r="K113">
        <v>0.39183673469387753</v>
      </c>
      <c r="L113">
        <v>0.7986486486486486</v>
      </c>
    </row>
    <row r="114" spans="1:12" x14ac:dyDescent="0.2">
      <c r="A114" t="s">
        <v>766</v>
      </c>
      <c r="B114" t="s">
        <v>2082</v>
      </c>
      <c r="C114" t="s">
        <v>318</v>
      </c>
      <c r="D114">
        <v>0.15</v>
      </c>
      <c r="E114">
        <v>74.78</v>
      </c>
      <c r="F114">
        <v>3.5</v>
      </c>
      <c r="G114">
        <v>7.2999999999999989</v>
      </c>
      <c r="H114">
        <v>45.250000000000007</v>
      </c>
      <c r="I114">
        <v>6.28</v>
      </c>
      <c r="J114">
        <v>0.35787321063394678</v>
      </c>
      <c r="K114">
        <v>0.53755522827687774</v>
      </c>
      <c r="L114">
        <v>0.87812924509994172</v>
      </c>
    </row>
    <row r="115" spans="1:12" x14ac:dyDescent="0.2">
      <c r="A115" t="s">
        <v>765</v>
      </c>
      <c r="B115" t="s">
        <v>2083</v>
      </c>
      <c r="C115" t="s">
        <v>318</v>
      </c>
      <c r="D115">
        <v>0.28999999999999998</v>
      </c>
      <c r="E115">
        <v>82.830000000000013</v>
      </c>
      <c r="F115">
        <v>5.8300999999999998</v>
      </c>
      <c r="G115">
        <v>6.5200000000000005</v>
      </c>
      <c r="H115">
        <v>52.280000000000008</v>
      </c>
      <c r="I115">
        <v>5.51</v>
      </c>
      <c r="J115">
        <v>0.51411363215491923</v>
      </c>
      <c r="K115">
        <v>0.54197838736492099</v>
      </c>
      <c r="L115">
        <v>0.90465478456480364</v>
      </c>
    </row>
    <row r="116" spans="1:12" x14ac:dyDescent="0.2">
      <c r="A116" t="s">
        <v>764</v>
      </c>
      <c r="B116" t="s">
        <v>2084</v>
      </c>
      <c r="C116" t="s">
        <v>318</v>
      </c>
      <c r="D116">
        <v>0.28000000000000003</v>
      </c>
      <c r="E116">
        <v>7.5000000000000009</v>
      </c>
      <c r="F116">
        <v>0.30020000000000002</v>
      </c>
      <c r="G116">
        <v>0.40010000000000001</v>
      </c>
      <c r="H116">
        <v>4.17</v>
      </c>
      <c r="I116">
        <v>2.0099999999999998</v>
      </c>
      <c r="J116">
        <v>0.12994545926759588</v>
      </c>
      <c r="K116">
        <v>0.16600970914069957</v>
      </c>
      <c r="L116">
        <v>0.67475728155339809</v>
      </c>
    </row>
    <row r="117" spans="1:12" x14ac:dyDescent="0.2">
      <c r="A117" t="s">
        <v>763</v>
      </c>
      <c r="B117" t="s">
        <v>2085</v>
      </c>
      <c r="C117" t="s">
        <v>318</v>
      </c>
      <c r="D117">
        <v>0.01</v>
      </c>
      <c r="E117">
        <v>0.85000000000000042</v>
      </c>
      <c r="F117">
        <v>5.0300000000000011E-2</v>
      </c>
      <c r="G117">
        <v>2.0000000000000001E-4</v>
      </c>
      <c r="H117">
        <v>0.20029999999999998</v>
      </c>
      <c r="I117">
        <v>3.0000000000000003E-4</v>
      </c>
      <c r="J117">
        <v>0.99407114624505921</v>
      </c>
      <c r="K117">
        <v>0.4</v>
      </c>
      <c r="L117">
        <v>0.99850448654037893</v>
      </c>
    </row>
    <row r="118" spans="1:12" x14ac:dyDescent="0.2">
      <c r="A118" t="s">
        <v>842</v>
      </c>
      <c r="B118" t="s">
        <v>2086</v>
      </c>
      <c r="C118" t="s">
        <v>319</v>
      </c>
      <c r="D118" s="30">
        <v>0.01</v>
      </c>
      <c r="E118" s="31">
        <v>0.7250000000000002</v>
      </c>
      <c r="F118">
        <v>2.0299999999999999E-2</v>
      </c>
      <c r="G118">
        <v>1.0200000000000001E-2</v>
      </c>
      <c r="H118">
        <v>0.1203</v>
      </c>
      <c r="I118">
        <v>3.0000000000000003E-4</v>
      </c>
      <c r="J118">
        <v>0.98543689320388339</v>
      </c>
      <c r="K118">
        <v>0.97142857142857142</v>
      </c>
      <c r="L118">
        <v>0.99751243781094534</v>
      </c>
    </row>
    <row r="119" spans="1:12" x14ac:dyDescent="0.2">
      <c r="A119" t="s">
        <v>841</v>
      </c>
      <c r="B119" t="s">
        <v>2087</v>
      </c>
      <c r="C119" t="s">
        <v>319</v>
      </c>
      <c r="D119" s="30">
        <v>0.51</v>
      </c>
      <c r="E119" s="31">
        <v>328.82000000000005</v>
      </c>
      <c r="F119">
        <v>36.870000000000005</v>
      </c>
      <c r="G119">
        <v>29.1</v>
      </c>
      <c r="H119">
        <v>182.23000000000002</v>
      </c>
      <c r="I119">
        <v>16.920000000000002</v>
      </c>
      <c r="J119">
        <v>0.6854433909648634</v>
      </c>
      <c r="K119">
        <v>0.63233376792698825</v>
      </c>
      <c r="L119">
        <v>0.91503891539040916</v>
      </c>
    </row>
    <row r="120" spans="1:12" x14ac:dyDescent="0.2">
      <c r="A120" t="s">
        <v>760</v>
      </c>
      <c r="B120" t="s">
        <v>228</v>
      </c>
      <c r="C120" t="s">
        <v>319</v>
      </c>
      <c r="D120">
        <v>0.11000000000000001</v>
      </c>
      <c r="E120">
        <v>1.2206999999999999</v>
      </c>
      <c r="F120">
        <v>0.10030000000000001</v>
      </c>
      <c r="G120">
        <v>2.01E-2</v>
      </c>
      <c r="H120">
        <v>0.32029999999999997</v>
      </c>
      <c r="I120">
        <v>0.78</v>
      </c>
      <c r="J120">
        <v>0.11393843008065432</v>
      </c>
      <c r="K120">
        <v>2.5121859767529058E-2</v>
      </c>
      <c r="L120">
        <v>0.29110242661092428</v>
      </c>
    </row>
    <row r="121" spans="1:12" x14ac:dyDescent="0.2">
      <c r="A121" t="s">
        <v>600</v>
      </c>
      <c r="B121" t="s">
        <v>276</v>
      </c>
      <c r="C121" t="s">
        <v>319</v>
      </c>
      <c r="D121">
        <v>0.12</v>
      </c>
      <c r="E121">
        <v>0.76079999999999992</v>
      </c>
      <c r="F121">
        <v>0.22009999999999999</v>
      </c>
      <c r="G121">
        <v>3.0199999999999998E-2</v>
      </c>
      <c r="H121">
        <v>4.0000000000000002E-4</v>
      </c>
      <c r="I121">
        <v>0.5101</v>
      </c>
      <c r="J121">
        <v>0.30142426732402083</v>
      </c>
      <c r="K121">
        <v>5.5894873218582261E-2</v>
      </c>
      <c r="L121">
        <v>7.8354554358472093E-4</v>
      </c>
    </row>
    <row r="122" spans="1:12" x14ac:dyDescent="0.2">
      <c r="A122" t="s">
        <v>840</v>
      </c>
      <c r="B122" t="s">
        <v>204</v>
      </c>
      <c r="C122" t="s">
        <v>319</v>
      </c>
      <c r="D122" s="30">
        <v>0</v>
      </c>
      <c r="E122" s="31">
        <v>2.169999999999999</v>
      </c>
      <c r="F122">
        <v>1.0299999999999998E-2</v>
      </c>
      <c r="G122">
        <v>1.0200000000000001E-2</v>
      </c>
      <c r="H122">
        <v>1.3902000000000001</v>
      </c>
      <c r="I122">
        <v>3.0000000000000003E-4</v>
      </c>
      <c r="J122">
        <v>0.97169811320754718</v>
      </c>
      <c r="K122">
        <v>0.97142857142857142</v>
      </c>
      <c r="L122">
        <v>0.9997842502696872</v>
      </c>
    </row>
    <row r="123" spans="1:12" x14ac:dyDescent="0.2">
      <c r="A123" t="s">
        <v>680</v>
      </c>
      <c r="B123" t="s">
        <v>252</v>
      </c>
      <c r="C123" t="s">
        <v>319</v>
      </c>
      <c r="D123">
        <v>0.09</v>
      </c>
      <c r="E123">
        <v>0.66079999999999994</v>
      </c>
      <c r="F123">
        <v>0.11030000000000002</v>
      </c>
      <c r="G123">
        <v>0.1101</v>
      </c>
      <c r="H123">
        <v>0.18020000000000003</v>
      </c>
      <c r="I123">
        <v>0.26019999999999999</v>
      </c>
      <c r="J123">
        <v>0.29770580296896093</v>
      </c>
      <c r="K123">
        <v>0.29732649203348638</v>
      </c>
      <c r="L123">
        <v>0.40917347865576753</v>
      </c>
    </row>
    <row r="124" spans="1:12" x14ac:dyDescent="0.2">
      <c r="A124" t="s">
        <v>759</v>
      </c>
      <c r="B124" t="s">
        <v>229</v>
      </c>
      <c r="C124" t="s">
        <v>319</v>
      </c>
      <c r="D124">
        <v>8.36</v>
      </c>
      <c r="E124">
        <v>273.83</v>
      </c>
      <c r="F124">
        <v>80.36</v>
      </c>
      <c r="G124">
        <v>50.349999999999994</v>
      </c>
      <c r="H124">
        <v>131.92000000000002</v>
      </c>
      <c r="I124">
        <v>11.2</v>
      </c>
      <c r="J124">
        <v>0.87767584097859319</v>
      </c>
      <c r="K124">
        <v>0.81803411860276187</v>
      </c>
      <c r="L124">
        <v>0.92174399105645621</v>
      </c>
    </row>
    <row r="125" spans="1:12" x14ac:dyDescent="0.2">
      <c r="A125" t="s">
        <v>599</v>
      </c>
      <c r="B125" t="s">
        <v>277</v>
      </c>
      <c r="C125" t="s">
        <v>319</v>
      </c>
      <c r="D125">
        <v>1.04</v>
      </c>
      <c r="E125">
        <v>62.950400000000009</v>
      </c>
      <c r="F125">
        <v>16.72</v>
      </c>
      <c r="G125">
        <v>9.6300999999999988</v>
      </c>
      <c r="H125">
        <v>36.6</v>
      </c>
      <c r="I125">
        <v>3.0000000000000003E-4</v>
      </c>
      <c r="J125">
        <v>0.99998205773819848</v>
      </c>
      <c r="K125">
        <v>0.99996884864595459</v>
      </c>
      <c r="L125">
        <v>0.99999180334587412</v>
      </c>
    </row>
    <row r="126" spans="1:12" x14ac:dyDescent="0.2">
      <c r="A126" t="s">
        <v>839</v>
      </c>
      <c r="B126" t="s">
        <v>205</v>
      </c>
      <c r="C126" t="s">
        <v>319</v>
      </c>
      <c r="D126" s="30">
        <v>0.43</v>
      </c>
      <c r="E126" s="31">
        <v>234.55</v>
      </c>
      <c r="F126">
        <v>26.62</v>
      </c>
      <c r="G126">
        <v>22.049999999999997</v>
      </c>
      <c r="H126">
        <v>125.19</v>
      </c>
      <c r="I126">
        <v>11.64</v>
      </c>
      <c r="J126">
        <v>0.6957658128593831</v>
      </c>
      <c r="K126">
        <v>0.65449688334817446</v>
      </c>
      <c r="L126">
        <v>0.9149309361982022</v>
      </c>
    </row>
    <row r="127" spans="1:12" x14ac:dyDescent="0.2">
      <c r="A127" t="s">
        <v>679</v>
      </c>
      <c r="B127" t="s">
        <v>253</v>
      </c>
      <c r="C127" t="s">
        <v>319</v>
      </c>
      <c r="D127">
        <v>1.54</v>
      </c>
      <c r="E127">
        <v>53.340600000000009</v>
      </c>
      <c r="F127">
        <v>19.18</v>
      </c>
      <c r="G127">
        <v>1.5402</v>
      </c>
      <c r="H127">
        <v>32.620100000000008</v>
      </c>
      <c r="I127">
        <v>3.0000000000000003E-4</v>
      </c>
      <c r="J127">
        <v>0.99998435895163273</v>
      </c>
      <c r="K127">
        <v>0.99980525803310616</v>
      </c>
      <c r="L127">
        <v>0.99999080330100176</v>
      </c>
    </row>
    <row r="128" spans="1:12" x14ac:dyDescent="0.2">
      <c r="A128" t="s">
        <v>838</v>
      </c>
      <c r="B128" t="s">
        <v>2088</v>
      </c>
      <c r="C128" t="s">
        <v>319</v>
      </c>
      <c r="D128" s="30">
        <v>0</v>
      </c>
      <c r="E128" s="31">
        <v>2.2149999999999994</v>
      </c>
      <c r="F128">
        <v>0.81030000000000013</v>
      </c>
      <c r="G128">
        <v>2.0199999999999999E-2</v>
      </c>
      <c r="H128">
        <v>0.68010000000000004</v>
      </c>
      <c r="I128">
        <v>3.0000000000000003E-4</v>
      </c>
      <c r="J128">
        <v>0.99962990377498151</v>
      </c>
      <c r="K128">
        <v>0.98536585365853646</v>
      </c>
      <c r="L128">
        <v>0.99955908289241624</v>
      </c>
    </row>
    <row r="129" spans="1:12" x14ac:dyDescent="0.2">
      <c r="A129" t="s">
        <v>837</v>
      </c>
      <c r="B129" t="s">
        <v>2089</v>
      </c>
      <c r="C129" t="s">
        <v>319</v>
      </c>
      <c r="D129" s="30">
        <v>1E-4</v>
      </c>
      <c r="E129" s="31">
        <v>1.9249999999999985</v>
      </c>
      <c r="F129">
        <v>0.88030000000000008</v>
      </c>
      <c r="G129">
        <v>2.0000000000000001E-4</v>
      </c>
      <c r="H129">
        <v>0.18029999999999996</v>
      </c>
      <c r="I129">
        <v>3.0000000000000003E-4</v>
      </c>
      <c r="J129">
        <v>0.99965932318873496</v>
      </c>
      <c r="K129">
        <v>0.4</v>
      </c>
      <c r="L129">
        <v>0.99833887043189373</v>
      </c>
    </row>
    <row r="130" spans="1:12" x14ac:dyDescent="0.2">
      <c r="A130" t="s">
        <v>836</v>
      </c>
      <c r="B130" t="s">
        <v>2090</v>
      </c>
      <c r="C130" t="s">
        <v>319</v>
      </c>
      <c r="D130" s="30">
        <v>7.0000000000000007E-2</v>
      </c>
      <c r="E130" s="31">
        <v>55.070000000000007</v>
      </c>
      <c r="F130">
        <v>6.0701000000000001</v>
      </c>
      <c r="G130">
        <v>4.87</v>
      </c>
      <c r="H130">
        <v>31.009999999999998</v>
      </c>
      <c r="I130">
        <v>3.13</v>
      </c>
      <c r="J130">
        <v>0.65978630667057969</v>
      </c>
      <c r="K130">
        <v>0.60875000000000001</v>
      </c>
      <c r="L130">
        <v>0.90831868775629754</v>
      </c>
    </row>
    <row r="131" spans="1:12" x14ac:dyDescent="0.2">
      <c r="A131" t="s">
        <v>755</v>
      </c>
      <c r="B131" t="s">
        <v>230</v>
      </c>
      <c r="C131" t="s">
        <v>319</v>
      </c>
      <c r="D131">
        <v>7.0000000000000007E-2</v>
      </c>
      <c r="E131">
        <v>1.1409</v>
      </c>
      <c r="F131">
        <v>0.10030000000000001</v>
      </c>
      <c r="G131">
        <v>1.0199999999999999E-2</v>
      </c>
      <c r="H131">
        <v>4.0000000000000002E-4</v>
      </c>
      <c r="I131">
        <v>1.03</v>
      </c>
      <c r="J131">
        <v>8.8737503317703276E-2</v>
      </c>
      <c r="K131">
        <v>9.8058065756585263E-3</v>
      </c>
      <c r="L131">
        <v>3.8819875776397518E-4</v>
      </c>
    </row>
    <row r="132" spans="1:12" x14ac:dyDescent="0.2">
      <c r="A132" t="s">
        <v>595</v>
      </c>
      <c r="B132" t="s">
        <v>278</v>
      </c>
      <c r="C132" t="s">
        <v>319</v>
      </c>
      <c r="D132">
        <v>0.02</v>
      </c>
      <c r="E132">
        <v>0.87080000000000002</v>
      </c>
      <c r="F132">
        <v>0.10030000000000001</v>
      </c>
      <c r="G132">
        <v>1.01E-2</v>
      </c>
      <c r="H132">
        <v>4.0000000000000002E-4</v>
      </c>
      <c r="I132">
        <v>0.76</v>
      </c>
      <c r="J132">
        <v>0.11658723701034523</v>
      </c>
      <c r="K132">
        <v>1.3115179846773146E-2</v>
      </c>
      <c r="L132">
        <v>5.2603892688058926E-4</v>
      </c>
    </row>
    <row r="133" spans="1:12" x14ac:dyDescent="0.2">
      <c r="A133" t="s">
        <v>835</v>
      </c>
      <c r="B133" t="s">
        <v>206</v>
      </c>
      <c r="C133" t="s">
        <v>319</v>
      </c>
      <c r="D133" s="30">
        <v>0</v>
      </c>
      <c r="E133" s="31">
        <v>0.77500000000000024</v>
      </c>
      <c r="F133">
        <v>1.0299999999999998E-2</v>
      </c>
      <c r="G133">
        <v>2.0000000000000001E-4</v>
      </c>
      <c r="H133">
        <v>0.18029999999999996</v>
      </c>
      <c r="I133">
        <v>3.0000000000000003E-4</v>
      </c>
      <c r="J133">
        <v>0.97169811320754718</v>
      </c>
      <c r="K133">
        <v>0.4</v>
      </c>
      <c r="L133">
        <v>0.99833887043189373</v>
      </c>
    </row>
    <row r="134" spans="1:12" x14ac:dyDescent="0.2">
      <c r="A134" t="s">
        <v>675</v>
      </c>
      <c r="B134" t="s">
        <v>254</v>
      </c>
      <c r="C134" t="s">
        <v>319</v>
      </c>
      <c r="D134">
        <v>0.14000000000000001</v>
      </c>
      <c r="E134">
        <v>0.41109999999999991</v>
      </c>
      <c r="F134">
        <v>0.14019999999999999</v>
      </c>
      <c r="G134">
        <v>3.0000000000000003E-4</v>
      </c>
      <c r="H134">
        <v>4.0000000000000002E-4</v>
      </c>
      <c r="I134">
        <v>0.2702</v>
      </c>
      <c r="J134">
        <v>0.34161793372319688</v>
      </c>
      <c r="K134">
        <v>1.1090573012939003E-3</v>
      </c>
      <c r="L134">
        <v>1.4781966001478197E-3</v>
      </c>
    </row>
    <row r="135" spans="1:12" x14ac:dyDescent="0.2">
      <c r="A135" t="s">
        <v>754</v>
      </c>
      <c r="B135" t="s">
        <v>231</v>
      </c>
      <c r="C135" t="s">
        <v>319</v>
      </c>
      <c r="D135">
        <v>13</v>
      </c>
      <c r="E135">
        <v>385.12</v>
      </c>
      <c r="F135">
        <v>109.49</v>
      </c>
      <c r="G135">
        <v>76.14</v>
      </c>
      <c r="H135">
        <v>177.52</v>
      </c>
      <c r="I135">
        <v>21.97</v>
      </c>
      <c r="J135">
        <v>0.83287692073634578</v>
      </c>
      <c r="K135">
        <v>0.7760676791356641</v>
      </c>
      <c r="L135">
        <v>0.88986916637425439</v>
      </c>
    </row>
    <row r="136" spans="1:12" x14ac:dyDescent="0.2">
      <c r="A136" t="s">
        <v>594</v>
      </c>
      <c r="B136" t="s">
        <v>279</v>
      </c>
      <c r="C136" t="s">
        <v>319</v>
      </c>
      <c r="D136">
        <v>0.52799999999999991</v>
      </c>
      <c r="E136">
        <v>1.0457999999999998</v>
      </c>
      <c r="F136">
        <v>0.12130000000000001</v>
      </c>
      <c r="G136">
        <v>1.1099999999999999E-2</v>
      </c>
      <c r="H136">
        <v>4.0000000000000002E-4</v>
      </c>
      <c r="I136">
        <v>0.91299999999999992</v>
      </c>
      <c r="J136">
        <v>0.11727738567146863</v>
      </c>
      <c r="K136">
        <v>1.2011687046856401E-2</v>
      </c>
      <c r="L136">
        <v>4.3792423910663463E-4</v>
      </c>
    </row>
    <row r="137" spans="1:12" x14ac:dyDescent="0.2">
      <c r="A137" t="s">
        <v>834</v>
      </c>
      <c r="B137" t="s">
        <v>207</v>
      </c>
      <c r="C137" t="s">
        <v>319</v>
      </c>
      <c r="D137" s="30">
        <v>0.56000000000000005</v>
      </c>
      <c r="E137" s="31">
        <v>536.5</v>
      </c>
      <c r="F137">
        <v>60.899999999999991</v>
      </c>
      <c r="G137">
        <v>49.349999999999994</v>
      </c>
      <c r="H137">
        <v>288.85000000000002</v>
      </c>
      <c r="I137">
        <v>25.3</v>
      </c>
      <c r="J137">
        <v>0.70649651972157768</v>
      </c>
      <c r="K137">
        <v>0.66108506363027464</v>
      </c>
      <c r="L137">
        <v>0.91946522361929017</v>
      </c>
    </row>
    <row r="138" spans="1:12" x14ac:dyDescent="0.2">
      <c r="A138" t="s">
        <v>674</v>
      </c>
      <c r="B138" t="s">
        <v>255</v>
      </c>
      <c r="C138" t="s">
        <v>319</v>
      </c>
      <c r="D138">
        <v>2.85</v>
      </c>
      <c r="E138">
        <v>47.190600000000011</v>
      </c>
      <c r="F138">
        <v>10.880099999999999</v>
      </c>
      <c r="G138">
        <v>9.4600999999999988</v>
      </c>
      <c r="H138">
        <v>26.850100000000001</v>
      </c>
      <c r="I138">
        <v>3.0000000000000003E-4</v>
      </c>
      <c r="J138">
        <v>0.99997242748428372</v>
      </c>
      <c r="K138">
        <v>0.9999682888672784</v>
      </c>
      <c r="L138">
        <v>0.99998882698209335</v>
      </c>
    </row>
    <row r="139" spans="1:12" x14ac:dyDescent="0.2">
      <c r="A139" t="s">
        <v>833</v>
      </c>
      <c r="B139" t="s">
        <v>2091</v>
      </c>
      <c r="C139" t="s">
        <v>319</v>
      </c>
      <c r="D139" s="30">
        <v>0.01</v>
      </c>
      <c r="E139" s="31">
        <v>0.6050000000000002</v>
      </c>
      <c r="F139">
        <v>2.0299999999999999E-2</v>
      </c>
      <c r="G139">
        <v>2.0000000000000001E-4</v>
      </c>
      <c r="H139">
        <v>4.0000000000000002E-4</v>
      </c>
      <c r="I139">
        <v>3.0000000000000003E-4</v>
      </c>
      <c r="J139">
        <v>0.98543689320388339</v>
      </c>
      <c r="K139">
        <v>0.4</v>
      </c>
      <c r="L139">
        <v>0.5714285714285714</v>
      </c>
    </row>
    <row r="140" spans="1:12" x14ac:dyDescent="0.2">
      <c r="A140" t="s">
        <v>832</v>
      </c>
      <c r="B140" t="s">
        <v>2092</v>
      </c>
      <c r="C140" t="s">
        <v>319</v>
      </c>
      <c r="D140" s="30">
        <v>0.22000000000000003</v>
      </c>
      <c r="E140" s="31">
        <v>265.47500000000002</v>
      </c>
      <c r="F140">
        <v>26.860100000000003</v>
      </c>
      <c r="G140">
        <v>21.779999999999998</v>
      </c>
      <c r="H140">
        <v>148.06</v>
      </c>
      <c r="I140">
        <v>12.920000000000002</v>
      </c>
      <c r="J140">
        <v>0.67521449166794456</v>
      </c>
      <c r="K140">
        <v>0.62766570605187311</v>
      </c>
      <c r="L140">
        <v>0.91974158280531737</v>
      </c>
    </row>
    <row r="141" spans="1:12" x14ac:dyDescent="0.2">
      <c r="A141" t="s">
        <v>831</v>
      </c>
      <c r="B141" t="s">
        <v>2093</v>
      </c>
      <c r="C141" t="s">
        <v>319</v>
      </c>
      <c r="D141" s="30">
        <v>1.46</v>
      </c>
      <c r="E141" s="31">
        <v>875.42000000000007</v>
      </c>
      <c r="F141">
        <v>83.54</v>
      </c>
      <c r="G141">
        <v>88.85</v>
      </c>
      <c r="H141">
        <v>484.6</v>
      </c>
      <c r="I141">
        <v>31.7</v>
      </c>
      <c r="J141">
        <v>0.72492190211732033</v>
      </c>
      <c r="K141">
        <v>0.73703857320613853</v>
      </c>
      <c r="L141">
        <v>0.93860158822390072</v>
      </c>
    </row>
    <row r="142" spans="1:12" x14ac:dyDescent="0.2">
      <c r="A142" t="s">
        <v>830</v>
      </c>
      <c r="B142" t="s">
        <v>2094</v>
      </c>
      <c r="C142" t="s">
        <v>319</v>
      </c>
      <c r="D142" s="30">
        <v>0.01</v>
      </c>
      <c r="E142" s="31">
        <v>3.5249999999999981</v>
      </c>
      <c r="F142">
        <v>2.9302000000000001</v>
      </c>
      <c r="G142">
        <v>1.0200000000000001E-2</v>
      </c>
      <c r="H142">
        <v>4.0000000000000002E-4</v>
      </c>
      <c r="I142">
        <v>3.0000000000000003E-4</v>
      </c>
      <c r="J142">
        <v>0.99989762839105945</v>
      </c>
      <c r="K142">
        <v>0.97142857142857142</v>
      </c>
      <c r="L142">
        <v>0.5714285714285714</v>
      </c>
    </row>
    <row r="143" spans="1:12" x14ac:dyDescent="0.2">
      <c r="A143" t="s">
        <v>829</v>
      </c>
      <c r="B143" t="s">
        <v>2095</v>
      </c>
      <c r="C143" t="s">
        <v>319</v>
      </c>
      <c r="D143" s="30">
        <v>0.39</v>
      </c>
      <c r="E143" s="31">
        <v>339.34000000000009</v>
      </c>
      <c r="F143">
        <v>45.370000000000005</v>
      </c>
      <c r="G143">
        <v>30.96</v>
      </c>
      <c r="H143">
        <v>175.61</v>
      </c>
      <c r="I143">
        <v>13.33</v>
      </c>
      <c r="J143">
        <v>0.77291311754684844</v>
      </c>
      <c r="K143">
        <v>0.69902912621359226</v>
      </c>
      <c r="L143">
        <v>0.92944850217000097</v>
      </c>
    </row>
    <row r="144" spans="1:12" x14ac:dyDescent="0.2">
      <c r="A144" t="s">
        <v>828</v>
      </c>
      <c r="B144" t="s">
        <v>2096</v>
      </c>
      <c r="C144" t="s">
        <v>319</v>
      </c>
      <c r="D144" s="30">
        <v>0.01</v>
      </c>
      <c r="E144" s="31">
        <v>0.62500000000000033</v>
      </c>
      <c r="F144">
        <v>1.0299999999999998E-2</v>
      </c>
      <c r="G144">
        <v>1.0200000000000001E-2</v>
      </c>
      <c r="H144">
        <v>2.0299999999999999E-2</v>
      </c>
      <c r="I144">
        <v>3.0000000000000003E-4</v>
      </c>
      <c r="J144">
        <v>0.97169811320754718</v>
      </c>
      <c r="K144">
        <v>0.97142857142857142</v>
      </c>
      <c r="L144">
        <v>0.98543689320388339</v>
      </c>
    </row>
    <row r="145" spans="1:12" x14ac:dyDescent="0.2">
      <c r="A145" t="s">
        <v>827</v>
      </c>
      <c r="B145" t="s">
        <v>2097</v>
      </c>
      <c r="C145" t="s">
        <v>319</v>
      </c>
      <c r="D145" s="30">
        <v>0.01</v>
      </c>
      <c r="E145" s="31">
        <v>0.66500000000000026</v>
      </c>
      <c r="F145">
        <v>2.0299999999999999E-2</v>
      </c>
      <c r="G145">
        <v>1.0200000000000001E-2</v>
      </c>
      <c r="H145">
        <v>4.0000000000000002E-4</v>
      </c>
      <c r="I145">
        <v>3.0000000000000003E-4</v>
      </c>
      <c r="J145">
        <v>0.98543689320388339</v>
      </c>
      <c r="K145">
        <v>0.97142857142857142</v>
      </c>
      <c r="L145">
        <v>0.5714285714285714</v>
      </c>
    </row>
    <row r="146" spans="1:12" x14ac:dyDescent="0.2">
      <c r="A146" t="s">
        <v>826</v>
      </c>
      <c r="B146" t="s">
        <v>2098</v>
      </c>
      <c r="C146" t="s">
        <v>319</v>
      </c>
      <c r="D146" s="30">
        <v>0.08</v>
      </c>
      <c r="E146" s="31">
        <v>57.995000000000005</v>
      </c>
      <c r="F146">
        <v>6.7500999999999998</v>
      </c>
      <c r="G146">
        <v>5.2100000000000009</v>
      </c>
      <c r="H146">
        <v>33.86</v>
      </c>
      <c r="I146">
        <v>2.65</v>
      </c>
      <c r="J146">
        <v>0.71808810544568669</v>
      </c>
      <c r="K146">
        <v>0.66284987277353691</v>
      </c>
      <c r="L146">
        <v>0.92741714598740077</v>
      </c>
    </row>
    <row r="147" spans="1:12" x14ac:dyDescent="0.2">
      <c r="A147" t="s">
        <v>825</v>
      </c>
      <c r="B147" t="s">
        <v>2099</v>
      </c>
      <c r="C147" t="s">
        <v>319</v>
      </c>
      <c r="D147" s="30">
        <v>0.06</v>
      </c>
      <c r="E147" s="31">
        <v>42.190000000000005</v>
      </c>
      <c r="F147">
        <v>3.4401000000000002</v>
      </c>
      <c r="G147">
        <v>3.99</v>
      </c>
      <c r="H147">
        <v>23.78</v>
      </c>
      <c r="I147">
        <v>2.48</v>
      </c>
      <c r="J147">
        <v>0.58108815729464036</v>
      </c>
      <c r="K147">
        <v>0.61669242658423495</v>
      </c>
      <c r="L147">
        <v>0.9055597867479056</v>
      </c>
    </row>
    <row r="148" spans="1:12" x14ac:dyDescent="0.2">
      <c r="A148" t="s">
        <v>744</v>
      </c>
      <c r="B148" t="s">
        <v>232</v>
      </c>
      <c r="C148" t="s">
        <v>319</v>
      </c>
      <c r="D148">
        <v>0.25</v>
      </c>
      <c r="E148">
        <v>0.90090000000000003</v>
      </c>
      <c r="F148">
        <v>0.1203</v>
      </c>
      <c r="G148">
        <v>1.0199999999999999E-2</v>
      </c>
      <c r="H148">
        <v>4.0000000000000002E-4</v>
      </c>
      <c r="I148">
        <v>0.77</v>
      </c>
      <c r="J148">
        <v>0.13512299224980345</v>
      </c>
      <c r="K148">
        <v>1.3073570879261726E-2</v>
      </c>
      <c r="L148">
        <v>5.1921079958463145E-4</v>
      </c>
    </row>
    <row r="149" spans="1:12" x14ac:dyDescent="0.2">
      <c r="A149" t="s">
        <v>584</v>
      </c>
      <c r="B149" t="s">
        <v>280</v>
      </c>
      <c r="C149" t="s">
        <v>319</v>
      </c>
      <c r="D149">
        <v>0.06</v>
      </c>
      <c r="E149">
        <v>2.0407000000000002</v>
      </c>
      <c r="F149">
        <v>0.5202</v>
      </c>
      <c r="G149">
        <v>2.01E-2</v>
      </c>
      <c r="H149">
        <v>4.0000000000000002E-4</v>
      </c>
      <c r="I149">
        <v>1.5</v>
      </c>
      <c r="J149">
        <v>0.25749925749925751</v>
      </c>
      <c r="K149">
        <v>1.3222814288533649E-2</v>
      </c>
      <c r="L149">
        <v>2.6659557451346312E-4</v>
      </c>
    </row>
    <row r="150" spans="1:12" x14ac:dyDescent="0.2">
      <c r="A150" t="s">
        <v>824</v>
      </c>
      <c r="B150" t="s">
        <v>208</v>
      </c>
      <c r="C150" t="s">
        <v>319</v>
      </c>
      <c r="D150" s="30">
        <v>0.01</v>
      </c>
      <c r="E150" s="31">
        <v>0.63000000000000034</v>
      </c>
      <c r="F150">
        <v>1.0299999999999998E-2</v>
      </c>
      <c r="G150">
        <v>1.0200000000000001E-2</v>
      </c>
      <c r="H150">
        <v>4.0000000000000002E-4</v>
      </c>
      <c r="I150">
        <v>3.0000000000000003E-4</v>
      </c>
      <c r="J150">
        <v>0.97169811320754718</v>
      </c>
      <c r="K150">
        <v>0.97142857142857142</v>
      </c>
      <c r="L150">
        <v>0.5714285714285714</v>
      </c>
    </row>
    <row r="151" spans="1:12" x14ac:dyDescent="0.2">
      <c r="A151" t="s">
        <v>664</v>
      </c>
      <c r="B151" t="s">
        <v>256</v>
      </c>
      <c r="C151" t="s">
        <v>319</v>
      </c>
      <c r="D151">
        <v>0.04</v>
      </c>
      <c r="E151">
        <v>0.1810999999999999</v>
      </c>
      <c r="F151">
        <v>0.16029999999999997</v>
      </c>
      <c r="G151">
        <v>2.01E-2</v>
      </c>
      <c r="H151">
        <v>4.0000000000000002E-4</v>
      </c>
      <c r="I151">
        <v>3.0000000000000003E-4</v>
      </c>
      <c r="J151">
        <v>0.99813200498132004</v>
      </c>
      <c r="K151">
        <v>0.98529411764705876</v>
      </c>
      <c r="L151">
        <v>0.5714285714285714</v>
      </c>
    </row>
    <row r="152" spans="1:12" x14ac:dyDescent="0.2">
      <c r="A152" t="s">
        <v>823</v>
      </c>
      <c r="B152" t="s">
        <v>2100</v>
      </c>
      <c r="C152" t="s">
        <v>319</v>
      </c>
      <c r="D152" s="30">
        <v>0.02</v>
      </c>
      <c r="E152" s="31">
        <v>1.0000000000000002</v>
      </c>
      <c r="F152">
        <v>1.0299999999999998E-2</v>
      </c>
      <c r="G152">
        <v>6.0199999999999997E-2</v>
      </c>
      <c r="H152">
        <v>4.0000000000000002E-4</v>
      </c>
      <c r="I152">
        <v>3.0000000000000003E-4</v>
      </c>
      <c r="J152">
        <v>0.97169811320754718</v>
      </c>
      <c r="K152">
        <v>0.99504132231404951</v>
      </c>
      <c r="L152">
        <v>0.5714285714285714</v>
      </c>
    </row>
    <row r="153" spans="1:12" x14ac:dyDescent="0.2">
      <c r="A153" t="s">
        <v>742</v>
      </c>
      <c r="B153" t="s">
        <v>233</v>
      </c>
      <c r="C153" t="s">
        <v>319</v>
      </c>
      <c r="D153">
        <v>0.15</v>
      </c>
      <c r="E153">
        <v>0.90100000000000002</v>
      </c>
      <c r="F153">
        <v>0.1203</v>
      </c>
      <c r="G153">
        <v>3.0000000000000003E-4</v>
      </c>
      <c r="H153">
        <v>4.0000000000000002E-4</v>
      </c>
      <c r="I153">
        <v>0.78</v>
      </c>
      <c r="J153">
        <v>0.13362212595801401</v>
      </c>
      <c r="K153">
        <v>3.8446751249519422E-4</v>
      </c>
      <c r="L153">
        <v>5.1255766273705791E-4</v>
      </c>
    </row>
    <row r="154" spans="1:12" x14ac:dyDescent="0.2">
      <c r="A154" t="s">
        <v>582</v>
      </c>
      <c r="B154" t="s">
        <v>281</v>
      </c>
      <c r="C154" t="s">
        <v>319</v>
      </c>
      <c r="D154">
        <v>0.41</v>
      </c>
      <c r="E154">
        <v>0.14119999999999988</v>
      </c>
      <c r="F154">
        <v>0.13029999999999997</v>
      </c>
      <c r="G154">
        <v>1.0199999999999999E-2</v>
      </c>
      <c r="H154">
        <v>4.0000000000000002E-4</v>
      </c>
      <c r="I154">
        <v>3.0000000000000003E-4</v>
      </c>
      <c r="J154">
        <v>0.99770290964777952</v>
      </c>
      <c r="K154">
        <v>0.97142857142857142</v>
      </c>
      <c r="L154">
        <v>0.5714285714285714</v>
      </c>
    </row>
    <row r="155" spans="1:12" x14ac:dyDescent="0.2">
      <c r="A155" t="s">
        <v>822</v>
      </c>
      <c r="B155" t="s">
        <v>209</v>
      </c>
      <c r="C155" t="s">
        <v>319</v>
      </c>
      <c r="D155" s="30">
        <v>0.01</v>
      </c>
      <c r="E155" s="31">
        <v>0.63500000000000034</v>
      </c>
      <c r="F155">
        <v>1.0299999999999998E-2</v>
      </c>
      <c r="G155">
        <v>2.0199999999999999E-2</v>
      </c>
      <c r="H155">
        <v>4.0000000000000002E-4</v>
      </c>
      <c r="I155">
        <v>3.0000000000000003E-4</v>
      </c>
      <c r="J155">
        <v>0.97169811320754718</v>
      </c>
      <c r="K155">
        <v>0.98536585365853646</v>
      </c>
      <c r="L155">
        <v>0.5714285714285714</v>
      </c>
    </row>
    <row r="156" spans="1:12" x14ac:dyDescent="0.2">
      <c r="A156" t="s">
        <v>662</v>
      </c>
      <c r="B156" t="s">
        <v>257</v>
      </c>
      <c r="C156" t="s">
        <v>319</v>
      </c>
      <c r="D156">
        <v>0.18</v>
      </c>
      <c r="E156">
        <v>0.13129999999999986</v>
      </c>
      <c r="F156">
        <v>0.13029999999999997</v>
      </c>
      <c r="G156">
        <v>3.0000000000000003E-4</v>
      </c>
      <c r="H156">
        <v>4.0000000000000002E-4</v>
      </c>
      <c r="I156">
        <v>3.0000000000000003E-4</v>
      </c>
      <c r="J156">
        <v>0.99770290964777952</v>
      </c>
      <c r="K156">
        <v>0.5</v>
      </c>
      <c r="L156">
        <v>0.5714285714285714</v>
      </c>
    </row>
    <row r="157" spans="1:12" x14ac:dyDescent="0.2">
      <c r="A157" t="s">
        <v>741</v>
      </c>
      <c r="B157" t="s">
        <v>234</v>
      </c>
      <c r="C157" t="s">
        <v>319</v>
      </c>
      <c r="D157">
        <v>3.31</v>
      </c>
      <c r="E157">
        <v>138.41010000000003</v>
      </c>
      <c r="F157">
        <v>39.159999999999997</v>
      </c>
      <c r="G157">
        <v>19.700099999999999</v>
      </c>
      <c r="H157">
        <v>74.640000000000015</v>
      </c>
      <c r="I157">
        <v>4.91</v>
      </c>
      <c r="J157">
        <v>0.88858633991377356</v>
      </c>
      <c r="K157">
        <v>0.8004884173571013</v>
      </c>
      <c r="L157">
        <v>0.93827781269641741</v>
      </c>
    </row>
    <row r="158" spans="1:12" x14ac:dyDescent="0.2">
      <c r="A158" t="s">
        <v>581</v>
      </c>
      <c r="B158" t="s">
        <v>282</v>
      </c>
      <c r="C158" t="s">
        <v>319</v>
      </c>
      <c r="D158">
        <v>2.94</v>
      </c>
      <c r="E158">
        <v>126.58</v>
      </c>
      <c r="F158">
        <v>28.17</v>
      </c>
      <c r="G158">
        <v>23.479999999999997</v>
      </c>
      <c r="H158">
        <v>69.489999999999995</v>
      </c>
      <c r="I158">
        <v>5.4399999999999995</v>
      </c>
      <c r="J158">
        <v>0.8381434096994943</v>
      </c>
      <c r="K158">
        <v>0.81189488243430152</v>
      </c>
      <c r="L158">
        <v>0.92739890564526895</v>
      </c>
    </row>
    <row r="159" spans="1:12" x14ac:dyDescent="0.2">
      <c r="A159" t="s">
        <v>821</v>
      </c>
      <c r="B159" t="s">
        <v>210</v>
      </c>
      <c r="C159" t="s">
        <v>319</v>
      </c>
      <c r="D159" s="30">
        <v>0.62</v>
      </c>
      <c r="E159" s="31">
        <v>505.12</v>
      </c>
      <c r="F159">
        <v>66.17</v>
      </c>
      <c r="G159">
        <v>43.440000000000005</v>
      </c>
      <c r="H159">
        <v>257.69</v>
      </c>
      <c r="I159">
        <v>23.75</v>
      </c>
      <c r="J159">
        <v>0.73587633451957291</v>
      </c>
      <c r="K159">
        <v>0.64652478047328477</v>
      </c>
      <c r="L159">
        <v>0.91561256395679358</v>
      </c>
    </row>
    <row r="160" spans="1:12" x14ac:dyDescent="0.2">
      <c r="A160" t="s">
        <v>661</v>
      </c>
      <c r="B160" t="s">
        <v>258</v>
      </c>
      <c r="C160" t="s">
        <v>319</v>
      </c>
      <c r="D160">
        <v>4.7</v>
      </c>
      <c r="E160">
        <v>206.05050000000003</v>
      </c>
      <c r="F160">
        <v>75.2</v>
      </c>
      <c r="G160">
        <v>6.4802000000000017</v>
      </c>
      <c r="H160">
        <v>124.36999999999999</v>
      </c>
      <c r="I160">
        <v>3.0000000000000003E-4</v>
      </c>
      <c r="J160">
        <v>0.99999601065421284</v>
      </c>
      <c r="K160">
        <v>0.99995370727567312</v>
      </c>
      <c r="L160">
        <v>0.99999758784854587</v>
      </c>
    </row>
    <row r="161" spans="1:12" x14ac:dyDescent="0.2">
      <c r="A161" t="s">
        <v>740</v>
      </c>
      <c r="B161" t="s">
        <v>235</v>
      </c>
      <c r="C161" t="s">
        <v>319</v>
      </c>
      <c r="D161">
        <v>9.9700000000000006</v>
      </c>
      <c r="E161">
        <v>513.76</v>
      </c>
      <c r="F161">
        <v>158.03</v>
      </c>
      <c r="G161">
        <v>93.399999999999991</v>
      </c>
      <c r="H161">
        <v>248.98999999999998</v>
      </c>
      <c r="I161">
        <v>13.34</v>
      </c>
      <c r="J161">
        <v>0.92215673688510236</v>
      </c>
      <c r="K161">
        <v>0.87502342139778899</v>
      </c>
      <c r="L161">
        <v>0.94914801966988138</v>
      </c>
    </row>
    <row r="162" spans="1:12" x14ac:dyDescent="0.2">
      <c r="A162" t="s">
        <v>580</v>
      </c>
      <c r="B162" t="s">
        <v>283</v>
      </c>
      <c r="C162" t="s">
        <v>319</v>
      </c>
      <c r="D162">
        <v>1.7399999999999998</v>
      </c>
      <c r="E162">
        <v>109.14030000000001</v>
      </c>
      <c r="F162">
        <v>33.61</v>
      </c>
      <c r="G162">
        <v>15.610099999999999</v>
      </c>
      <c r="H162">
        <v>58.59</v>
      </c>
      <c r="I162">
        <v>1.3302</v>
      </c>
      <c r="J162">
        <v>0.96192923909994799</v>
      </c>
      <c r="K162">
        <v>0.92147718753504948</v>
      </c>
      <c r="L162">
        <v>0.97780047463125963</v>
      </c>
    </row>
    <row r="163" spans="1:12" x14ac:dyDescent="0.2">
      <c r="A163" t="s">
        <v>820</v>
      </c>
      <c r="B163" t="s">
        <v>211</v>
      </c>
      <c r="C163" t="s">
        <v>319</v>
      </c>
      <c r="D163" s="30">
        <v>0.56999999999999995</v>
      </c>
      <c r="E163" s="31">
        <v>781.58000000000015</v>
      </c>
      <c r="F163">
        <v>100.02</v>
      </c>
      <c r="G163">
        <v>74.239999999999995</v>
      </c>
      <c r="H163">
        <v>398.35</v>
      </c>
      <c r="I163">
        <v>35.239999999999995</v>
      </c>
      <c r="J163">
        <v>0.73946473458524331</v>
      </c>
      <c r="K163">
        <v>0.67811472415052976</v>
      </c>
      <c r="L163">
        <v>0.91872506284739042</v>
      </c>
    </row>
    <row r="164" spans="1:12" x14ac:dyDescent="0.2">
      <c r="A164" t="s">
        <v>660</v>
      </c>
      <c r="B164" t="s">
        <v>259</v>
      </c>
      <c r="C164" t="s">
        <v>319</v>
      </c>
      <c r="D164">
        <v>3.5699999999999994</v>
      </c>
      <c r="E164">
        <v>96.730600000000024</v>
      </c>
      <c r="F164">
        <v>37.200000000000003</v>
      </c>
      <c r="G164">
        <v>3.3901999999999997</v>
      </c>
      <c r="H164">
        <v>56.140100000000004</v>
      </c>
      <c r="I164">
        <v>3.0000000000000003E-4</v>
      </c>
      <c r="J164">
        <v>0.99999193554890675</v>
      </c>
      <c r="K164">
        <v>0.99991151747529861</v>
      </c>
      <c r="L164">
        <v>0.99999465625467576</v>
      </c>
    </row>
    <row r="165" spans="1:12" x14ac:dyDescent="0.2">
      <c r="A165" t="s">
        <v>819</v>
      </c>
      <c r="B165" t="s">
        <v>2101</v>
      </c>
      <c r="C165" t="s">
        <v>319</v>
      </c>
      <c r="D165" s="30">
        <v>0</v>
      </c>
      <c r="E165" s="31">
        <v>0.63000000000000023</v>
      </c>
      <c r="F165">
        <v>2.0299999999999999E-2</v>
      </c>
      <c r="G165">
        <v>2.0000000000000001E-4</v>
      </c>
      <c r="H165">
        <v>4.0000000000000002E-4</v>
      </c>
      <c r="I165">
        <v>3.0000000000000003E-4</v>
      </c>
      <c r="J165">
        <v>0.98543689320388339</v>
      </c>
      <c r="K165">
        <v>0.4</v>
      </c>
      <c r="L165">
        <v>0.5714285714285714</v>
      </c>
    </row>
    <row r="166" spans="1:12" x14ac:dyDescent="0.2">
      <c r="A166" t="s">
        <v>818</v>
      </c>
      <c r="B166" t="s">
        <v>2102</v>
      </c>
      <c r="C166" t="s">
        <v>319</v>
      </c>
      <c r="D166" s="30">
        <v>0.38</v>
      </c>
      <c r="E166" s="31">
        <v>241.72</v>
      </c>
      <c r="F166">
        <v>30.14</v>
      </c>
      <c r="G166">
        <v>23.849999999999998</v>
      </c>
      <c r="H166">
        <v>125.43</v>
      </c>
      <c r="I166">
        <v>12.690000000000001</v>
      </c>
      <c r="J166">
        <v>0.70371235115573205</v>
      </c>
      <c r="K166">
        <v>0.65270935960591125</v>
      </c>
      <c r="L166">
        <v>0.908123370981755</v>
      </c>
    </row>
    <row r="167" spans="1:12" x14ac:dyDescent="0.2">
      <c r="A167" t="s">
        <v>817</v>
      </c>
      <c r="B167" t="s">
        <v>2103</v>
      </c>
      <c r="C167" t="s">
        <v>319</v>
      </c>
      <c r="D167" s="30">
        <v>0.45</v>
      </c>
      <c r="E167" s="31">
        <v>333.86500000000007</v>
      </c>
      <c r="F167">
        <v>39.26</v>
      </c>
      <c r="G167">
        <v>28.979999999999997</v>
      </c>
      <c r="H167">
        <v>181.10999999999999</v>
      </c>
      <c r="I167">
        <v>14.22</v>
      </c>
      <c r="J167">
        <v>0.73410620792819747</v>
      </c>
      <c r="K167">
        <v>0.67083333333333328</v>
      </c>
      <c r="L167">
        <v>0.92720012286899089</v>
      </c>
    </row>
    <row r="168" spans="1:12" x14ac:dyDescent="0.2">
      <c r="A168" t="s">
        <v>736</v>
      </c>
      <c r="B168" t="s">
        <v>236</v>
      </c>
      <c r="C168" t="s">
        <v>319</v>
      </c>
      <c r="D168">
        <v>13.34</v>
      </c>
      <c r="E168">
        <v>593.2299999999999</v>
      </c>
      <c r="F168">
        <v>172.37</v>
      </c>
      <c r="G168">
        <v>109.54000000000002</v>
      </c>
      <c r="H168">
        <v>291.78000000000003</v>
      </c>
      <c r="I168">
        <v>19.540000000000003</v>
      </c>
      <c r="J168">
        <v>0.89818143921629934</v>
      </c>
      <c r="K168">
        <v>0.84862101022621639</v>
      </c>
      <c r="L168">
        <v>0.93723499935757415</v>
      </c>
    </row>
    <row r="169" spans="1:12" x14ac:dyDescent="0.2">
      <c r="A169" t="s">
        <v>576</v>
      </c>
      <c r="B169" t="s">
        <v>284</v>
      </c>
      <c r="C169" t="s">
        <v>319</v>
      </c>
      <c r="D169">
        <v>1.03</v>
      </c>
      <c r="E169">
        <v>1.2907999999999999</v>
      </c>
      <c r="F169">
        <v>0.1203</v>
      </c>
      <c r="G169">
        <v>0.27010000000000001</v>
      </c>
      <c r="H169">
        <v>0.90010000000000012</v>
      </c>
      <c r="I169">
        <v>3.0000000000000003E-4</v>
      </c>
      <c r="J169">
        <v>0.99751243781094534</v>
      </c>
      <c r="K169">
        <v>0.99889053254437865</v>
      </c>
      <c r="L169">
        <v>0.99966681474900043</v>
      </c>
    </row>
    <row r="170" spans="1:12" x14ac:dyDescent="0.2">
      <c r="A170" t="s">
        <v>816</v>
      </c>
      <c r="B170" t="s">
        <v>212</v>
      </c>
      <c r="C170" t="s">
        <v>319</v>
      </c>
      <c r="D170" s="30">
        <v>0.71</v>
      </c>
      <c r="E170" s="31">
        <v>827.73</v>
      </c>
      <c r="F170">
        <v>102.98</v>
      </c>
      <c r="G170">
        <v>73.28</v>
      </c>
      <c r="H170">
        <v>438.05000000000007</v>
      </c>
      <c r="I170">
        <v>35.28</v>
      </c>
      <c r="J170">
        <v>0.74482858382757133</v>
      </c>
      <c r="K170">
        <v>0.67501842299189385</v>
      </c>
      <c r="L170">
        <v>0.92546426383284397</v>
      </c>
    </row>
    <row r="171" spans="1:12" x14ac:dyDescent="0.2">
      <c r="A171" t="s">
        <v>656</v>
      </c>
      <c r="B171" t="s">
        <v>260</v>
      </c>
      <c r="C171" t="s">
        <v>319</v>
      </c>
      <c r="D171">
        <v>8.5500000000000007</v>
      </c>
      <c r="E171">
        <v>51.250300000000003</v>
      </c>
      <c r="F171">
        <v>12.54</v>
      </c>
      <c r="G171">
        <v>8.8400999999999996</v>
      </c>
      <c r="H171">
        <v>24.900099999999998</v>
      </c>
      <c r="I171">
        <v>4.9701000000000004</v>
      </c>
      <c r="J171">
        <v>0.71615810303767524</v>
      </c>
      <c r="K171">
        <v>0.64011382890906721</v>
      </c>
      <c r="L171">
        <v>0.83361008630675393</v>
      </c>
    </row>
    <row r="172" spans="1:12" x14ac:dyDescent="0.2">
      <c r="A172" t="s">
        <v>815</v>
      </c>
      <c r="B172" t="s">
        <v>2104</v>
      </c>
      <c r="C172" t="s">
        <v>319</v>
      </c>
      <c r="D172" s="30">
        <v>0.01</v>
      </c>
      <c r="E172" s="31">
        <v>0.80500000000000027</v>
      </c>
      <c r="F172">
        <v>2.0299999999999999E-2</v>
      </c>
      <c r="G172">
        <v>2.0000000000000001E-4</v>
      </c>
      <c r="H172">
        <v>0.25009999999999999</v>
      </c>
      <c r="I172">
        <v>3.0000000000000003E-4</v>
      </c>
      <c r="J172">
        <v>0.98543689320388339</v>
      </c>
      <c r="K172">
        <v>0.4</v>
      </c>
      <c r="L172">
        <v>0.99880191693290721</v>
      </c>
    </row>
    <row r="173" spans="1:12" x14ac:dyDescent="0.2">
      <c r="A173" t="s">
        <v>734</v>
      </c>
      <c r="B173" t="s">
        <v>237</v>
      </c>
      <c r="C173" t="s">
        <v>319</v>
      </c>
      <c r="D173">
        <v>11.91</v>
      </c>
      <c r="E173">
        <v>318.08</v>
      </c>
      <c r="F173">
        <v>75.17</v>
      </c>
      <c r="G173">
        <v>64.09</v>
      </c>
      <c r="H173">
        <v>162.63</v>
      </c>
      <c r="I173">
        <v>16.190000000000001</v>
      </c>
      <c r="J173">
        <v>0.82278896672504376</v>
      </c>
      <c r="K173">
        <v>0.79833084205281513</v>
      </c>
      <c r="L173">
        <v>0.90946202885583272</v>
      </c>
    </row>
    <row r="174" spans="1:12" x14ac:dyDescent="0.2">
      <c r="A174" t="s">
        <v>574</v>
      </c>
      <c r="B174" t="s">
        <v>285</v>
      </c>
      <c r="C174" t="s">
        <v>319</v>
      </c>
      <c r="D174">
        <v>0.14000000000000001</v>
      </c>
      <c r="E174">
        <v>0.38119999999999987</v>
      </c>
      <c r="F174">
        <v>0.13029999999999997</v>
      </c>
      <c r="G174">
        <v>3.0000000000000003E-4</v>
      </c>
      <c r="H174">
        <v>4.0000000000000002E-4</v>
      </c>
      <c r="I174">
        <v>0.25019999999999998</v>
      </c>
      <c r="J174">
        <v>0.34244415243101178</v>
      </c>
      <c r="K174">
        <v>1.1976047904191619E-3</v>
      </c>
      <c r="L174">
        <v>1.5961691939345571E-3</v>
      </c>
    </row>
    <row r="175" spans="1:12" x14ac:dyDescent="0.2">
      <c r="A175" t="s">
        <v>814</v>
      </c>
      <c r="B175" t="s">
        <v>213</v>
      </c>
      <c r="C175" t="s">
        <v>319</v>
      </c>
      <c r="D175" s="30">
        <v>0.54</v>
      </c>
      <c r="E175" s="31">
        <v>608.40500000000009</v>
      </c>
      <c r="F175">
        <v>76.039999999999992</v>
      </c>
      <c r="G175">
        <v>62.78</v>
      </c>
      <c r="H175">
        <v>288.99</v>
      </c>
      <c r="I175">
        <v>27.27</v>
      </c>
      <c r="J175">
        <v>0.73603716968347688</v>
      </c>
      <c r="K175">
        <v>0.6971682398667407</v>
      </c>
      <c r="L175">
        <v>0.91377347751849747</v>
      </c>
    </row>
    <row r="176" spans="1:12" x14ac:dyDescent="0.2">
      <c r="A176" t="s">
        <v>654</v>
      </c>
      <c r="B176" t="s">
        <v>261</v>
      </c>
      <c r="C176" t="s">
        <v>319</v>
      </c>
      <c r="D176">
        <v>1.01</v>
      </c>
      <c r="E176">
        <v>2.1507000000000001</v>
      </c>
      <c r="F176">
        <v>0.11030000000000002</v>
      </c>
      <c r="G176">
        <v>6.0100000000000001E-2</v>
      </c>
      <c r="H176">
        <v>1.0102</v>
      </c>
      <c r="I176">
        <v>0.97010000000000007</v>
      </c>
      <c r="J176">
        <v>0.10209181784524252</v>
      </c>
      <c r="K176">
        <v>5.8338186759852459E-2</v>
      </c>
      <c r="L176">
        <v>0.51012472857647828</v>
      </c>
    </row>
    <row r="177" spans="1:12" x14ac:dyDescent="0.2">
      <c r="A177" t="s">
        <v>733</v>
      </c>
      <c r="B177" t="s">
        <v>238</v>
      </c>
      <c r="C177" t="s">
        <v>319</v>
      </c>
      <c r="D177">
        <v>0.09</v>
      </c>
      <c r="E177">
        <v>1.3805000000000001</v>
      </c>
      <c r="F177">
        <v>0.1502</v>
      </c>
      <c r="G177">
        <v>0.30000000000000004</v>
      </c>
      <c r="H177">
        <v>0.14029999999999998</v>
      </c>
      <c r="I177">
        <v>0.79</v>
      </c>
      <c r="J177">
        <v>0.15975324399064028</v>
      </c>
      <c r="K177">
        <v>0.27522935779816515</v>
      </c>
      <c r="L177">
        <v>0.15081156616145328</v>
      </c>
    </row>
    <row r="178" spans="1:12" x14ac:dyDescent="0.2">
      <c r="A178" t="s">
        <v>573</v>
      </c>
      <c r="B178" t="s">
        <v>286</v>
      </c>
      <c r="C178" t="s">
        <v>319</v>
      </c>
      <c r="D178">
        <v>0.88000000000000012</v>
      </c>
      <c r="E178">
        <v>2.7405000000000004</v>
      </c>
      <c r="F178">
        <v>0.11030000000000002</v>
      </c>
      <c r="G178">
        <v>3.0099999999999998E-2</v>
      </c>
      <c r="H178">
        <v>1.3401000000000001</v>
      </c>
      <c r="I178">
        <v>1.26</v>
      </c>
      <c r="J178">
        <v>8.0493322630081021E-2</v>
      </c>
      <c r="K178">
        <v>2.3331524688008681E-2</v>
      </c>
      <c r="L178">
        <v>0.5154032537210107</v>
      </c>
    </row>
    <row r="179" spans="1:12" x14ac:dyDescent="0.2">
      <c r="A179" t="s">
        <v>813</v>
      </c>
      <c r="B179" t="s">
        <v>214</v>
      </c>
      <c r="C179" t="s">
        <v>319</v>
      </c>
      <c r="D179" s="30">
        <v>0</v>
      </c>
      <c r="E179" s="31">
        <v>0.65000000000000024</v>
      </c>
      <c r="F179">
        <v>2.0299999999999999E-2</v>
      </c>
      <c r="G179">
        <v>2.0199999999999999E-2</v>
      </c>
      <c r="H179">
        <v>4.0000000000000002E-4</v>
      </c>
      <c r="I179">
        <v>3.0000000000000003E-4</v>
      </c>
      <c r="J179">
        <v>0.98543689320388339</v>
      </c>
      <c r="K179">
        <v>0.98536585365853646</v>
      </c>
      <c r="L179">
        <v>0.5714285714285714</v>
      </c>
    </row>
    <row r="180" spans="1:12" x14ac:dyDescent="0.2">
      <c r="A180" t="s">
        <v>653</v>
      </c>
      <c r="B180" t="s">
        <v>262</v>
      </c>
      <c r="C180" t="s">
        <v>319</v>
      </c>
      <c r="D180">
        <v>7.0000000000000007E-2</v>
      </c>
      <c r="E180">
        <v>0.12130000000000003</v>
      </c>
      <c r="F180">
        <v>0.1203</v>
      </c>
      <c r="G180">
        <v>3.0000000000000003E-4</v>
      </c>
      <c r="H180">
        <v>4.0000000000000002E-4</v>
      </c>
      <c r="I180">
        <v>3.0000000000000003E-4</v>
      </c>
      <c r="J180">
        <v>0.99751243781094534</v>
      </c>
      <c r="K180">
        <v>0.5</v>
      </c>
      <c r="L180">
        <v>0.5714285714285714</v>
      </c>
    </row>
    <row r="181" spans="1:12" x14ac:dyDescent="0.2">
      <c r="A181" t="s">
        <v>732</v>
      </c>
      <c r="B181" t="s">
        <v>239</v>
      </c>
      <c r="C181" t="s">
        <v>319</v>
      </c>
      <c r="D181">
        <v>0.05</v>
      </c>
      <c r="E181">
        <v>3.4304000000000006</v>
      </c>
      <c r="F181">
        <v>0.16029999999999997</v>
      </c>
      <c r="G181">
        <v>0.21</v>
      </c>
      <c r="H181">
        <v>2.2601000000000004</v>
      </c>
      <c r="I181">
        <v>0.8</v>
      </c>
      <c r="J181">
        <v>0.16692700197854834</v>
      </c>
      <c r="K181">
        <v>0.20792079207920791</v>
      </c>
      <c r="L181">
        <v>0.73857063494657049</v>
      </c>
    </row>
    <row r="182" spans="1:12" x14ac:dyDescent="0.2">
      <c r="A182" t="s">
        <v>572</v>
      </c>
      <c r="B182" t="s">
        <v>287</v>
      </c>
      <c r="C182" t="s">
        <v>319</v>
      </c>
      <c r="D182">
        <v>0.17</v>
      </c>
      <c r="E182">
        <v>1.8157000000000001</v>
      </c>
      <c r="F182">
        <v>0.1203</v>
      </c>
      <c r="G182">
        <v>1.0350999999999999</v>
      </c>
      <c r="H182">
        <v>3.0299999999999997E-2</v>
      </c>
      <c r="I182">
        <v>0.63</v>
      </c>
      <c r="J182">
        <v>0.16033586565373853</v>
      </c>
      <c r="K182">
        <v>0.62164434568494387</v>
      </c>
      <c r="L182">
        <v>4.5888232621535664E-2</v>
      </c>
    </row>
    <row r="183" spans="1:12" x14ac:dyDescent="0.2">
      <c r="A183" t="s">
        <v>812</v>
      </c>
      <c r="B183" t="s">
        <v>215</v>
      </c>
      <c r="C183" t="s">
        <v>319</v>
      </c>
      <c r="D183" s="30">
        <v>0.03</v>
      </c>
      <c r="E183" s="31">
        <v>1.105</v>
      </c>
      <c r="F183">
        <v>3.0199999999999998E-2</v>
      </c>
      <c r="G183">
        <v>8.0200000000000007E-2</v>
      </c>
      <c r="H183">
        <v>0.45020000000000004</v>
      </c>
      <c r="I183">
        <v>3.0000000000000003E-4</v>
      </c>
      <c r="J183">
        <v>0.99016393442622941</v>
      </c>
      <c r="K183">
        <v>0.99627329192546588</v>
      </c>
      <c r="L183">
        <v>0.99933407325194223</v>
      </c>
    </row>
    <row r="184" spans="1:12" x14ac:dyDescent="0.2">
      <c r="A184" t="s">
        <v>652</v>
      </c>
      <c r="B184" t="s">
        <v>263</v>
      </c>
      <c r="C184" t="s">
        <v>319</v>
      </c>
      <c r="D184">
        <v>0.13</v>
      </c>
      <c r="E184">
        <v>2.4406000000000003</v>
      </c>
      <c r="F184">
        <v>0.23020000000000002</v>
      </c>
      <c r="G184">
        <v>6.0100000000000001E-2</v>
      </c>
      <c r="H184">
        <v>1.8901000000000001</v>
      </c>
      <c r="I184">
        <v>0.26019999999999999</v>
      </c>
      <c r="J184">
        <v>0.46941272430668846</v>
      </c>
      <c r="K184">
        <v>0.18763659069622232</v>
      </c>
      <c r="L184">
        <v>0.87899362879598197</v>
      </c>
    </row>
    <row r="185" spans="1:12" x14ac:dyDescent="0.2">
      <c r="A185" t="s">
        <v>811</v>
      </c>
      <c r="B185" t="s">
        <v>2105</v>
      </c>
      <c r="C185" t="s">
        <v>319</v>
      </c>
      <c r="D185" s="30">
        <v>0.5</v>
      </c>
      <c r="E185" s="31">
        <v>398.04</v>
      </c>
      <c r="F185">
        <v>41.739999999999995</v>
      </c>
      <c r="G185">
        <v>37.950000000000003</v>
      </c>
      <c r="H185">
        <v>220.05</v>
      </c>
      <c r="I185">
        <v>13.59</v>
      </c>
      <c r="J185">
        <v>0.75438279414422549</v>
      </c>
      <c r="K185">
        <v>0.73632130384167638</v>
      </c>
      <c r="L185">
        <v>0.94183359013867485</v>
      </c>
    </row>
    <row r="186" spans="1:12" x14ac:dyDescent="0.2">
      <c r="A186" t="s">
        <v>810</v>
      </c>
      <c r="B186" t="s">
        <v>2106</v>
      </c>
      <c r="C186" t="s">
        <v>319</v>
      </c>
      <c r="D186" s="30">
        <v>0.01</v>
      </c>
      <c r="E186" s="31">
        <v>0.62000000000000033</v>
      </c>
      <c r="F186">
        <v>1.0299999999999998E-2</v>
      </c>
      <c r="G186">
        <v>1.0200000000000001E-2</v>
      </c>
      <c r="H186">
        <v>3.0000000000000003E-4</v>
      </c>
      <c r="I186">
        <v>3.0000000000000003E-4</v>
      </c>
      <c r="J186">
        <v>0.97169811320754718</v>
      </c>
      <c r="K186">
        <v>0.97142857142857142</v>
      </c>
      <c r="L186">
        <v>0.5</v>
      </c>
    </row>
    <row r="187" spans="1:12" x14ac:dyDescent="0.2">
      <c r="A187" t="s">
        <v>809</v>
      </c>
      <c r="B187" t="s">
        <v>2107</v>
      </c>
      <c r="C187" t="s">
        <v>319</v>
      </c>
      <c r="D187" s="30">
        <v>0.75</v>
      </c>
      <c r="E187" s="31">
        <v>584.11500000000012</v>
      </c>
      <c r="F187">
        <v>62.91</v>
      </c>
      <c r="G187">
        <v>60.65</v>
      </c>
      <c r="H187">
        <v>332.02</v>
      </c>
      <c r="I187">
        <v>30.009999999999998</v>
      </c>
      <c r="J187">
        <v>0.67703400774860101</v>
      </c>
      <c r="K187">
        <v>0.66898301345687183</v>
      </c>
      <c r="L187">
        <v>0.91710631715603685</v>
      </c>
    </row>
    <row r="188" spans="1:12" x14ac:dyDescent="0.2">
      <c r="A188" t="s">
        <v>808</v>
      </c>
      <c r="B188" t="s">
        <v>2108</v>
      </c>
      <c r="C188" t="s">
        <v>319</v>
      </c>
      <c r="D188" s="30">
        <v>0.01</v>
      </c>
      <c r="E188" s="31">
        <v>0.68500000000000028</v>
      </c>
      <c r="F188">
        <v>2.0299999999999999E-2</v>
      </c>
      <c r="G188">
        <v>1.0200000000000001E-2</v>
      </c>
      <c r="H188">
        <v>7.0300000000000015E-2</v>
      </c>
      <c r="I188">
        <v>3.0000000000000003E-4</v>
      </c>
      <c r="J188">
        <v>0.98543689320388339</v>
      </c>
      <c r="K188">
        <v>0.97142857142857142</v>
      </c>
      <c r="L188">
        <v>0.99575070821529754</v>
      </c>
    </row>
    <row r="189" spans="1:12" x14ac:dyDescent="0.2">
      <c r="A189" t="s">
        <v>807</v>
      </c>
      <c r="B189" t="s">
        <v>2109</v>
      </c>
      <c r="C189" t="s">
        <v>319</v>
      </c>
      <c r="D189" s="30">
        <v>0.53</v>
      </c>
      <c r="E189" s="31">
        <v>516.89</v>
      </c>
      <c r="F189">
        <v>53.36</v>
      </c>
      <c r="G189">
        <v>50.03</v>
      </c>
      <c r="H189">
        <v>288.41999999999996</v>
      </c>
      <c r="I189">
        <v>24.490000000000002</v>
      </c>
      <c r="J189">
        <v>0.68542068079640339</v>
      </c>
      <c r="K189">
        <v>0.671363392377885</v>
      </c>
      <c r="L189">
        <v>0.92173468409446802</v>
      </c>
    </row>
    <row r="190" spans="1:12" x14ac:dyDescent="0.2">
      <c r="A190" t="s">
        <v>806</v>
      </c>
      <c r="B190" t="s">
        <v>2110</v>
      </c>
      <c r="C190" t="s">
        <v>319</v>
      </c>
      <c r="D190" s="30">
        <v>0.56999999999999995</v>
      </c>
      <c r="E190" s="31">
        <v>860.55</v>
      </c>
      <c r="F190">
        <v>91.1</v>
      </c>
      <c r="G190">
        <v>94.350000000000009</v>
      </c>
      <c r="H190">
        <v>467.79</v>
      </c>
      <c r="I190">
        <v>36</v>
      </c>
      <c r="J190">
        <v>0.71675845790715975</v>
      </c>
      <c r="K190">
        <v>0.72382048331415416</v>
      </c>
      <c r="L190">
        <v>0.9285416542607039</v>
      </c>
    </row>
    <row r="191" spans="1:12" x14ac:dyDescent="0.2">
      <c r="A191" t="s">
        <v>805</v>
      </c>
      <c r="B191" t="s">
        <v>2111</v>
      </c>
      <c r="C191" t="s">
        <v>319</v>
      </c>
      <c r="D191" s="30">
        <v>0.01</v>
      </c>
      <c r="E191" s="31">
        <v>0.64500000000000035</v>
      </c>
      <c r="F191">
        <v>1.0299999999999998E-2</v>
      </c>
      <c r="G191">
        <v>1.0200000000000001E-2</v>
      </c>
      <c r="H191">
        <v>4.0000000000000002E-4</v>
      </c>
      <c r="I191">
        <v>3.0000000000000003E-4</v>
      </c>
      <c r="J191">
        <v>0.97169811320754718</v>
      </c>
      <c r="K191">
        <v>0.97142857142857142</v>
      </c>
      <c r="L191">
        <v>0.5714285714285714</v>
      </c>
    </row>
    <row r="192" spans="1:12" x14ac:dyDescent="0.2">
      <c r="A192" t="s">
        <v>804</v>
      </c>
      <c r="B192" t="s">
        <v>2112</v>
      </c>
      <c r="C192" t="s">
        <v>319</v>
      </c>
      <c r="D192" s="30">
        <v>0.28000000000000003</v>
      </c>
      <c r="E192" s="31">
        <v>144.995</v>
      </c>
      <c r="F192">
        <v>15.12</v>
      </c>
      <c r="G192">
        <v>13.55</v>
      </c>
      <c r="H192">
        <v>79.260000000000019</v>
      </c>
      <c r="I192">
        <v>10.27</v>
      </c>
      <c r="J192">
        <v>0.59551004332414337</v>
      </c>
      <c r="K192">
        <v>0.56884970612930308</v>
      </c>
      <c r="L192">
        <v>0.88528984697866642</v>
      </c>
    </row>
    <row r="193" spans="1:12" x14ac:dyDescent="0.2">
      <c r="A193" t="s">
        <v>803</v>
      </c>
      <c r="B193" t="s">
        <v>2113</v>
      </c>
      <c r="C193" t="s">
        <v>319</v>
      </c>
      <c r="D193" s="30">
        <v>0.01</v>
      </c>
      <c r="E193" s="31">
        <v>0.65500000000000025</v>
      </c>
      <c r="F193">
        <v>2.0299999999999999E-2</v>
      </c>
      <c r="G193">
        <v>1.0200000000000001E-2</v>
      </c>
      <c r="H193">
        <v>4.0000000000000002E-4</v>
      </c>
      <c r="I193">
        <v>3.0000000000000003E-4</v>
      </c>
      <c r="J193">
        <v>0.98543689320388339</v>
      </c>
      <c r="K193">
        <v>0.97142857142857142</v>
      </c>
      <c r="L193">
        <v>0.5714285714285714</v>
      </c>
    </row>
    <row r="194" spans="1:12" x14ac:dyDescent="0.2">
      <c r="A194" t="s">
        <v>802</v>
      </c>
      <c r="B194" t="s">
        <v>2114</v>
      </c>
      <c r="C194" t="s">
        <v>319</v>
      </c>
      <c r="D194" s="30">
        <v>0.56000000000000005</v>
      </c>
      <c r="E194" s="31">
        <v>417.4500000000001</v>
      </c>
      <c r="F194">
        <v>46.2</v>
      </c>
      <c r="G194">
        <v>48.480000000000004</v>
      </c>
      <c r="H194">
        <v>212.49</v>
      </c>
      <c r="I194">
        <v>25.74</v>
      </c>
      <c r="J194">
        <v>0.64220183486238536</v>
      </c>
      <c r="K194">
        <v>0.65319320937752634</v>
      </c>
      <c r="L194">
        <v>0.89195315451454471</v>
      </c>
    </row>
    <row r="195" spans="1:12" x14ac:dyDescent="0.2">
      <c r="A195" t="s">
        <v>721</v>
      </c>
      <c r="B195" t="s">
        <v>240</v>
      </c>
      <c r="C195" t="s">
        <v>319</v>
      </c>
      <c r="D195">
        <v>0.11000000000000001</v>
      </c>
      <c r="E195">
        <v>16.899999999999999</v>
      </c>
      <c r="F195">
        <v>1.1402000000000001</v>
      </c>
      <c r="G195">
        <v>3.15</v>
      </c>
      <c r="H195">
        <v>7.77</v>
      </c>
      <c r="I195">
        <v>2.3199999999999998</v>
      </c>
      <c r="J195">
        <v>0.3295185249407549</v>
      </c>
      <c r="K195">
        <v>0.57586837294332727</v>
      </c>
      <c r="L195">
        <v>0.77006937561942512</v>
      </c>
    </row>
    <row r="196" spans="1:12" x14ac:dyDescent="0.2">
      <c r="A196" t="s">
        <v>561</v>
      </c>
      <c r="B196" t="s">
        <v>288</v>
      </c>
      <c r="C196" t="s">
        <v>319</v>
      </c>
      <c r="D196">
        <v>1.8069999999999999</v>
      </c>
      <c r="E196">
        <v>2.0287000000000002</v>
      </c>
      <c r="F196">
        <v>0.14329999999999996</v>
      </c>
      <c r="G196">
        <v>0.13009999999999999</v>
      </c>
      <c r="H196">
        <v>6.5300000000000011E-2</v>
      </c>
      <c r="I196">
        <v>1.6900000000000002</v>
      </c>
      <c r="J196">
        <v>7.8165057546500813E-2</v>
      </c>
      <c r="K196">
        <v>7.1479589033569574E-2</v>
      </c>
      <c r="L196">
        <v>3.7201617957044388E-2</v>
      </c>
    </row>
    <row r="197" spans="1:12" x14ac:dyDescent="0.2">
      <c r="A197" t="s">
        <v>801</v>
      </c>
      <c r="B197" t="s">
        <v>216</v>
      </c>
      <c r="C197" t="s">
        <v>319</v>
      </c>
      <c r="D197" s="30">
        <v>2.68</v>
      </c>
      <c r="E197" s="31">
        <v>3317.9349999999995</v>
      </c>
      <c r="F197">
        <v>300.16999999999996</v>
      </c>
      <c r="G197">
        <v>284.74</v>
      </c>
      <c r="H197">
        <v>1991.96</v>
      </c>
      <c r="I197">
        <v>120.23999999999998</v>
      </c>
      <c r="J197">
        <v>0.71399348255274608</v>
      </c>
      <c r="K197">
        <v>0.70309644920736825</v>
      </c>
      <c r="L197">
        <v>0.94307357257835445</v>
      </c>
    </row>
    <row r="198" spans="1:12" x14ac:dyDescent="0.2">
      <c r="A198" t="s">
        <v>641</v>
      </c>
      <c r="B198" t="s">
        <v>264</v>
      </c>
      <c r="C198" t="s">
        <v>319</v>
      </c>
      <c r="D198">
        <v>10.15</v>
      </c>
      <c r="E198">
        <v>208.02010000000001</v>
      </c>
      <c r="F198">
        <v>66.5</v>
      </c>
      <c r="G198">
        <v>28.890099999999997</v>
      </c>
      <c r="H198">
        <v>102.27000000000001</v>
      </c>
      <c r="I198">
        <v>10.36</v>
      </c>
      <c r="J198">
        <v>0.86520947176684881</v>
      </c>
      <c r="K198">
        <v>0.73605162789394163</v>
      </c>
      <c r="L198">
        <v>0.90801740211311377</v>
      </c>
    </row>
    <row r="199" spans="1:12" x14ac:dyDescent="0.2">
      <c r="A199" t="s">
        <v>800</v>
      </c>
      <c r="B199" t="s">
        <v>2115</v>
      </c>
      <c r="C199" t="s">
        <v>319</v>
      </c>
      <c r="D199" s="30">
        <v>0.05</v>
      </c>
      <c r="E199" s="31">
        <v>0.87000000000000011</v>
      </c>
      <c r="F199">
        <v>9.0200000000000002E-2</v>
      </c>
      <c r="G199">
        <v>6.0199999999999997E-2</v>
      </c>
      <c r="H199">
        <v>0.1401</v>
      </c>
      <c r="I199">
        <v>0.16</v>
      </c>
      <c r="J199">
        <v>0.36051159072741812</v>
      </c>
      <c r="K199">
        <v>0.27338782924613986</v>
      </c>
      <c r="L199">
        <v>0.46684438520493166</v>
      </c>
    </row>
    <row r="200" spans="1:12" x14ac:dyDescent="0.2">
      <c r="A200" t="s">
        <v>719</v>
      </c>
      <c r="B200" t="s">
        <v>241</v>
      </c>
      <c r="C200" t="s">
        <v>319</v>
      </c>
      <c r="D200">
        <v>0.05</v>
      </c>
      <c r="E200">
        <v>2.02</v>
      </c>
      <c r="F200">
        <v>0.11030000000000002</v>
      </c>
      <c r="G200">
        <v>0.33010000000000006</v>
      </c>
      <c r="H200">
        <v>0.37000000000000005</v>
      </c>
      <c r="I200">
        <v>1.21</v>
      </c>
      <c r="J200">
        <v>8.3541619328940414E-2</v>
      </c>
      <c r="K200">
        <v>0.2143367313810792</v>
      </c>
      <c r="L200">
        <v>0.23417721518987344</v>
      </c>
    </row>
    <row r="201" spans="1:12" x14ac:dyDescent="0.2">
      <c r="A201" t="s">
        <v>559</v>
      </c>
      <c r="B201" t="s">
        <v>289</v>
      </c>
      <c r="C201" t="s">
        <v>319</v>
      </c>
      <c r="D201">
        <v>2.4900000000000002</v>
      </c>
      <c r="E201">
        <v>1.7808000000000002</v>
      </c>
      <c r="F201">
        <v>0.11030000000000002</v>
      </c>
      <c r="G201">
        <v>1.0199999999999999E-2</v>
      </c>
      <c r="H201">
        <v>9.0300000000000005E-2</v>
      </c>
      <c r="I201">
        <v>1.5699999999999998</v>
      </c>
      <c r="J201">
        <v>6.5643039933345249E-2</v>
      </c>
      <c r="K201">
        <v>6.4548791292241489E-3</v>
      </c>
      <c r="L201">
        <v>5.4387761247967244E-2</v>
      </c>
    </row>
    <row r="202" spans="1:12" x14ac:dyDescent="0.2">
      <c r="A202" t="s">
        <v>799</v>
      </c>
      <c r="B202" t="s">
        <v>217</v>
      </c>
      <c r="C202" t="s">
        <v>319</v>
      </c>
      <c r="D202" s="30">
        <v>0.13</v>
      </c>
      <c r="E202" s="31">
        <v>5.3500000000000005</v>
      </c>
      <c r="F202">
        <v>0.19009999999999999</v>
      </c>
      <c r="G202">
        <v>0.36010000000000003</v>
      </c>
      <c r="H202">
        <v>2.4499999999999997</v>
      </c>
      <c r="I202">
        <v>1.37</v>
      </c>
      <c r="J202">
        <v>0.12185116338696236</v>
      </c>
      <c r="K202">
        <v>0.20813825790416737</v>
      </c>
      <c r="L202">
        <v>0.6413612565445026</v>
      </c>
    </row>
    <row r="203" spans="1:12" x14ac:dyDescent="0.2">
      <c r="A203" t="s">
        <v>639</v>
      </c>
      <c r="B203" t="s">
        <v>265</v>
      </c>
      <c r="C203" t="s">
        <v>319</v>
      </c>
      <c r="D203">
        <v>5.4</v>
      </c>
      <c r="E203">
        <v>11.8102</v>
      </c>
      <c r="F203">
        <v>0.62009999999999998</v>
      </c>
      <c r="G203">
        <v>2.0301</v>
      </c>
      <c r="H203">
        <v>6.1400000000000006</v>
      </c>
      <c r="I203">
        <v>3.02</v>
      </c>
      <c r="J203">
        <v>0.17035246284442734</v>
      </c>
      <c r="K203">
        <v>0.40199203976158887</v>
      </c>
      <c r="L203">
        <v>0.67030567685589526</v>
      </c>
    </row>
    <row r="204" spans="1:12" x14ac:dyDescent="0.2">
      <c r="A204" t="s">
        <v>798</v>
      </c>
      <c r="B204" t="s">
        <v>2116</v>
      </c>
      <c r="C204" t="s">
        <v>319</v>
      </c>
      <c r="D204" s="30">
        <v>0.09</v>
      </c>
      <c r="E204" s="31">
        <v>3.5049999999999999</v>
      </c>
      <c r="F204">
        <v>0.27</v>
      </c>
      <c r="G204">
        <v>0.41010000000000002</v>
      </c>
      <c r="H204">
        <v>1.51</v>
      </c>
      <c r="I204">
        <v>0.92</v>
      </c>
      <c r="J204">
        <v>0.22689075630252103</v>
      </c>
      <c r="K204">
        <v>0.30832268250507483</v>
      </c>
      <c r="L204">
        <v>0.62139917695473246</v>
      </c>
    </row>
    <row r="205" spans="1:12" x14ac:dyDescent="0.2">
      <c r="A205" t="s">
        <v>797</v>
      </c>
      <c r="B205" t="s">
        <v>2117</v>
      </c>
      <c r="C205" t="s">
        <v>319</v>
      </c>
      <c r="D205" s="30">
        <v>0.57999999999999996</v>
      </c>
      <c r="E205" s="31">
        <v>805.74</v>
      </c>
      <c r="F205">
        <v>85.080000000000013</v>
      </c>
      <c r="G205">
        <v>70.399999999999991</v>
      </c>
      <c r="H205">
        <v>465.22</v>
      </c>
      <c r="I205">
        <v>29.189999999999998</v>
      </c>
      <c r="J205">
        <v>0.74455237595169343</v>
      </c>
      <c r="K205">
        <v>0.70689828296013657</v>
      </c>
      <c r="L205">
        <v>0.94095993204020956</v>
      </c>
    </row>
    <row r="206" spans="1:12" x14ac:dyDescent="0.2">
      <c r="A206" t="s">
        <v>716</v>
      </c>
      <c r="B206" t="s">
        <v>242</v>
      </c>
      <c r="C206" t="s">
        <v>319</v>
      </c>
      <c r="D206">
        <v>4.53</v>
      </c>
      <c r="E206">
        <v>11.1402</v>
      </c>
      <c r="F206">
        <v>0.73019999999999996</v>
      </c>
      <c r="G206">
        <v>2.2000000000000002</v>
      </c>
      <c r="H206">
        <v>5.18</v>
      </c>
      <c r="I206">
        <v>3.0300000000000002</v>
      </c>
      <c r="J206">
        <v>0.19419179830860059</v>
      </c>
      <c r="K206">
        <v>0.42065009560229444</v>
      </c>
      <c r="L206">
        <v>0.63093788063337386</v>
      </c>
    </row>
    <row r="207" spans="1:12" x14ac:dyDescent="0.2">
      <c r="A207" t="s">
        <v>556</v>
      </c>
      <c r="B207" t="s">
        <v>290</v>
      </c>
      <c r="C207" t="s">
        <v>319</v>
      </c>
      <c r="D207">
        <v>2.79</v>
      </c>
      <c r="E207">
        <v>6.5104000000000006</v>
      </c>
      <c r="F207">
        <v>0.11030000000000002</v>
      </c>
      <c r="G207">
        <v>0.2601</v>
      </c>
      <c r="H207">
        <v>3.6900000000000004</v>
      </c>
      <c r="I207">
        <v>2.4500000000000002</v>
      </c>
      <c r="J207">
        <v>4.3080888958325202E-2</v>
      </c>
      <c r="K207">
        <v>9.5974318290837968E-2</v>
      </c>
      <c r="L207">
        <v>0.60097719869706845</v>
      </c>
    </row>
    <row r="208" spans="1:12" x14ac:dyDescent="0.2">
      <c r="A208" t="s">
        <v>796</v>
      </c>
      <c r="B208" t="s">
        <v>218</v>
      </c>
      <c r="C208" t="s">
        <v>319</v>
      </c>
      <c r="D208" s="30">
        <v>0.76</v>
      </c>
      <c r="E208" s="31">
        <v>824.67000000000019</v>
      </c>
      <c r="F208">
        <v>89.91</v>
      </c>
      <c r="G208">
        <v>75.06</v>
      </c>
      <c r="H208">
        <v>466.77</v>
      </c>
      <c r="I208">
        <v>41.76</v>
      </c>
      <c r="J208">
        <v>0.68284347231715659</v>
      </c>
      <c r="K208">
        <v>0.64252696456086289</v>
      </c>
      <c r="L208">
        <v>0.91788095097634359</v>
      </c>
    </row>
    <row r="209" spans="1:12" x14ac:dyDescent="0.2">
      <c r="A209" t="s">
        <v>636</v>
      </c>
      <c r="B209" t="s">
        <v>266</v>
      </c>
      <c r="C209" t="s">
        <v>319</v>
      </c>
      <c r="D209">
        <v>7.7</v>
      </c>
      <c r="E209">
        <v>11.160600000000001</v>
      </c>
      <c r="F209">
        <v>0.24019999999999997</v>
      </c>
      <c r="G209">
        <v>2.0101</v>
      </c>
      <c r="H209">
        <v>7.5100999999999996</v>
      </c>
      <c r="I209">
        <v>1.4001999999999999</v>
      </c>
      <c r="J209">
        <v>0.14642770056083881</v>
      </c>
      <c r="K209">
        <v>0.58942028560537196</v>
      </c>
      <c r="L209">
        <v>0.84285602056047493</v>
      </c>
    </row>
    <row r="210" spans="1:12" x14ac:dyDescent="0.2">
      <c r="A210" t="s">
        <v>795</v>
      </c>
      <c r="B210" t="s">
        <v>2118</v>
      </c>
      <c r="C210" t="s">
        <v>319</v>
      </c>
      <c r="D210" s="30">
        <v>0.11000000000000001</v>
      </c>
      <c r="E210" s="31">
        <v>2.61</v>
      </c>
      <c r="F210">
        <v>0.10009999999999999</v>
      </c>
      <c r="G210">
        <v>0.25009999999999999</v>
      </c>
      <c r="H210">
        <v>1.05</v>
      </c>
      <c r="I210">
        <v>0.81</v>
      </c>
      <c r="J210">
        <v>0.10998791341610811</v>
      </c>
      <c r="K210">
        <v>0.23592113951514007</v>
      </c>
      <c r="L210">
        <v>0.56451612903225801</v>
      </c>
    </row>
    <row r="211" spans="1:12" x14ac:dyDescent="0.2">
      <c r="A211" t="s">
        <v>714</v>
      </c>
      <c r="B211" t="s">
        <v>243</v>
      </c>
      <c r="C211" t="s">
        <v>319</v>
      </c>
      <c r="D211">
        <v>2.11</v>
      </c>
      <c r="E211">
        <v>4.8103000000000007</v>
      </c>
      <c r="F211">
        <v>0.2802</v>
      </c>
      <c r="G211">
        <v>0.98000000000000009</v>
      </c>
      <c r="H211">
        <v>1.8600999999999999</v>
      </c>
      <c r="I211">
        <v>1.69</v>
      </c>
      <c r="J211">
        <v>0.14221906405441073</v>
      </c>
      <c r="K211">
        <v>0.36704119850187272</v>
      </c>
      <c r="L211">
        <v>0.52395707163178507</v>
      </c>
    </row>
    <row r="212" spans="1:12" x14ac:dyDescent="0.2">
      <c r="A212" t="s">
        <v>554</v>
      </c>
      <c r="B212" t="s">
        <v>291</v>
      </c>
      <c r="C212" t="s">
        <v>319</v>
      </c>
      <c r="D212">
        <v>2.09</v>
      </c>
      <c r="E212">
        <v>1.6306999999999998</v>
      </c>
      <c r="F212">
        <v>0.11030000000000002</v>
      </c>
      <c r="G212">
        <v>2.01E-2</v>
      </c>
      <c r="H212">
        <v>2.0300000000000002E-2</v>
      </c>
      <c r="I212">
        <v>1.48</v>
      </c>
      <c r="J212">
        <v>6.9357982770546445E-2</v>
      </c>
      <c r="K212">
        <v>1.3399106726218251E-2</v>
      </c>
      <c r="L212">
        <v>1.3530627207891756E-2</v>
      </c>
    </row>
    <row r="213" spans="1:12" x14ac:dyDescent="0.2">
      <c r="A213" t="s">
        <v>794</v>
      </c>
      <c r="B213" t="s">
        <v>219</v>
      </c>
      <c r="C213" t="s">
        <v>319</v>
      </c>
      <c r="D213" s="30">
        <v>0.16</v>
      </c>
      <c r="E213" s="31">
        <v>4.5400000000000009</v>
      </c>
      <c r="F213">
        <v>0.27999999999999997</v>
      </c>
      <c r="G213">
        <v>0.24010000000000001</v>
      </c>
      <c r="H213">
        <v>1.68</v>
      </c>
      <c r="I213">
        <v>1.8599999999999999</v>
      </c>
      <c r="J213">
        <v>0.13084112149532712</v>
      </c>
      <c r="K213">
        <v>0.11432788914813581</v>
      </c>
      <c r="L213">
        <v>0.47457627118644063</v>
      </c>
    </row>
    <row r="214" spans="1:12" x14ac:dyDescent="0.2">
      <c r="A214" t="s">
        <v>634</v>
      </c>
      <c r="B214" t="s">
        <v>267</v>
      </c>
      <c r="C214" t="s">
        <v>319</v>
      </c>
      <c r="D214">
        <v>3.8899999999999997</v>
      </c>
      <c r="E214">
        <v>4.2507000000000001</v>
      </c>
      <c r="F214">
        <v>0.1203</v>
      </c>
      <c r="G214">
        <v>0.84010000000000007</v>
      </c>
      <c r="H214">
        <v>2.3801000000000001</v>
      </c>
      <c r="I214">
        <v>0.9101999999999999</v>
      </c>
      <c r="J214">
        <v>0.11673944687045125</v>
      </c>
      <c r="K214">
        <v>0.47997486145232249</v>
      </c>
      <c r="L214">
        <v>0.72336868978512592</v>
      </c>
    </row>
    <row r="215" spans="1:12" x14ac:dyDescent="0.2">
      <c r="A215" t="s">
        <v>793</v>
      </c>
      <c r="B215" t="s">
        <v>2119</v>
      </c>
      <c r="C215" t="s">
        <v>319</v>
      </c>
      <c r="D215" s="30">
        <v>0.11000000000000001</v>
      </c>
      <c r="E215" s="31">
        <v>3.4550000000000005</v>
      </c>
      <c r="F215">
        <v>0.24</v>
      </c>
      <c r="G215">
        <v>0.31010000000000004</v>
      </c>
      <c r="H215">
        <v>1.3900000000000001</v>
      </c>
      <c r="I215">
        <v>1.03</v>
      </c>
      <c r="J215">
        <v>0.1889763779527559</v>
      </c>
      <c r="K215">
        <v>0.23140064174315353</v>
      </c>
      <c r="L215">
        <v>0.57438016528925628</v>
      </c>
    </row>
    <row r="216" spans="1:12" x14ac:dyDescent="0.2">
      <c r="A216" t="s">
        <v>792</v>
      </c>
      <c r="B216" t="s">
        <v>2120</v>
      </c>
      <c r="C216" t="s">
        <v>319</v>
      </c>
      <c r="D216" s="30">
        <v>0.06</v>
      </c>
      <c r="E216" s="31">
        <v>2.1650000000000005</v>
      </c>
      <c r="F216">
        <v>0.28000000000000003</v>
      </c>
      <c r="G216">
        <v>0.15010000000000001</v>
      </c>
      <c r="H216">
        <v>0.92</v>
      </c>
      <c r="I216">
        <v>0.44999999999999996</v>
      </c>
      <c r="J216">
        <v>0.38356164383561647</v>
      </c>
      <c r="K216">
        <v>0.25012497917013832</v>
      </c>
      <c r="L216">
        <v>0.67153284671532842</v>
      </c>
    </row>
    <row r="217" spans="1:12" x14ac:dyDescent="0.2">
      <c r="A217" t="s">
        <v>791</v>
      </c>
      <c r="B217" t="s">
        <v>2121</v>
      </c>
      <c r="C217" t="s">
        <v>319</v>
      </c>
      <c r="D217" s="30">
        <v>0.5</v>
      </c>
      <c r="E217" s="31">
        <v>677.51999999999987</v>
      </c>
      <c r="F217">
        <v>70.180000000000007</v>
      </c>
      <c r="G217">
        <v>60.69</v>
      </c>
      <c r="H217">
        <v>389.89</v>
      </c>
      <c r="I217">
        <v>27.990000000000002</v>
      </c>
      <c r="J217">
        <v>0.71488234694916974</v>
      </c>
      <c r="K217">
        <v>0.6843707713125845</v>
      </c>
      <c r="L217">
        <v>0.93301904853067863</v>
      </c>
    </row>
    <row r="218" spans="1:12" x14ac:dyDescent="0.2">
      <c r="A218" t="s">
        <v>790</v>
      </c>
      <c r="B218" t="s">
        <v>2122</v>
      </c>
      <c r="C218" t="s">
        <v>319</v>
      </c>
      <c r="D218" s="30">
        <v>0.72</v>
      </c>
      <c r="E218" s="31">
        <v>609.09500000000003</v>
      </c>
      <c r="F218">
        <v>63.43</v>
      </c>
      <c r="G218">
        <v>50.709999999999994</v>
      </c>
      <c r="H218">
        <v>357.02</v>
      </c>
      <c r="I218">
        <v>22.21</v>
      </c>
      <c r="J218">
        <v>0.74065857076132646</v>
      </c>
      <c r="K218">
        <v>0.69541963795940764</v>
      </c>
      <c r="L218">
        <v>0.94143395828389109</v>
      </c>
    </row>
    <row r="219" spans="1:12" x14ac:dyDescent="0.2">
      <c r="A219" t="s">
        <v>789</v>
      </c>
      <c r="B219" t="s">
        <v>2123</v>
      </c>
      <c r="C219" t="s">
        <v>319</v>
      </c>
      <c r="D219" s="30">
        <v>0.06</v>
      </c>
      <c r="E219" s="31">
        <v>2.02</v>
      </c>
      <c r="F219">
        <v>0.19</v>
      </c>
      <c r="G219">
        <v>0.12010000000000001</v>
      </c>
      <c r="H219">
        <v>1.06</v>
      </c>
      <c r="I219">
        <v>0.34</v>
      </c>
      <c r="J219">
        <v>0.35849056603773582</v>
      </c>
      <c r="K219">
        <v>0.26103021082373395</v>
      </c>
      <c r="L219">
        <v>0.75714285714285712</v>
      </c>
    </row>
    <row r="220" spans="1:12" x14ac:dyDescent="0.2">
      <c r="A220" t="s">
        <v>788</v>
      </c>
      <c r="B220" t="s">
        <v>2124</v>
      </c>
      <c r="C220" t="s">
        <v>319</v>
      </c>
      <c r="D220" s="30">
        <v>0.61</v>
      </c>
      <c r="E220" s="31">
        <v>590.67500000000018</v>
      </c>
      <c r="F220">
        <v>61.739999999999995</v>
      </c>
      <c r="G220">
        <v>51.12</v>
      </c>
      <c r="H220">
        <v>330.29</v>
      </c>
      <c r="I220">
        <v>25.020000000000003</v>
      </c>
      <c r="J220">
        <v>0.71161825726141081</v>
      </c>
      <c r="K220">
        <v>0.67139479905437349</v>
      </c>
      <c r="L220">
        <v>0.9295826179955532</v>
      </c>
    </row>
    <row r="221" spans="1:12" x14ac:dyDescent="0.2">
      <c r="A221" t="s">
        <v>787</v>
      </c>
      <c r="B221" t="s">
        <v>2125</v>
      </c>
      <c r="C221" t="s">
        <v>319</v>
      </c>
      <c r="D221" s="30">
        <v>0.75</v>
      </c>
      <c r="E221" s="31">
        <v>813.87499999999989</v>
      </c>
      <c r="F221">
        <v>94.539999999999992</v>
      </c>
      <c r="G221">
        <v>70.509999999999991</v>
      </c>
      <c r="H221">
        <v>452.27</v>
      </c>
      <c r="I221">
        <v>29.16</v>
      </c>
      <c r="J221">
        <v>0.76426839126919965</v>
      </c>
      <c r="K221">
        <v>0.7074345339620749</v>
      </c>
      <c r="L221">
        <v>0.9394304467939264</v>
      </c>
    </row>
    <row r="222" spans="1:12" x14ac:dyDescent="0.2">
      <c r="A222" t="s">
        <v>786</v>
      </c>
      <c r="B222" t="s">
        <v>2126</v>
      </c>
      <c r="C222" t="s">
        <v>319</v>
      </c>
      <c r="D222" s="30">
        <v>0.04</v>
      </c>
      <c r="E222" s="31">
        <v>1.1200000000000003</v>
      </c>
      <c r="F222">
        <v>0.09</v>
      </c>
      <c r="G222">
        <v>5.0099999999999999E-2</v>
      </c>
      <c r="H222">
        <v>0.41000000000000003</v>
      </c>
      <c r="I222">
        <v>0.22000000000000003</v>
      </c>
      <c r="J222">
        <v>0.29032258064516125</v>
      </c>
      <c r="K222">
        <v>0.18548685671973342</v>
      </c>
      <c r="L222">
        <v>0.6507936507936507</v>
      </c>
    </row>
    <row r="223" spans="1:12" x14ac:dyDescent="0.2">
      <c r="A223" t="s">
        <v>785</v>
      </c>
      <c r="B223" t="s">
        <v>2127</v>
      </c>
      <c r="C223" t="s">
        <v>319</v>
      </c>
      <c r="D223" s="30">
        <v>0.55000000000000004</v>
      </c>
      <c r="E223" s="31">
        <v>300.27500000000003</v>
      </c>
      <c r="F223">
        <v>31.45</v>
      </c>
      <c r="G223">
        <v>29.03</v>
      </c>
      <c r="H223">
        <v>160.72999999999999</v>
      </c>
      <c r="I223">
        <v>25.87</v>
      </c>
      <c r="J223">
        <v>0.54867411025819957</v>
      </c>
      <c r="K223">
        <v>0.5287795992714025</v>
      </c>
      <c r="L223">
        <v>0.86136120042872455</v>
      </c>
    </row>
    <row r="224" spans="1:12" x14ac:dyDescent="0.2">
      <c r="A224" t="s">
        <v>784</v>
      </c>
      <c r="B224" t="s">
        <v>2128</v>
      </c>
      <c r="C224" t="s">
        <v>319</v>
      </c>
      <c r="D224" s="30">
        <v>0.78</v>
      </c>
      <c r="E224" s="31">
        <v>353.39</v>
      </c>
      <c r="F224">
        <v>32.39</v>
      </c>
      <c r="G224">
        <v>30.229999999999997</v>
      </c>
      <c r="H224">
        <v>197.61</v>
      </c>
      <c r="I224">
        <v>19.440000000000001</v>
      </c>
      <c r="J224">
        <v>0.62492764808026247</v>
      </c>
      <c r="K224">
        <v>0.60861687135091591</v>
      </c>
      <c r="L224">
        <v>0.9104353835521769</v>
      </c>
    </row>
    <row r="225" spans="1:12" x14ac:dyDescent="0.2">
      <c r="A225" t="s">
        <v>703</v>
      </c>
      <c r="B225" t="s">
        <v>244</v>
      </c>
      <c r="C225" t="s">
        <v>319</v>
      </c>
      <c r="D225">
        <v>1.39</v>
      </c>
      <c r="E225">
        <v>9.8500999999999994</v>
      </c>
      <c r="F225">
        <v>1.5300999999999998</v>
      </c>
      <c r="G225">
        <v>1.93</v>
      </c>
      <c r="H225">
        <v>4.49</v>
      </c>
      <c r="I225">
        <v>1.9</v>
      </c>
      <c r="J225">
        <v>0.44608028920439641</v>
      </c>
      <c r="K225">
        <v>0.50391644908616184</v>
      </c>
      <c r="L225">
        <v>0.70266040688575893</v>
      </c>
    </row>
    <row r="226" spans="1:12" x14ac:dyDescent="0.2">
      <c r="A226" t="s">
        <v>543</v>
      </c>
      <c r="B226" t="s">
        <v>292</v>
      </c>
      <c r="C226" t="s">
        <v>319</v>
      </c>
      <c r="D226">
        <v>1E-4</v>
      </c>
      <c r="E226">
        <v>294.52069999999992</v>
      </c>
      <c r="F226">
        <v>55.1402</v>
      </c>
      <c r="G226">
        <v>23.120100000000001</v>
      </c>
      <c r="H226">
        <v>216.26009999999999</v>
      </c>
      <c r="I226">
        <v>3.0000000000000003E-4</v>
      </c>
      <c r="J226">
        <v>0.99999455935292569</v>
      </c>
      <c r="K226">
        <v>0.9999870244459439</v>
      </c>
      <c r="L226">
        <v>0.99999861278347768</v>
      </c>
    </row>
    <row r="227" spans="1:12" x14ac:dyDescent="0.2">
      <c r="A227" t="s">
        <v>783</v>
      </c>
      <c r="B227" t="s">
        <v>220</v>
      </c>
      <c r="C227" t="s">
        <v>319</v>
      </c>
      <c r="D227" s="30">
        <v>0.5</v>
      </c>
      <c r="E227" s="31">
        <v>673.98</v>
      </c>
      <c r="F227">
        <v>75.320000000000007</v>
      </c>
      <c r="G227">
        <v>57.599999999999994</v>
      </c>
      <c r="H227">
        <v>374.6</v>
      </c>
      <c r="I227">
        <v>31.74</v>
      </c>
      <c r="J227">
        <v>0.7035307304315338</v>
      </c>
      <c r="K227">
        <v>0.64472800537273334</v>
      </c>
      <c r="L227">
        <v>0.92188807402667716</v>
      </c>
    </row>
    <row r="228" spans="1:12" x14ac:dyDescent="0.2">
      <c r="A228" t="s">
        <v>623</v>
      </c>
      <c r="B228" t="s">
        <v>268</v>
      </c>
      <c r="C228" t="s">
        <v>319</v>
      </c>
      <c r="D228">
        <v>2.27</v>
      </c>
      <c r="E228">
        <v>7.5803999999999991</v>
      </c>
      <c r="F228">
        <v>0.1502</v>
      </c>
      <c r="G228">
        <v>1.3201000000000001</v>
      </c>
      <c r="H228">
        <v>4.1500999999999992</v>
      </c>
      <c r="I228">
        <v>1.9600000000000002</v>
      </c>
      <c r="J228">
        <v>7.1178087385081967E-2</v>
      </c>
      <c r="K228">
        <v>0.40245724215725132</v>
      </c>
      <c r="L228">
        <v>0.67921965270617501</v>
      </c>
    </row>
    <row r="229" spans="1:12" x14ac:dyDescent="0.2">
      <c r="A229" t="s">
        <v>702</v>
      </c>
      <c r="B229" t="s">
        <v>245</v>
      </c>
      <c r="C229" t="s">
        <v>319</v>
      </c>
      <c r="D229">
        <v>12</v>
      </c>
      <c r="E229">
        <v>220.13050000000001</v>
      </c>
      <c r="F229">
        <v>100.56</v>
      </c>
      <c r="G229">
        <v>34.6601</v>
      </c>
      <c r="H229">
        <v>81.100200000000001</v>
      </c>
      <c r="I229">
        <v>3.8102000000000005</v>
      </c>
      <c r="J229">
        <v>0.96349341095446794</v>
      </c>
      <c r="K229">
        <v>0.90095736191295617</v>
      </c>
      <c r="L229">
        <v>0.95512681603195848</v>
      </c>
    </row>
    <row r="230" spans="1:12" x14ac:dyDescent="0.2">
      <c r="A230" t="s">
        <v>542</v>
      </c>
      <c r="B230" t="s">
        <v>293</v>
      </c>
      <c r="C230" t="s">
        <v>319</v>
      </c>
      <c r="D230">
        <v>1.8700000000000003</v>
      </c>
      <c r="E230">
        <v>32.450000000000003</v>
      </c>
      <c r="F230">
        <v>9.07</v>
      </c>
      <c r="G230">
        <v>5.0999999999999996</v>
      </c>
      <c r="H230">
        <v>15.82</v>
      </c>
      <c r="I230">
        <v>2.46</v>
      </c>
      <c r="J230">
        <v>0.7866435385949696</v>
      </c>
      <c r="K230">
        <v>0.67460317460317454</v>
      </c>
      <c r="L230">
        <v>0.86542669584245069</v>
      </c>
    </row>
    <row r="231" spans="1:12" x14ac:dyDescent="0.2">
      <c r="A231" t="s">
        <v>782</v>
      </c>
      <c r="B231" t="s">
        <v>221</v>
      </c>
      <c r="C231" t="s">
        <v>319</v>
      </c>
      <c r="D231" s="30">
        <v>0.62</v>
      </c>
      <c r="E231" s="31">
        <v>355.70000000000005</v>
      </c>
      <c r="F231">
        <v>35.840000000000003</v>
      </c>
      <c r="G231">
        <v>28.4</v>
      </c>
      <c r="H231">
        <v>196.07000000000002</v>
      </c>
      <c r="I231">
        <v>19.720000000000002</v>
      </c>
      <c r="J231">
        <v>0.64506839452843778</v>
      </c>
      <c r="K231">
        <v>0.59019118869492926</v>
      </c>
      <c r="L231">
        <v>0.90861485703693412</v>
      </c>
    </row>
    <row r="232" spans="1:12" x14ac:dyDescent="0.2">
      <c r="A232" t="s">
        <v>622</v>
      </c>
      <c r="B232" t="s">
        <v>269</v>
      </c>
      <c r="C232" t="s">
        <v>319</v>
      </c>
      <c r="D232">
        <v>13.6</v>
      </c>
      <c r="E232">
        <v>155.55020000000002</v>
      </c>
      <c r="F232">
        <v>63.32</v>
      </c>
      <c r="G232">
        <v>26.370100000000001</v>
      </c>
      <c r="H232">
        <v>56.97</v>
      </c>
      <c r="I232">
        <v>8.8901000000000003</v>
      </c>
      <c r="J232">
        <v>0.87688564342107267</v>
      </c>
      <c r="K232">
        <v>0.74787153788123728</v>
      </c>
      <c r="L232">
        <v>0.86501538867994421</v>
      </c>
    </row>
    <row r="233" spans="1:12" x14ac:dyDescent="0.2">
      <c r="A233" t="s">
        <v>701</v>
      </c>
      <c r="B233" t="s">
        <v>246</v>
      </c>
      <c r="C233" t="s">
        <v>319</v>
      </c>
      <c r="D233">
        <v>1.73</v>
      </c>
      <c r="E233">
        <v>4.4404999999999992</v>
      </c>
      <c r="F233">
        <v>0.66010000000000002</v>
      </c>
      <c r="G233">
        <v>0.96009999999999995</v>
      </c>
      <c r="H233">
        <v>2.3801000000000001</v>
      </c>
      <c r="I233">
        <v>0.44020000000000004</v>
      </c>
      <c r="J233">
        <v>0.59992729255657551</v>
      </c>
      <c r="K233">
        <v>0.68563879168749542</v>
      </c>
      <c r="L233">
        <v>0.84391731376094747</v>
      </c>
    </row>
    <row r="234" spans="1:12" x14ac:dyDescent="0.2">
      <c r="A234" t="s">
        <v>541</v>
      </c>
      <c r="B234" t="s">
        <v>294</v>
      </c>
      <c r="C234" t="s">
        <v>319</v>
      </c>
      <c r="D234">
        <v>1</v>
      </c>
      <c r="E234">
        <v>1.3307</v>
      </c>
      <c r="F234">
        <v>0.11030000000000002</v>
      </c>
      <c r="G234">
        <v>6.0100000000000001E-2</v>
      </c>
      <c r="H234">
        <v>4.0300000000000002E-2</v>
      </c>
      <c r="I234">
        <v>1.1200000000000001</v>
      </c>
      <c r="J234">
        <v>8.9652930179630996E-2</v>
      </c>
      <c r="K234">
        <v>5.0927887467163792E-2</v>
      </c>
      <c r="L234">
        <v>3.4732396793932606E-2</v>
      </c>
    </row>
    <row r="235" spans="1:12" x14ac:dyDescent="0.2">
      <c r="A235" t="s">
        <v>781</v>
      </c>
      <c r="B235" t="s">
        <v>222</v>
      </c>
      <c r="C235" t="s">
        <v>319</v>
      </c>
      <c r="D235" s="30">
        <v>0.11000000000000001</v>
      </c>
      <c r="E235" s="31">
        <v>2.2850000000000001</v>
      </c>
      <c r="F235">
        <v>9.0200000000000002E-2</v>
      </c>
      <c r="G235">
        <v>6.0199999999999997E-2</v>
      </c>
      <c r="H235">
        <v>0.9002</v>
      </c>
      <c r="I235">
        <v>0.79000000000000015</v>
      </c>
      <c r="J235">
        <v>0.10247670983867302</v>
      </c>
      <c r="K235">
        <v>7.0806868972006567E-2</v>
      </c>
      <c r="L235">
        <v>0.53259969234410121</v>
      </c>
    </row>
    <row r="236" spans="1:12" x14ac:dyDescent="0.2">
      <c r="A236" t="s">
        <v>621</v>
      </c>
      <c r="B236" t="s">
        <v>270</v>
      </c>
      <c r="C236" t="s">
        <v>319</v>
      </c>
      <c r="D236">
        <v>1E-4</v>
      </c>
      <c r="E236">
        <v>2.7906000000000009</v>
      </c>
      <c r="F236">
        <v>0.24020000000000002</v>
      </c>
      <c r="G236">
        <v>0.35009999999999997</v>
      </c>
      <c r="H236">
        <v>1.9200999999999999</v>
      </c>
      <c r="I236">
        <v>0.2802</v>
      </c>
      <c r="J236">
        <v>0.46156802459646434</v>
      </c>
      <c r="K236">
        <v>0.55544978581627791</v>
      </c>
      <c r="L236">
        <v>0.87265372903694949</v>
      </c>
    </row>
    <row r="237" spans="1:12" x14ac:dyDescent="0.2">
      <c r="A237" t="s">
        <v>700</v>
      </c>
      <c r="B237" t="s">
        <v>247</v>
      </c>
      <c r="C237" t="s">
        <v>319</v>
      </c>
      <c r="D237">
        <v>4.91</v>
      </c>
      <c r="E237">
        <v>151.8304</v>
      </c>
      <c r="F237">
        <v>58.620000000000005</v>
      </c>
      <c r="G237">
        <v>21.460099999999997</v>
      </c>
      <c r="H237">
        <v>69.650100000000009</v>
      </c>
      <c r="I237">
        <v>2.1002000000000001</v>
      </c>
      <c r="J237">
        <v>0.96541183988195034</v>
      </c>
      <c r="K237">
        <v>0.91085852047724347</v>
      </c>
      <c r="L237">
        <v>0.97072904224790701</v>
      </c>
    </row>
    <row r="238" spans="1:12" x14ac:dyDescent="0.2">
      <c r="A238" t="s">
        <v>540</v>
      </c>
      <c r="B238" t="s">
        <v>295</v>
      </c>
      <c r="C238" t="s">
        <v>319</v>
      </c>
      <c r="D238">
        <v>1.02</v>
      </c>
      <c r="E238">
        <v>38.730000000000004</v>
      </c>
      <c r="F238">
        <v>8.67</v>
      </c>
      <c r="G238">
        <v>5.67</v>
      </c>
      <c r="H238">
        <v>20.32</v>
      </c>
      <c r="I238">
        <v>4.07</v>
      </c>
      <c r="J238">
        <v>0.68053375196232335</v>
      </c>
      <c r="K238">
        <v>0.58213552361396304</v>
      </c>
      <c r="L238">
        <v>0.83312833128331287</v>
      </c>
    </row>
    <row r="239" spans="1:12" x14ac:dyDescent="0.2">
      <c r="A239" t="s">
        <v>780</v>
      </c>
      <c r="B239" t="s">
        <v>223</v>
      </c>
      <c r="C239" t="s">
        <v>319</v>
      </c>
      <c r="D239" s="30">
        <v>0.67</v>
      </c>
      <c r="E239" s="31">
        <v>775.74</v>
      </c>
      <c r="F239">
        <v>79.960000000000008</v>
      </c>
      <c r="G239">
        <v>58.78</v>
      </c>
      <c r="H239">
        <v>411.09</v>
      </c>
      <c r="I239">
        <v>27.119999999999997</v>
      </c>
      <c r="J239">
        <v>0.74673141576391477</v>
      </c>
      <c r="K239">
        <v>0.68428405122235159</v>
      </c>
      <c r="L239">
        <v>0.93811186417471071</v>
      </c>
    </row>
    <row r="240" spans="1:12" x14ac:dyDescent="0.2">
      <c r="A240" t="s">
        <v>620</v>
      </c>
      <c r="B240" t="s">
        <v>271</v>
      </c>
      <c r="C240" t="s">
        <v>319</v>
      </c>
      <c r="D240">
        <v>0.62</v>
      </c>
      <c r="E240">
        <v>5.3608999999999982</v>
      </c>
      <c r="F240">
        <v>4.4001000000000001</v>
      </c>
      <c r="G240">
        <v>0.45019999999999999</v>
      </c>
      <c r="H240">
        <v>4.0000000000000002E-4</v>
      </c>
      <c r="I240">
        <v>0.51019999999999999</v>
      </c>
      <c r="J240">
        <v>0.89609596155021076</v>
      </c>
      <c r="K240">
        <v>0.46876301541024573</v>
      </c>
      <c r="L240">
        <v>7.8339208773991391E-4</v>
      </c>
    </row>
    <row r="241" spans="1:12" x14ac:dyDescent="0.2">
      <c r="A241" t="s">
        <v>779</v>
      </c>
      <c r="B241" t="s">
        <v>2129</v>
      </c>
      <c r="C241" t="s">
        <v>319</v>
      </c>
      <c r="D241" s="30">
        <v>0.42000000000000004</v>
      </c>
      <c r="E241" s="31">
        <v>181.64499999999998</v>
      </c>
      <c r="F241">
        <v>17.440000000000001</v>
      </c>
      <c r="G241">
        <v>15.6</v>
      </c>
      <c r="H241">
        <v>103.68</v>
      </c>
      <c r="I241">
        <v>9.59</v>
      </c>
      <c r="J241">
        <v>0.6452090270070292</v>
      </c>
      <c r="K241">
        <v>0.61929337038507348</v>
      </c>
      <c r="L241">
        <v>0.91533504016950651</v>
      </c>
    </row>
    <row r="242" spans="1:12" x14ac:dyDescent="0.2">
      <c r="A242" t="s">
        <v>698</v>
      </c>
      <c r="B242" t="s">
        <v>248</v>
      </c>
      <c r="C242" t="s">
        <v>319</v>
      </c>
      <c r="D242">
        <v>0.78</v>
      </c>
      <c r="E242">
        <v>2.0507</v>
      </c>
      <c r="F242">
        <v>0.30020000000000002</v>
      </c>
      <c r="G242">
        <v>0.54010000000000002</v>
      </c>
      <c r="H242">
        <v>0.84020000000000006</v>
      </c>
      <c r="I242">
        <v>0.37019999999999997</v>
      </c>
      <c r="J242">
        <v>0.44779236276849643</v>
      </c>
      <c r="K242">
        <v>0.5933208832253104</v>
      </c>
      <c r="L242">
        <v>0.69415069398545948</v>
      </c>
    </row>
    <row r="243" spans="1:12" x14ac:dyDescent="0.2">
      <c r="A243" t="s">
        <v>538</v>
      </c>
      <c r="B243" t="s">
        <v>296</v>
      </c>
      <c r="C243" t="s">
        <v>319</v>
      </c>
      <c r="D243">
        <v>3.06</v>
      </c>
      <c r="E243">
        <v>2.6905999999999999</v>
      </c>
      <c r="F243">
        <v>0.11030000000000002</v>
      </c>
      <c r="G243">
        <v>0.1701</v>
      </c>
      <c r="H243">
        <v>0.50019999999999998</v>
      </c>
      <c r="I243">
        <v>1.9100000000000001</v>
      </c>
      <c r="J243">
        <v>5.4595852101173098E-2</v>
      </c>
      <c r="K243">
        <v>8.177491466756405E-2</v>
      </c>
      <c r="L243">
        <v>0.2075346444278483</v>
      </c>
    </row>
    <row r="244" spans="1:12" x14ac:dyDescent="0.2">
      <c r="A244" t="s">
        <v>778</v>
      </c>
      <c r="B244" t="s">
        <v>224</v>
      </c>
      <c r="C244" t="s">
        <v>319</v>
      </c>
      <c r="D244" s="30">
        <v>0.15</v>
      </c>
      <c r="E244" s="31">
        <v>3.2749999999999995</v>
      </c>
      <c r="F244">
        <v>4.0200000000000007E-2</v>
      </c>
      <c r="G244">
        <v>4.02E-2</v>
      </c>
      <c r="H244">
        <v>1.5001</v>
      </c>
      <c r="I244">
        <v>1.26</v>
      </c>
      <c r="J244">
        <v>3.0918320258421787E-2</v>
      </c>
      <c r="K244">
        <v>3.091832025842178E-2</v>
      </c>
      <c r="L244">
        <v>0.54349480091301039</v>
      </c>
    </row>
    <row r="245" spans="1:12" x14ac:dyDescent="0.2">
      <c r="A245" t="s">
        <v>618</v>
      </c>
      <c r="B245" t="s">
        <v>272</v>
      </c>
      <c r="C245" t="s">
        <v>319</v>
      </c>
      <c r="D245">
        <v>1.26</v>
      </c>
      <c r="E245">
        <v>3.7705000000000006</v>
      </c>
      <c r="F245">
        <v>0.42010000000000003</v>
      </c>
      <c r="G245">
        <v>0.84010000000000007</v>
      </c>
      <c r="H245">
        <v>2.0301</v>
      </c>
      <c r="I245">
        <v>0.48019999999999996</v>
      </c>
      <c r="J245">
        <v>0.46662223703210043</v>
      </c>
      <c r="K245">
        <v>0.63629478148905561</v>
      </c>
      <c r="L245">
        <v>0.80870812253515523</v>
      </c>
    </row>
    <row r="246" spans="1:12" x14ac:dyDescent="0.2">
      <c r="A246" t="s">
        <v>697</v>
      </c>
      <c r="B246" t="s">
        <v>249</v>
      </c>
      <c r="C246" t="s">
        <v>319</v>
      </c>
      <c r="D246">
        <v>2.4500000000000002</v>
      </c>
      <c r="E246">
        <v>3.4208000000000003</v>
      </c>
      <c r="F246">
        <v>0.1203</v>
      </c>
      <c r="G246">
        <v>0.2702</v>
      </c>
      <c r="H246">
        <v>1.8402000000000001</v>
      </c>
      <c r="I246">
        <v>1.1900999999999999</v>
      </c>
      <c r="J246">
        <v>9.1804029304029311E-2</v>
      </c>
      <c r="K246">
        <v>0.18503047319044033</v>
      </c>
      <c r="L246">
        <v>0.60726660726660731</v>
      </c>
    </row>
    <row r="247" spans="1:12" x14ac:dyDescent="0.2">
      <c r="A247" t="s">
        <v>537</v>
      </c>
      <c r="B247" t="s">
        <v>297</v>
      </c>
      <c r="C247" t="s">
        <v>319</v>
      </c>
      <c r="D247">
        <v>1.19</v>
      </c>
      <c r="E247">
        <v>1.2208999999999999</v>
      </c>
      <c r="F247">
        <v>0.11030000000000002</v>
      </c>
      <c r="G247">
        <v>1.0199999999999999E-2</v>
      </c>
      <c r="H247">
        <v>4.0000000000000002E-4</v>
      </c>
      <c r="I247">
        <v>1.1000000000000001</v>
      </c>
      <c r="J247">
        <v>9.1134429480294155E-2</v>
      </c>
      <c r="K247">
        <v>9.1875337776977112E-3</v>
      </c>
      <c r="L247">
        <v>3.6350418029807341E-4</v>
      </c>
    </row>
    <row r="248" spans="1:12" x14ac:dyDescent="0.2">
      <c r="A248" t="s">
        <v>777</v>
      </c>
      <c r="B248" t="s">
        <v>225</v>
      </c>
      <c r="C248" t="s">
        <v>319</v>
      </c>
      <c r="D248" s="30">
        <v>0.16</v>
      </c>
      <c r="E248" s="31">
        <v>2.4649999999999999</v>
      </c>
      <c r="F248">
        <v>2.0299999999999999E-2</v>
      </c>
      <c r="G248">
        <v>7.0200000000000012E-2</v>
      </c>
      <c r="H248">
        <v>0.88</v>
      </c>
      <c r="I248">
        <v>0.99</v>
      </c>
      <c r="J248">
        <v>2.0093041670790852E-2</v>
      </c>
      <c r="K248">
        <v>6.6213921901528028E-2</v>
      </c>
      <c r="L248">
        <v>0.47058823529411764</v>
      </c>
    </row>
    <row r="249" spans="1:12" x14ac:dyDescent="0.2">
      <c r="A249" t="s">
        <v>617</v>
      </c>
      <c r="B249" t="s">
        <v>273</v>
      </c>
      <c r="C249" t="s">
        <v>319</v>
      </c>
      <c r="D249">
        <v>4.74</v>
      </c>
      <c r="E249">
        <v>6.2805</v>
      </c>
      <c r="F249">
        <v>0.68009999999999993</v>
      </c>
      <c r="G249">
        <v>1.0401</v>
      </c>
      <c r="H249">
        <v>2.9001999999999999</v>
      </c>
      <c r="I249">
        <v>1.6601000000000001</v>
      </c>
      <c r="J249">
        <v>0.29061618665071354</v>
      </c>
      <c r="K249">
        <v>0.38519368935634396</v>
      </c>
      <c r="L249">
        <v>0.63596693200008769</v>
      </c>
    </row>
    <row r="250" spans="1:12" x14ac:dyDescent="0.2">
      <c r="A250" t="s">
        <v>776</v>
      </c>
      <c r="B250" t="s">
        <v>2130</v>
      </c>
      <c r="C250" t="s">
        <v>319</v>
      </c>
      <c r="D250" s="30">
        <v>0.21000000000000002</v>
      </c>
      <c r="E250" s="31">
        <v>4.9450000000000003</v>
      </c>
      <c r="F250">
        <v>2.0199999999999999E-2</v>
      </c>
      <c r="G250">
        <v>0.41010000000000002</v>
      </c>
      <c r="H250">
        <v>2.1300000000000003</v>
      </c>
      <c r="I250">
        <v>1.9300000000000002</v>
      </c>
      <c r="J250">
        <v>1.0357912009024714E-2</v>
      </c>
      <c r="K250">
        <v>0.17524892098628264</v>
      </c>
      <c r="L250">
        <v>0.52463054187192115</v>
      </c>
    </row>
    <row r="251" spans="1:12" x14ac:dyDescent="0.2">
      <c r="A251" t="s">
        <v>695</v>
      </c>
      <c r="B251" t="s">
        <v>250</v>
      </c>
      <c r="C251" t="s">
        <v>319</v>
      </c>
      <c r="D251">
        <v>1.73</v>
      </c>
      <c r="E251">
        <v>4.8400000000000007</v>
      </c>
      <c r="F251">
        <v>0.11030000000000002</v>
      </c>
      <c r="G251">
        <v>0.44009999999999999</v>
      </c>
      <c r="H251">
        <v>1.2501000000000002</v>
      </c>
      <c r="I251">
        <v>2.41</v>
      </c>
      <c r="J251">
        <v>4.3764631194699047E-2</v>
      </c>
      <c r="K251">
        <v>0.15441563453913895</v>
      </c>
      <c r="L251">
        <v>0.34154804513537884</v>
      </c>
    </row>
    <row r="252" spans="1:12" x14ac:dyDescent="0.2">
      <c r="A252" t="s">
        <v>535</v>
      </c>
      <c r="B252" t="s">
        <v>298</v>
      </c>
      <c r="C252" t="s">
        <v>319</v>
      </c>
      <c r="D252">
        <v>1.64</v>
      </c>
      <c r="E252">
        <v>2.1007999999999996</v>
      </c>
      <c r="F252">
        <v>0.1203</v>
      </c>
      <c r="G252">
        <v>3.0100000000000002E-2</v>
      </c>
      <c r="H252">
        <v>4.0000000000000002E-4</v>
      </c>
      <c r="I252">
        <v>1.95</v>
      </c>
      <c r="J252">
        <v>5.8107520649181281E-2</v>
      </c>
      <c r="K252">
        <v>1.520125246199687E-2</v>
      </c>
      <c r="L252">
        <v>2.0508613617719443E-4</v>
      </c>
    </row>
    <row r="253" spans="1:12" x14ac:dyDescent="0.2">
      <c r="A253" t="s">
        <v>775</v>
      </c>
      <c r="B253" t="s">
        <v>226</v>
      </c>
      <c r="C253" t="s">
        <v>319</v>
      </c>
      <c r="D253" s="30">
        <v>0.25</v>
      </c>
      <c r="E253" s="31">
        <v>10.340000000000002</v>
      </c>
      <c r="F253">
        <v>2.0199999999999999E-2</v>
      </c>
      <c r="G253">
        <v>1.0001</v>
      </c>
      <c r="H253">
        <v>3.63</v>
      </c>
      <c r="I253">
        <v>2.9</v>
      </c>
      <c r="J253">
        <v>6.9173344291486886E-3</v>
      </c>
      <c r="K253">
        <v>0.2564293223250686</v>
      </c>
      <c r="L253">
        <v>0.555895865237366</v>
      </c>
    </row>
    <row r="254" spans="1:12" x14ac:dyDescent="0.2">
      <c r="A254" t="s">
        <v>615</v>
      </c>
      <c r="B254" t="s">
        <v>274</v>
      </c>
      <c r="C254" t="s">
        <v>319</v>
      </c>
      <c r="D254">
        <v>1.81</v>
      </c>
      <c r="E254">
        <v>2.2509000000000006</v>
      </c>
      <c r="F254">
        <v>0.2702</v>
      </c>
      <c r="G254">
        <v>0.88009999999999999</v>
      </c>
      <c r="H254">
        <v>1.1003000000000001</v>
      </c>
      <c r="I254">
        <v>3.0000000000000003E-4</v>
      </c>
      <c r="J254">
        <v>0.99889094269870604</v>
      </c>
      <c r="K254">
        <v>0.99965924579736487</v>
      </c>
      <c r="L254">
        <v>0.99972742140650561</v>
      </c>
    </row>
    <row r="255" spans="1:12" x14ac:dyDescent="0.2">
      <c r="A255" t="s">
        <v>694</v>
      </c>
      <c r="B255" t="s">
        <v>251</v>
      </c>
      <c r="C255" t="s">
        <v>319</v>
      </c>
      <c r="D255">
        <v>2.9</v>
      </c>
      <c r="E255">
        <v>8.75</v>
      </c>
      <c r="F255">
        <v>0.29020000000000001</v>
      </c>
      <c r="G255">
        <v>1.1101000000000001</v>
      </c>
      <c r="H255">
        <v>3.1900000000000004</v>
      </c>
      <c r="I255">
        <v>3.08</v>
      </c>
      <c r="J255">
        <v>8.6107649397661856E-2</v>
      </c>
      <c r="K255">
        <v>0.26493401112145298</v>
      </c>
      <c r="L255">
        <v>0.50877192982456143</v>
      </c>
    </row>
    <row r="256" spans="1:12" x14ac:dyDescent="0.2">
      <c r="A256" t="s">
        <v>534</v>
      </c>
      <c r="B256" t="s">
        <v>299</v>
      </c>
      <c r="C256" t="s">
        <v>319</v>
      </c>
      <c r="D256">
        <v>0.74</v>
      </c>
      <c r="E256">
        <v>0.9708</v>
      </c>
      <c r="F256">
        <v>0.11030000000000002</v>
      </c>
      <c r="G256">
        <v>1.01E-2</v>
      </c>
      <c r="H256">
        <v>4.0000000000000002E-4</v>
      </c>
      <c r="I256">
        <v>0.85</v>
      </c>
      <c r="J256">
        <v>0.11485993960220767</v>
      </c>
      <c r="K256">
        <v>1.1742820602255552E-2</v>
      </c>
      <c r="L256">
        <v>4.7036688617121362E-4</v>
      </c>
    </row>
    <row r="257" spans="1:12" x14ac:dyDescent="0.2">
      <c r="A257" t="s">
        <v>774</v>
      </c>
      <c r="B257" t="s">
        <v>227</v>
      </c>
      <c r="C257" t="s">
        <v>319</v>
      </c>
      <c r="D257" s="30">
        <v>0.56000000000000005</v>
      </c>
      <c r="E257" s="31">
        <v>861.7600000000001</v>
      </c>
      <c r="F257">
        <v>93.91</v>
      </c>
      <c r="G257">
        <v>81.460000000000008</v>
      </c>
      <c r="H257">
        <v>440</v>
      </c>
      <c r="I257">
        <v>35.659999999999997</v>
      </c>
      <c r="J257">
        <v>0.72478197113529363</v>
      </c>
      <c r="K257">
        <v>0.69552595628415304</v>
      </c>
      <c r="L257">
        <v>0.92503048395913057</v>
      </c>
    </row>
    <row r="258" spans="1:12" x14ac:dyDescent="0.2">
      <c r="A258" t="s">
        <v>614</v>
      </c>
      <c r="B258" t="s">
        <v>275</v>
      </c>
      <c r="C258" t="s">
        <v>319</v>
      </c>
      <c r="D258">
        <v>5.85</v>
      </c>
      <c r="E258">
        <v>10.130599999999999</v>
      </c>
      <c r="F258">
        <v>0.98019999999999996</v>
      </c>
      <c r="G258">
        <v>0.57019999999999993</v>
      </c>
      <c r="H258">
        <v>7.35</v>
      </c>
      <c r="I258">
        <v>1.2302</v>
      </c>
      <c r="J258">
        <v>0.44344914947520808</v>
      </c>
      <c r="K258">
        <v>0.31670739835592093</v>
      </c>
      <c r="L258">
        <v>0.85662338873219734</v>
      </c>
    </row>
    <row r="259" spans="1:12" x14ac:dyDescent="0.2">
      <c r="A259" t="s">
        <v>773</v>
      </c>
      <c r="B259" t="s">
        <v>2131</v>
      </c>
      <c r="C259" t="s">
        <v>319</v>
      </c>
      <c r="D259" s="30">
        <v>0.03</v>
      </c>
      <c r="E259" s="31">
        <v>0.89500000000000024</v>
      </c>
      <c r="F259">
        <v>2.0299999999999999E-2</v>
      </c>
      <c r="G259">
        <v>2.0199999999999999E-2</v>
      </c>
      <c r="H259">
        <v>0.29020000000000001</v>
      </c>
      <c r="I259">
        <v>4.0100000000000004E-2</v>
      </c>
      <c r="J259">
        <v>0.33609271523178802</v>
      </c>
      <c r="K259">
        <v>0.33499170812603646</v>
      </c>
      <c r="L259">
        <v>0.87859521646987582</v>
      </c>
    </row>
    <row r="260" spans="1:12" x14ac:dyDescent="0.2">
      <c r="A260" t="s">
        <v>772</v>
      </c>
      <c r="B260" t="s">
        <v>2132</v>
      </c>
      <c r="C260" t="s">
        <v>319</v>
      </c>
      <c r="D260" s="30">
        <v>0.1</v>
      </c>
      <c r="E260" s="31">
        <v>1.7</v>
      </c>
      <c r="F260">
        <v>2.0299999999999999E-2</v>
      </c>
      <c r="G260">
        <v>3.0199999999999998E-2</v>
      </c>
      <c r="H260">
        <v>0.58009999999999995</v>
      </c>
      <c r="I260">
        <v>0.62</v>
      </c>
      <c r="J260">
        <v>3.1703888802124006E-2</v>
      </c>
      <c r="K260">
        <v>4.6447247000922787E-2</v>
      </c>
      <c r="L260">
        <v>0.4833763853012249</v>
      </c>
    </row>
    <row r="261" spans="1:12" x14ac:dyDescent="0.2">
      <c r="A261" t="s">
        <v>771</v>
      </c>
      <c r="B261" t="s">
        <v>2133</v>
      </c>
      <c r="C261" t="s">
        <v>319</v>
      </c>
      <c r="D261" s="30">
        <v>0.28000000000000003</v>
      </c>
      <c r="E261" s="31">
        <v>230.07</v>
      </c>
      <c r="F261">
        <v>25.68</v>
      </c>
      <c r="G261">
        <v>17.66</v>
      </c>
      <c r="H261">
        <v>132.81</v>
      </c>
      <c r="I261">
        <v>15.559999999999999</v>
      </c>
      <c r="J261">
        <v>0.62269641125121244</v>
      </c>
      <c r="K261">
        <v>0.53160746538229986</v>
      </c>
      <c r="L261">
        <v>0.89512704724674796</v>
      </c>
    </row>
    <row r="262" spans="1:12" x14ac:dyDescent="0.2">
      <c r="A262" t="s">
        <v>770</v>
      </c>
      <c r="B262" t="s">
        <v>2134</v>
      </c>
      <c r="C262" t="s">
        <v>319</v>
      </c>
      <c r="D262" s="30">
        <v>0.08</v>
      </c>
      <c r="E262" s="31">
        <v>1.26</v>
      </c>
      <c r="F262">
        <v>2.0299999999999999E-2</v>
      </c>
      <c r="G262">
        <v>2.0199999999999999E-2</v>
      </c>
      <c r="H262">
        <v>0.44009999999999999</v>
      </c>
      <c r="I262">
        <v>0.28010000000000002</v>
      </c>
      <c r="J262">
        <v>6.7576564580559245E-2</v>
      </c>
      <c r="K262">
        <v>6.7266067266067264E-2</v>
      </c>
      <c r="L262">
        <v>0.61108025548458766</v>
      </c>
    </row>
    <row r="263" spans="1:12" x14ac:dyDescent="0.2">
      <c r="A263" t="s">
        <v>769</v>
      </c>
      <c r="B263" t="s">
        <v>2135</v>
      </c>
      <c r="C263" t="s">
        <v>319</v>
      </c>
      <c r="D263" s="30">
        <v>0.14000000000000001</v>
      </c>
      <c r="E263" s="31">
        <v>1.855</v>
      </c>
      <c r="F263">
        <v>1.0299999999999998E-2</v>
      </c>
      <c r="G263">
        <v>3.0199999999999998E-2</v>
      </c>
      <c r="H263">
        <v>0.49019999999999997</v>
      </c>
      <c r="I263">
        <v>0.84</v>
      </c>
      <c r="J263">
        <v>1.2113371751146653E-2</v>
      </c>
      <c r="K263">
        <v>3.4704665594116293E-2</v>
      </c>
      <c r="L263">
        <v>0.3685160126296797</v>
      </c>
    </row>
    <row r="264" spans="1:12" x14ac:dyDescent="0.2">
      <c r="A264" t="s">
        <v>768</v>
      </c>
      <c r="B264" t="s">
        <v>2136</v>
      </c>
      <c r="C264" t="s">
        <v>319</v>
      </c>
      <c r="D264" s="30">
        <v>0.2</v>
      </c>
      <c r="E264" s="31">
        <v>150.42500000000001</v>
      </c>
      <c r="F264">
        <v>17.350000000000001</v>
      </c>
      <c r="G264">
        <v>13.89</v>
      </c>
      <c r="H264">
        <v>79.52000000000001</v>
      </c>
      <c r="I264">
        <v>8.65</v>
      </c>
      <c r="J264">
        <v>0.66730769230769238</v>
      </c>
      <c r="K264">
        <v>0.61623779946761315</v>
      </c>
      <c r="L264">
        <v>0.90189406827719176</v>
      </c>
    </row>
    <row r="265" spans="1:12" x14ac:dyDescent="0.2">
      <c r="A265" t="s">
        <v>767</v>
      </c>
      <c r="B265" t="s">
        <v>2137</v>
      </c>
      <c r="C265" t="s">
        <v>319</v>
      </c>
      <c r="D265" s="30">
        <v>0.31</v>
      </c>
      <c r="E265" s="31">
        <v>150.87499999999997</v>
      </c>
      <c r="F265">
        <v>16.25</v>
      </c>
      <c r="G265">
        <v>14.74</v>
      </c>
      <c r="H265">
        <v>86.69</v>
      </c>
      <c r="I265">
        <v>10.54</v>
      </c>
      <c r="J265">
        <v>0.60656961552818223</v>
      </c>
      <c r="K265">
        <v>0.58306962025316456</v>
      </c>
      <c r="L265">
        <v>0.89159724364907955</v>
      </c>
    </row>
    <row r="266" spans="1:12" x14ac:dyDescent="0.2">
      <c r="A266" t="s">
        <v>766</v>
      </c>
      <c r="B266" t="s">
        <v>2138</v>
      </c>
      <c r="C266" t="s">
        <v>319</v>
      </c>
      <c r="D266" s="30">
        <v>0.43</v>
      </c>
      <c r="E266" s="31">
        <v>240.5</v>
      </c>
      <c r="F266">
        <v>26.799999999999997</v>
      </c>
      <c r="G266">
        <v>24.54</v>
      </c>
      <c r="H266">
        <v>119.79000000000002</v>
      </c>
      <c r="I266">
        <v>21.22</v>
      </c>
      <c r="J266">
        <v>0.5581007913369429</v>
      </c>
      <c r="K266">
        <v>0.53627622377622375</v>
      </c>
      <c r="L266">
        <v>0.849514218849727</v>
      </c>
    </row>
    <row r="267" spans="1:12" x14ac:dyDescent="0.2">
      <c r="A267" t="s">
        <v>765</v>
      </c>
      <c r="B267" t="s">
        <v>2139</v>
      </c>
      <c r="C267" t="s">
        <v>319</v>
      </c>
      <c r="D267" s="30">
        <v>0.48</v>
      </c>
      <c r="E267" s="31">
        <v>457.99500000000006</v>
      </c>
      <c r="F267">
        <v>45.620000000000005</v>
      </c>
      <c r="G267">
        <v>36.36</v>
      </c>
      <c r="H267">
        <v>265.52000000000004</v>
      </c>
      <c r="I267">
        <v>18.730000000000004</v>
      </c>
      <c r="J267">
        <v>0.70893550893550894</v>
      </c>
      <c r="K267">
        <v>0.66001089126883272</v>
      </c>
      <c r="L267">
        <v>0.93410729991204922</v>
      </c>
    </row>
    <row r="268" spans="1:12" x14ac:dyDescent="0.2">
      <c r="A268" t="s">
        <v>764</v>
      </c>
      <c r="B268" t="s">
        <v>2140</v>
      </c>
      <c r="C268" t="s">
        <v>319</v>
      </c>
      <c r="D268" s="30">
        <v>0.14000000000000001</v>
      </c>
      <c r="E268" s="31">
        <v>5.2200000000000006</v>
      </c>
      <c r="F268">
        <v>1.0299999999999998E-2</v>
      </c>
      <c r="G268">
        <v>0.44009999999999999</v>
      </c>
      <c r="H268">
        <v>2.9301000000000004</v>
      </c>
      <c r="I268">
        <v>1.17</v>
      </c>
      <c r="J268">
        <v>8.7265949334914845E-3</v>
      </c>
      <c r="K268">
        <v>0.27333705980994971</v>
      </c>
      <c r="L268">
        <v>0.71464110631448019</v>
      </c>
    </row>
    <row r="269" spans="1:12" x14ac:dyDescent="0.2">
      <c r="A269" t="s">
        <v>763</v>
      </c>
      <c r="B269" t="s">
        <v>2141</v>
      </c>
      <c r="C269" t="s">
        <v>319</v>
      </c>
      <c r="D269" s="30">
        <v>0</v>
      </c>
      <c r="E269" s="31">
        <v>0.81500000000000028</v>
      </c>
      <c r="F269">
        <v>2.0299999999999999E-2</v>
      </c>
      <c r="G269">
        <v>2.0000000000000001E-4</v>
      </c>
      <c r="H269">
        <v>0.22019999999999998</v>
      </c>
      <c r="I269">
        <v>3.0000000000000003E-4</v>
      </c>
      <c r="J269">
        <v>0.98543689320388339</v>
      </c>
      <c r="K269">
        <v>0.4</v>
      </c>
      <c r="L269">
        <v>0.99863945578231295</v>
      </c>
    </row>
  </sheetData>
  <sortState xmlns:xlrd2="http://schemas.microsoft.com/office/spreadsheetml/2017/richdata2" ref="B3:L269">
    <sortCondition ref="C2:C269"/>
    <sortCondition ref="B2:B269"/>
  </sortState>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
  <sheetViews>
    <sheetView workbookViewId="0">
      <selection activeCell="C3" sqref="C3"/>
    </sheetView>
  </sheetViews>
  <sheetFormatPr baseColWidth="10" defaultColWidth="8.6640625" defaultRowHeight="15" x14ac:dyDescent="0.2"/>
  <sheetData>
    <row r="1" spans="1:8" x14ac:dyDescent="0.2">
      <c r="A1" s="2" t="s">
        <v>1</v>
      </c>
      <c r="B1" s="2" t="s">
        <v>2</v>
      </c>
      <c r="C1" s="2" t="s">
        <v>3</v>
      </c>
      <c r="D1" s="2" t="s">
        <v>9</v>
      </c>
      <c r="E1" s="2" t="s">
        <v>57</v>
      </c>
      <c r="F1" s="2" t="s">
        <v>90</v>
      </c>
      <c r="G1" s="2" t="s">
        <v>59</v>
      </c>
      <c r="H1" s="2" t="s">
        <v>90</v>
      </c>
    </row>
    <row r="2" spans="1:8" x14ac:dyDescent="0.2">
      <c r="A2" t="s">
        <v>9</v>
      </c>
      <c r="B2" t="s">
        <v>9</v>
      </c>
      <c r="C2" t="s">
        <v>9</v>
      </c>
      <c r="D2">
        <v>90</v>
      </c>
      <c r="E2">
        <v>8.4028888888888904</v>
      </c>
      <c r="F2">
        <v>0.81799871493051002</v>
      </c>
      <c r="G2">
        <v>1.2152333333333301</v>
      </c>
      <c r="H2">
        <v>0.59153929936786898</v>
      </c>
    </row>
    <row r="3" spans="1:8" x14ac:dyDescent="0.2">
      <c r="A3" t="s">
        <v>9</v>
      </c>
      <c r="B3" t="s">
        <v>9</v>
      </c>
      <c r="C3" t="s">
        <v>8</v>
      </c>
      <c r="D3">
        <v>90</v>
      </c>
      <c r="E3">
        <v>8.5356666666666694</v>
      </c>
      <c r="F3">
        <v>0.90666452549868304</v>
      </c>
      <c r="G3">
        <v>1.2971277777777801</v>
      </c>
      <c r="H3">
        <v>0.68872784354790895</v>
      </c>
    </row>
    <row r="4" spans="1:8" x14ac:dyDescent="0.2">
      <c r="A4" t="s">
        <v>9</v>
      </c>
      <c r="B4" t="s">
        <v>8</v>
      </c>
      <c r="C4" t="s">
        <v>9</v>
      </c>
      <c r="D4">
        <v>90</v>
      </c>
      <c r="E4">
        <v>7.9671111111111097</v>
      </c>
      <c r="F4">
        <v>0.83600608089348605</v>
      </c>
      <c r="G4">
        <v>1.24023333333333</v>
      </c>
      <c r="H4">
        <v>0.59739137134863096</v>
      </c>
    </row>
    <row r="5" spans="1:8" x14ac:dyDescent="0.2">
      <c r="A5" t="s">
        <v>9</v>
      </c>
      <c r="B5" t="s">
        <v>8</v>
      </c>
      <c r="C5" t="s">
        <v>8</v>
      </c>
      <c r="D5">
        <v>90</v>
      </c>
      <c r="E5">
        <v>7.92011111111111</v>
      </c>
      <c r="F5">
        <v>1.1508233441923601</v>
      </c>
      <c r="G5">
        <v>1.3005555555555599</v>
      </c>
      <c r="H5">
        <v>0.655091967316763</v>
      </c>
    </row>
    <row r="6" spans="1:8" x14ac:dyDescent="0.2">
      <c r="A6" t="s">
        <v>8</v>
      </c>
      <c r="B6" t="s">
        <v>9</v>
      </c>
      <c r="C6" t="s">
        <v>9</v>
      </c>
      <c r="D6">
        <v>90</v>
      </c>
      <c r="E6">
        <v>7.2423333333333302</v>
      </c>
      <c r="F6">
        <v>0.39848321972762502</v>
      </c>
      <c r="G6">
        <v>2.0582777777777799</v>
      </c>
      <c r="H6">
        <v>1.11673160776002</v>
      </c>
    </row>
    <row r="7" spans="1:8" x14ac:dyDescent="0.2">
      <c r="A7" t="s">
        <v>8</v>
      </c>
      <c r="B7" t="s">
        <v>9</v>
      </c>
      <c r="C7" t="s">
        <v>8</v>
      </c>
      <c r="D7">
        <v>90</v>
      </c>
      <c r="E7">
        <v>7.4814888888888902</v>
      </c>
      <c r="F7">
        <v>0.86521255743203196</v>
      </c>
      <c r="G7">
        <v>2.06483333333333</v>
      </c>
      <c r="H7">
        <v>1.33229860716421</v>
      </c>
    </row>
    <row r="8" spans="1:8" x14ac:dyDescent="0.2">
      <c r="A8" t="s">
        <v>8</v>
      </c>
      <c r="B8" t="s">
        <v>8</v>
      </c>
      <c r="C8" t="s">
        <v>9</v>
      </c>
      <c r="D8">
        <v>89</v>
      </c>
      <c r="E8">
        <v>7.1265168539325803</v>
      </c>
      <c r="F8">
        <v>0.72199707428832305</v>
      </c>
      <c r="G8">
        <v>2.1566404494381999</v>
      </c>
      <c r="H8">
        <v>1.2802400098773301</v>
      </c>
    </row>
    <row r="9" spans="1:8" x14ac:dyDescent="0.2">
      <c r="A9" t="s">
        <v>8</v>
      </c>
      <c r="B9" t="s">
        <v>8</v>
      </c>
      <c r="C9" t="s">
        <v>8</v>
      </c>
      <c r="D9">
        <v>90</v>
      </c>
      <c r="E9">
        <v>7.1997777777777801</v>
      </c>
      <c r="F9">
        <v>0.36609379831341798</v>
      </c>
      <c r="G9">
        <v>2.36676666666667</v>
      </c>
      <c r="H9">
        <v>1.6518357853605601</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50"/>
  <sheetViews>
    <sheetView workbookViewId="0">
      <selection sqref="A1:P1"/>
    </sheetView>
  </sheetViews>
  <sheetFormatPr baseColWidth="10" defaultColWidth="8.6640625" defaultRowHeight="15" x14ac:dyDescent="0.2"/>
  <cols>
    <col min="3" max="3" width="18.5" customWidth="1"/>
    <col min="4" max="4" width="18.6640625" customWidth="1"/>
    <col min="5" max="5" width="10.33203125" customWidth="1"/>
    <col min="6" max="6" width="15.33203125" customWidth="1"/>
    <col min="7" max="7" width="8.33203125" customWidth="1"/>
    <col min="8" max="8" width="15.5" customWidth="1"/>
    <col min="9" max="9" width="7.5" customWidth="1"/>
    <col min="10" max="10" width="20.1640625" bestFit="1" customWidth="1"/>
    <col min="11" max="11" width="18.5" bestFit="1" customWidth="1"/>
    <col min="12" max="12" width="18.83203125" bestFit="1" customWidth="1"/>
    <col min="13" max="15" width="17.1640625" bestFit="1" customWidth="1"/>
    <col min="16" max="16" width="9.5" bestFit="1" customWidth="1"/>
  </cols>
  <sheetData>
    <row r="1" spans="1:16" x14ac:dyDescent="0.2">
      <c r="A1" s="2" t="s">
        <v>81</v>
      </c>
      <c r="B1" s="2" t="s">
        <v>82</v>
      </c>
      <c r="C1" s="2" t="s">
        <v>83</v>
      </c>
      <c r="D1" s="2" t="s">
        <v>84</v>
      </c>
      <c r="E1" s="2" t="s">
        <v>85</v>
      </c>
      <c r="F1" s="2" t="s">
        <v>86</v>
      </c>
      <c r="G1" s="2" t="s">
        <v>87</v>
      </c>
      <c r="H1" s="2" t="s">
        <v>88</v>
      </c>
      <c r="I1" s="2" t="s">
        <v>89</v>
      </c>
      <c r="J1" s="2" t="s">
        <v>2151</v>
      </c>
      <c r="K1" s="2" t="s">
        <v>2152</v>
      </c>
      <c r="L1" s="2" t="s">
        <v>2153</v>
      </c>
      <c r="M1" s="2" t="s">
        <v>2154</v>
      </c>
      <c r="N1" s="2" t="s">
        <v>2155</v>
      </c>
      <c r="O1" s="2" t="s">
        <v>2156</v>
      </c>
      <c r="P1" s="2" t="s">
        <v>2157</v>
      </c>
    </row>
    <row r="2" spans="1:16" x14ac:dyDescent="0.2">
      <c r="A2">
        <v>6</v>
      </c>
      <c r="B2">
        <v>2016</v>
      </c>
      <c r="C2" s="8">
        <v>32.661148295454502</v>
      </c>
      <c r="D2" s="8">
        <v>31.631968888888899</v>
      </c>
      <c r="E2" s="8">
        <v>62.8582848484848</v>
      </c>
      <c r="F2" s="8">
        <v>25.922999999999998</v>
      </c>
      <c r="G2" s="8">
        <v>27.638340166666701</v>
      </c>
      <c r="H2" s="8">
        <v>48.315950000000001</v>
      </c>
      <c r="I2" s="8">
        <v>35.925586833333298</v>
      </c>
      <c r="J2" s="8">
        <v>29.211469999999998</v>
      </c>
      <c r="K2">
        <v>26.308243999999998</v>
      </c>
      <c r="L2">
        <v>33.655909999999999</v>
      </c>
      <c r="M2" s="8">
        <f>J2-C2</f>
        <v>-3.449678295454504</v>
      </c>
      <c r="N2" s="8">
        <f>K2-F2</f>
        <v>0.38524400000000014</v>
      </c>
      <c r="O2" s="8">
        <f>L2-H2</f>
        <v>-14.660040000000002</v>
      </c>
      <c r="P2" s="8">
        <f>J2-D2</f>
        <v>-2.4204988888889005</v>
      </c>
    </row>
    <row r="3" spans="1:16" x14ac:dyDescent="0.2">
      <c r="A3">
        <v>7</v>
      </c>
      <c r="B3">
        <v>2016</v>
      </c>
      <c r="C3" s="8">
        <v>33.237088709677401</v>
      </c>
      <c r="D3" s="8">
        <v>31.901</v>
      </c>
      <c r="E3" s="8">
        <v>62.838141129032302</v>
      </c>
      <c r="F3" s="8">
        <v>27.009935483871001</v>
      </c>
      <c r="G3" s="8">
        <v>28.036999999999999</v>
      </c>
      <c r="H3" s="8">
        <v>50.026548387096803</v>
      </c>
      <c r="I3" s="8">
        <v>36.148419354838701</v>
      </c>
      <c r="J3" s="8">
        <v>15.143369</v>
      </c>
      <c r="K3">
        <v>11.039427</v>
      </c>
      <c r="L3">
        <v>19.49821</v>
      </c>
      <c r="M3" s="8">
        <f t="shared" ref="M3:M20" si="0">J3-C3</f>
        <v>-18.093719709677401</v>
      </c>
      <c r="N3" s="8">
        <f t="shared" ref="N3:N20" si="1">K3-F3</f>
        <v>-15.970508483871001</v>
      </c>
      <c r="O3" s="8">
        <f t="shared" ref="O3:O20" si="2">L3-H3</f>
        <v>-30.528338387096802</v>
      </c>
      <c r="P3" s="8">
        <f t="shared" ref="P3:P20" si="3">J3-D3</f>
        <v>-16.757631</v>
      </c>
    </row>
    <row r="4" spans="1:16" x14ac:dyDescent="0.2">
      <c r="A4">
        <v>8</v>
      </c>
      <c r="B4">
        <v>2016</v>
      </c>
      <c r="C4" s="8">
        <v>32.364606182795697</v>
      </c>
      <c r="D4" s="8">
        <v>31.217161290322601</v>
      </c>
      <c r="E4" s="8">
        <v>67.441202956989201</v>
      </c>
      <c r="F4" s="8">
        <v>26.719709677419399</v>
      </c>
      <c r="G4" s="8">
        <v>27.956516129032298</v>
      </c>
      <c r="H4" s="8">
        <v>47.215129032258098</v>
      </c>
      <c r="I4" s="8">
        <v>34.9586774193548</v>
      </c>
      <c r="J4" s="8">
        <v>29.659497999999999</v>
      </c>
      <c r="K4">
        <v>26.308243999999998</v>
      </c>
      <c r="L4">
        <v>34.426519999999996</v>
      </c>
      <c r="M4" s="8">
        <f t="shared" si="0"/>
        <v>-2.7051081827956978</v>
      </c>
      <c r="N4" s="8">
        <f t="shared" si="1"/>
        <v>-0.41146567741940032</v>
      </c>
      <c r="O4" s="8">
        <f t="shared" si="2"/>
        <v>-12.788609032258101</v>
      </c>
      <c r="P4" s="8">
        <f t="shared" si="3"/>
        <v>-1.5576632903226013</v>
      </c>
    </row>
    <row r="5" spans="1:16" x14ac:dyDescent="0.2">
      <c r="A5">
        <v>9</v>
      </c>
      <c r="B5">
        <v>2016</v>
      </c>
      <c r="C5" s="8">
        <v>32.229861111111099</v>
      </c>
      <c r="D5" s="8">
        <v>31.686066666666701</v>
      </c>
      <c r="E5" s="8">
        <v>63.7063611111111</v>
      </c>
      <c r="F5" s="8">
        <v>26.039566666666701</v>
      </c>
      <c r="G5" s="8">
        <v>27.917733333333299</v>
      </c>
      <c r="H5" s="8">
        <v>47.7216666666667</v>
      </c>
      <c r="I5" s="8">
        <v>36.067100000000003</v>
      </c>
      <c r="J5" s="8">
        <v>28.518519000000001</v>
      </c>
      <c r="K5">
        <v>24.666667</v>
      </c>
      <c r="L5">
        <v>33.351849999999999</v>
      </c>
      <c r="M5" s="8">
        <f t="shared" si="0"/>
        <v>-3.7113421111110974</v>
      </c>
      <c r="N5" s="8">
        <f t="shared" si="1"/>
        <v>-1.3728996666667008</v>
      </c>
      <c r="O5" s="8">
        <f t="shared" si="2"/>
        <v>-14.369816666666701</v>
      </c>
      <c r="P5" s="8">
        <f t="shared" si="3"/>
        <v>-3.1675476666666995</v>
      </c>
    </row>
    <row r="6" spans="1:16" x14ac:dyDescent="0.2">
      <c r="A6">
        <v>10</v>
      </c>
      <c r="B6">
        <v>2016</v>
      </c>
      <c r="C6" s="8">
        <v>29.0085309139785</v>
      </c>
      <c r="D6" s="8">
        <v>28.8133870967742</v>
      </c>
      <c r="E6" s="8">
        <v>57.322517473118303</v>
      </c>
      <c r="F6" s="8">
        <v>21.814451612903198</v>
      </c>
      <c r="G6" s="8">
        <v>24.246967741935499</v>
      </c>
      <c r="H6" s="8">
        <v>43.894806451612901</v>
      </c>
      <c r="I6" s="8">
        <v>33.961838709677401</v>
      </c>
      <c r="J6" s="8">
        <v>19.129629999999999</v>
      </c>
      <c r="K6">
        <v>13.981481</v>
      </c>
      <c r="L6">
        <v>24.129629999999999</v>
      </c>
      <c r="M6" s="8">
        <f t="shared" si="0"/>
        <v>-9.8789009139785016</v>
      </c>
      <c r="N6" s="8">
        <f t="shared" si="1"/>
        <v>-7.832970612903198</v>
      </c>
      <c r="O6" s="8">
        <f t="shared" si="2"/>
        <v>-19.765176451612902</v>
      </c>
      <c r="P6" s="8">
        <f t="shared" si="3"/>
        <v>-9.683757096774201</v>
      </c>
    </row>
    <row r="7" spans="1:16" x14ac:dyDescent="0.2">
      <c r="A7">
        <v>11</v>
      </c>
      <c r="B7">
        <v>2016</v>
      </c>
      <c r="C7" s="8">
        <v>22.640101411366</v>
      </c>
      <c r="D7" s="8">
        <v>22.985199999999999</v>
      </c>
      <c r="E7" s="8">
        <v>64.3836985424837</v>
      </c>
      <c r="F7" s="8">
        <v>16.716524395333298</v>
      </c>
      <c r="G7" s="8">
        <v>19.495933333333301</v>
      </c>
      <c r="H7" s="8">
        <v>33.269760226999999</v>
      </c>
      <c r="I7" s="8">
        <v>26.800633333333298</v>
      </c>
      <c r="J7" s="8">
        <v>25.053763</v>
      </c>
      <c r="K7">
        <v>20.322581</v>
      </c>
      <c r="L7">
        <v>30.50179</v>
      </c>
      <c r="M7" s="8">
        <f t="shared" si="0"/>
        <v>2.4136615886339996</v>
      </c>
      <c r="N7" s="8">
        <f t="shared" si="1"/>
        <v>3.6060566046667013</v>
      </c>
      <c r="O7" s="8">
        <f t="shared" si="2"/>
        <v>-2.7679702269999993</v>
      </c>
      <c r="P7" s="8">
        <f t="shared" si="3"/>
        <v>2.068563000000001</v>
      </c>
    </row>
    <row r="8" spans="1:16" x14ac:dyDescent="0.2">
      <c r="A8">
        <v>12</v>
      </c>
      <c r="B8">
        <v>2016</v>
      </c>
      <c r="C8" s="8">
        <v>17.992850863763401</v>
      </c>
      <c r="D8" s="8">
        <v>18.814161290322598</v>
      </c>
      <c r="E8" s="8">
        <v>76.380106989247295</v>
      </c>
      <c r="F8" s="8">
        <v>13.622099657419399</v>
      </c>
      <c r="G8" s="8">
        <v>15.990548387096799</v>
      </c>
      <c r="H8" s="8">
        <v>24.669250274516099</v>
      </c>
      <c r="I8" s="8">
        <v>21.8086129032258</v>
      </c>
      <c r="J8" s="8">
        <v>28.851852000000001</v>
      </c>
      <c r="K8">
        <v>25.611111000000001</v>
      </c>
      <c r="L8">
        <v>33.44444</v>
      </c>
      <c r="M8" s="8">
        <f t="shared" si="0"/>
        <v>10.8590011362366</v>
      </c>
      <c r="N8" s="8">
        <f t="shared" si="1"/>
        <v>11.989011342580602</v>
      </c>
      <c r="O8" s="8">
        <f t="shared" si="2"/>
        <v>8.7751897254839015</v>
      </c>
      <c r="P8" s="8">
        <f t="shared" si="3"/>
        <v>10.037690709677403</v>
      </c>
    </row>
    <row r="9" spans="1:16" x14ac:dyDescent="0.2">
      <c r="A9">
        <v>1</v>
      </c>
      <c r="B9">
        <v>2017</v>
      </c>
      <c r="C9" s="8">
        <v>19.257655017921099</v>
      </c>
      <c r="D9" s="8">
        <v>20.266709677419399</v>
      </c>
      <c r="E9" s="8">
        <v>75.1337822580645</v>
      </c>
      <c r="F9" s="8">
        <v>13.929064516128999</v>
      </c>
      <c r="G9" s="8">
        <v>16.668483870967702</v>
      </c>
      <c r="H9" s="8">
        <v>28.555064516129001</v>
      </c>
      <c r="I9" s="8">
        <v>24.422322580645201</v>
      </c>
      <c r="J9" s="8">
        <v>22</v>
      </c>
      <c r="K9">
        <v>16.703703999999998</v>
      </c>
      <c r="L9">
        <v>26.94444</v>
      </c>
      <c r="M9" s="8">
        <f t="shared" si="0"/>
        <v>2.742344982078901</v>
      </c>
      <c r="N9" s="8">
        <f t="shared" si="1"/>
        <v>2.7746394838709989</v>
      </c>
      <c r="O9" s="8">
        <f t="shared" si="2"/>
        <v>-1.6106245161290005</v>
      </c>
      <c r="P9" s="8">
        <f t="shared" si="3"/>
        <v>1.7332903225806007</v>
      </c>
    </row>
    <row r="10" spans="1:16" x14ac:dyDescent="0.2">
      <c r="A10">
        <v>2</v>
      </c>
      <c r="B10">
        <v>2017</v>
      </c>
      <c r="C10" s="8">
        <v>21.9459403767857</v>
      </c>
      <c r="D10" s="8">
        <v>23.758500000000002</v>
      </c>
      <c r="E10" s="8">
        <v>68.829811428571404</v>
      </c>
      <c r="F10" s="8">
        <v>16.686765000000001</v>
      </c>
      <c r="G10" s="8">
        <v>19.720107142857099</v>
      </c>
      <c r="H10" s="8">
        <v>31.144543297857101</v>
      </c>
      <c r="I10" s="8">
        <v>28.865500000000001</v>
      </c>
      <c r="J10" s="8">
        <v>27.777778000000001</v>
      </c>
      <c r="K10">
        <v>24.480287000000001</v>
      </c>
      <c r="L10">
        <v>32.27599</v>
      </c>
      <c r="M10" s="8">
        <f t="shared" si="0"/>
        <v>5.8318376232143017</v>
      </c>
      <c r="N10" s="8">
        <f t="shared" si="1"/>
        <v>7.7935219999999994</v>
      </c>
      <c r="O10" s="8">
        <f t="shared" si="2"/>
        <v>1.1314467021428989</v>
      </c>
      <c r="P10" s="8">
        <f t="shared" si="3"/>
        <v>4.0192779999999999</v>
      </c>
    </row>
    <row r="11" spans="1:16" x14ac:dyDescent="0.2">
      <c r="A11">
        <v>3</v>
      </c>
      <c r="B11">
        <v>2017</v>
      </c>
      <c r="C11" s="8">
        <v>23.643899990501801</v>
      </c>
      <c r="D11" s="8">
        <v>26.039903225806501</v>
      </c>
      <c r="E11" s="8">
        <v>66.099630967741902</v>
      </c>
      <c r="F11" s="8">
        <v>18.312893277491</v>
      </c>
      <c r="G11" s="8">
        <v>21.906032258064499</v>
      </c>
      <c r="H11" s="8">
        <v>33.692726399749098</v>
      </c>
      <c r="I11" s="8">
        <v>31.3043870967742</v>
      </c>
      <c r="J11" s="8">
        <v>13.207884999999999</v>
      </c>
      <c r="K11">
        <v>8.4408600000000007</v>
      </c>
      <c r="L11">
        <v>17.72401</v>
      </c>
      <c r="M11" s="8">
        <f t="shared" si="0"/>
        <v>-10.436014990501802</v>
      </c>
      <c r="N11" s="8">
        <f t="shared" si="1"/>
        <v>-9.8720332774909991</v>
      </c>
      <c r="O11" s="8">
        <f t="shared" si="2"/>
        <v>-15.968716399749098</v>
      </c>
      <c r="P11" s="8">
        <f t="shared" si="3"/>
        <v>-12.832018225806502</v>
      </c>
    </row>
    <row r="12" spans="1:16" x14ac:dyDescent="0.2">
      <c r="A12">
        <v>4</v>
      </c>
      <c r="B12">
        <v>2017</v>
      </c>
      <c r="C12" s="8">
        <v>27.386466123882499</v>
      </c>
      <c r="D12" s="8">
        <v>27.470139074074101</v>
      </c>
      <c r="E12" s="8">
        <v>61.809652530332102</v>
      </c>
      <c r="F12" s="8">
        <v>20.553166666666701</v>
      </c>
      <c r="G12" s="8">
        <v>23.248650555555599</v>
      </c>
      <c r="H12" s="8">
        <v>40.0157666666667</v>
      </c>
      <c r="I12" s="8">
        <v>32.323968703703699</v>
      </c>
      <c r="J12" s="8">
        <v>17.837302000000001</v>
      </c>
      <c r="K12">
        <v>13.214286</v>
      </c>
      <c r="L12">
        <v>22.77778</v>
      </c>
      <c r="M12" s="8">
        <f t="shared" si="0"/>
        <v>-9.5491641238824982</v>
      </c>
      <c r="N12" s="8">
        <f t="shared" si="1"/>
        <v>-7.3388806666667019</v>
      </c>
      <c r="O12" s="8">
        <f t="shared" si="2"/>
        <v>-17.2379866666667</v>
      </c>
      <c r="P12" s="8">
        <f t="shared" si="3"/>
        <v>-9.6328370740741001</v>
      </c>
    </row>
    <row r="13" spans="1:16" x14ac:dyDescent="0.2">
      <c r="A13">
        <v>5</v>
      </c>
      <c r="B13">
        <v>2017</v>
      </c>
      <c r="C13" s="8">
        <v>29.563602150537601</v>
      </c>
      <c r="D13" s="8">
        <v>27.209116666666699</v>
      </c>
      <c r="E13" s="8">
        <v>62.529188172043</v>
      </c>
      <c r="F13" s="8">
        <v>22.3952903225806</v>
      </c>
      <c r="G13" s="8">
        <v>23.012398494623699</v>
      </c>
      <c r="H13" s="8">
        <v>42.573774193548402</v>
      </c>
      <c r="I13" s="8">
        <v>31.3842069175627</v>
      </c>
      <c r="J13" s="8">
        <v>15.609318999999999</v>
      </c>
      <c r="K13">
        <v>10.716846</v>
      </c>
      <c r="L13">
        <v>20.53763</v>
      </c>
      <c r="M13" s="8">
        <f t="shared" si="0"/>
        <v>-13.954283150537602</v>
      </c>
      <c r="N13" s="8">
        <f t="shared" si="1"/>
        <v>-11.678444322580599</v>
      </c>
      <c r="O13" s="8">
        <f t="shared" si="2"/>
        <v>-22.036144193548402</v>
      </c>
      <c r="P13" s="8">
        <f t="shared" si="3"/>
        <v>-11.599797666666699</v>
      </c>
    </row>
    <row r="14" spans="1:16" x14ac:dyDescent="0.2">
      <c r="A14">
        <v>6</v>
      </c>
      <c r="B14">
        <v>2017</v>
      </c>
      <c r="C14" s="8">
        <v>31.135755555555601</v>
      </c>
      <c r="D14" s="8">
        <v>29.5233240740741</v>
      </c>
      <c r="E14" s="8">
        <v>68.768355555555601</v>
      </c>
      <c r="F14" s="8">
        <v>25.672933333333301</v>
      </c>
      <c r="G14" s="8">
        <v>26.160713333333302</v>
      </c>
      <c r="H14" s="8">
        <v>40.081299999999999</v>
      </c>
      <c r="I14" s="8">
        <v>33.342873518518502</v>
      </c>
      <c r="J14" s="8">
        <v>27.885304999999999</v>
      </c>
      <c r="K14">
        <v>24.121863999999999</v>
      </c>
      <c r="L14">
        <v>32.795699999999997</v>
      </c>
      <c r="M14" s="8">
        <f t="shared" si="0"/>
        <v>-3.2504505555556023</v>
      </c>
      <c r="N14" s="8">
        <f t="shared" si="1"/>
        <v>-1.5510693333333023</v>
      </c>
      <c r="O14" s="8">
        <f t="shared" si="2"/>
        <v>-7.2856000000000023</v>
      </c>
      <c r="P14" s="8">
        <f t="shared" si="3"/>
        <v>-1.6380190740741014</v>
      </c>
    </row>
    <row r="15" spans="1:16" x14ac:dyDescent="0.2">
      <c r="A15">
        <v>7</v>
      </c>
      <c r="B15">
        <v>2017</v>
      </c>
      <c r="C15" s="8">
        <v>33.330311827956997</v>
      </c>
      <c r="D15" s="8">
        <v>30.879098028673798</v>
      </c>
      <c r="E15" s="8">
        <v>66.886419354838694</v>
      </c>
      <c r="F15" s="8">
        <v>27.703064516129</v>
      </c>
      <c r="G15" s="8">
        <v>26.872111397849501</v>
      </c>
      <c r="H15" s="8">
        <v>44.440451612903203</v>
      </c>
      <c r="I15" s="8">
        <v>35.3729065591398</v>
      </c>
      <c r="J15" s="8">
        <v>26.203703999999998</v>
      </c>
      <c r="K15">
        <v>23.111111000000001</v>
      </c>
      <c r="L15">
        <v>30.314810000000001</v>
      </c>
      <c r="M15" s="8">
        <f t="shared" si="0"/>
        <v>-7.1266078279569989</v>
      </c>
      <c r="N15" s="8">
        <f t="shared" si="1"/>
        <v>-4.5919535161289993</v>
      </c>
      <c r="O15" s="8">
        <f t="shared" si="2"/>
        <v>-14.125641612903202</v>
      </c>
      <c r="P15" s="8">
        <f t="shared" si="3"/>
        <v>-4.6753940286738001</v>
      </c>
    </row>
    <row r="16" spans="1:16" x14ac:dyDescent="0.2">
      <c r="A16">
        <v>8</v>
      </c>
      <c r="B16">
        <v>2017</v>
      </c>
      <c r="C16" s="8">
        <v>32.3030215053763</v>
      </c>
      <c r="D16" s="8">
        <v>30.7924055555556</v>
      </c>
      <c r="E16" s="8">
        <v>71.8209892473118</v>
      </c>
      <c r="F16" s="8">
        <v>27.428999999999998</v>
      </c>
      <c r="G16" s="8">
        <v>27.124380215053801</v>
      </c>
      <c r="H16" s="8">
        <v>41.385322580645202</v>
      </c>
      <c r="I16" s="8">
        <v>34.947640788530499</v>
      </c>
      <c r="J16" s="8">
        <v>19.301075000000001</v>
      </c>
      <c r="K16">
        <v>15.107526999999999</v>
      </c>
      <c r="L16">
        <v>24.139779999999998</v>
      </c>
      <c r="M16" s="8">
        <f t="shared" si="0"/>
        <v>-13.001946505376299</v>
      </c>
      <c r="N16" s="8">
        <f t="shared" si="1"/>
        <v>-12.321472999999999</v>
      </c>
      <c r="O16" s="8">
        <f t="shared" si="2"/>
        <v>-17.245542580645203</v>
      </c>
      <c r="P16" s="8">
        <f t="shared" si="3"/>
        <v>-11.491330555555599</v>
      </c>
    </row>
    <row r="17" spans="1:16" x14ac:dyDescent="0.2">
      <c r="A17">
        <v>9</v>
      </c>
      <c r="B17">
        <v>2017</v>
      </c>
      <c r="C17" s="8">
        <v>30.869772222222199</v>
      </c>
      <c r="D17" s="8">
        <v>29.747279629629599</v>
      </c>
      <c r="E17" s="8">
        <v>63.805027777777802</v>
      </c>
      <c r="F17" s="8">
        <v>25.539533333333299</v>
      </c>
      <c r="G17" s="8">
        <v>25.548120555555599</v>
      </c>
      <c r="H17" s="8">
        <v>39.735799999999998</v>
      </c>
      <c r="I17" s="8">
        <v>34.0702246296296</v>
      </c>
      <c r="J17" s="8">
        <v>23.333333</v>
      </c>
      <c r="K17">
        <v>18.637993000000002</v>
      </c>
      <c r="L17">
        <v>27.921150000000001</v>
      </c>
      <c r="M17" s="8">
        <f t="shared" si="0"/>
        <v>-7.5364392222221994</v>
      </c>
      <c r="N17" s="8">
        <f t="shared" si="1"/>
        <v>-6.9015403333332976</v>
      </c>
      <c r="O17" s="8">
        <f t="shared" si="2"/>
        <v>-11.814649999999997</v>
      </c>
      <c r="P17" s="8">
        <f t="shared" si="3"/>
        <v>-6.4139466296295993</v>
      </c>
    </row>
    <row r="18" spans="1:16" x14ac:dyDescent="0.2">
      <c r="A18">
        <v>10</v>
      </c>
      <c r="B18">
        <v>2017</v>
      </c>
      <c r="C18" s="8">
        <v>26.455430107526901</v>
      </c>
      <c r="D18" s="8">
        <v>26.631166845878099</v>
      </c>
      <c r="E18" s="8">
        <v>68.441876344085998</v>
      </c>
      <c r="F18" s="8">
        <v>21.5550322580645</v>
      </c>
      <c r="G18" s="8">
        <v>22.7349027956989</v>
      </c>
      <c r="H18" s="8">
        <v>33.873161290322599</v>
      </c>
      <c r="I18" s="8">
        <v>30.753640430107499</v>
      </c>
      <c r="J18" s="8">
        <v>18.314814999999999</v>
      </c>
      <c r="K18">
        <v>13.166667</v>
      </c>
      <c r="L18">
        <v>23.407409999999999</v>
      </c>
      <c r="M18" s="8">
        <f t="shared" si="0"/>
        <v>-8.1406151075269015</v>
      </c>
      <c r="N18" s="8">
        <f t="shared" si="1"/>
        <v>-8.3883652580644998</v>
      </c>
      <c r="O18" s="8">
        <f t="shared" si="2"/>
        <v>-10.465751290322601</v>
      </c>
      <c r="P18" s="8">
        <f t="shared" si="3"/>
        <v>-8.3163518458780992</v>
      </c>
    </row>
    <row r="19" spans="1:16" x14ac:dyDescent="0.2">
      <c r="A19">
        <v>11</v>
      </c>
      <c r="B19">
        <v>2017</v>
      </c>
      <c r="C19" s="8">
        <v>21.4704388888889</v>
      </c>
      <c r="D19" s="8">
        <v>23.1629862962963</v>
      </c>
      <c r="E19" s="8">
        <v>70.435761111111105</v>
      </c>
      <c r="F19" s="8">
        <v>16.195833333333301</v>
      </c>
      <c r="G19" s="8">
        <v>19.161515000000001</v>
      </c>
      <c r="H19" s="8">
        <v>28.6538</v>
      </c>
      <c r="I19" s="8">
        <v>27.690749259259299</v>
      </c>
      <c r="J19" s="8">
        <v>22.616486999999999</v>
      </c>
      <c r="K19">
        <v>18.243728000000001</v>
      </c>
      <c r="L19">
        <v>27.150539999999999</v>
      </c>
      <c r="M19" s="8">
        <f t="shared" si="0"/>
        <v>1.1460481111110994</v>
      </c>
      <c r="N19" s="8">
        <f t="shared" si="1"/>
        <v>2.0478946666666999</v>
      </c>
      <c r="O19" s="8">
        <f t="shared" si="2"/>
        <v>-1.5032600000000009</v>
      </c>
      <c r="P19" s="8">
        <f t="shared" si="3"/>
        <v>-0.54649929629630023</v>
      </c>
    </row>
    <row r="20" spans="1:16" x14ac:dyDescent="0.2">
      <c r="A20">
        <v>12</v>
      </c>
      <c r="B20">
        <v>2017</v>
      </c>
      <c r="C20" s="8">
        <v>16.3809166666667</v>
      </c>
      <c r="D20" s="8">
        <v>19.986550000000001</v>
      </c>
      <c r="E20" s="8">
        <v>83.094166666666695</v>
      </c>
      <c r="F20" s="8">
        <v>12.73025</v>
      </c>
      <c r="G20" s="8">
        <v>16.49282625</v>
      </c>
      <c r="H20" s="8">
        <v>21.552</v>
      </c>
      <c r="I20" s="8">
        <v>23.652435277777801</v>
      </c>
      <c r="J20" s="8">
        <v>26.481480999999999</v>
      </c>
      <c r="K20">
        <v>22.240741</v>
      </c>
      <c r="L20">
        <v>31.203700000000001</v>
      </c>
      <c r="M20" s="8">
        <f t="shared" si="0"/>
        <v>10.100564333333299</v>
      </c>
      <c r="N20" s="8">
        <f t="shared" si="1"/>
        <v>9.510491</v>
      </c>
      <c r="O20" s="8">
        <f t="shared" si="2"/>
        <v>9.6517000000000017</v>
      </c>
      <c r="P20" s="8">
        <f t="shared" si="3"/>
        <v>6.4949309999999976</v>
      </c>
    </row>
    <row r="21" spans="1:16" x14ac:dyDescent="0.2">
      <c r="A21">
        <v>1</v>
      </c>
      <c r="B21">
        <v>2018</v>
      </c>
      <c r="C21" t="s">
        <v>11</v>
      </c>
      <c r="D21" t="s">
        <v>11</v>
      </c>
      <c r="E21" t="s">
        <v>11</v>
      </c>
      <c r="F21" t="s">
        <v>11</v>
      </c>
      <c r="G21" t="s">
        <v>11</v>
      </c>
      <c r="H21" t="s">
        <v>11</v>
      </c>
      <c r="I21" t="s">
        <v>11</v>
      </c>
      <c r="J21" s="8">
        <v>19.703703999999998</v>
      </c>
      <c r="K21">
        <v>14.148148000000001</v>
      </c>
      <c r="L21">
        <v>24.703700000000001</v>
      </c>
      <c r="M21" s="8" t="s">
        <v>11</v>
      </c>
      <c r="N21" s="8" t="s">
        <v>11</v>
      </c>
      <c r="O21" s="8" t="s">
        <v>11</v>
      </c>
      <c r="P21" s="8" t="s">
        <v>11</v>
      </c>
    </row>
    <row r="22" spans="1:16" x14ac:dyDescent="0.2">
      <c r="A22">
        <v>2</v>
      </c>
      <c r="B22">
        <v>2018</v>
      </c>
      <c r="C22" t="s">
        <v>11</v>
      </c>
      <c r="D22" t="s">
        <v>11</v>
      </c>
      <c r="E22" t="s">
        <v>11</v>
      </c>
      <c r="F22" t="s">
        <v>11</v>
      </c>
      <c r="G22" t="s">
        <v>11</v>
      </c>
      <c r="H22" t="s">
        <v>11</v>
      </c>
      <c r="I22" t="s">
        <v>11</v>
      </c>
      <c r="J22" s="8">
        <v>19.484127000000001</v>
      </c>
      <c r="K22">
        <v>15.376984</v>
      </c>
      <c r="L22">
        <v>24.682539999999999</v>
      </c>
      <c r="M22" s="8" t="s">
        <v>11</v>
      </c>
      <c r="N22" s="8" t="s">
        <v>11</v>
      </c>
      <c r="O22" s="8" t="s">
        <v>11</v>
      </c>
      <c r="P22" s="8" t="s">
        <v>11</v>
      </c>
    </row>
    <row r="23" spans="1:16" x14ac:dyDescent="0.2">
      <c r="A23">
        <v>3</v>
      </c>
      <c r="B23">
        <v>2018</v>
      </c>
      <c r="C23" t="s">
        <v>11</v>
      </c>
      <c r="D23" t="s">
        <v>11</v>
      </c>
      <c r="E23" t="s">
        <v>11</v>
      </c>
      <c r="F23" t="s">
        <v>11</v>
      </c>
      <c r="G23" t="s">
        <v>11</v>
      </c>
      <c r="H23" t="s">
        <v>11</v>
      </c>
      <c r="I23" t="s">
        <v>11</v>
      </c>
      <c r="J23" s="8">
        <v>9.2652330000000003</v>
      </c>
      <c r="K23">
        <v>4.247312</v>
      </c>
      <c r="L23">
        <v>14.39068</v>
      </c>
      <c r="M23" s="8" t="s">
        <v>11</v>
      </c>
      <c r="N23" s="8" t="s">
        <v>11</v>
      </c>
      <c r="O23" s="8" t="s">
        <v>11</v>
      </c>
      <c r="P23" s="8" t="s">
        <v>11</v>
      </c>
    </row>
    <row r="24" spans="1:16" x14ac:dyDescent="0.2">
      <c r="A24">
        <v>4</v>
      </c>
      <c r="B24">
        <v>2018</v>
      </c>
      <c r="C24" t="s">
        <v>11</v>
      </c>
      <c r="D24" t="s">
        <v>11</v>
      </c>
      <c r="E24" t="s">
        <v>11</v>
      </c>
      <c r="F24" t="s">
        <v>11</v>
      </c>
      <c r="G24" t="s">
        <v>11</v>
      </c>
      <c r="H24" t="s">
        <v>11</v>
      </c>
      <c r="I24" t="s">
        <v>11</v>
      </c>
      <c r="J24" s="8">
        <v>28.412697999999999</v>
      </c>
      <c r="K24">
        <v>23.762626000000001</v>
      </c>
      <c r="L24">
        <v>32.676769999999998</v>
      </c>
      <c r="M24" s="8" t="s">
        <v>11</v>
      </c>
      <c r="N24" s="8" t="s">
        <v>11</v>
      </c>
      <c r="O24" s="8" t="s">
        <v>11</v>
      </c>
      <c r="P24" s="8" t="s">
        <v>11</v>
      </c>
    </row>
    <row r="25" spans="1:16" x14ac:dyDescent="0.2">
      <c r="A25">
        <v>5</v>
      </c>
      <c r="B25">
        <v>2018</v>
      </c>
      <c r="C25" t="s">
        <v>11</v>
      </c>
      <c r="D25" t="s">
        <v>11</v>
      </c>
      <c r="E25" t="s">
        <v>11</v>
      </c>
      <c r="F25" t="s">
        <v>11</v>
      </c>
      <c r="G25" t="s">
        <v>11</v>
      </c>
      <c r="H25" t="s">
        <v>11</v>
      </c>
      <c r="I25" t="s">
        <v>11</v>
      </c>
      <c r="J25" s="8">
        <v>18.548387000000002</v>
      </c>
      <c r="K25">
        <v>13.602150999999999</v>
      </c>
      <c r="L25">
        <v>23.440860000000001</v>
      </c>
      <c r="M25" s="8" t="s">
        <v>11</v>
      </c>
      <c r="N25" s="8" t="s">
        <v>11</v>
      </c>
      <c r="O25" s="8" t="s">
        <v>11</v>
      </c>
      <c r="P25" s="8" t="s">
        <v>11</v>
      </c>
    </row>
    <row r="26" spans="1:16" x14ac:dyDescent="0.2">
      <c r="A26">
        <v>6</v>
      </c>
      <c r="B26">
        <v>2018</v>
      </c>
      <c r="C26" t="s">
        <v>11</v>
      </c>
      <c r="D26" t="s">
        <v>11</v>
      </c>
      <c r="E26" t="s">
        <v>11</v>
      </c>
      <c r="F26" t="s">
        <v>11</v>
      </c>
      <c r="G26" t="s">
        <v>11</v>
      </c>
      <c r="H26" t="s">
        <v>11</v>
      </c>
      <c r="I26" t="s">
        <v>11</v>
      </c>
      <c r="J26" s="8">
        <v>26.684588000000002</v>
      </c>
      <c r="K26">
        <v>21.344086000000001</v>
      </c>
      <c r="L26">
        <v>31.953410000000002</v>
      </c>
      <c r="M26" s="8" t="s">
        <v>11</v>
      </c>
      <c r="N26" s="8" t="s">
        <v>11</v>
      </c>
      <c r="O26" s="8" t="s">
        <v>11</v>
      </c>
      <c r="P26" s="8" t="s">
        <v>11</v>
      </c>
    </row>
    <row r="27" spans="1:16" x14ac:dyDescent="0.2">
      <c r="F27" s="32"/>
      <c r="G27" s="32"/>
      <c r="H27" s="32"/>
      <c r="J27" s="32"/>
      <c r="K27" s="32"/>
      <c r="L27" s="32"/>
    </row>
    <row r="28" spans="1:16" x14ac:dyDescent="0.2">
      <c r="F28" s="32"/>
      <c r="G28" s="32"/>
      <c r="H28" s="32"/>
      <c r="J28" s="32"/>
      <c r="K28" s="32"/>
      <c r="L28" s="32"/>
    </row>
    <row r="29" spans="1:16" x14ac:dyDescent="0.2">
      <c r="F29" s="32"/>
      <c r="G29" s="32"/>
      <c r="H29" s="32"/>
      <c r="J29" s="32"/>
      <c r="K29" s="32"/>
      <c r="L29" s="32"/>
    </row>
    <row r="30" spans="1:16" x14ac:dyDescent="0.2">
      <c r="F30" s="32"/>
      <c r="G30" s="32"/>
      <c r="H30" s="32"/>
      <c r="J30" s="32"/>
      <c r="K30" s="32"/>
      <c r="L30" s="32"/>
    </row>
    <row r="31" spans="1:16" x14ac:dyDescent="0.2">
      <c r="F31" s="32"/>
      <c r="G31" s="32"/>
      <c r="H31" s="32"/>
      <c r="J31" s="32"/>
      <c r="K31" s="32"/>
      <c r="L31" s="32"/>
    </row>
    <row r="32" spans="1:16" x14ac:dyDescent="0.2">
      <c r="F32" s="32"/>
      <c r="G32" s="32"/>
      <c r="H32" s="32"/>
      <c r="J32" s="32"/>
      <c r="K32" s="32"/>
      <c r="L32" s="32"/>
    </row>
    <row r="33" spans="6:12" x14ac:dyDescent="0.2">
      <c r="F33" s="32"/>
      <c r="G33" s="32"/>
      <c r="H33" s="32"/>
      <c r="J33" s="32"/>
      <c r="K33" s="32"/>
      <c r="L33" s="32"/>
    </row>
    <row r="34" spans="6:12" x14ac:dyDescent="0.2">
      <c r="F34" s="32"/>
      <c r="G34" s="32"/>
      <c r="H34" s="32"/>
      <c r="J34" s="32"/>
      <c r="K34" s="32"/>
      <c r="L34" s="32"/>
    </row>
    <row r="35" spans="6:12" x14ac:dyDescent="0.2">
      <c r="F35" s="32"/>
      <c r="G35" s="32"/>
      <c r="H35" s="32"/>
      <c r="J35" s="32"/>
      <c r="K35" s="32"/>
      <c r="L35" s="32"/>
    </row>
    <row r="36" spans="6:12" x14ac:dyDescent="0.2">
      <c r="F36" s="32"/>
      <c r="G36" s="32"/>
      <c r="H36" s="32"/>
      <c r="J36" s="32"/>
      <c r="K36" s="32"/>
      <c r="L36" s="32"/>
    </row>
    <row r="37" spans="6:12" x14ac:dyDescent="0.2">
      <c r="F37" s="32"/>
      <c r="G37" s="32"/>
      <c r="H37" s="32"/>
      <c r="J37" s="32"/>
      <c r="K37" s="32"/>
      <c r="L37" s="32"/>
    </row>
    <row r="38" spans="6:12" x14ac:dyDescent="0.2">
      <c r="F38" s="32"/>
      <c r="G38" s="32"/>
      <c r="H38" s="32"/>
      <c r="J38" s="32"/>
      <c r="K38" s="32"/>
      <c r="L38" s="32"/>
    </row>
    <row r="39" spans="6:12" x14ac:dyDescent="0.2">
      <c r="F39" s="32"/>
      <c r="G39" s="32"/>
      <c r="H39" s="32"/>
      <c r="J39" s="32"/>
      <c r="K39" s="32"/>
      <c r="L39" s="32"/>
    </row>
    <row r="40" spans="6:12" x14ac:dyDescent="0.2">
      <c r="F40" s="32"/>
      <c r="G40" s="32"/>
      <c r="H40" s="32"/>
      <c r="J40" s="32"/>
      <c r="K40" s="32"/>
      <c r="L40" s="32"/>
    </row>
    <row r="41" spans="6:12" x14ac:dyDescent="0.2">
      <c r="F41" s="32"/>
      <c r="G41" s="32"/>
      <c r="H41" s="32"/>
      <c r="J41" s="32"/>
      <c r="K41" s="32"/>
      <c r="L41" s="32"/>
    </row>
    <row r="42" spans="6:12" x14ac:dyDescent="0.2">
      <c r="F42" s="32"/>
      <c r="G42" s="32"/>
      <c r="H42" s="32"/>
      <c r="J42" s="32"/>
      <c r="K42" s="32"/>
      <c r="L42" s="32"/>
    </row>
    <row r="43" spans="6:12" x14ac:dyDescent="0.2">
      <c r="F43" s="32"/>
      <c r="G43" s="32"/>
      <c r="H43" s="32"/>
      <c r="J43" s="32"/>
      <c r="K43" s="32"/>
      <c r="L43" s="32"/>
    </row>
    <row r="44" spans="6:12" x14ac:dyDescent="0.2">
      <c r="F44" s="32"/>
      <c r="G44" s="32"/>
      <c r="H44" s="32"/>
      <c r="J44" s="32"/>
      <c r="K44" s="32"/>
      <c r="L44" s="32"/>
    </row>
    <row r="45" spans="6:12" x14ac:dyDescent="0.2">
      <c r="F45" s="32"/>
      <c r="G45" s="32"/>
      <c r="H45" s="32"/>
      <c r="J45" s="32"/>
      <c r="K45" s="32"/>
      <c r="L45" s="32"/>
    </row>
    <row r="46" spans="6:12" x14ac:dyDescent="0.2">
      <c r="F46" s="32"/>
      <c r="G46" s="32"/>
      <c r="H46" s="32"/>
      <c r="J46" s="32"/>
      <c r="K46" s="32"/>
      <c r="L46" s="32"/>
    </row>
    <row r="47" spans="6:12" x14ac:dyDescent="0.2">
      <c r="F47" s="32"/>
      <c r="G47" s="32"/>
      <c r="H47" s="32"/>
      <c r="J47" s="32"/>
      <c r="K47" s="32"/>
      <c r="L47" s="32"/>
    </row>
    <row r="48" spans="6:12" x14ac:dyDescent="0.2">
      <c r="F48" s="32"/>
      <c r="G48" s="32"/>
      <c r="H48" s="32"/>
      <c r="J48" s="32"/>
      <c r="K48" s="32"/>
      <c r="L48" s="32"/>
    </row>
    <row r="49" spans="6:8" x14ac:dyDescent="0.2">
      <c r="F49" s="32"/>
      <c r="G49" s="32"/>
      <c r="H49" s="32"/>
    </row>
    <row r="50" spans="6:8" x14ac:dyDescent="0.2">
      <c r="F50" s="32"/>
      <c r="G50" s="32"/>
      <c r="H50" s="32"/>
    </row>
  </sheetData>
  <sortState xmlns:xlrd2="http://schemas.microsoft.com/office/spreadsheetml/2017/richdata2" ref="A2:I17">
    <sortCondition ref="B2:B17"/>
    <sortCondition ref="A2:A17"/>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2"/>
  <sheetViews>
    <sheetView topLeftCell="A70" workbookViewId="0">
      <selection activeCell="C78" sqref="C78:C82"/>
    </sheetView>
  </sheetViews>
  <sheetFormatPr baseColWidth="10" defaultColWidth="8.6640625" defaultRowHeight="15" x14ac:dyDescent="0.2"/>
  <cols>
    <col min="1" max="1" width="21.33203125" customWidth="1"/>
    <col min="2" max="2" width="34.33203125" customWidth="1"/>
    <col min="3" max="3" width="177.5" style="11" customWidth="1"/>
    <col min="5" max="5" width="17.83203125" customWidth="1"/>
  </cols>
  <sheetData>
    <row r="1" spans="1:3" ht="17" x14ac:dyDescent="0.2">
      <c r="A1" s="28" t="s">
        <v>12</v>
      </c>
      <c r="B1" s="28" t="s">
        <v>14</v>
      </c>
      <c r="C1" s="29" t="s">
        <v>13</v>
      </c>
    </row>
    <row r="2" spans="1:3" ht="16" x14ac:dyDescent="0.2">
      <c r="A2" s="12" t="s">
        <v>923</v>
      </c>
      <c r="B2" s="12" t="s">
        <v>24</v>
      </c>
      <c r="C2" s="21" t="s">
        <v>1074</v>
      </c>
    </row>
    <row r="3" spans="1:3" ht="16" x14ac:dyDescent="0.2">
      <c r="A3" s="12" t="s">
        <v>0</v>
      </c>
      <c r="B3" s="12" t="s">
        <v>1073</v>
      </c>
      <c r="C3" s="21" t="s">
        <v>17</v>
      </c>
    </row>
    <row r="4" spans="1:3" ht="16" x14ac:dyDescent="0.2">
      <c r="A4" s="12" t="s">
        <v>1</v>
      </c>
      <c r="B4" s="12" t="s">
        <v>1073</v>
      </c>
      <c r="C4" s="21" t="s">
        <v>18</v>
      </c>
    </row>
    <row r="5" spans="1:3" ht="16" x14ac:dyDescent="0.2">
      <c r="A5" s="12" t="s">
        <v>2</v>
      </c>
      <c r="B5" s="12" t="s">
        <v>1073</v>
      </c>
      <c r="C5" s="21" t="s">
        <v>19</v>
      </c>
    </row>
    <row r="6" spans="1:3" ht="16" x14ac:dyDescent="0.2">
      <c r="A6" s="12" t="s">
        <v>3</v>
      </c>
      <c r="B6" s="12" t="s">
        <v>1073</v>
      </c>
      <c r="C6" s="21" t="s">
        <v>20</v>
      </c>
    </row>
    <row r="7" spans="1:3" ht="16" x14ac:dyDescent="0.2">
      <c r="A7" s="12" t="s">
        <v>4</v>
      </c>
      <c r="B7" s="12" t="s">
        <v>1073</v>
      </c>
      <c r="C7" s="21" t="s">
        <v>21</v>
      </c>
    </row>
    <row r="8" spans="1:3" ht="16" x14ac:dyDescent="0.2">
      <c r="A8" s="12" t="s">
        <v>5</v>
      </c>
      <c r="B8" s="12" t="s">
        <v>1073</v>
      </c>
      <c r="C8" s="21" t="s">
        <v>22</v>
      </c>
    </row>
    <row r="9" spans="1:3" ht="16" x14ac:dyDescent="0.2">
      <c r="A9" s="12" t="s">
        <v>15</v>
      </c>
      <c r="B9" s="12" t="s">
        <v>1073</v>
      </c>
      <c r="C9" s="21" t="s">
        <v>51</v>
      </c>
    </row>
    <row r="10" spans="1:3" ht="32" x14ac:dyDescent="0.2">
      <c r="A10" s="12" t="s">
        <v>320</v>
      </c>
      <c r="B10" s="12" t="s">
        <v>1073</v>
      </c>
      <c r="C10" s="21" t="s">
        <v>1075</v>
      </c>
    </row>
    <row r="11" spans="1:3" ht="16" x14ac:dyDescent="0.2">
      <c r="A11" s="19" t="s">
        <v>73</v>
      </c>
      <c r="B11" s="12" t="s">
        <v>76</v>
      </c>
      <c r="C11" s="20" t="s">
        <v>80</v>
      </c>
    </row>
    <row r="12" spans="1:3" ht="16" x14ac:dyDescent="0.2">
      <c r="A12" s="13" t="s">
        <v>71</v>
      </c>
      <c r="B12" s="12" t="s">
        <v>2144</v>
      </c>
      <c r="C12" s="20" t="s">
        <v>2145</v>
      </c>
    </row>
    <row r="13" spans="1:3" ht="16" x14ac:dyDescent="0.2">
      <c r="A13" s="12" t="s">
        <v>74</v>
      </c>
      <c r="B13" s="12" t="s">
        <v>76</v>
      </c>
      <c r="C13" s="20" t="s">
        <v>78</v>
      </c>
    </row>
    <row r="14" spans="1:3" ht="16" x14ac:dyDescent="0.2">
      <c r="A14" s="12" t="s">
        <v>75</v>
      </c>
      <c r="B14" s="12" t="s">
        <v>76</v>
      </c>
      <c r="C14" s="20" t="s">
        <v>77</v>
      </c>
    </row>
    <row r="15" spans="1:3" ht="16" x14ac:dyDescent="0.2">
      <c r="A15" s="12" t="s">
        <v>72</v>
      </c>
      <c r="B15" s="12" t="s">
        <v>76</v>
      </c>
      <c r="C15" s="20" t="s">
        <v>79</v>
      </c>
    </row>
    <row r="16" spans="1:3" ht="16" x14ac:dyDescent="0.2">
      <c r="A16" s="12" t="s">
        <v>924</v>
      </c>
      <c r="B16" s="12" t="s">
        <v>1125</v>
      </c>
      <c r="C16" s="20" t="s">
        <v>1077</v>
      </c>
    </row>
    <row r="17" spans="1:3" ht="16" x14ac:dyDescent="0.2">
      <c r="A17" s="12" t="s">
        <v>925</v>
      </c>
      <c r="B17" s="12" t="s">
        <v>1076</v>
      </c>
      <c r="C17" s="20" t="s">
        <v>1078</v>
      </c>
    </row>
    <row r="18" spans="1:3" ht="16" x14ac:dyDescent="0.2">
      <c r="A18" s="12" t="s">
        <v>933</v>
      </c>
      <c r="B18" s="12" t="s">
        <v>1076</v>
      </c>
      <c r="C18" s="20" t="s">
        <v>1079</v>
      </c>
    </row>
    <row r="19" spans="1:3" ht="16" x14ac:dyDescent="0.2">
      <c r="A19" s="19" t="s">
        <v>928</v>
      </c>
      <c r="B19" s="12" t="s">
        <v>1076</v>
      </c>
      <c r="C19" s="20" t="s">
        <v>1080</v>
      </c>
    </row>
    <row r="20" spans="1:3" ht="16" x14ac:dyDescent="0.2">
      <c r="A20" s="12" t="s">
        <v>930</v>
      </c>
      <c r="B20" s="12" t="s">
        <v>1076</v>
      </c>
      <c r="C20" s="20" t="s">
        <v>1081</v>
      </c>
    </row>
    <row r="21" spans="1:3" ht="16" x14ac:dyDescent="0.2">
      <c r="A21" s="12" t="s">
        <v>931</v>
      </c>
      <c r="B21" s="12" t="s">
        <v>1076</v>
      </c>
      <c r="C21" s="20" t="s">
        <v>1082</v>
      </c>
    </row>
    <row r="22" spans="1:3" ht="16" x14ac:dyDescent="0.2">
      <c r="A22" s="12" t="s">
        <v>929</v>
      </c>
      <c r="B22" s="12" t="s">
        <v>1076</v>
      </c>
      <c r="C22" s="20" t="s">
        <v>1083</v>
      </c>
    </row>
    <row r="23" spans="1:3" ht="16" x14ac:dyDescent="0.2">
      <c r="A23" s="12" t="s">
        <v>926</v>
      </c>
      <c r="B23" s="12" t="s">
        <v>1076</v>
      </c>
      <c r="C23" s="20" t="s">
        <v>1084</v>
      </c>
    </row>
    <row r="24" spans="1:3" ht="16" x14ac:dyDescent="0.2">
      <c r="A24" s="12" t="s">
        <v>927</v>
      </c>
      <c r="B24" s="12" t="s">
        <v>1076</v>
      </c>
      <c r="C24" s="20" t="s">
        <v>1085</v>
      </c>
    </row>
    <row r="25" spans="1:3" ht="16" x14ac:dyDescent="0.2">
      <c r="A25" s="12" t="s">
        <v>71</v>
      </c>
      <c r="B25" s="12" t="s">
        <v>2170</v>
      </c>
      <c r="C25" s="20" t="s">
        <v>1086</v>
      </c>
    </row>
    <row r="26" spans="1:3" ht="16" x14ac:dyDescent="0.2">
      <c r="A26" s="19" t="s">
        <v>6</v>
      </c>
      <c r="B26" s="12" t="s">
        <v>1090</v>
      </c>
      <c r="C26" s="20" t="s">
        <v>1089</v>
      </c>
    </row>
    <row r="27" spans="1:3" ht="16" x14ac:dyDescent="0.2">
      <c r="A27" s="12" t="s">
        <v>7</v>
      </c>
      <c r="B27" s="12" t="s">
        <v>1090</v>
      </c>
      <c r="C27" s="20" t="s">
        <v>1088</v>
      </c>
    </row>
    <row r="28" spans="1:3" ht="64" x14ac:dyDescent="0.2">
      <c r="A28" s="22" t="s">
        <v>23</v>
      </c>
      <c r="B28" s="12" t="s">
        <v>25</v>
      </c>
      <c r="C28" s="21" t="s">
        <v>2150</v>
      </c>
    </row>
    <row r="29" spans="1:3" ht="48" x14ac:dyDescent="0.2">
      <c r="A29" s="22" t="s">
        <v>44</v>
      </c>
      <c r="B29" s="12" t="s">
        <v>25</v>
      </c>
      <c r="C29" s="21" t="s">
        <v>46</v>
      </c>
    </row>
    <row r="30" spans="1:3" ht="48" x14ac:dyDescent="0.2">
      <c r="A30" s="22" t="s">
        <v>45</v>
      </c>
      <c r="B30" s="12" t="s">
        <v>25</v>
      </c>
      <c r="C30" s="21" t="s">
        <v>101</v>
      </c>
    </row>
    <row r="31" spans="1:3" ht="48" x14ac:dyDescent="0.2">
      <c r="A31" s="23" t="s">
        <v>47</v>
      </c>
      <c r="B31" s="12" t="s">
        <v>25</v>
      </c>
      <c r="C31" s="21" t="s">
        <v>98</v>
      </c>
    </row>
    <row r="32" spans="1:3" ht="16" x14ac:dyDescent="0.2">
      <c r="A32" s="23" t="s">
        <v>97</v>
      </c>
      <c r="B32" s="12" t="s">
        <v>25</v>
      </c>
      <c r="C32" s="21" t="s">
        <v>1087</v>
      </c>
    </row>
    <row r="33" spans="1:3" ht="16" x14ac:dyDescent="0.2">
      <c r="A33" s="12" t="s">
        <v>48</v>
      </c>
      <c r="B33" s="12" t="s">
        <v>55</v>
      </c>
      <c r="C33" s="20" t="s">
        <v>52</v>
      </c>
    </row>
    <row r="34" spans="1:3" ht="16" x14ac:dyDescent="0.2">
      <c r="A34" s="24" t="s">
        <v>49</v>
      </c>
      <c r="B34" s="12" t="s">
        <v>55</v>
      </c>
      <c r="C34" s="20" t="s">
        <v>53</v>
      </c>
    </row>
    <row r="35" spans="1:3" ht="16" x14ac:dyDescent="0.2">
      <c r="A35" s="24" t="s">
        <v>50</v>
      </c>
      <c r="B35" s="12" t="s">
        <v>55</v>
      </c>
      <c r="C35" s="20" t="s">
        <v>54</v>
      </c>
    </row>
    <row r="36" spans="1:3" ht="16" x14ac:dyDescent="0.2">
      <c r="A36" s="19" t="s">
        <v>73</v>
      </c>
      <c r="B36" s="12" t="s">
        <v>76</v>
      </c>
      <c r="C36" s="20" t="s">
        <v>1091</v>
      </c>
    </row>
    <row r="37" spans="1:3" ht="16" x14ac:dyDescent="0.2">
      <c r="A37" s="12" t="s">
        <v>74</v>
      </c>
      <c r="B37" s="12" t="s">
        <v>76</v>
      </c>
      <c r="C37" s="20" t="s">
        <v>1092</v>
      </c>
    </row>
    <row r="38" spans="1:3" ht="16" x14ac:dyDescent="0.2">
      <c r="A38" s="12" t="s">
        <v>75</v>
      </c>
      <c r="B38" s="12" t="s">
        <v>76</v>
      </c>
      <c r="C38" s="20" t="s">
        <v>1093</v>
      </c>
    </row>
    <row r="39" spans="1:3" ht="16" x14ac:dyDescent="0.2">
      <c r="A39" s="12" t="s">
        <v>72</v>
      </c>
      <c r="B39" s="12" t="s">
        <v>76</v>
      </c>
      <c r="C39" s="20" t="s">
        <v>79</v>
      </c>
    </row>
    <row r="40" spans="1:3" ht="32" x14ac:dyDescent="0.2">
      <c r="A40" s="23" t="s">
        <v>93</v>
      </c>
      <c r="B40" s="23" t="s">
        <v>1096</v>
      </c>
      <c r="C40" s="21" t="s">
        <v>1097</v>
      </c>
    </row>
    <row r="41" spans="1:3" ht="32" x14ac:dyDescent="0.2">
      <c r="A41" s="12" t="s">
        <v>94</v>
      </c>
      <c r="B41" s="23" t="s">
        <v>1096</v>
      </c>
      <c r="C41" s="21" t="s">
        <v>1098</v>
      </c>
    </row>
    <row r="42" spans="1:3" ht="48" x14ac:dyDescent="0.2">
      <c r="A42" s="12" t="s">
        <v>95</v>
      </c>
      <c r="B42" s="23" t="s">
        <v>1096</v>
      </c>
      <c r="C42" s="21" t="s">
        <v>1099</v>
      </c>
    </row>
    <row r="43" spans="1:3" ht="48" x14ac:dyDescent="0.2">
      <c r="A43" s="12" t="s">
        <v>1094</v>
      </c>
      <c r="B43" s="23" t="s">
        <v>1096</v>
      </c>
      <c r="C43" s="21" t="s">
        <v>1100</v>
      </c>
    </row>
    <row r="44" spans="1:3" ht="32" x14ac:dyDescent="0.2">
      <c r="A44" s="12" t="s">
        <v>102</v>
      </c>
      <c r="B44" s="23" t="s">
        <v>1096</v>
      </c>
      <c r="C44" s="21" t="s">
        <v>56</v>
      </c>
    </row>
    <row r="45" spans="1:3" ht="16" x14ac:dyDescent="0.2">
      <c r="A45" s="12" t="s">
        <v>1095</v>
      </c>
      <c r="B45" s="23" t="s">
        <v>1096</v>
      </c>
      <c r="C45" s="20" t="s">
        <v>1101</v>
      </c>
    </row>
    <row r="46" spans="1:3" ht="16" x14ac:dyDescent="0.2">
      <c r="A46" s="12" t="s">
        <v>103</v>
      </c>
      <c r="B46" s="23" t="s">
        <v>1096</v>
      </c>
      <c r="C46" s="20" t="s">
        <v>1102</v>
      </c>
    </row>
    <row r="47" spans="1:3" ht="16" x14ac:dyDescent="0.2">
      <c r="A47" s="12" t="s">
        <v>1103</v>
      </c>
      <c r="B47" s="23" t="s">
        <v>1096</v>
      </c>
      <c r="C47" s="20" t="s">
        <v>1105</v>
      </c>
    </row>
    <row r="48" spans="1:3" ht="16" x14ac:dyDescent="0.2">
      <c r="A48" s="12" t="s">
        <v>1104</v>
      </c>
      <c r="B48" s="23" t="s">
        <v>1096</v>
      </c>
      <c r="C48" s="21" t="s">
        <v>1106</v>
      </c>
    </row>
    <row r="49" spans="1:3" ht="16" x14ac:dyDescent="0.2">
      <c r="A49" s="12" t="s">
        <v>1062</v>
      </c>
      <c r="B49" s="23" t="s">
        <v>1107</v>
      </c>
      <c r="C49" s="20" t="s">
        <v>1108</v>
      </c>
    </row>
    <row r="50" spans="1:3" ht="16" x14ac:dyDescent="0.2">
      <c r="A50" s="12" t="s">
        <v>1063</v>
      </c>
      <c r="B50" s="23" t="s">
        <v>1107</v>
      </c>
      <c r="C50" s="20" t="s">
        <v>1109</v>
      </c>
    </row>
    <row r="51" spans="1:3" ht="16" x14ac:dyDescent="0.2">
      <c r="A51" s="12" t="s">
        <v>1064</v>
      </c>
      <c r="B51" s="23" t="s">
        <v>1107</v>
      </c>
      <c r="C51" s="20" t="s">
        <v>1111</v>
      </c>
    </row>
    <row r="52" spans="1:3" ht="16" x14ac:dyDescent="0.2">
      <c r="A52" s="12" t="s">
        <v>1065</v>
      </c>
      <c r="B52" s="23" t="s">
        <v>1107</v>
      </c>
      <c r="C52" s="20" t="s">
        <v>1110</v>
      </c>
    </row>
    <row r="53" spans="1:3" ht="16" x14ac:dyDescent="0.2">
      <c r="A53" s="12" t="s">
        <v>1066</v>
      </c>
      <c r="B53" s="23" t="s">
        <v>1107</v>
      </c>
      <c r="C53" s="20" t="s">
        <v>1112</v>
      </c>
    </row>
    <row r="54" spans="1:3" ht="16" x14ac:dyDescent="0.2">
      <c r="A54" s="12" t="s">
        <v>1067</v>
      </c>
      <c r="B54" s="23" t="s">
        <v>1107</v>
      </c>
      <c r="C54" s="20" t="s">
        <v>1113</v>
      </c>
    </row>
    <row r="55" spans="1:3" ht="16" x14ac:dyDescent="0.2">
      <c r="A55" s="12" t="s">
        <v>1068</v>
      </c>
      <c r="B55" s="23" t="s">
        <v>1107</v>
      </c>
      <c r="C55" s="20" t="s">
        <v>1114</v>
      </c>
    </row>
    <row r="56" spans="1:3" ht="16" x14ac:dyDescent="0.2">
      <c r="A56" s="12" t="s">
        <v>1069</v>
      </c>
      <c r="B56" s="23" t="s">
        <v>1107</v>
      </c>
      <c r="C56" s="20" t="s">
        <v>1115</v>
      </c>
    </row>
    <row r="57" spans="1:3" ht="16" x14ac:dyDescent="0.2">
      <c r="A57" s="12" t="s">
        <v>1070</v>
      </c>
      <c r="B57" s="23" t="s">
        <v>1107</v>
      </c>
      <c r="C57" s="20" t="s">
        <v>1116</v>
      </c>
    </row>
    <row r="58" spans="1:3" ht="16" x14ac:dyDescent="0.2">
      <c r="A58" s="12" t="s">
        <v>1071</v>
      </c>
      <c r="B58" s="23" t="s">
        <v>1107</v>
      </c>
      <c r="C58" s="20" t="s">
        <v>1117</v>
      </c>
    </row>
    <row r="59" spans="1:3" ht="48" x14ac:dyDescent="0.2">
      <c r="A59" s="12" t="s">
        <v>57</v>
      </c>
      <c r="B59" s="12" t="s">
        <v>64</v>
      </c>
      <c r="C59" s="25" t="s">
        <v>70</v>
      </c>
    </row>
    <row r="60" spans="1:3" ht="48" x14ac:dyDescent="0.2">
      <c r="A60" s="12" t="s">
        <v>58</v>
      </c>
      <c r="B60" s="12" t="s">
        <v>64</v>
      </c>
      <c r="C60" s="25" t="s">
        <v>91</v>
      </c>
    </row>
    <row r="61" spans="1:3" ht="48" x14ac:dyDescent="0.2">
      <c r="A61" s="12" t="s">
        <v>59</v>
      </c>
      <c r="B61" s="12" t="s">
        <v>64</v>
      </c>
      <c r="C61" s="25" t="s">
        <v>92</v>
      </c>
    </row>
    <row r="62" spans="1:3" ht="16" x14ac:dyDescent="0.2">
      <c r="A62" s="12" t="s">
        <v>60</v>
      </c>
      <c r="B62" s="12" t="s">
        <v>64</v>
      </c>
      <c r="C62" s="25" t="s">
        <v>100</v>
      </c>
    </row>
    <row r="63" spans="1:3" ht="16" x14ac:dyDescent="0.2">
      <c r="A63" s="12" t="s">
        <v>9</v>
      </c>
      <c r="B63" s="12" t="s">
        <v>1118</v>
      </c>
      <c r="C63" s="20" t="s">
        <v>1119</v>
      </c>
    </row>
    <row r="64" spans="1:3" ht="16" x14ac:dyDescent="0.2">
      <c r="A64" s="12" t="s">
        <v>57</v>
      </c>
      <c r="B64" s="12" t="s">
        <v>1118</v>
      </c>
      <c r="C64" s="20" t="s">
        <v>1121</v>
      </c>
    </row>
    <row r="65" spans="1:3" ht="16" x14ac:dyDescent="0.2">
      <c r="A65" s="12" t="s">
        <v>90</v>
      </c>
      <c r="B65" s="12" t="s">
        <v>1118</v>
      </c>
      <c r="C65" s="20" t="s">
        <v>1121</v>
      </c>
    </row>
    <row r="66" spans="1:3" ht="32" x14ac:dyDescent="0.2">
      <c r="A66" s="12" t="s">
        <v>59</v>
      </c>
      <c r="B66" s="12" t="s">
        <v>1118</v>
      </c>
      <c r="C66" s="20" t="s">
        <v>1120</v>
      </c>
    </row>
    <row r="67" spans="1:3" ht="32" x14ac:dyDescent="0.2">
      <c r="A67" s="12" t="s">
        <v>90</v>
      </c>
      <c r="B67" s="12" t="s">
        <v>1118</v>
      </c>
      <c r="C67" s="20" t="s">
        <v>1120</v>
      </c>
    </row>
    <row r="68" spans="1:3" ht="16" x14ac:dyDescent="0.2">
      <c r="A68" t="s">
        <v>81</v>
      </c>
      <c r="B68" t="s">
        <v>1122</v>
      </c>
      <c r="C68" s="11" t="s">
        <v>1123</v>
      </c>
    </row>
    <row r="69" spans="1:3" ht="16" x14ac:dyDescent="0.2">
      <c r="A69" t="s">
        <v>82</v>
      </c>
      <c r="B69" t="s">
        <v>1122</v>
      </c>
      <c r="C69" s="11" t="s">
        <v>1124</v>
      </c>
    </row>
    <row r="70" spans="1:3" ht="32" x14ac:dyDescent="0.2">
      <c r="A70" t="s">
        <v>83</v>
      </c>
      <c r="B70" t="s">
        <v>1122</v>
      </c>
      <c r="C70" s="11" t="s">
        <v>61</v>
      </c>
    </row>
    <row r="71" spans="1:3" ht="32" x14ac:dyDescent="0.2">
      <c r="A71" t="s">
        <v>84</v>
      </c>
      <c r="B71" t="s">
        <v>1122</v>
      </c>
      <c r="C71" s="11" t="s">
        <v>66</v>
      </c>
    </row>
    <row r="72" spans="1:3" ht="32" x14ac:dyDescent="0.2">
      <c r="A72" t="s">
        <v>85</v>
      </c>
      <c r="B72" t="s">
        <v>1122</v>
      </c>
      <c r="C72" s="11" t="s">
        <v>69</v>
      </c>
    </row>
    <row r="73" spans="1:3" ht="32" x14ac:dyDescent="0.2">
      <c r="A73" t="s">
        <v>86</v>
      </c>
      <c r="B73" t="s">
        <v>1122</v>
      </c>
      <c r="C73" s="11" t="s">
        <v>63</v>
      </c>
    </row>
    <row r="74" spans="1:3" ht="32" x14ac:dyDescent="0.2">
      <c r="A74" t="s">
        <v>87</v>
      </c>
      <c r="B74" t="s">
        <v>1122</v>
      </c>
      <c r="C74" s="11" t="s">
        <v>68</v>
      </c>
    </row>
    <row r="75" spans="1:3" ht="32" x14ac:dyDescent="0.2">
      <c r="A75" t="s">
        <v>88</v>
      </c>
      <c r="B75" t="s">
        <v>1122</v>
      </c>
      <c r="C75" s="11" t="s">
        <v>62</v>
      </c>
    </row>
    <row r="76" spans="1:3" ht="32" x14ac:dyDescent="0.2">
      <c r="A76" t="s">
        <v>89</v>
      </c>
      <c r="B76" t="s">
        <v>1122</v>
      </c>
      <c r="C76" s="11" t="s">
        <v>67</v>
      </c>
    </row>
    <row r="77" spans="1:3" ht="16" x14ac:dyDescent="0.2">
      <c r="A77" s="12" t="s">
        <v>321</v>
      </c>
      <c r="B77" t="s">
        <v>2003</v>
      </c>
      <c r="C77" s="11" t="s">
        <v>2146</v>
      </c>
    </row>
    <row r="78" spans="1:3" ht="32" x14ac:dyDescent="0.2">
      <c r="A78" s="12" t="s">
        <v>322</v>
      </c>
      <c r="B78" t="s">
        <v>2003</v>
      </c>
      <c r="C78" s="11" t="s">
        <v>2181</v>
      </c>
    </row>
    <row r="79" spans="1:3" ht="16" x14ac:dyDescent="0.2">
      <c r="A79" s="12" t="s">
        <v>323</v>
      </c>
      <c r="B79" t="s">
        <v>2003</v>
      </c>
      <c r="C79" s="11" t="s">
        <v>2182</v>
      </c>
    </row>
    <row r="80" spans="1:3" ht="16" x14ac:dyDescent="0.2">
      <c r="A80" s="12" t="s">
        <v>324</v>
      </c>
      <c r="B80" t="s">
        <v>2003</v>
      </c>
      <c r="C80" s="11" t="s">
        <v>2183</v>
      </c>
    </row>
    <row r="81" spans="1:3" ht="16" x14ac:dyDescent="0.2">
      <c r="A81" s="12" t="s">
        <v>325</v>
      </c>
      <c r="B81" t="s">
        <v>2003</v>
      </c>
      <c r="C81" s="11" t="s">
        <v>2184</v>
      </c>
    </row>
    <row r="82" spans="1:3" ht="16" x14ac:dyDescent="0.2">
      <c r="A82" s="12" t="s">
        <v>326</v>
      </c>
      <c r="B82" t="s">
        <v>2003</v>
      </c>
      <c r="C82" s="11" t="s">
        <v>2185</v>
      </c>
    </row>
    <row r="83" spans="1:3" x14ac:dyDescent="0.2">
      <c r="A83" s="12" t="s">
        <v>327</v>
      </c>
      <c r="B83" t="s">
        <v>2003</v>
      </c>
      <c r="C83" s="12" t="s">
        <v>2147</v>
      </c>
    </row>
    <row r="84" spans="1:3" x14ac:dyDescent="0.2">
      <c r="A84" s="12" t="s">
        <v>328</v>
      </c>
      <c r="B84" t="s">
        <v>2003</v>
      </c>
      <c r="C84" s="12" t="s">
        <v>2148</v>
      </c>
    </row>
    <row r="85" spans="1:3" x14ac:dyDescent="0.2">
      <c r="A85" s="12" t="s">
        <v>329</v>
      </c>
      <c r="B85" t="s">
        <v>2003</v>
      </c>
      <c r="C85" s="12" t="s">
        <v>2149</v>
      </c>
    </row>
    <row r="86" spans="1:3" ht="16" x14ac:dyDescent="0.2">
      <c r="A86" t="s">
        <v>2151</v>
      </c>
      <c r="B86" t="s">
        <v>1122</v>
      </c>
      <c r="C86" s="11" t="s">
        <v>2159</v>
      </c>
    </row>
    <row r="87" spans="1:3" ht="16" x14ac:dyDescent="0.2">
      <c r="A87" t="s">
        <v>2152</v>
      </c>
      <c r="B87" t="s">
        <v>1122</v>
      </c>
      <c r="C87" s="11" t="s">
        <v>2160</v>
      </c>
    </row>
    <row r="88" spans="1:3" ht="16" x14ac:dyDescent="0.2">
      <c r="A88" t="s">
        <v>2153</v>
      </c>
      <c r="B88" t="s">
        <v>1122</v>
      </c>
      <c r="C88" s="11" t="s">
        <v>2161</v>
      </c>
    </row>
    <row r="89" spans="1:3" ht="16" x14ac:dyDescent="0.2">
      <c r="A89" t="s">
        <v>2154</v>
      </c>
      <c r="B89" t="s">
        <v>1122</v>
      </c>
      <c r="C89" s="11" t="s">
        <v>2162</v>
      </c>
    </row>
    <row r="90" spans="1:3" ht="16" x14ac:dyDescent="0.2">
      <c r="A90" t="s">
        <v>2155</v>
      </c>
      <c r="B90" t="s">
        <v>1122</v>
      </c>
      <c r="C90" s="11" t="s">
        <v>2163</v>
      </c>
    </row>
    <row r="91" spans="1:3" ht="16" x14ac:dyDescent="0.2">
      <c r="A91" t="s">
        <v>2156</v>
      </c>
      <c r="B91" t="s">
        <v>1122</v>
      </c>
      <c r="C91" s="11" t="s">
        <v>2164</v>
      </c>
    </row>
    <row r="92" spans="1:3" ht="16" x14ac:dyDescent="0.2">
      <c r="A92" t="s">
        <v>2157</v>
      </c>
      <c r="B92" t="s">
        <v>1122</v>
      </c>
      <c r="C92" s="11" t="s">
        <v>2165</v>
      </c>
    </row>
    <row r="93" spans="1:3" ht="16" x14ac:dyDescent="0.2">
      <c r="A93" t="s">
        <v>2168</v>
      </c>
      <c r="B93" t="s">
        <v>2158</v>
      </c>
      <c r="C93" s="11" t="s">
        <v>2169</v>
      </c>
    </row>
    <row r="94" spans="1:3" ht="16" x14ac:dyDescent="0.2">
      <c r="A94" t="s">
        <v>2167</v>
      </c>
      <c r="B94" t="s">
        <v>2158</v>
      </c>
      <c r="C94" s="11" t="s">
        <v>2173</v>
      </c>
    </row>
    <row r="95" spans="1:3" ht="16" x14ac:dyDescent="0.2">
      <c r="A95" t="s">
        <v>2166</v>
      </c>
      <c r="B95" t="s">
        <v>2158</v>
      </c>
      <c r="C95" s="11" t="s">
        <v>2172</v>
      </c>
    </row>
    <row r="96" spans="1:3" ht="16" x14ac:dyDescent="0.2">
      <c r="A96" t="s">
        <v>2151</v>
      </c>
      <c r="B96" t="s">
        <v>1122</v>
      </c>
      <c r="C96" s="11" t="s">
        <v>2174</v>
      </c>
    </row>
    <row r="97" spans="1:3" ht="16" x14ac:dyDescent="0.2">
      <c r="A97" t="s">
        <v>2152</v>
      </c>
      <c r="B97" t="s">
        <v>1122</v>
      </c>
      <c r="C97" s="11" t="s">
        <v>2175</v>
      </c>
    </row>
    <row r="98" spans="1:3" ht="16" x14ac:dyDescent="0.2">
      <c r="A98" t="s">
        <v>2153</v>
      </c>
      <c r="B98" t="s">
        <v>1122</v>
      </c>
      <c r="C98" s="11" t="s">
        <v>2176</v>
      </c>
    </row>
    <row r="99" spans="1:3" ht="16" x14ac:dyDescent="0.2">
      <c r="A99" t="s">
        <v>2154</v>
      </c>
      <c r="B99" t="s">
        <v>1122</v>
      </c>
      <c r="C99" s="11" t="s">
        <v>2177</v>
      </c>
    </row>
    <row r="100" spans="1:3" ht="16" x14ac:dyDescent="0.2">
      <c r="A100" t="s">
        <v>2155</v>
      </c>
      <c r="B100" t="s">
        <v>1122</v>
      </c>
      <c r="C100" s="11" t="s">
        <v>2178</v>
      </c>
    </row>
    <row r="101" spans="1:3" ht="16" x14ac:dyDescent="0.2">
      <c r="A101" t="s">
        <v>2156</v>
      </c>
      <c r="B101" t="s">
        <v>1122</v>
      </c>
      <c r="C101" s="11" t="s">
        <v>2179</v>
      </c>
    </row>
    <row r="102" spans="1:3" ht="16" x14ac:dyDescent="0.2">
      <c r="A102" t="s">
        <v>2157</v>
      </c>
      <c r="B102" t="s">
        <v>1122</v>
      </c>
      <c r="C102" s="11" t="s">
        <v>2180</v>
      </c>
    </row>
  </sheetData>
  <pageMargins left="0.7" right="0.7" top="0.75" bottom="0.75" header="0.3" footer="0.3"/>
  <pageSetup orientation="portrait" horizontalDpi="1200" verticalDpi="120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E326-FC5C-4FBE-80B3-94383D30E0A2}">
  <dimension ref="A1:B8"/>
  <sheetViews>
    <sheetView workbookViewId="0">
      <selection activeCell="A29" sqref="A29"/>
    </sheetView>
  </sheetViews>
  <sheetFormatPr baseColWidth="10" defaultColWidth="8.83203125" defaultRowHeight="15" x14ac:dyDescent="0.2"/>
  <cols>
    <col min="1" max="1" width="21.6640625" customWidth="1"/>
    <col min="2" max="2" width="98.5" style="11" customWidth="1"/>
  </cols>
  <sheetData>
    <row r="1" spans="1:2" ht="18.75" customHeight="1" x14ac:dyDescent="0.2">
      <c r="A1" s="28" t="s">
        <v>2020</v>
      </c>
      <c r="B1" s="29" t="s">
        <v>13</v>
      </c>
    </row>
    <row r="2" spans="1:2" ht="80" x14ac:dyDescent="0.2">
      <c r="A2" t="s">
        <v>1076</v>
      </c>
      <c r="B2" s="11" t="s">
        <v>2023</v>
      </c>
    </row>
    <row r="3" spans="1:2" ht="16" x14ac:dyDescent="0.2">
      <c r="A3" t="s">
        <v>2021</v>
      </c>
      <c r="B3" s="11" t="s">
        <v>2022</v>
      </c>
    </row>
    <row r="4" spans="1:2" ht="16" x14ac:dyDescent="0.2">
      <c r="A4" t="s">
        <v>55</v>
      </c>
      <c r="B4" s="11" t="s">
        <v>2022</v>
      </c>
    </row>
    <row r="5" spans="1:2" ht="32" x14ac:dyDescent="0.2">
      <c r="A5" t="s">
        <v>2024</v>
      </c>
      <c r="B5" s="11" t="s">
        <v>2025</v>
      </c>
    </row>
    <row r="6" spans="1:2" ht="16" x14ac:dyDescent="0.2">
      <c r="A6" t="s">
        <v>2026</v>
      </c>
      <c r="B6" s="11" t="s">
        <v>2027</v>
      </c>
    </row>
    <row r="7" spans="1:2" ht="32" x14ac:dyDescent="0.2">
      <c r="A7" t="s">
        <v>2028</v>
      </c>
      <c r="B7" s="11" t="s">
        <v>2143</v>
      </c>
    </row>
    <row r="8" spans="1:2" ht="64" x14ac:dyDescent="0.2">
      <c r="A8" t="s">
        <v>2029</v>
      </c>
      <c r="B8" s="11" t="s">
        <v>2142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22"/>
  <sheetViews>
    <sheetView tabSelected="1" workbookViewId="0">
      <pane ySplit="1" topLeftCell="A401" activePane="bottomLeft" state="frozen"/>
      <selection pane="bottomLeft" activeCell="D409" sqref="D409"/>
    </sheetView>
  </sheetViews>
  <sheetFormatPr baseColWidth="10" defaultColWidth="8.83203125" defaultRowHeight="15" x14ac:dyDescent="0.2"/>
  <cols>
    <col min="1" max="1" width="16.6640625" customWidth="1"/>
    <col min="9" max="9" width="23.33203125" customWidth="1"/>
  </cols>
  <sheetData>
    <row r="1" spans="1:9" x14ac:dyDescent="0.2">
      <c r="A1" t="s">
        <v>923</v>
      </c>
      <c r="B1" t="s">
        <v>0</v>
      </c>
      <c r="C1" t="s">
        <v>1</v>
      </c>
      <c r="D1" t="s">
        <v>2</v>
      </c>
      <c r="E1" t="s">
        <v>3</v>
      </c>
      <c r="F1" t="s">
        <v>4</v>
      </c>
      <c r="G1" t="s">
        <v>5</v>
      </c>
      <c r="H1" t="s">
        <v>15</v>
      </c>
      <c r="I1" t="s">
        <v>320</v>
      </c>
    </row>
    <row r="2" spans="1:9" x14ac:dyDescent="0.2">
      <c r="A2" t="s">
        <v>302</v>
      </c>
      <c r="B2" t="s">
        <v>11</v>
      </c>
      <c r="C2" t="s">
        <v>11</v>
      </c>
      <c r="D2" t="s">
        <v>11</v>
      </c>
      <c r="E2" t="s">
        <v>11</v>
      </c>
      <c r="F2" t="s">
        <v>11</v>
      </c>
      <c r="G2" t="s">
        <v>11</v>
      </c>
      <c r="H2">
        <v>20317</v>
      </c>
      <c r="I2" t="s">
        <v>1126</v>
      </c>
    </row>
    <row r="3" spans="1:9" x14ac:dyDescent="0.2">
      <c r="A3" t="s">
        <v>303</v>
      </c>
      <c r="B3" t="s">
        <v>11</v>
      </c>
      <c r="C3" t="s">
        <v>11</v>
      </c>
      <c r="D3" t="s">
        <v>11</v>
      </c>
      <c r="E3" t="s">
        <v>11</v>
      </c>
      <c r="F3" t="s">
        <v>11</v>
      </c>
      <c r="G3" t="s">
        <v>11</v>
      </c>
      <c r="H3">
        <v>20317</v>
      </c>
      <c r="I3" t="s">
        <v>1127</v>
      </c>
    </row>
    <row r="4" spans="1:9" x14ac:dyDescent="0.2">
      <c r="A4" t="s">
        <v>312</v>
      </c>
      <c r="B4" t="s">
        <v>11</v>
      </c>
      <c r="C4" t="s">
        <v>11</v>
      </c>
      <c r="D4" t="s">
        <v>11</v>
      </c>
      <c r="E4" t="s">
        <v>11</v>
      </c>
      <c r="F4" t="s">
        <v>11</v>
      </c>
      <c r="G4" t="s">
        <v>11</v>
      </c>
      <c r="H4">
        <v>30318</v>
      </c>
      <c r="I4" t="s">
        <v>1126</v>
      </c>
    </row>
    <row r="5" spans="1:9" x14ac:dyDescent="0.2">
      <c r="A5" t="s">
        <v>313</v>
      </c>
      <c r="B5" t="s">
        <v>11</v>
      </c>
      <c r="C5" t="s">
        <v>11</v>
      </c>
      <c r="D5" t="s">
        <v>11</v>
      </c>
      <c r="E5" t="s">
        <v>11</v>
      </c>
      <c r="F5" t="s">
        <v>11</v>
      </c>
      <c r="G5" t="s">
        <v>11</v>
      </c>
      <c r="H5">
        <v>30318</v>
      </c>
      <c r="I5" t="s">
        <v>1127</v>
      </c>
    </row>
    <row r="6" spans="1:9" x14ac:dyDescent="0.2">
      <c r="A6" t="s">
        <v>304</v>
      </c>
      <c r="B6" t="s">
        <v>11</v>
      </c>
      <c r="C6" t="s">
        <v>11</v>
      </c>
      <c r="D6" t="s">
        <v>11</v>
      </c>
      <c r="E6" t="s">
        <v>11</v>
      </c>
      <c r="F6" t="s">
        <v>11</v>
      </c>
      <c r="G6" t="s">
        <v>11</v>
      </c>
      <c r="H6">
        <v>40117</v>
      </c>
      <c r="I6" t="s">
        <v>1126</v>
      </c>
    </row>
    <row r="7" spans="1:9" x14ac:dyDescent="0.2">
      <c r="A7" t="s">
        <v>305</v>
      </c>
      <c r="B7" t="s">
        <v>11</v>
      </c>
      <c r="C7" t="s">
        <v>11</v>
      </c>
      <c r="D7" t="s">
        <v>11</v>
      </c>
      <c r="E7" t="s">
        <v>11</v>
      </c>
      <c r="F7" t="s">
        <v>11</v>
      </c>
      <c r="G7" t="s">
        <v>11</v>
      </c>
      <c r="H7">
        <v>40117</v>
      </c>
      <c r="I7" t="s">
        <v>1127</v>
      </c>
    </row>
    <row r="8" spans="1:9" x14ac:dyDescent="0.2">
      <c r="A8" t="s">
        <v>300</v>
      </c>
      <c r="B8" t="s">
        <v>11</v>
      </c>
      <c r="C8" t="s">
        <v>11</v>
      </c>
      <c r="D8" t="s">
        <v>11</v>
      </c>
      <c r="E8" t="s">
        <v>11</v>
      </c>
      <c r="F8" t="s">
        <v>11</v>
      </c>
      <c r="G8" t="s">
        <v>11</v>
      </c>
      <c r="H8">
        <v>50216</v>
      </c>
      <c r="I8" t="s">
        <v>1126</v>
      </c>
    </row>
    <row r="9" spans="1:9" x14ac:dyDescent="0.2">
      <c r="A9" t="s">
        <v>301</v>
      </c>
      <c r="B9" t="s">
        <v>11</v>
      </c>
      <c r="C9" t="s">
        <v>11</v>
      </c>
      <c r="D9" t="s">
        <v>11</v>
      </c>
      <c r="E9" t="s">
        <v>11</v>
      </c>
      <c r="F9" t="s">
        <v>11</v>
      </c>
      <c r="G9" t="s">
        <v>11</v>
      </c>
      <c r="H9">
        <v>50216</v>
      </c>
      <c r="I9" t="s">
        <v>1127</v>
      </c>
    </row>
    <row r="10" spans="1:9" x14ac:dyDescent="0.2">
      <c r="A10" t="s">
        <v>314</v>
      </c>
      <c r="B10" t="s">
        <v>11</v>
      </c>
      <c r="C10" t="s">
        <v>11</v>
      </c>
      <c r="D10" t="s">
        <v>11</v>
      </c>
      <c r="E10" t="s">
        <v>11</v>
      </c>
      <c r="F10" t="s">
        <v>11</v>
      </c>
      <c r="G10" t="s">
        <v>11</v>
      </c>
      <c r="H10">
        <v>51418</v>
      </c>
      <c r="I10" t="s">
        <v>1126</v>
      </c>
    </row>
    <row r="11" spans="1:9" x14ac:dyDescent="0.2">
      <c r="A11" t="s">
        <v>315</v>
      </c>
      <c r="B11" t="s">
        <v>11</v>
      </c>
      <c r="C11" t="s">
        <v>11</v>
      </c>
      <c r="D11" t="s">
        <v>11</v>
      </c>
      <c r="E11" t="s">
        <v>11</v>
      </c>
      <c r="F11" t="s">
        <v>11</v>
      </c>
      <c r="G11" t="s">
        <v>11</v>
      </c>
      <c r="H11">
        <v>51418</v>
      </c>
      <c r="I11" t="s">
        <v>1127</v>
      </c>
    </row>
    <row r="12" spans="1:9" x14ac:dyDescent="0.2">
      <c r="A12" t="s">
        <v>306</v>
      </c>
      <c r="B12" t="s">
        <v>11</v>
      </c>
      <c r="C12" t="s">
        <v>11</v>
      </c>
      <c r="D12" t="s">
        <v>11</v>
      </c>
      <c r="E12" t="s">
        <v>11</v>
      </c>
      <c r="F12" t="s">
        <v>11</v>
      </c>
      <c r="G12" t="s">
        <v>11</v>
      </c>
      <c r="H12">
        <v>51817</v>
      </c>
      <c r="I12" t="s">
        <v>1126</v>
      </c>
    </row>
    <row r="13" spans="1:9" x14ac:dyDescent="0.2">
      <c r="A13" t="s">
        <v>307</v>
      </c>
      <c r="B13" t="s">
        <v>11</v>
      </c>
      <c r="C13" t="s">
        <v>11</v>
      </c>
      <c r="D13" t="s">
        <v>11</v>
      </c>
      <c r="E13" t="s">
        <v>11</v>
      </c>
      <c r="F13" t="s">
        <v>11</v>
      </c>
      <c r="G13" t="s">
        <v>11</v>
      </c>
      <c r="H13">
        <v>51817</v>
      </c>
      <c r="I13" t="s">
        <v>1127</v>
      </c>
    </row>
    <row r="14" spans="1:9" x14ac:dyDescent="0.2">
      <c r="A14" t="s">
        <v>308</v>
      </c>
      <c r="B14" t="s">
        <v>11</v>
      </c>
      <c r="C14" t="s">
        <v>11</v>
      </c>
      <c r="D14" t="s">
        <v>11</v>
      </c>
      <c r="E14" t="s">
        <v>11</v>
      </c>
      <c r="F14" t="s">
        <v>11</v>
      </c>
      <c r="G14" t="s">
        <v>11</v>
      </c>
      <c r="H14">
        <v>91817</v>
      </c>
      <c r="I14" t="s">
        <v>1126</v>
      </c>
    </row>
    <row r="15" spans="1:9" x14ac:dyDescent="0.2">
      <c r="A15" t="s">
        <v>309</v>
      </c>
      <c r="B15" t="s">
        <v>11</v>
      </c>
      <c r="C15" t="s">
        <v>11</v>
      </c>
      <c r="D15" t="s">
        <v>11</v>
      </c>
      <c r="E15" t="s">
        <v>11</v>
      </c>
      <c r="F15" t="s">
        <v>11</v>
      </c>
      <c r="G15" t="s">
        <v>11</v>
      </c>
      <c r="H15">
        <v>91817</v>
      </c>
      <c r="I15" t="s">
        <v>1127</v>
      </c>
    </row>
    <row r="16" spans="1:9" x14ac:dyDescent="0.2">
      <c r="A16" t="s">
        <v>310</v>
      </c>
      <c r="B16" t="s">
        <v>11</v>
      </c>
      <c r="C16" t="s">
        <v>11</v>
      </c>
      <c r="D16" t="s">
        <v>11</v>
      </c>
      <c r="E16" t="s">
        <v>11</v>
      </c>
      <c r="F16" t="s">
        <v>11</v>
      </c>
      <c r="G16" t="s">
        <v>11</v>
      </c>
      <c r="H16">
        <v>121317</v>
      </c>
      <c r="I16" t="s">
        <v>1126</v>
      </c>
    </row>
    <row r="17" spans="1:9" x14ac:dyDescent="0.2">
      <c r="A17" t="s">
        <v>311</v>
      </c>
      <c r="B17" t="s">
        <v>11</v>
      </c>
      <c r="C17" t="s">
        <v>11</v>
      </c>
      <c r="D17" t="s">
        <v>11</v>
      </c>
      <c r="E17" t="s">
        <v>11</v>
      </c>
      <c r="F17" t="s">
        <v>11</v>
      </c>
      <c r="G17" t="s">
        <v>11</v>
      </c>
      <c r="H17">
        <v>121317</v>
      </c>
      <c r="I17" t="s">
        <v>1127</v>
      </c>
    </row>
    <row r="18" spans="1:9" x14ac:dyDescent="0.2">
      <c r="A18" t="s">
        <v>762</v>
      </c>
      <c r="B18">
        <v>1</v>
      </c>
      <c r="C18" t="s">
        <v>9</v>
      </c>
      <c r="D18" t="s">
        <v>9</v>
      </c>
      <c r="E18" t="s">
        <v>9</v>
      </c>
      <c r="F18">
        <v>1</v>
      </c>
      <c r="G18">
        <v>1</v>
      </c>
      <c r="H18" t="s">
        <v>26</v>
      </c>
      <c r="I18" t="s">
        <v>1130</v>
      </c>
    </row>
    <row r="19" spans="1:9" x14ac:dyDescent="0.2">
      <c r="A19" t="s">
        <v>761</v>
      </c>
      <c r="B19">
        <v>2</v>
      </c>
      <c r="C19" t="s">
        <v>9</v>
      </c>
      <c r="D19" t="s">
        <v>9</v>
      </c>
      <c r="E19" t="s">
        <v>8</v>
      </c>
      <c r="F19">
        <v>2</v>
      </c>
      <c r="G19">
        <v>1</v>
      </c>
      <c r="H19" t="s">
        <v>26</v>
      </c>
      <c r="I19" t="s">
        <v>1130</v>
      </c>
    </row>
    <row r="20" spans="1:9" x14ac:dyDescent="0.2">
      <c r="A20" t="s">
        <v>760</v>
      </c>
      <c r="B20">
        <v>3</v>
      </c>
      <c r="C20" t="s">
        <v>9</v>
      </c>
      <c r="D20" t="s">
        <v>9</v>
      </c>
      <c r="E20" t="s">
        <v>9</v>
      </c>
      <c r="F20">
        <v>3</v>
      </c>
      <c r="G20">
        <v>1</v>
      </c>
      <c r="H20" t="s">
        <v>26</v>
      </c>
      <c r="I20" t="s">
        <v>1130</v>
      </c>
    </row>
    <row r="21" spans="1:9" x14ac:dyDescent="0.2">
      <c r="A21" t="s">
        <v>759</v>
      </c>
      <c r="B21">
        <v>4</v>
      </c>
      <c r="C21" t="s">
        <v>9</v>
      </c>
      <c r="D21" t="s">
        <v>9</v>
      </c>
      <c r="E21" t="s">
        <v>8</v>
      </c>
      <c r="F21">
        <v>4</v>
      </c>
      <c r="G21">
        <v>1</v>
      </c>
      <c r="H21" t="s">
        <v>26</v>
      </c>
      <c r="I21" t="s">
        <v>1130</v>
      </c>
    </row>
    <row r="22" spans="1:9" x14ac:dyDescent="0.2">
      <c r="A22" t="s">
        <v>758</v>
      </c>
      <c r="B22">
        <v>5</v>
      </c>
      <c r="C22" t="s">
        <v>9</v>
      </c>
      <c r="D22" t="s">
        <v>9</v>
      </c>
      <c r="E22" t="s">
        <v>9</v>
      </c>
      <c r="F22">
        <v>1</v>
      </c>
      <c r="G22">
        <v>2</v>
      </c>
      <c r="H22" t="s">
        <v>26</v>
      </c>
      <c r="I22" t="s">
        <v>1130</v>
      </c>
    </row>
    <row r="23" spans="1:9" x14ac:dyDescent="0.2">
      <c r="A23" t="s">
        <v>757</v>
      </c>
      <c r="B23">
        <v>6</v>
      </c>
      <c r="C23" t="s">
        <v>8</v>
      </c>
      <c r="D23" t="s">
        <v>9</v>
      </c>
      <c r="E23" t="s">
        <v>9</v>
      </c>
      <c r="F23">
        <v>1</v>
      </c>
      <c r="G23">
        <v>1</v>
      </c>
      <c r="H23" t="s">
        <v>26</v>
      </c>
      <c r="I23" t="s">
        <v>1130</v>
      </c>
    </row>
    <row r="24" spans="1:9" x14ac:dyDescent="0.2">
      <c r="A24" t="s">
        <v>756</v>
      </c>
      <c r="B24">
        <v>7</v>
      </c>
      <c r="C24" t="s">
        <v>8</v>
      </c>
      <c r="D24" t="s">
        <v>9</v>
      </c>
      <c r="E24" t="s">
        <v>8</v>
      </c>
      <c r="F24">
        <v>3</v>
      </c>
      <c r="G24">
        <v>1</v>
      </c>
      <c r="H24" t="s">
        <v>26</v>
      </c>
      <c r="I24" t="s">
        <v>1130</v>
      </c>
    </row>
    <row r="25" spans="1:9" x14ac:dyDescent="0.2">
      <c r="A25" t="s">
        <v>755</v>
      </c>
      <c r="B25">
        <v>8</v>
      </c>
      <c r="C25" t="s">
        <v>8</v>
      </c>
      <c r="D25" t="s">
        <v>9</v>
      </c>
      <c r="E25" t="s">
        <v>9</v>
      </c>
      <c r="F25">
        <v>3</v>
      </c>
      <c r="G25">
        <v>1</v>
      </c>
      <c r="H25" t="s">
        <v>26</v>
      </c>
      <c r="I25" t="s">
        <v>1130</v>
      </c>
    </row>
    <row r="26" spans="1:9" x14ac:dyDescent="0.2">
      <c r="A26" t="s">
        <v>754</v>
      </c>
      <c r="B26">
        <v>9</v>
      </c>
      <c r="C26" t="s">
        <v>8</v>
      </c>
      <c r="D26" t="s">
        <v>9</v>
      </c>
      <c r="E26" t="s">
        <v>8</v>
      </c>
      <c r="F26">
        <v>4</v>
      </c>
      <c r="G26">
        <v>1</v>
      </c>
      <c r="H26" t="s">
        <v>26</v>
      </c>
      <c r="I26" t="s">
        <v>1130</v>
      </c>
    </row>
    <row r="27" spans="1:9" x14ac:dyDescent="0.2">
      <c r="A27" t="s">
        <v>753</v>
      </c>
      <c r="B27">
        <v>10</v>
      </c>
      <c r="C27" t="s">
        <v>8</v>
      </c>
      <c r="D27" t="s">
        <v>9</v>
      </c>
      <c r="E27" t="s">
        <v>9</v>
      </c>
      <c r="F27">
        <v>1</v>
      </c>
      <c r="G27">
        <v>2</v>
      </c>
      <c r="H27" t="s">
        <v>26</v>
      </c>
      <c r="I27" t="s">
        <v>1130</v>
      </c>
    </row>
    <row r="28" spans="1:9" x14ac:dyDescent="0.2">
      <c r="A28" t="s">
        <v>752</v>
      </c>
      <c r="B28">
        <v>11</v>
      </c>
      <c r="C28" t="s">
        <v>9</v>
      </c>
      <c r="D28" t="s">
        <v>9</v>
      </c>
      <c r="E28" t="s">
        <v>8</v>
      </c>
      <c r="F28">
        <v>2</v>
      </c>
      <c r="G28">
        <v>2</v>
      </c>
      <c r="H28" t="s">
        <v>26</v>
      </c>
      <c r="I28" t="s">
        <v>1130</v>
      </c>
    </row>
    <row r="29" spans="1:9" x14ac:dyDescent="0.2">
      <c r="A29" t="s">
        <v>751</v>
      </c>
      <c r="B29">
        <v>12</v>
      </c>
      <c r="C29" t="s">
        <v>9</v>
      </c>
      <c r="D29" t="s">
        <v>9</v>
      </c>
      <c r="E29" t="s">
        <v>8</v>
      </c>
      <c r="F29">
        <v>3</v>
      </c>
      <c r="G29">
        <v>2</v>
      </c>
      <c r="H29" t="s">
        <v>26</v>
      </c>
      <c r="I29" t="s">
        <v>1130</v>
      </c>
    </row>
    <row r="30" spans="1:9" x14ac:dyDescent="0.2">
      <c r="A30" t="s">
        <v>750</v>
      </c>
      <c r="B30">
        <v>13</v>
      </c>
      <c r="C30" t="s">
        <v>9</v>
      </c>
      <c r="D30" t="s">
        <v>9</v>
      </c>
      <c r="E30" t="s">
        <v>9</v>
      </c>
      <c r="F30">
        <v>4</v>
      </c>
      <c r="G30">
        <v>2</v>
      </c>
      <c r="H30" t="s">
        <v>26</v>
      </c>
      <c r="I30" t="s">
        <v>1130</v>
      </c>
    </row>
    <row r="31" spans="1:9" x14ac:dyDescent="0.2">
      <c r="A31" t="s">
        <v>749</v>
      </c>
      <c r="B31">
        <v>14</v>
      </c>
      <c r="C31" t="s">
        <v>9</v>
      </c>
      <c r="D31" t="s">
        <v>9</v>
      </c>
      <c r="E31" t="s">
        <v>8</v>
      </c>
      <c r="F31">
        <v>1</v>
      </c>
      <c r="G31">
        <v>3</v>
      </c>
      <c r="H31" t="s">
        <v>26</v>
      </c>
      <c r="I31" t="s">
        <v>1130</v>
      </c>
    </row>
    <row r="32" spans="1:9" x14ac:dyDescent="0.2">
      <c r="A32" t="s">
        <v>748</v>
      </c>
      <c r="B32">
        <v>15</v>
      </c>
      <c r="C32" t="s">
        <v>9</v>
      </c>
      <c r="D32" t="s">
        <v>9</v>
      </c>
      <c r="E32" t="s">
        <v>9</v>
      </c>
      <c r="F32">
        <v>1</v>
      </c>
      <c r="G32">
        <v>3</v>
      </c>
      <c r="H32" t="s">
        <v>26</v>
      </c>
      <c r="I32" t="s">
        <v>1130</v>
      </c>
    </row>
    <row r="33" spans="1:9" x14ac:dyDescent="0.2">
      <c r="A33" t="s">
        <v>747</v>
      </c>
      <c r="B33">
        <v>16</v>
      </c>
      <c r="C33" t="s">
        <v>8</v>
      </c>
      <c r="D33" t="s">
        <v>9</v>
      </c>
      <c r="E33" t="s">
        <v>9</v>
      </c>
      <c r="F33">
        <v>2</v>
      </c>
      <c r="G33">
        <v>2</v>
      </c>
      <c r="H33" t="s">
        <v>26</v>
      </c>
      <c r="I33" t="s">
        <v>1130</v>
      </c>
    </row>
    <row r="34" spans="1:9" x14ac:dyDescent="0.2">
      <c r="A34" t="s">
        <v>746</v>
      </c>
      <c r="B34">
        <v>17</v>
      </c>
      <c r="C34" t="s">
        <v>8</v>
      </c>
      <c r="D34" t="s">
        <v>9</v>
      </c>
      <c r="E34" t="s">
        <v>8</v>
      </c>
      <c r="F34">
        <v>3</v>
      </c>
      <c r="G34">
        <v>2</v>
      </c>
      <c r="H34" t="s">
        <v>26</v>
      </c>
      <c r="I34" t="s">
        <v>1130</v>
      </c>
    </row>
    <row r="35" spans="1:9" x14ac:dyDescent="0.2">
      <c r="A35" t="s">
        <v>745</v>
      </c>
      <c r="B35">
        <v>18</v>
      </c>
      <c r="C35" t="s">
        <v>8</v>
      </c>
      <c r="D35" t="s">
        <v>9</v>
      </c>
      <c r="E35" t="s">
        <v>8</v>
      </c>
      <c r="F35">
        <v>4</v>
      </c>
      <c r="G35">
        <v>2</v>
      </c>
      <c r="H35" t="s">
        <v>26</v>
      </c>
      <c r="I35" t="s">
        <v>1130</v>
      </c>
    </row>
    <row r="36" spans="1:9" x14ac:dyDescent="0.2">
      <c r="A36" t="s">
        <v>744</v>
      </c>
      <c r="B36">
        <v>19</v>
      </c>
      <c r="C36" t="s">
        <v>8</v>
      </c>
      <c r="D36" t="s">
        <v>9</v>
      </c>
      <c r="E36" t="s">
        <v>9</v>
      </c>
      <c r="F36">
        <v>2</v>
      </c>
      <c r="G36">
        <v>3</v>
      </c>
      <c r="H36" t="s">
        <v>26</v>
      </c>
      <c r="I36" t="s">
        <v>1130</v>
      </c>
    </row>
    <row r="37" spans="1:9" x14ac:dyDescent="0.2">
      <c r="A37" t="s">
        <v>743</v>
      </c>
      <c r="B37">
        <v>20</v>
      </c>
      <c r="C37" t="s">
        <v>8</v>
      </c>
      <c r="D37" t="s">
        <v>9</v>
      </c>
      <c r="E37" t="s">
        <v>9</v>
      </c>
      <c r="F37">
        <v>2</v>
      </c>
      <c r="G37">
        <v>3</v>
      </c>
      <c r="H37" t="s">
        <v>26</v>
      </c>
      <c r="I37" t="s">
        <v>1130</v>
      </c>
    </row>
    <row r="38" spans="1:9" x14ac:dyDescent="0.2">
      <c r="A38" t="s">
        <v>742</v>
      </c>
      <c r="B38">
        <v>21</v>
      </c>
      <c r="C38" t="s">
        <v>9</v>
      </c>
      <c r="D38" t="s">
        <v>9</v>
      </c>
      <c r="E38" t="s">
        <v>9</v>
      </c>
      <c r="F38">
        <v>2</v>
      </c>
      <c r="G38">
        <v>3</v>
      </c>
      <c r="H38" t="s">
        <v>26</v>
      </c>
      <c r="I38" t="s">
        <v>1130</v>
      </c>
    </row>
    <row r="39" spans="1:9" x14ac:dyDescent="0.2">
      <c r="A39" t="s">
        <v>741</v>
      </c>
      <c r="B39">
        <v>22</v>
      </c>
      <c r="C39" t="s">
        <v>9</v>
      </c>
      <c r="D39" t="s">
        <v>9</v>
      </c>
      <c r="E39" t="s">
        <v>8</v>
      </c>
      <c r="F39">
        <v>3</v>
      </c>
      <c r="G39">
        <v>3</v>
      </c>
      <c r="H39" t="s">
        <v>26</v>
      </c>
      <c r="I39" t="s">
        <v>1130</v>
      </c>
    </row>
    <row r="40" spans="1:9" x14ac:dyDescent="0.2">
      <c r="A40" t="s">
        <v>740</v>
      </c>
      <c r="B40">
        <v>23</v>
      </c>
      <c r="C40" t="s">
        <v>9</v>
      </c>
      <c r="D40" t="s">
        <v>9</v>
      </c>
      <c r="E40" t="s">
        <v>8</v>
      </c>
      <c r="F40">
        <v>2</v>
      </c>
      <c r="G40">
        <v>4</v>
      </c>
      <c r="H40" t="s">
        <v>26</v>
      </c>
      <c r="I40" t="s">
        <v>1130</v>
      </c>
    </row>
    <row r="41" spans="1:9" x14ac:dyDescent="0.2">
      <c r="A41" t="s">
        <v>739</v>
      </c>
      <c r="B41">
        <v>24</v>
      </c>
      <c r="C41" t="s">
        <v>9</v>
      </c>
      <c r="D41" t="s">
        <v>9</v>
      </c>
      <c r="E41" t="s">
        <v>9</v>
      </c>
      <c r="F41">
        <v>2</v>
      </c>
      <c r="G41">
        <v>4</v>
      </c>
      <c r="H41" t="s">
        <v>26</v>
      </c>
      <c r="I41" t="s">
        <v>1130</v>
      </c>
    </row>
    <row r="42" spans="1:9" x14ac:dyDescent="0.2">
      <c r="A42" t="s">
        <v>738</v>
      </c>
      <c r="B42">
        <v>25</v>
      </c>
      <c r="C42" t="s">
        <v>9</v>
      </c>
      <c r="D42" t="s">
        <v>9</v>
      </c>
      <c r="E42" t="s">
        <v>8</v>
      </c>
      <c r="F42">
        <v>3</v>
      </c>
      <c r="G42">
        <v>4</v>
      </c>
      <c r="H42" t="s">
        <v>26</v>
      </c>
      <c r="I42" t="s">
        <v>1130</v>
      </c>
    </row>
    <row r="43" spans="1:9" x14ac:dyDescent="0.2">
      <c r="A43" t="s">
        <v>737</v>
      </c>
      <c r="B43">
        <v>26</v>
      </c>
      <c r="C43" t="s">
        <v>8</v>
      </c>
      <c r="D43" t="s">
        <v>9</v>
      </c>
      <c r="E43" t="s">
        <v>8</v>
      </c>
      <c r="F43">
        <v>3</v>
      </c>
      <c r="G43">
        <v>3</v>
      </c>
      <c r="H43" t="s">
        <v>26</v>
      </c>
      <c r="I43" t="s">
        <v>1130</v>
      </c>
    </row>
    <row r="44" spans="1:9" x14ac:dyDescent="0.2">
      <c r="A44" t="s">
        <v>736</v>
      </c>
      <c r="B44">
        <v>27</v>
      </c>
      <c r="C44" t="s">
        <v>8</v>
      </c>
      <c r="D44" t="s">
        <v>9</v>
      </c>
      <c r="E44" t="s">
        <v>8</v>
      </c>
      <c r="F44">
        <v>3</v>
      </c>
      <c r="G44">
        <v>3</v>
      </c>
      <c r="H44" t="s">
        <v>26</v>
      </c>
      <c r="I44" t="s">
        <v>1130</v>
      </c>
    </row>
    <row r="45" spans="1:9" x14ac:dyDescent="0.2">
      <c r="A45" t="s">
        <v>735</v>
      </c>
      <c r="B45">
        <v>28</v>
      </c>
      <c r="C45" t="s">
        <v>8</v>
      </c>
      <c r="D45" t="s">
        <v>9</v>
      </c>
      <c r="E45" t="s">
        <v>9</v>
      </c>
      <c r="F45">
        <v>1</v>
      </c>
      <c r="G45">
        <v>4</v>
      </c>
      <c r="H45" t="s">
        <v>26</v>
      </c>
      <c r="I45" t="s">
        <v>1130</v>
      </c>
    </row>
    <row r="46" spans="1:9" x14ac:dyDescent="0.2">
      <c r="A46" t="s">
        <v>734</v>
      </c>
      <c r="B46">
        <v>29</v>
      </c>
      <c r="C46" t="s">
        <v>8</v>
      </c>
      <c r="D46" t="s">
        <v>9</v>
      </c>
      <c r="E46" t="s">
        <v>8</v>
      </c>
      <c r="F46">
        <v>3</v>
      </c>
      <c r="G46">
        <v>4</v>
      </c>
      <c r="H46" t="s">
        <v>26</v>
      </c>
      <c r="I46" t="s">
        <v>1130</v>
      </c>
    </row>
    <row r="47" spans="1:9" x14ac:dyDescent="0.2">
      <c r="A47" t="s">
        <v>733</v>
      </c>
      <c r="B47">
        <v>30</v>
      </c>
      <c r="C47" t="s">
        <v>8</v>
      </c>
      <c r="D47" t="s">
        <v>9</v>
      </c>
      <c r="E47" t="s">
        <v>9</v>
      </c>
      <c r="F47">
        <v>3</v>
      </c>
      <c r="G47">
        <v>4</v>
      </c>
      <c r="H47" t="s">
        <v>26</v>
      </c>
      <c r="I47" t="s">
        <v>1130</v>
      </c>
    </row>
    <row r="48" spans="1:9" x14ac:dyDescent="0.2">
      <c r="A48" t="s">
        <v>732</v>
      </c>
      <c r="B48">
        <v>31</v>
      </c>
      <c r="C48" t="s">
        <v>9</v>
      </c>
      <c r="D48" t="s">
        <v>9</v>
      </c>
      <c r="E48" t="s">
        <v>9</v>
      </c>
      <c r="F48">
        <v>4</v>
      </c>
      <c r="G48">
        <v>4</v>
      </c>
      <c r="H48" t="s">
        <v>26</v>
      </c>
      <c r="I48" t="s">
        <v>1130</v>
      </c>
    </row>
    <row r="49" spans="1:9" x14ac:dyDescent="0.2">
      <c r="A49" t="s">
        <v>731</v>
      </c>
      <c r="B49">
        <v>32</v>
      </c>
      <c r="C49" t="s">
        <v>9</v>
      </c>
      <c r="D49" t="s">
        <v>9</v>
      </c>
      <c r="E49" t="s">
        <v>8</v>
      </c>
      <c r="F49">
        <v>2</v>
      </c>
      <c r="G49">
        <v>5</v>
      </c>
      <c r="H49" t="s">
        <v>26</v>
      </c>
      <c r="I49" t="s">
        <v>1130</v>
      </c>
    </row>
    <row r="50" spans="1:9" x14ac:dyDescent="0.2">
      <c r="A50" t="s">
        <v>730</v>
      </c>
      <c r="B50">
        <v>33</v>
      </c>
      <c r="C50" t="s">
        <v>9</v>
      </c>
      <c r="D50" t="s">
        <v>9</v>
      </c>
      <c r="E50" t="s">
        <v>9</v>
      </c>
      <c r="F50">
        <v>2</v>
      </c>
      <c r="G50">
        <v>5</v>
      </c>
      <c r="H50" t="s">
        <v>26</v>
      </c>
      <c r="I50" t="s">
        <v>1130</v>
      </c>
    </row>
    <row r="51" spans="1:9" x14ac:dyDescent="0.2">
      <c r="A51" t="s">
        <v>729</v>
      </c>
      <c r="B51">
        <v>34</v>
      </c>
      <c r="C51" t="s">
        <v>9</v>
      </c>
      <c r="D51" t="s">
        <v>9</v>
      </c>
      <c r="E51" t="s">
        <v>8</v>
      </c>
      <c r="F51">
        <v>3</v>
      </c>
      <c r="G51">
        <v>5</v>
      </c>
      <c r="H51" t="s">
        <v>26</v>
      </c>
      <c r="I51" t="s">
        <v>1130</v>
      </c>
    </row>
    <row r="52" spans="1:9" x14ac:dyDescent="0.2">
      <c r="A52" t="s">
        <v>728</v>
      </c>
      <c r="B52">
        <v>35</v>
      </c>
      <c r="C52" t="s">
        <v>9</v>
      </c>
      <c r="D52" t="s">
        <v>9</v>
      </c>
      <c r="E52" t="s">
        <v>9</v>
      </c>
      <c r="F52">
        <v>4</v>
      </c>
      <c r="G52">
        <v>5</v>
      </c>
      <c r="H52" t="s">
        <v>26</v>
      </c>
      <c r="I52" t="s">
        <v>1130</v>
      </c>
    </row>
    <row r="53" spans="1:9" x14ac:dyDescent="0.2">
      <c r="A53" t="s">
        <v>727</v>
      </c>
      <c r="B53">
        <v>36</v>
      </c>
      <c r="C53" t="s">
        <v>8</v>
      </c>
      <c r="D53" t="s">
        <v>9</v>
      </c>
      <c r="E53" t="s">
        <v>8</v>
      </c>
      <c r="F53">
        <v>4</v>
      </c>
      <c r="G53">
        <v>4</v>
      </c>
      <c r="H53" t="s">
        <v>26</v>
      </c>
      <c r="I53" t="s">
        <v>1130</v>
      </c>
    </row>
    <row r="54" spans="1:9" x14ac:dyDescent="0.2">
      <c r="A54" t="s">
        <v>726</v>
      </c>
      <c r="B54">
        <v>37</v>
      </c>
      <c r="C54" t="s">
        <v>8</v>
      </c>
      <c r="D54" t="s">
        <v>9</v>
      </c>
      <c r="E54" t="s">
        <v>8</v>
      </c>
      <c r="F54">
        <v>1</v>
      </c>
      <c r="G54">
        <v>5</v>
      </c>
      <c r="H54" t="s">
        <v>26</v>
      </c>
      <c r="I54" t="s">
        <v>1130</v>
      </c>
    </row>
    <row r="55" spans="1:9" x14ac:dyDescent="0.2">
      <c r="A55" t="s">
        <v>725</v>
      </c>
      <c r="B55">
        <v>38</v>
      </c>
      <c r="C55" t="s">
        <v>8</v>
      </c>
      <c r="D55" t="s">
        <v>9</v>
      </c>
      <c r="E55" t="s">
        <v>9</v>
      </c>
      <c r="F55">
        <v>1</v>
      </c>
      <c r="G55">
        <v>5</v>
      </c>
      <c r="H55" t="s">
        <v>26</v>
      </c>
      <c r="I55" t="s">
        <v>1130</v>
      </c>
    </row>
    <row r="56" spans="1:9" x14ac:dyDescent="0.2">
      <c r="A56" t="s">
        <v>724</v>
      </c>
      <c r="B56">
        <v>39</v>
      </c>
      <c r="C56" t="s">
        <v>8</v>
      </c>
      <c r="D56" t="s">
        <v>9</v>
      </c>
      <c r="E56" t="s">
        <v>8</v>
      </c>
      <c r="F56">
        <v>3</v>
      </c>
      <c r="G56">
        <v>5</v>
      </c>
      <c r="H56" t="s">
        <v>26</v>
      </c>
      <c r="I56" t="s">
        <v>1130</v>
      </c>
    </row>
    <row r="57" spans="1:9" x14ac:dyDescent="0.2">
      <c r="A57" t="s">
        <v>723</v>
      </c>
      <c r="B57">
        <v>40</v>
      </c>
      <c r="C57" t="s">
        <v>8</v>
      </c>
      <c r="D57" t="s">
        <v>9</v>
      </c>
      <c r="E57" t="s">
        <v>9</v>
      </c>
      <c r="F57">
        <v>3</v>
      </c>
      <c r="G57">
        <v>5</v>
      </c>
      <c r="H57" t="s">
        <v>26</v>
      </c>
      <c r="I57" t="s">
        <v>1130</v>
      </c>
    </row>
    <row r="58" spans="1:9" x14ac:dyDescent="0.2">
      <c r="A58" t="s">
        <v>722</v>
      </c>
      <c r="B58">
        <v>41</v>
      </c>
      <c r="C58" t="s">
        <v>9</v>
      </c>
      <c r="D58" t="s">
        <v>8</v>
      </c>
      <c r="E58" t="s">
        <v>8</v>
      </c>
      <c r="F58">
        <v>1</v>
      </c>
      <c r="G58">
        <v>1</v>
      </c>
      <c r="H58" t="s">
        <v>26</v>
      </c>
      <c r="I58" t="s">
        <v>1130</v>
      </c>
    </row>
    <row r="59" spans="1:9" x14ac:dyDescent="0.2">
      <c r="A59" t="s">
        <v>721</v>
      </c>
      <c r="B59">
        <v>42</v>
      </c>
      <c r="C59" t="s">
        <v>9</v>
      </c>
      <c r="D59" t="s">
        <v>8</v>
      </c>
      <c r="E59" t="s">
        <v>8</v>
      </c>
      <c r="F59">
        <v>2</v>
      </c>
      <c r="G59">
        <v>1</v>
      </c>
      <c r="H59" t="s">
        <v>26</v>
      </c>
      <c r="I59" t="s">
        <v>1130</v>
      </c>
    </row>
    <row r="60" spans="1:9" x14ac:dyDescent="0.2">
      <c r="A60" t="s">
        <v>720</v>
      </c>
      <c r="B60">
        <v>43</v>
      </c>
      <c r="C60" t="s">
        <v>9</v>
      </c>
      <c r="D60" t="s">
        <v>8</v>
      </c>
      <c r="E60" t="s">
        <v>9</v>
      </c>
      <c r="F60">
        <v>4</v>
      </c>
      <c r="G60">
        <v>1</v>
      </c>
      <c r="H60" t="s">
        <v>26</v>
      </c>
      <c r="I60" t="s">
        <v>1130</v>
      </c>
    </row>
    <row r="61" spans="1:9" x14ac:dyDescent="0.2">
      <c r="A61" t="s">
        <v>719</v>
      </c>
      <c r="B61">
        <v>44</v>
      </c>
      <c r="C61" t="s">
        <v>9</v>
      </c>
      <c r="D61" t="s">
        <v>8</v>
      </c>
      <c r="E61" t="s">
        <v>9</v>
      </c>
      <c r="F61">
        <v>4</v>
      </c>
      <c r="G61">
        <v>1</v>
      </c>
      <c r="H61" t="s">
        <v>26</v>
      </c>
      <c r="I61" t="s">
        <v>1130</v>
      </c>
    </row>
    <row r="62" spans="1:9" x14ac:dyDescent="0.2">
      <c r="A62" t="s">
        <v>718</v>
      </c>
      <c r="B62">
        <v>45</v>
      </c>
      <c r="C62" t="s">
        <v>9</v>
      </c>
      <c r="D62" t="s">
        <v>8</v>
      </c>
      <c r="E62" t="s">
        <v>9</v>
      </c>
      <c r="F62">
        <v>1</v>
      </c>
      <c r="G62">
        <v>2</v>
      </c>
      <c r="H62" t="s">
        <v>26</v>
      </c>
      <c r="I62" t="s">
        <v>1130</v>
      </c>
    </row>
    <row r="63" spans="1:9" x14ac:dyDescent="0.2">
      <c r="A63" t="s">
        <v>717</v>
      </c>
      <c r="B63">
        <v>46</v>
      </c>
      <c r="C63" t="s">
        <v>8</v>
      </c>
      <c r="D63" t="s">
        <v>8</v>
      </c>
      <c r="E63" t="s">
        <v>8</v>
      </c>
      <c r="F63">
        <v>1</v>
      </c>
      <c r="G63">
        <v>1</v>
      </c>
      <c r="H63" t="s">
        <v>26</v>
      </c>
      <c r="I63" t="s">
        <v>1130</v>
      </c>
    </row>
    <row r="64" spans="1:9" x14ac:dyDescent="0.2">
      <c r="A64" t="s">
        <v>716</v>
      </c>
      <c r="B64">
        <v>47</v>
      </c>
      <c r="C64" t="s">
        <v>8</v>
      </c>
      <c r="D64" t="s">
        <v>8</v>
      </c>
      <c r="E64" t="s">
        <v>8</v>
      </c>
      <c r="F64">
        <v>2</v>
      </c>
      <c r="G64">
        <v>1</v>
      </c>
      <c r="H64" t="s">
        <v>26</v>
      </c>
      <c r="I64" t="s">
        <v>1130</v>
      </c>
    </row>
    <row r="65" spans="1:9" x14ac:dyDescent="0.2">
      <c r="A65" t="s">
        <v>715</v>
      </c>
      <c r="B65">
        <v>48</v>
      </c>
      <c r="C65" t="s">
        <v>8</v>
      </c>
      <c r="D65" t="s">
        <v>8</v>
      </c>
      <c r="E65" t="s">
        <v>9</v>
      </c>
      <c r="F65">
        <v>2</v>
      </c>
      <c r="G65">
        <v>1</v>
      </c>
      <c r="H65" t="s">
        <v>26</v>
      </c>
      <c r="I65" t="s">
        <v>1130</v>
      </c>
    </row>
    <row r="66" spans="1:9" x14ac:dyDescent="0.2">
      <c r="A66" t="s">
        <v>714</v>
      </c>
      <c r="B66">
        <v>49</v>
      </c>
      <c r="C66" t="s">
        <v>8</v>
      </c>
      <c r="D66" t="s">
        <v>8</v>
      </c>
      <c r="E66" t="s">
        <v>9</v>
      </c>
      <c r="F66">
        <v>3</v>
      </c>
      <c r="G66">
        <v>1</v>
      </c>
      <c r="H66" t="s">
        <v>26</v>
      </c>
      <c r="I66" t="s">
        <v>1130</v>
      </c>
    </row>
    <row r="67" spans="1:9" x14ac:dyDescent="0.2">
      <c r="A67" t="s">
        <v>713</v>
      </c>
      <c r="B67">
        <v>50</v>
      </c>
      <c r="C67" t="s">
        <v>8</v>
      </c>
      <c r="D67" t="s">
        <v>8</v>
      </c>
      <c r="E67" t="s">
        <v>9</v>
      </c>
      <c r="F67">
        <v>1</v>
      </c>
      <c r="G67">
        <v>2</v>
      </c>
      <c r="H67" t="s">
        <v>26</v>
      </c>
      <c r="I67" t="s">
        <v>1130</v>
      </c>
    </row>
    <row r="68" spans="1:9" x14ac:dyDescent="0.2">
      <c r="A68" t="s">
        <v>712</v>
      </c>
      <c r="B68">
        <v>51</v>
      </c>
      <c r="C68" t="s">
        <v>9</v>
      </c>
      <c r="D68" t="s">
        <v>8</v>
      </c>
      <c r="E68" t="s">
        <v>9</v>
      </c>
      <c r="F68">
        <v>2</v>
      </c>
      <c r="G68">
        <v>2</v>
      </c>
      <c r="H68" t="s">
        <v>26</v>
      </c>
      <c r="I68" t="s">
        <v>1130</v>
      </c>
    </row>
    <row r="69" spans="1:9" x14ac:dyDescent="0.2">
      <c r="A69" t="s">
        <v>711</v>
      </c>
      <c r="B69">
        <v>52</v>
      </c>
      <c r="C69" t="s">
        <v>9</v>
      </c>
      <c r="D69" t="s">
        <v>8</v>
      </c>
      <c r="E69" t="s">
        <v>8</v>
      </c>
      <c r="F69">
        <v>3</v>
      </c>
      <c r="G69">
        <v>2</v>
      </c>
      <c r="H69" t="s">
        <v>26</v>
      </c>
      <c r="I69" t="s">
        <v>1130</v>
      </c>
    </row>
    <row r="70" spans="1:9" x14ac:dyDescent="0.2">
      <c r="A70" t="s">
        <v>710</v>
      </c>
      <c r="B70">
        <v>53</v>
      </c>
      <c r="C70" t="s">
        <v>9</v>
      </c>
      <c r="D70" t="s">
        <v>8</v>
      </c>
      <c r="E70" t="s">
        <v>8</v>
      </c>
      <c r="F70">
        <v>3</v>
      </c>
      <c r="G70">
        <v>2</v>
      </c>
      <c r="H70" t="s">
        <v>26</v>
      </c>
      <c r="I70" t="s">
        <v>1130</v>
      </c>
    </row>
    <row r="71" spans="1:9" x14ac:dyDescent="0.2">
      <c r="A71" t="s">
        <v>709</v>
      </c>
      <c r="B71">
        <v>54</v>
      </c>
      <c r="C71" t="s">
        <v>9</v>
      </c>
      <c r="D71" t="s">
        <v>8</v>
      </c>
      <c r="E71" t="s">
        <v>9</v>
      </c>
      <c r="F71">
        <v>1</v>
      </c>
      <c r="G71">
        <v>3</v>
      </c>
      <c r="H71" t="s">
        <v>26</v>
      </c>
      <c r="I71" t="s">
        <v>1130</v>
      </c>
    </row>
    <row r="72" spans="1:9" x14ac:dyDescent="0.2">
      <c r="A72" t="s">
        <v>708</v>
      </c>
      <c r="B72">
        <v>55</v>
      </c>
      <c r="C72" t="s">
        <v>9</v>
      </c>
      <c r="D72" t="s">
        <v>8</v>
      </c>
      <c r="E72" t="s">
        <v>8</v>
      </c>
      <c r="F72">
        <v>1</v>
      </c>
      <c r="G72">
        <v>3</v>
      </c>
      <c r="H72" t="s">
        <v>26</v>
      </c>
      <c r="I72" t="s">
        <v>1130</v>
      </c>
    </row>
    <row r="73" spans="1:9" x14ac:dyDescent="0.2">
      <c r="A73" t="s">
        <v>707</v>
      </c>
      <c r="B73">
        <v>56</v>
      </c>
      <c r="C73" t="s">
        <v>8</v>
      </c>
      <c r="D73" t="s">
        <v>8</v>
      </c>
      <c r="E73" t="s">
        <v>8</v>
      </c>
      <c r="F73">
        <v>2</v>
      </c>
      <c r="G73">
        <v>2</v>
      </c>
      <c r="H73" t="s">
        <v>26</v>
      </c>
      <c r="I73" t="s">
        <v>1130</v>
      </c>
    </row>
    <row r="74" spans="1:9" x14ac:dyDescent="0.2">
      <c r="A74" t="s">
        <v>706</v>
      </c>
      <c r="B74">
        <v>57</v>
      </c>
      <c r="C74" t="s">
        <v>8</v>
      </c>
      <c r="D74" t="s">
        <v>8</v>
      </c>
      <c r="E74" t="s">
        <v>9</v>
      </c>
      <c r="F74">
        <v>4</v>
      </c>
      <c r="G74">
        <v>2</v>
      </c>
      <c r="H74" t="s">
        <v>26</v>
      </c>
      <c r="I74" t="s">
        <v>1130</v>
      </c>
    </row>
    <row r="75" spans="1:9" x14ac:dyDescent="0.2">
      <c r="A75" t="s">
        <v>705</v>
      </c>
      <c r="B75">
        <v>58</v>
      </c>
      <c r="C75" t="s">
        <v>8</v>
      </c>
      <c r="D75" t="s">
        <v>8</v>
      </c>
      <c r="E75" t="s">
        <v>8</v>
      </c>
      <c r="F75">
        <v>4</v>
      </c>
      <c r="G75">
        <v>2</v>
      </c>
      <c r="H75" t="s">
        <v>26</v>
      </c>
      <c r="I75" t="s">
        <v>1130</v>
      </c>
    </row>
    <row r="76" spans="1:9" x14ac:dyDescent="0.2">
      <c r="A76" t="s">
        <v>704</v>
      </c>
      <c r="B76">
        <v>59</v>
      </c>
      <c r="C76" t="s">
        <v>8</v>
      </c>
      <c r="D76" t="s">
        <v>8</v>
      </c>
      <c r="E76" t="s">
        <v>8</v>
      </c>
      <c r="F76">
        <v>2</v>
      </c>
      <c r="G76">
        <v>3</v>
      </c>
      <c r="H76" t="s">
        <v>26</v>
      </c>
      <c r="I76" t="s">
        <v>1130</v>
      </c>
    </row>
    <row r="77" spans="1:9" x14ac:dyDescent="0.2">
      <c r="A77" t="s">
        <v>703</v>
      </c>
      <c r="B77">
        <v>60</v>
      </c>
      <c r="C77" t="s">
        <v>8</v>
      </c>
      <c r="D77" t="s">
        <v>8</v>
      </c>
      <c r="E77" t="s">
        <v>8</v>
      </c>
      <c r="F77">
        <v>3</v>
      </c>
      <c r="G77">
        <v>3</v>
      </c>
      <c r="H77" t="s">
        <v>26</v>
      </c>
      <c r="I77" t="s">
        <v>1130</v>
      </c>
    </row>
    <row r="78" spans="1:9" x14ac:dyDescent="0.2">
      <c r="A78" t="s">
        <v>702</v>
      </c>
      <c r="B78">
        <v>61</v>
      </c>
      <c r="C78" t="s">
        <v>9</v>
      </c>
      <c r="D78" t="s">
        <v>8</v>
      </c>
      <c r="E78" t="s">
        <v>8</v>
      </c>
      <c r="F78">
        <v>4</v>
      </c>
      <c r="G78">
        <v>3</v>
      </c>
      <c r="H78" t="s">
        <v>26</v>
      </c>
      <c r="I78" t="s">
        <v>1130</v>
      </c>
    </row>
    <row r="79" spans="1:9" x14ac:dyDescent="0.2">
      <c r="A79" t="s">
        <v>701</v>
      </c>
      <c r="B79">
        <v>62</v>
      </c>
      <c r="C79" t="s">
        <v>9</v>
      </c>
      <c r="D79" t="s">
        <v>8</v>
      </c>
      <c r="E79" t="s">
        <v>9</v>
      </c>
      <c r="F79">
        <v>4</v>
      </c>
      <c r="G79">
        <v>3</v>
      </c>
      <c r="H79" t="s">
        <v>26</v>
      </c>
      <c r="I79" t="s">
        <v>1130</v>
      </c>
    </row>
    <row r="80" spans="1:9" x14ac:dyDescent="0.2">
      <c r="A80" t="s">
        <v>700</v>
      </c>
      <c r="B80">
        <v>63</v>
      </c>
      <c r="C80" t="s">
        <v>9</v>
      </c>
      <c r="D80" t="s">
        <v>8</v>
      </c>
      <c r="E80" t="s">
        <v>8</v>
      </c>
      <c r="F80">
        <v>1</v>
      </c>
      <c r="G80">
        <v>4</v>
      </c>
      <c r="H80" t="s">
        <v>26</v>
      </c>
      <c r="I80" t="s">
        <v>1130</v>
      </c>
    </row>
    <row r="81" spans="1:9" x14ac:dyDescent="0.2">
      <c r="A81" t="s">
        <v>699</v>
      </c>
      <c r="B81">
        <v>64</v>
      </c>
      <c r="C81" t="s">
        <v>9</v>
      </c>
      <c r="D81" t="s">
        <v>8</v>
      </c>
      <c r="E81" t="s">
        <v>8</v>
      </c>
      <c r="F81">
        <v>2</v>
      </c>
      <c r="G81">
        <v>4</v>
      </c>
      <c r="H81" t="s">
        <v>26</v>
      </c>
      <c r="I81" t="s">
        <v>1130</v>
      </c>
    </row>
    <row r="82" spans="1:9" x14ac:dyDescent="0.2">
      <c r="A82" t="s">
        <v>698</v>
      </c>
      <c r="B82">
        <v>65</v>
      </c>
      <c r="C82" t="s">
        <v>9</v>
      </c>
      <c r="D82" t="s">
        <v>8</v>
      </c>
      <c r="E82" t="s">
        <v>9</v>
      </c>
      <c r="F82">
        <v>2</v>
      </c>
      <c r="G82">
        <v>4</v>
      </c>
      <c r="H82" t="s">
        <v>26</v>
      </c>
      <c r="I82" t="s">
        <v>1130</v>
      </c>
    </row>
    <row r="83" spans="1:9" x14ac:dyDescent="0.2">
      <c r="A83" t="s">
        <v>697</v>
      </c>
      <c r="B83">
        <v>66</v>
      </c>
      <c r="C83" t="s">
        <v>8</v>
      </c>
      <c r="D83" t="s">
        <v>8</v>
      </c>
      <c r="E83" t="s">
        <v>9</v>
      </c>
      <c r="F83">
        <v>4</v>
      </c>
      <c r="G83">
        <v>3</v>
      </c>
      <c r="H83" t="s">
        <v>26</v>
      </c>
      <c r="I83" t="s">
        <v>1130</v>
      </c>
    </row>
    <row r="84" spans="1:9" x14ac:dyDescent="0.2">
      <c r="A84" t="s">
        <v>696</v>
      </c>
      <c r="B84">
        <v>67</v>
      </c>
      <c r="C84" t="s">
        <v>8</v>
      </c>
      <c r="D84" t="s">
        <v>8</v>
      </c>
      <c r="E84" t="s">
        <v>9</v>
      </c>
      <c r="F84">
        <v>4</v>
      </c>
      <c r="G84">
        <v>3</v>
      </c>
      <c r="H84" t="s">
        <v>26</v>
      </c>
      <c r="I84" t="s">
        <v>1130</v>
      </c>
    </row>
    <row r="85" spans="1:9" x14ac:dyDescent="0.2">
      <c r="A85" t="s">
        <v>695</v>
      </c>
      <c r="B85">
        <v>68</v>
      </c>
      <c r="C85" t="s">
        <v>8</v>
      </c>
      <c r="D85" t="s">
        <v>8</v>
      </c>
      <c r="E85" t="s">
        <v>9</v>
      </c>
      <c r="F85">
        <v>1</v>
      </c>
      <c r="G85">
        <v>4</v>
      </c>
      <c r="H85" t="s">
        <v>26</v>
      </c>
      <c r="I85" t="s">
        <v>1130</v>
      </c>
    </row>
    <row r="86" spans="1:9" x14ac:dyDescent="0.2">
      <c r="A86" t="s">
        <v>694</v>
      </c>
      <c r="B86">
        <v>69</v>
      </c>
      <c r="C86" t="s">
        <v>8</v>
      </c>
      <c r="D86" t="s">
        <v>8</v>
      </c>
      <c r="E86" t="s">
        <v>8</v>
      </c>
      <c r="F86">
        <v>1</v>
      </c>
      <c r="G86">
        <v>4</v>
      </c>
      <c r="H86" t="s">
        <v>26</v>
      </c>
      <c r="I86" t="s">
        <v>1130</v>
      </c>
    </row>
    <row r="87" spans="1:9" x14ac:dyDescent="0.2">
      <c r="A87" t="s">
        <v>693</v>
      </c>
      <c r="B87">
        <v>70</v>
      </c>
      <c r="C87" t="s">
        <v>8</v>
      </c>
      <c r="D87" t="s">
        <v>8</v>
      </c>
      <c r="E87" t="s">
        <v>9</v>
      </c>
      <c r="F87">
        <v>3</v>
      </c>
      <c r="G87">
        <v>4</v>
      </c>
      <c r="H87" t="s">
        <v>26</v>
      </c>
      <c r="I87" t="s">
        <v>1130</v>
      </c>
    </row>
    <row r="88" spans="1:9" x14ac:dyDescent="0.2">
      <c r="A88" t="s">
        <v>692</v>
      </c>
      <c r="B88">
        <v>71</v>
      </c>
      <c r="C88" t="s">
        <v>9</v>
      </c>
      <c r="D88" t="s">
        <v>8</v>
      </c>
      <c r="E88" t="s">
        <v>9</v>
      </c>
      <c r="F88">
        <v>4</v>
      </c>
      <c r="G88">
        <v>4</v>
      </c>
      <c r="H88" t="s">
        <v>26</v>
      </c>
      <c r="I88" t="s">
        <v>1130</v>
      </c>
    </row>
    <row r="89" spans="1:9" x14ac:dyDescent="0.2">
      <c r="A89" t="s">
        <v>691</v>
      </c>
      <c r="B89">
        <v>72</v>
      </c>
      <c r="C89" t="s">
        <v>9</v>
      </c>
      <c r="D89" t="s">
        <v>8</v>
      </c>
      <c r="E89" t="s">
        <v>8</v>
      </c>
      <c r="F89">
        <v>2</v>
      </c>
      <c r="G89">
        <v>5</v>
      </c>
      <c r="H89" t="s">
        <v>26</v>
      </c>
      <c r="I89" t="s">
        <v>1130</v>
      </c>
    </row>
    <row r="90" spans="1:9" x14ac:dyDescent="0.2">
      <c r="A90" t="s">
        <v>690</v>
      </c>
      <c r="B90">
        <v>73</v>
      </c>
      <c r="C90" t="s">
        <v>9</v>
      </c>
      <c r="D90" t="s">
        <v>8</v>
      </c>
      <c r="E90" t="s">
        <v>9</v>
      </c>
      <c r="F90">
        <v>4</v>
      </c>
      <c r="G90">
        <v>5</v>
      </c>
      <c r="H90" t="s">
        <v>26</v>
      </c>
      <c r="I90" t="s">
        <v>1130</v>
      </c>
    </row>
    <row r="91" spans="1:9" x14ac:dyDescent="0.2">
      <c r="A91" t="s">
        <v>689</v>
      </c>
      <c r="B91">
        <v>74</v>
      </c>
      <c r="C91" t="s">
        <v>9</v>
      </c>
      <c r="D91" t="s">
        <v>8</v>
      </c>
      <c r="E91" t="s">
        <v>9</v>
      </c>
      <c r="F91">
        <v>4</v>
      </c>
      <c r="G91">
        <v>5</v>
      </c>
      <c r="H91" t="s">
        <v>26</v>
      </c>
      <c r="I91" t="s">
        <v>1130</v>
      </c>
    </row>
    <row r="92" spans="1:9" x14ac:dyDescent="0.2">
      <c r="A92" t="s">
        <v>688</v>
      </c>
      <c r="B92">
        <v>75</v>
      </c>
      <c r="C92" t="s">
        <v>9</v>
      </c>
      <c r="D92" t="s">
        <v>8</v>
      </c>
      <c r="E92" t="s">
        <v>8</v>
      </c>
      <c r="F92">
        <v>4</v>
      </c>
      <c r="G92">
        <v>5</v>
      </c>
      <c r="H92" t="s">
        <v>26</v>
      </c>
      <c r="I92" t="s">
        <v>1130</v>
      </c>
    </row>
    <row r="93" spans="1:9" x14ac:dyDescent="0.2">
      <c r="A93" t="s">
        <v>687</v>
      </c>
      <c r="B93">
        <v>76</v>
      </c>
      <c r="C93" t="s">
        <v>8</v>
      </c>
      <c r="D93" t="s">
        <v>8</v>
      </c>
      <c r="E93" t="s">
        <v>8</v>
      </c>
      <c r="F93">
        <v>4</v>
      </c>
      <c r="G93">
        <v>4</v>
      </c>
      <c r="H93" t="s">
        <v>26</v>
      </c>
      <c r="I93" t="s">
        <v>1130</v>
      </c>
    </row>
    <row r="94" spans="1:9" x14ac:dyDescent="0.2">
      <c r="A94" t="s">
        <v>686</v>
      </c>
      <c r="B94">
        <v>77</v>
      </c>
      <c r="C94" t="s">
        <v>8</v>
      </c>
      <c r="D94" t="s">
        <v>8</v>
      </c>
      <c r="E94" t="s">
        <v>8</v>
      </c>
      <c r="F94">
        <v>1</v>
      </c>
      <c r="G94">
        <v>5</v>
      </c>
      <c r="H94" t="s">
        <v>26</v>
      </c>
      <c r="I94" t="s">
        <v>1130</v>
      </c>
    </row>
    <row r="95" spans="1:9" x14ac:dyDescent="0.2">
      <c r="A95" t="s">
        <v>685</v>
      </c>
      <c r="B95">
        <v>78</v>
      </c>
      <c r="C95" t="s">
        <v>8</v>
      </c>
      <c r="D95" t="s">
        <v>8</v>
      </c>
      <c r="E95" t="s">
        <v>8</v>
      </c>
      <c r="F95">
        <v>1</v>
      </c>
      <c r="G95">
        <v>5</v>
      </c>
      <c r="H95" t="s">
        <v>26</v>
      </c>
      <c r="I95" t="s">
        <v>1130</v>
      </c>
    </row>
    <row r="96" spans="1:9" x14ac:dyDescent="0.2">
      <c r="A96" t="s">
        <v>684</v>
      </c>
      <c r="B96">
        <v>79</v>
      </c>
      <c r="C96" t="s">
        <v>8</v>
      </c>
      <c r="D96" t="s">
        <v>8</v>
      </c>
      <c r="E96" t="s">
        <v>9</v>
      </c>
      <c r="F96">
        <v>2</v>
      </c>
      <c r="G96">
        <v>5</v>
      </c>
      <c r="H96" t="s">
        <v>26</v>
      </c>
      <c r="I96" t="s">
        <v>1130</v>
      </c>
    </row>
    <row r="97" spans="1:9" x14ac:dyDescent="0.2">
      <c r="A97" t="s">
        <v>683</v>
      </c>
      <c r="B97">
        <v>80</v>
      </c>
      <c r="C97" t="s">
        <v>8</v>
      </c>
      <c r="D97" t="s">
        <v>8</v>
      </c>
      <c r="E97" t="s">
        <v>9</v>
      </c>
      <c r="F97">
        <v>3</v>
      </c>
      <c r="G97">
        <v>5</v>
      </c>
      <c r="H97" t="s">
        <v>26</v>
      </c>
      <c r="I97" t="s">
        <v>1130</v>
      </c>
    </row>
    <row r="98" spans="1:9" x14ac:dyDescent="0.2">
      <c r="A98" t="s">
        <v>602</v>
      </c>
      <c r="B98">
        <v>1</v>
      </c>
      <c r="C98" t="s">
        <v>9</v>
      </c>
      <c r="D98" t="s">
        <v>9</v>
      </c>
      <c r="E98" t="s">
        <v>9</v>
      </c>
      <c r="F98">
        <v>1</v>
      </c>
      <c r="G98">
        <v>1</v>
      </c>
      <c r="H98" t="s">
        <v>43</v>
      </c>
      <c r="I98" t="s">
        <v>1130</v>
      </c>
    </row>
    <row r="99" spans="1:9" x14ac:dyDescent="0.2">
      <c r="A99" t="s">
        <v>601</v>
      </c>
      <c r="B99">
        <v>2</v>
      </c>
      <c r="C99" t="s">
        <v>9</v>
      </c>
      <c r="D99" t="s">
        <v>9</v>
      </c>
      <c r="E99" t="s">
        <v>8</v>
      </c>
      <c r="F99">
        <v>2</v>
      </c>
      <c r="G99">
        <v>1</v>
      </c>
      <c r="H99" t="s">
        <v>43</v>
      </c>
      <c r="I99" t="s">
        <v>1130</v>
      </c>
    </row>
    <row r="100" spans="1:9" x14ac:dyDescent="0.2">
      <c r="A100" t="s">
        <v>600</v>
      </c>
      <c r="B100">
        <v>3</v>
      </c>
      <c r="C100" t="s">
        <v>9</v>
      </c>
      <c r="D100" t="s">
        <v>9</v>
      </c>
      <c r="E100" t="s">
        <v>9</v>
      </c>
      <c r="F100">
        <v>3</v>
      </c>
      <c r="G100">
        <v>1</v>
      </c>
      <c r="H100" t="s">
        <v>43</v>
      </c>
      <c r="I100" t="s">
        <v>1130</v>
      </c>
    </row>
    <row r="101" spans="1:9" x14ac:dyDescent="0.2">
      <c r="A101" t="s">
        <v>599</v>
      </c>
      <c r="B101">
        <v>4</v>
      </c>
      <c r="C101" t="s">
        <v>9</v>
      </c>
      <c r="D101" t="s">
        <v>9</v>
      </c>
      <c r="E101" t="s">
        <v>8</v>
      </c>
      <c r="F101">
        <v>4</v>
      </c>
      <c r="G101">
        <v>1</v>
      </c>
      <c r="H101" t="s">
        <v>43</v>
      </c>
      <c r="I101" t="s">
        <v>1130</v>
      </c>
    </row>
    <row r="102" spans="1:9" x14ac:dyDescent="0.2">
      <c r="A102" t="s">
        <v>598</v>
      </c>
      <c r="B102">
        <v>5</v>
      </c>
      <c r="C102" t="s">
        <v>9</v>
      </c>
      <c r="D102" t="s">
        <v>9</v>
      </c>
      <c r="E102" t="s">
        <v>9</v>
      </c>
      <c r="F102">
        <v>1</v>
      </c>
      <c r="G102">
        <v>2</v>
      </c>
      <c r="H102" t="s">
        <v>43</v>
      </c>
      <c r="I102" t="s">
        <v>1130</v>
      </c>
    </row>
    <row r="103" spans="1:9" x14ac:dyDescent="0.2">
      <c r="A103" t="s">
        <v>597</v>
      </c>
      <c r="B103">
        <v>6</v>
      </c>
      <c r="C103" t="s">
        <v>8</v>
      </c>
      <c r="D103" t="s">
        <v>9</v>
      </c>
      <c r="E103" t="s">
        <v>9</v>
      </c>
      <c r="F103">
        <v>1</v>
      </c>
      <c r="G103">
        <v>1</v>
      </c>
      <c r="H103" t="s">
        <v>43</v>
      </c>
      <c r="I103" t="s">
        <v>1130</v>
      </c>
    </row>
    <row r="104" spans="1:9" x14ac:dyDescent="0.2">
      <c r="A104" t="s">
        <v>596</v>
      </c>
      <c r="B104">
        <v>7</v>
      </c>
      <c r="C104" t="s">
        <v>8</v>
      </c>
      <c r="D104" t="s">
        <v>9</v>
      </c>
      <c r="E104" t="s">
        <v>8</v>
      </c>
      <c r="F104">
        <v>3</v>
      </c>
      <c r="G104">
        <v>1</v>
      </c>
      <c r="H104" t="s">
        <v>43</v>
      </c>
      <c r="I104" t="s">
        <v>1130</v>
      </c>
    </row>
    <row r="105" spans="1:9" x14ac:dyDescent="0.2">
      <c r="A105" t="s">
        <v>595</v>
      </c>
      <c r="B105">
        <v>8</v>
      </c>
      <c r="C105" t="s">
        <v>8</v>
      </c>
      <c r="D105" t="s">
        <v>9</v>
      </c>
      <c r="E105" t="s">
        <v>9</v>
      </c>
      <c r="F105">
        <v>3</v>
      </c>
      <c r="G105">
        <v>1</v>
      </c>
      <c r="H105" t="s">
        <v>43</v>
      </c>
      <c r="I105" t="s">
        <v>1130</v>
      </c>
    </row>
    <row r="106" spans="1:9" x14ac:dyDescent="0.2">
      <c r="A106" t="s">
        <v>594</v>
      </c>
      <c r="B106">
        <v>9</v>
      </c>
      <c r="C106" t="s">
        <v>8</v>
      </c>
      <c r="D106" t="s">
        <v>9</v>
      </c>
      <c r="E106" t="s">
        <v>8</v>
      </c>
      <c r="F106">
        <v>4</v>
      </c>
      <c r="G106">
        <v>1</v>
      </c>
      <c r="H106" t="s">
        <v>43</v>
      </c>
      <c r="I106" t="s">
        <v>1130</v>
      </c>
    </row>
    <row r="107" spans="1:9" x14ac:dyDescent="0.2">
      <c r="A107" t="s">
        <v>593</v>
      </c>
      <c r="B107">
        <v>10</v>
      </c>
      <c r="C107" t="s">
        <v>8</v>
      </c>
      <c r="D107" t="s">
        <v>9</v>
      </c>
      <c r="E107" t="s">
        <v>9</v>
      </c>
      <c r="F107">
        <v>1</v>
      </c>
      <c r="G107">
        <v>2</v>
      </c>
      <c r="H107" t="s">
        <v>43</v>
      </c>
      <c r="I107" t="s">
        <v>1130</v>
      </c>
    </row>
    <row r="108" spans="1:9" x14ac:dyDescent="0.2">
      <c r="A108" t="s">
        <v>592</v>
      </c>
      <c r="B108">
        <v>11</v>
      </c>
      <c r="C108" t="s">
        <v>9</v>
      </c>
      <c r="D108" t="s">
        <v>9</v>
      </c>
      <c r="E108" t="s">
        <v>8</v>
      </c>
      <c r="F108">
        <v>2</v>
      </c>
      <c r="G108">
        <v>2</v>
      </c>
      <c r="H108" t="s">
        <v>43</v>
      </c>
      <c r="I108" t="s">
        <v>1130</v>
      </c>
    </row>
    <row r="109" spans="1:9" x14ac:dyDescent="0.2">
      <c r="A109" t="s">
        <v>591</v>
      </c>
      <c r="B109">
        <v>12</v>
      </c>
      <c r="C109" t="s">
        <v>9</v>
      </c>
      <c r="D109" t="s">
        <v>9</v>
      </c>
      <c r="E109" t="s">
        <v>8</v>
      </c>
      <c r="F109">
        <v>3</v>
      </c>
      <c r="G109">
        <v>2</v>
      </c>
      <c r="H109" t="s">
        <v>43</v>
      </c>
      <c r="I109" t="s">
        <v>1130</v>
      </c>
    </row>
    <row r="110" spans="1:9" x14ac:dyDescent="0.2">
      <c r="A110" t="s">
        <v>590</v>
      </c>
      <c r="B110">
        <v>13</v>
      </c>
      <c r="C110" t="s">
        <v>9</v>
      </c>
      <c r="D110" t="s">
        <v>9</v>
      </c>
      <c r="E110" t="s">
        <v>9</v>
      </c>
      <c r="F110">
        <v>4</v>
      </c>
      <c r="G110">
        <v>2</v>
      </c>
      <c r="H110" t="s">
        <v>43</v>
      </c>
      <c r="I110" t="s">
        <v>1130</v>
      </c>
    </row>
    <row r="111" spans="1:9" x14ac:dyDescent="0.2">
      <c r="A111" t="s">
        <v>589</v>
      </c>
      <c r="B111">
        <v>14</v>
      </c>
      <c r="C111" t="s">
        <v>9</v>
      </c>
      <c r="D111" t="s">
        <v>9</v>
      </c>
      <c r="E111" t="s">
        <v>8</v>
      </c>
      <c r="F111">
        <v>1</v>
      </c>
      <c r="G111">
        <v>3</v>
      </c>
      <c r="H111" t="s">
        <v>43</v>
      </c>
      <c r="I111" t="s">
        <v>1130</v>
      </c>
    </row>
    <row r="112" spans="1:9" x14ac:dyDescent="0.2">
      <c r="A112" t="s">
        <v>588</v>
      </c>
      <c r="B112">
        <v>15</v>
      </c>
      <c r="C112" t="s">
        <v>9</v>
      </c>
      <c r="D112" t="s">
        <v>9</v>
      </c>
      <c r="E112" t="s">
        <v>9</v>
      </c>
      <c r="F112">
        <v>1</v>
      </c>
      <c r="G112">
        <v>3</v>
      </c>
      <c r="H112" t="s">
        <v>43</v>
      </c>
      <c r="I112" t="s">
        <v>1130</v>
      </c>
    </row>
    <row r="113" spans="1:9" x14ac:dyDescent="0.2">
      <c r="A113" t="s">
        <v>587</v>
      </c>
      <c r="B113">
        <v>16</v>
      </c>
      <c r="C113" t="s">
        <v>8</v>
      </c>
      <c r="D113" t="s">
        <v>9</v>
      </c>
      <c r="E113" t="s">
        <v>9</v>
      </c>
      <c r="F113">
        <v>2</v>
      </c>
      <c r="G113">
        <v>2</v>
      </c>
      <c r="H113" t="s">
        <v>43</v>
      </c>
      <c r="I113" t="s">
        <v>1130</v>
      </c>
    </row>
    <row r="114" spans="1:9" x14ac:dyDescent="0.2">
      <c r="A114" t="s">
        <v>586</v>
      </c>
      <c r="B114">
        <v>17</v>
      </c>
      <c r="C114" t="s">
        <v>8</v>
      </c>
      <c r="D114" t="s">
        <v>9</v>
      </c>
      <c r="E114" t="s">
        <v>8</v>
      </c>
      <c r="F114">
        <v>3</v>
      </c>
      <c r="G114">
        <v>2</v>
      </c>
      <c r="H114" t="s">
        <v>43</v>
      </c>
      <c r="I114" t="s">
        <v>1130</v>
      </c>
    </row>
    <row r="115" spans="1:9" x14ac:dyDescent="0.2">
      <c r="A115" t="s">
        <v>585</v>
      </c>
      <c r="B115">
        <v>18</v>
      </c>
      <c r="C115" t="s">
        <v>8</v>
      </c>
      <c r="D115" t="s">
        <v>9</v>
      </c>
      <c r="E115" t="s">
        <v>8</v>
      </c>
      <c r="F115">
        <v>4</v>
      </c>
      <c r="G115">
        <v>2</v>
      </c>
      <c r="H115" t="s">
        <v>43</v>
      </c>
      <c r="I115" t="s">
        <v>1130</v>
      </c>
    </row>
    <row r="116" spans="1:9" x14ac:dyDescent="0.2">
      <c r="A116" t="s">
        <v>584</v>
      </c>
      <c r="B116">
        <v>19</v>
      </c>
      <c r="C116" t="s">
        <v>8</v>
      </c>
      <c r="D116" t="s">
        <v>9</v>
      </c>
      <c r="E116" t="s">
        <v>9</v>
      </c>
      <c r="F116">
        <v>2</v>
      </c>
      <c r="G116">
        <v>3</v>
      </c>
      <c r="H116" t="s">
        <v>43</v>
      </c>
      <c r="I116" t="s">
        <v>1130</v>
      </c>
    </row>
    <row r="117" spans="1:9" x14ac:dyDescent="0.2">
      <c r="A117" t="s">
        <v>583</v>
      </c>
      <c r="B117">
        <v>20</v>
      </c>
      <c r="C117" t="s">
        <v>8</v>
      </c>
      <c r="D117" t="s">
        <v>9</v>
      </c>
      <c r="E117" t="s">
        <v>9</v>
      </c>
      <c r="F117">
        <v>2</v>
      </c>
      <c r="G117">
        <v>3</v>
      </c>
      <c r="H117" t="s">
        <v>43</v>
      </c>
      <c r="I117" t="s">
        <v>1130</v>
      </c>
    </row>
    <row r="118" spans="1:9" x14ac:dyDescent="0.2">
      <c r="A118" t="s">
        <v>582</v>
      </c>
      <c r="B118">
        <v>21</v>
      </c>
      <c r="C118" t="s">
        <v>9</v>
      </c>
      <c r="D118" t="s">
        <v>9</v>
      </c>
      <c r="E118" t="s">
        <v>9</v>
      </c>
      <c r="F118">
        <v>2</v>
      </c>
      <c r="G118">
        <v>3</v>
      </c>
      <c r="H118" t="s">
        <v>43</v>
      </c>
      <c r="I118" t="s">
        <v>1130</v>
      </c>
    </row>
    <row r="119" spans="1:9" x14ac:dyDescent="0.2">
      <c r="A119" t="s">
        <v>581</v>
      </c>
      <c r="B119">
        <v>22</v>
      </c>
      <c r="C119" t="s">
        <v>9</v>
      </c>
      <c r="D119" t="s">
        <v>9</v>
      </c>
      <c r="E119" t="s">
        <v>8</v>
      </c>
      <c r="F119">
        <v>3</v>
      </c>
      <c r="G119">
        <v>3</v>
      </c>
      <c r="H119" t="s">
        <v>43</v>
      </c>
      <c r="I119" t="s">
        <v>1130</v>
      </c>
    </row>
    <row r="120" spans="1:9" x14ac:dyDescent="0.2">
      <c r="A120" t="s">
        <v>580</v>
      </c>
      <c r="B120">
        <v>23</v>
      </c>
      <c r="C120" t="s">
        <v>9</v>
      </c>
      <c r="D120" t="s">
        <v>9</v>
      </c>
      <c r="E120" t="s">
        <v>8</v>
      </c>
      <c r="F120">
        <v>2</v>
      </c>
      <c r="G120">
        <v>4</v>
      </c>
      <c r="H120" t="s">
        <v>43</v>
      </c>
      <c r="I120" t="s">
        <v>1130</v>
      </c>
    </row>
    <row r="121" spans="1:9" x14ac:dyDescent="0.2">
      <c r="A121" t="s">
        <v>579</v>
      </c>
      <c r="B121">
        <v>24</v>
      </c>
      <c r="C121" t="s">
        <v>9</v>
      </c>
      <c r="D121" t="s">
        <v>9</v>
      </c>
      <c r="E121" t="s">
        <v>9</v>
      </c>
      <c r="F121">
        <v>2</v>
      </c>
      <c r="G121">
        <v>4</v>
      </c>
      <c r="H121" t="s">
        <v>43</v>
      </c>
      <c r="I121" t="s">
        <v>1130</v>
      </c>
    </row>
    <row r="122" spans="1:9" x14ac:dyDescent="0.2">
      <c r="A122" t="s">
        <v>578</v>
      </c>
      <c r="B122">
        <v>25</v>
      </c>
      <c r="C122" t="s">
        <v>9</v>
      </c>
      <c r="D122" t="s">
        <v>9</v>
      </c>
      <c r="E122" t="s">
        <v>8</v>
      </c>
      <c r="F122">
        <v>3</v>
      </c>
      <c r="G122">
        <v>4</v>
      </c>
      <c r="H122" t="s">
        <v>43</v>
      </c>
      <c r="I122" t="s">
        <v>1130</v>
      </c>
    </row>
    <row r="123" spans="1:9" x14ac:dyDescent="0.2">
      <c r="A123" t="s">
        <v>577</v>
      </c>
      <c r="B123">
        <v>26</v>
      </c>
      <c r="C123" t="s">
        <v>8</v>
      </c>
      <c r="D123" t="s">
        <v>9</v>
      </c>
      <c r="E123" t="s">
        <v>8</v>
      </c>
      <c r="F123">
        <v>3</v>
      </c>
      <c r="G123">
        <v>3</v>
      </c>
      <c r="H123" t="s">
        <v>43</v>
      </c>
      <c r="I123" t="s">
        <v>1130</v>
      </c>
    </row>
    <row r="124" spans="1:9" x14ac:dyDescent="0.2">
      <c r="A124" t="s">
        <v>576</v>
      </c>
      <c r="B124">
        <v>27</v>
      </c>
      <c r="C124" t="s">
        <v>8</v>
      </c>
      <c r="D124" t="s">
        <v>9</v>
      </c>
      <c r="E124" t="s">
        <v>8</v>
      </c>
      <c r="F124">
        <v>3</v>
      </c>
      <c r="G124">
        <v>3</v>
      </c>
      <c r="H124" t="s">
        <v>43</v>
      </c>
      <c r="I124" t="s">
        <v>1130</v>
      </c>
    </row>
    <row r="125" spans="1:9" x14ac:dyDescent="0.2">
      <c r="A125" t="s">
        <v>575</v>
      </c>
      <c r="B125">
        <v>28</v>
      </c>
      <c r="C125" t="s">
        <v>8</v>
      </c>
      <c r="D125" t="s">
        <v>9</v>
      </c>
      <c r="E125" t="s">
        <v>9</v>
      </c>
      <c r="F125">
        <v>1</v>
      </c>
      <c r="G125">
        <v>4</v>
      </c>
      <c r="H125" t="s">
        <v>43</v>
      </c>
      <c r="I125" t="s">
        <v>1130</v>
      </c>
    </row>
    <row r="126" spans="1:9" x14ac:dyDescent="0.2">
      <c r="A126" t="s">
        <v>574</v>
      </c>
      <c r="B126">
        <v>29</v>
      </c>
      <c r="C126" t="s">
        <v>8</v>
      </c>
      <c r="D126" t="s">
        <v>9</v>
      </c>
      <c r="E126" t="s">
        <v>8</v>
      </c>
      <c r="F126">
        <v>3</v>
      </c>
      <c r="G126">
        <v>4</v>
      </c>
      <c r="H126" t="s">
        <v>43</v>
      </c>
      <c r="I126" t="s">
        <v>1130</v>
      </c>
    </row>
    <row r="127" spans="1:9" x14ac:dyDescent="0.2">
      <c r="A127" t="s">
        <v>573</v>
      </c>
      <c r="B127">
        <v>30</v>
      </c>
      <c r="C127" t="s">
        <v>8</v>
      </c>
      <c r="D127" t="s">
        <v>9</v>
      </c>
      <c r="E127" t="s">
        <v>9</v>
      </c>
      <c r="F127">
        <v>3</v>
      </c>
      <c r="G127">
        <v>4</v>
      </c>
      <c r="H127" t="s">
        <v>43</v>
      </c>
      <c r="I127" t="s">
        <v>1130</v>
      </c>
    </row>
    <row r="128" spans="1:9" x14ac:dyDescent="0.2">
      <c r="A128" t="s">
        <v>572</v>
      </c>
      <c r="B128">
        <v>31</v>
      </c>
      <c r="C128" t="s">
        <v>9</v>
      </c>
      <c r="D128" t="s">
        <v>9</v>
      </c>
      <c r="E128" t="s">
        <v>9</v>
      </c>
      <c r="F128">
        <v>4</v>
      </c>
      <c r="G128">
        <v>4</v>
      </c>
      <c r="H128" t="s">
        <v>43</v>
      </c>
      <c r="I128" t="s">
        <v>1130</v>
      </c>
    </row>
    <row r="129" spans="1:9" x14ac:dyDescent="0.2">
      <c r="A129" t="s">
        <v>571</v>
      </c>
      <c r="B129">
        <v>32</v>
      </c>
      <c r="C129" t="s">
        <v>9</v>
      </c>
      <c r="D129" t="s">
        <v>9</v>
      </c>
      <c r="E129" t="s">
        <v>8</v>
      </c>
      <c r="F129">
        <v>2</v>
      </c>
      <c r="G129">
        <v>5</v>
      </c>
      <c r="H129" t="s">
        <v>43</v>
      </c>
      <c r="I129" t="s">
        <v>1130</v>
      </c>
    </row>
    <row r="130" spans="1:9" x14ac:dyDescent="0.2">
      <c r="A130" t="s">
        <v>570</v>
      </c>
      <c r="B130">
        <v>33</v>
      </c>
      <c r="C130" t="s">
        <v>9</v>
      </c>
      <c r="D130" t="s">
        <v>9</v>
      </c>
      <c r="E130" t="s">
        <v>9</v>
      </c>
      <c r="F130">
        <v>2</v>
      </c>
      <c r="G130">
        <v>5</v>
      </c>
      <c r="H130" t="s">
        <v>43</v>
      </c>
      <c r="I130" t="s">
        <v>1130</v>
      </c>
    </row>
    <row r="131" spans="1:9" x14ac:dyDescent="0.2">
      <c r="A131" t="s">
        <v>569</v>
      </c>
      <c r="B131">
        <v>34</v>
      </c>
      <c r="C131" t="s">
        <v>9</v>
      </c>
      <c r="D131" t="s">
        <v>9</v>
      </c>
      <c r="E131" t="s">
        <v>8</v>
      </c>
      <c r="F131">
        <v>3</v>
      </c>
      <c r="G131">
        <v>5</v>
      </c>
      <c r="H131" t="s">
        <v>43</v>
      </c>
      <c r="I131" t="s">
        <v>1130</v>
      </c>
    </row>
    <row r="132" spans="1:9" x14ac:dyDescent="0.2">
      <c r="A132" t="s">
        <v>568</v>
      </c>
      <c r="B132">
        <v>35</v>
      </c>
      <c r="C132" t="s">
        <v>9</v>
      </c>
      <c r="D132" t="s">
        <v>9</v>
      </c>
      <c r="E132" t="s">
        <v>9</v>
      </c>
      <c r="F132">
        <v>4</v>
      </c>
      <c r="G132">
        <v>5</v>
      </c>
      <c r="H132" t="s">
        <v>43</v>
      </c>
      <c r="I132" t="s">
        <v>1130</v>
      </c>
    </row>
    <row r="133" spans="1:9" x14ac:dyDescent="0.2">
      <c r="A133" t="s">
        <v>567</v>
      </c>
      <c r="B133">
        <v>36</v>
      </c>
      <c r="C133" t="s">
        <v>8</v>
      </c>
      <c r="D133" t="s">
        <v>9</v>
      </c>
      <c r="E133" t="s">
        <v>8</v>
      </c>
      <c r="F133">
        <v>4</v>
      </c>
      <c r="G133">
        <v>4</v>
      </c>
      <c r="H133" t="s">
        <v>43</v>
      </c>
      <c r="I133" t="s">
        <v>1130</v>
      </c>
    </row>
    <row r="134" spans="1:9" x14ac:dyDescent="0.2">
      <c r="A134" t="s">
        <v>566</v>
      </c>
      <c r="B134">
        <v>37</v>
      </c>
      <c r="C134" t="s">
        <v>8</v>
      </c>
      <c r="D134" t="s">
        <v>9</v>
      </c>
      <c r="E134" t="s">
        <v>8</v>
      </c>
      <c r="F134">
        <v>1</v>
      </c>
      <c r="G134">
        <v>5</v>
      </c>
      <c r="H134" t="s">
        <v>43</v>
      </c>
      <c r="I134" t="s">
        <v>1130</v>
      </c>
    </row>
    <row r="135" spans="1:9" x14ac:dyDescent="0.2">
      <c r="A135" t="s">
        <v>565</v>
      </c>
      <c r="B135">
        <v>38</v>
      </c>
      <c r="C135" t="s">
        <v>8</v>
      </c>
      <c r="D135" t="s">
        <v>9</v>
      </c>
      <c r="E135" t="s">
        <v>9</v>
      </c>
      <c r="F135">
        <v>1</v>
      </c>
      <c r="G135">
        <v>5</v>
      </c>
      <c r="H135" t="s">
        <v>43</v>
      </c>
      <c r="I135" t="s">
        <v>1130</v>
      </c>
    </row>
    <row r="136" spans="1:9" x14ac:dyDescent="0.2">
      <c r="A136" t="s">
        <v>564</v>
      </c>
      <c r="B136">
        <v>39</v>
      </c>
      <c r="C136" t="s">
        <v>8</v>
      </c>
      <c r="D136" t="s">
        <v>9</v>
      </c>
      <c r="E136" t="s">
        <v>8</v>
      </c>
      <c r="F136">
        <v>3</v>
      </c>
      <c r="G136">
        <v>5</v>
      </c>
      <c r="H136" t="s">
        <v>43</v>
      </c>
      <c r="I136" t="s">
        <v>1130</v>
      </c>
    </row>
    <row r="137" spans="1:9" x14ac:dyDescent="0.2">
      <c r="A137" t="s">
        <v>563</v>
      </c>
      <c r="B137">
        <v>40</v>
      </c>
      <c r="C137" t="s">
        <v>8</v>
      </c>
      <c r="D137" t="s">
        <v>9</v>
      </c>
      <c r="E137" t="s">
        <v>9</v>
      </c>
      <c r="F137">
        <v>3</v>
      </c>
      <c r="G137">
        <v>5</v>
      </c>
      <c r="H137" t="s">
        <v>43</v>
      </c>
      <c r="I137" t="s">
        <v>1130</v>
      </c>
    </row>
    <row r="138" spans="1:9" x14ac:dyDescent="0.2">
      <c r="A138" t="s">
        <v>562</v>
      </c>
      <c r="B138">
        <v>41</v>
      </c>
      <c r="C138" t="s">
        <v>9</v>
      </c>
      <c r="D138" t="s">
        <v>8</v>
      </c>
      <c r="E138" t="s">
        <v>8</v>
      </c>
      <c r="F138">
        <v>1</v>
      </c>
      <c r="G138">
        <v>1</v>
      </c>
      <c r="H138" t="s">
        <v>43</v>
      </c>
      <c r="I138" t="s">
        <v>1130</v>
      </c>
    </row>
    <row r="139" spans="1:9" x14ac:dyDescent="0.2">
      <c r="A139" t="s">
        <v>561</v>
      </c>
      <c r="B139">
        <v>42</v>
      </c>
      <c r="C139" t="s">
        <v>9</v>
      </c>
      <c r="D139" t="s">
        <v>8</v>
      </c>
      <c r="E139" t="s">
        <v>8</v>
      </c>
      <c r="F139">
        <v>2</v>
      </c>
      <c r="G139">
        <v>1</v>
      </c>
      <c r="H139" t="s">
        <v>43</v>
      </c>
      <c r="I139" t="s">
        <v>1130</v>
      </c>
    </row>
    <row r="140" spans="1:9" x14ac:dyDescent="0.2">
      <c r="A140" t="s">
        <v>560</v>
      </c>
      <c r="B140">
        <v>43</v>
      </c>
      <c r="C140" t="s">
        <v>9</v>
      </c>
      <c r="D140" t="s">
        <v>8</v>
      </c>
      <c r="E140" t="s">
        <v>9</v>
      </c>
      <c r="F140">
        <v>4</v>
      </c>
      <c r="G140">
        <v>1</v>
      </c>
      <c r="H140" t="s">
        <v>43</v>
      </c>
      <c r="I140" t="s">
        <v>1130</v>
      </c>
    </row>
    <row r="141" spans="1:9" x14ac:dyDescent="0.2">
      <c r="A141" t="s">
        <v>559</v>
      </c>
      <c r="B141">
        <v>44</v>
      </c>
      <c r="C141" t="s">
        <v>9</v>
      </c>
      <c r="D141" t="s">
        <v>8</v>
      </c>
      <c r="E141" t="s">
        <v>9</v>
      </c>
      <c r="F141">
        <v>4</v>
      </c>
      <c r="G141">
        <v>1</v>
      </c>
      <c r="H141" t="s">
        <v>43</v>
      </c>
      <c r="I141" t="s">
        <v>1130</v>
      </c>
    </row>
    <row r="142" spans="1:9" x14ac:dyDescent="0.2">
      <c r="A142" t="s">
        <v>558</v>
      </c>
      <c r="B142">
        <v>45</v>
      </c>
      <c r="C142" t="s">
        <v>9</v>
      </c>
      <c r="D142" t="s">
        <v>8</v>
      </c>
      <c r="E142" t="s">
        <v>9</v>
      </c>
      <c r="F142">
        <v>1</v>
      </c>
      <c r="G142">
        <v>2</v>
      </c>
      <c r="H142" t="s">
        <v>43</v>
      </c>
      <c r="I142" t="s">
        <v>1130</v>
      </c>
    </row>
    <row r="143" spans="1:9" x14ac:dyDescent="0.2">
      <c r="A143" t="s">
        <v>557</v>
      </c>
      <c r="B143">
        <v>46</v>
      </c>
      <c r="C143" t="s">
        <v>8</v>
      </c>
      <c r="D143" t="s">
        <v>8</v>
      </c>
      <c r="E143" t="s">
        <v>8</v>
      </c>
      <c r="F143">
        <v>1</v>
      </c>
      <c r="G143">
        <v>1</v>
      </c>
      <c r="H143" t="s">
        <v>43</v>
      </c>
      <c r="I143" t="s">
        <v>1130</v>
      </c>
    </row>
    <row r="144" spans="1:9" x14ac:dyDescent="0.2">
      <c r="A144" t="s">
        <v>556</v>
      </c>
      <c r="B144">
        <v>47</v>
      </c>
      <c r="C144" t="s">
        <v>8</v>
      </c>
      <c r="D144" t="s">
        <v>8</v>
      </c>
      <c r="E144" t="s">
        <v>8</v>
      </c>
      <c r="F144">
        <v>2</v>
      </c>
      <c r="G144">
        <v>1</v>
      </c>
      <c r="H144" t="s">
        <v>43</v>
      </c>
      <c r="I144" t="s">
        <v>1130</v>
      </c>
    </row>
    <row r="145" spans="1:9" x14ac:dyDescent="0.2">
      <c r="A145" t="s">
        <v>555</v>
      </c>
      <c r="B145">
        <v>48</v>
      </c>
      <c r="C145" t="s">
        <v>8</v>
      </c>
      <c r="D145" t="s">
        <v>8</v>
      </c>
      <c r="E145" t="s">
        <v>9</v>
      </c>
      <c r="F145">
        <v>2</v>
      </c>
      <c r="G145">
        <v>1</v>
      </c>
      <c r="H145" t="s">
        <v>43</v>
      </c>
      <c r="I145" t="s">
        <v>1130</v>
      </c>
    </row>
    <row r="146" spans="1:9" x14ac:dyDescent="0.2">
      <c r="A146" t="s">
        <v>554</v>
      </c>
      <c r="B146">
        <v>49</v>
      </c>
      <c r="C146" t="s">
        <v>8</v>
      </c>
      <c r="D146" t="s">
        <v>8</v>
      </c>
      <c r="E146" t="s">
        <v>9</v>
      </c>
      <c r="F146">
        <v>3</v>
      </c>
      <c r="G146">
        <v>1</v>
      </c>
      <c r="H146" t="s">
        <v>43</v>
      </c>
      <c r="I146" t="s">
        <v>1130</v>
      </c>
    </row>
    <row r="147" spans="1:9" x14ac:dyDescent="0.2">
      <c r="A147" t="s">
        <v>553</v>
      </c>
      <c r="B147">
        <v>50</v>
      </c>
      <c r="C147" t="s">
        <v>8</v>
      </c>
      <c r="D147" t="s">
        <v>8</v>
      </c>
      <c r="E147" t="s">
        <v>9</v>
      </c>
      <c r="F147">
        <v>1</v>
      </c>
      <c r="G147">
        <v>2</v>
      </c>
      <c r="H147" t="s">
        <v>43</v>
      </c>
      <c r="I147" t="s">
        <v>1130</v>
      </c>
    </row>
    <row r="148" spans="1:9" x14ac:dyDescent="0.2">
      <c r="A148" t="s">
        <v>552</v>
      </c>
      <c r="B148">
        <v>51</v>
      </c>
      <c r="C148" t="s">
        <v>9</v>
      </c>
      <c r="D148" t="s">
        <v>8</v>
      </c>
      <c r="E148" t="s">
        <v>9</v>
      </c>
      <c r="F148">
        <v>2</v>
      </c>
      <c r="G148">
        <v>2</v>
      </c>
      <c r="H148" t="s">
        <v>43</v>
      </c>
      <c r="I148" t="s">
        <v>1130</v>
      </c>
    </row>
    <row r="149" spans="1:9" x14ac:dyDescent="0.2">
      <c r="A149" t="s">
        <v>551</v>
      </c>
      <c r="B149">
        <v>52</v>
      </c>
      <c r="C149" t="s">
        <v>9</v>
      </c>
      <c r="D149" t="s">
        <v>8</v>
      </c>
      <c r="E149" t="s">
        <v>8</v>
      </c>
      <c r="F149">
        <v>3</v>
      </c>
      <c r="G149">
        <v>2</v>
      </c>
      <c r="H149" t="s">
        <v>43</v>
      </c>
      <c r="I149" t="s">
        <v>1130</v>
      </c>
    </row>
    <row r="150" spans="1:9" x14ac:dyDescent="0.2">
      <c r="A150" t="s">
        <v>550</v>
      </c>
      <c r="B150">
        <v>53</v>
      </c>
      <c r="C150" t="s">
        <v>9</v>
      </c>
      <c r="D150" t="s">
        <v>8</v>
      </c>
      <c r="E150" t="s">
        <v>8</v>
      </c>
      <c r="F150">
        <v>3</v>
      </c>
      <c r="G150">
        <v>2</v>
      </c>
      <c r="H150" t="s">
        <v>43</v>
      </c>
      <c r="I150" t="s">
        <v>1130</v>
      </c>
    </row>
    <row r="151" spans="1:9" x14ac:dyDescent="0.2">
      <c r="A151" t="s">
        <v>549</v>
      </c>
      <c r="B151">
        <v>54</v>
      </c>
      <c r="C151" t="s">
        <v>9</v>
      </c>
      <c r="D151" t="s">
        <v>8</v>
      </c>
      <c r="E151" t="s">
        <v>9</v>
      </c>
      <c r="F151">
        <v>1</v>
      </c>
      <c r="G151">
        <v>3</v>
      </c>
      <c r="H151" t="s">
        <v>43</v>
      </c>
      <c r="I151" t="s">
        <v>1130</v>
      </c>
    </row>
    <row r="152" spans="1:9" x14ac:dyDescent="0.2">
      <c r="A152" t="s">
        <v>548</v>
      </c>
      <c r="B152">
        <v>55</v>
      </c>
      <c r="C152" t="s">
        <v>9</v>
      </c>
      <c r="D152" t="s">
        <v>8</v>
      </c>
      <c r="E152" t="s">
        <v>8</v>
      </c>
      <c r="F152">
        <v>1</v>
      </c>
      <c r="G152">
        <v>3</v>
      </c>
      <c r="H152" t="s">
        <v>43</v>
      </c>
      <c r="I152" t="s">
        <v>1130</v>
      </c>
    </row>
    <row r="153" spans="1:9" x14ac:dyDescent="0.2">
      <c r="A153" t="s">
        <v>547</v>
      </c>
      <c r="B153">
        <v>56</v>
      </c>
      <c r="C153" t="s">
        <v>8</v>
      </c>
      <c r="D153" t="s">
        <v>8</v>
      </c>
      <c r="E153" t="s">
        <v>8</v>
      </c>
      <c r="F153">
        <v>2</v>
      </c>
      <c r="G153">
        <v>2</v>
      </c>
      <c r="H153" t="s">
        <v>43</v>
      </c>
      <c r="I153" t="s">
        <v>1130</v>
      </c>
    </row>
    <row r="154" spans="1:9" x14ac:dyDescent="0.2">
      <c r="A154" t="s">
        <v>546</v>
      </c>
      <c r="B154">
        <v>57</v>
      </c>
      <c r="C154" t="s">
        <v>8</v>
      </c>
      <c r="D154" t="s">
        <v>8</v>
      </c>
      <c r="E154" t="s">
        <v>9</v>
      </c>
      <c r="F154">
        <v>4</v>
      </c>
      <c r="G154">
        <v>2</v>
      </c>
      <c r="H154" t="s">
        <v>43</v>
      </c>
      <c r="I154" t="s">
        <v>1130</v>
      </c>
    </row>
    <row r="155" spans="1:9" x14ac:dyDescent="0.2">
      <c r="A155" t="s">
        <v>545</v>
      </c>
      <c r="B155">
        <v>58</v>
      </c>
      <c r="C155" t="s">
        <v>8</v>
      </c>
      <c r="D155" t="s">
        <v>8</v>
      </c>
      <c r="E155" t="s">
        <v>8</v>
      </c>
      <c r="F155">
        <v>4</v>
      </c>
      <c r="G155">
        <v>2</v>
      </c>
      <c r="H155" t="s">
        <v>43</v>
      </c>
      <c r="I155" t="s">
        <v>1130</v>
      </c>
    </row>
    <row r="156" spans="1:9" x14ac:dyDescent="0.2">
      <c r="A156" t="s">
        <v>544</v>
      </c>
      <c r="B156">
        <v>59</v>
      </c>
      <c r="C156" t="s">
        <v>8</v>
      </c>
      <c r="D156" t="s">
        <v>8</v>
      </c>
      <c r="E156" t="s">
        <v>8</v>
      </c>
      <c r="F156">
        <v>2</v>
      </c>
      <c r="G156">
        <v>3</v>
      </c>
      <c r="H156" t="s">
        <v>43</v>
      </c>
      <c r="I156" t="s">
        <v>1130</v>
      </c>
    </row>
    <row r="157" spans="1:9" x14ac:dyDescent="0.2">
      <c r="A157" t="s">
        <v>543</v>
      </c>
      <c r="B157">
        <v>60</v>
      </c>
      <c r="C157" t="s">
        <v>8</v>
      </c>
      <c r="D157" t="s">
        <v>8</v>
      </c>
      <c r="E157" t="s">
        <v>8</v>
      </c>
      <c r="F157">
        <v>3</v>
      </c>
      <c r="G157">
        <v>3</v>
      </c>
      <c r="H157" t="s">
        <v>43</v>
      </c>
      <c r="I157" t="s">
        <v>1130</v>
      </c>
    </row>
    <row r="158" spans="1:9" x14ac:dyDescent="0.2">
      <c r="A158" t="s">
        <v>542</v>
      </c>
      <c r="B158">
        <v>61</v>
      </c>
      <c r="C158" t="s">
        <v>9</v>
      </c>
      <c r="D158" t="s">
        <v>8</v>
      </c>
      <c r="E158" t="s">
        <v>8</v>
      </c>
      <c r="F158">
        <v>4</v>
      </c>
      <c r="G158">
        <v>3</v>
      </c>
      <c r="H158" t="s">
        <v>43</v>
      </c>
      <c r="I158" t="s">
        <v>1130</v>
      </c>
    </row>
    <row r="159" spans="1:9" x14ac:dyDescent="0.2">
      <c r="A159" t="s">
        <v>541</v>
      </c>
      <c r="B159">
        <v>62</v>
      </c>
      <c r="C159" t="s">
        <v>9</v>
      </c>
      <c r="D159" t="s">
        <v>8</v>
      </c>
      <c r="E159" t="s">
        <v>9</v>
      </c>
      <c r="F159">
        <v>4</v>
      </c>
      <c r="G159">
        <v>3</v>
      </c>
      <c r="H159" t="s">
        <v>43</v>
      </c>
      <c r="I159" t="s">
        <v>1130</v>
      </c>
    </row>
    <row r="160" spans="1:9" x14ac:dyDescent="0.2">
      <c r="A160" t="s">
        <v>540</v>
      </c>
      <c r="B160">
        <v>63</v>
      </c>
      <c r="C160" t="s">
        <v>9</v>
      </c>
      <c r="D160" t="s">
        <v>8</v>
      </c>
      <c r="E160" t="s">
        <v>8</v>
      </c>
      <c r="F160">
        <v>1</v>
      </c>
      <c r="G160">
        <v>4</v>
      </c>
      <c r="H160" t="s">
        <v>43</v>
      </c>
      <c r="I160" t="s">
        <v>1130</v>
      </c>
    </row>
    <row r="161" spans="1:9" x14ac:dyDescent="0.2">
      <c r="A161" t="s">
        <v>539</v>
      </c>
      <c r="B161">
        <v>64</v>
      </c>
      <c r="C161" t="s">
        <v>9</v>
      </c>
      <c r="D161" t="s">
        <v>8</v>
      </c>
      <c r="E161" t="s">
        <v>8</v>
      </c>
      <c r="F161">
        <v>2</v>
      </c>
      <c r="G161">
        <v>4</v>
      </c>
      <c r="H161" t="s">
        <v>43</v>
      </c>
      <c r="I161" t="s">
        <v>1130</v>
      </c>
    </row>
    <row r="162" spans="1:9" x14ac:dyDescent="0.2">
      <c r="A162" t="s">
        <v>538</v>
      </c>
      <c r="B162">
        <v>65</v>
      </c>
      <c r="C162" t="s">
        <v>9</v>
      </c>
      <c r="D162" t="s">
        <v>8</v>
      </c>
      <c r="E162" t="s">
        <v>9</v>
      </c>
      <c r="F162">
        <v>2</v>
      </c>
      <c r="G162">
        <v>4</v>
      </c>
      <c r="H162" t="s">
        <v>43</v>
      </c>
      <c r="I162" t="s">
        <v>1130</v>
      </c>
    </row>
    <row r="163" spans="1:9" x14ac:dyDescent="0.2">
      <c r="A163" t="s">
        <v>537</v>
      </c>
      <c r="B163">
        <v>66</v>
      </c>
      <c r="C163" t="s">
        <v>8</v>
      </c>
      <c r="D163" t="s">
        <v>8</v>
      </c>
      <c r="E163" t="s">
        <v>9</v>
      </c>
      <c r="F163">
        <v>4</v>
      </c>
      <c r="G163">
        <v>3</v>
      </c>
      <c r="H163" t="s">
        <v>43</v>
      </c>
      <c r="I163" t="s">
        <v>1130</v>
      </c>
    </row>
    <row r="164" spans="1:9" x14ac:dyDescent="0.2">
      <c r="A164" t="s">
        <v>536</v>
      </c>
      <c r="B164">
        <v>67</v>
      </c>
      <c r="C164" t="s">
        <v>8</v>
      </c>
      <c r="D164" t="s">
        <v>8</v>
      </c>
      <c r="E164" t="s">
        <v>9</v>
      </c>
      <c r="F164">
        <v>4</v>
      </c>
      <c r="G164">
        <v>3</v>
      </c>
      <c r="H164" t="s">
        <v>43</v>
      </c>
      <c r="I164" t="s">
        <v>1130</v>
      </c>
    </row>
    <row r="165" spans="1:9" x14ac:dyDescent="0.2">
      <c r="A165" t="s">
        <v>535</v>
      </c>
      <c r="B165">
        <v>68</v>
      </c>
      <c r="C165" t="s">
        <v>8</v>
      </c>
      <c r="D165" t="s">
        <v>8</v>
      </c>
      <c r="E165" t="s">
        <v>9</v>
      </c>
      <c r="F165">
        <v>1</v>
      </c>
      <c r="G165">
        <v>4</v>
      </c>
      <c r="H165" t="s">
        <v>43</v>
      </c>
      <c r="I165" t="s">
        <v>1130</v>
      </c>
    </row>
    <row r="166" spans="1:9" x14ac:dyDescent="0.2">
      <c r="A166" t="s">
        <v>534</v>
      </c>
      <c r="B166">
        <v>69</v>
      </c>
      <c r="C166" t="s">
        <v>8</v>
      </c>
      <c r="D166" t="s">
        <v>8</v>
      </c>
      <c r="E166" t="s">
        <v>8</v>
      </c>
      <c r="F166">
        <v>1</v>
      </c>
      <c r="G166">
        <v>4</v>
      </c>
      <c r="H166" t="s">
        <v>43</v>
      </c>
      <c r="I166" t="s">
        <v>1130</v>
      </c>
    </row>
    <row r="167" spans="1:9" x14ac:dyDescent="0.2">
      <c r="A167" t="s">
        <v>533</v>
      </c>
      <c r="B167">
        <v>70</v>
      </c>
      <c r="C167" t="s">
        <v>8</v>
      </c>
      <c r="D167" t="s">
        <v>8</v>
      </c>
      <c r="E167" t="s">
        <v>9</v>
      </c>
      <c r="F167">
        <v>3</v>
      </c>
      <c r="G167">
        <v>4</v>
      </c>
      <c r="H167" t="s">
        <v>43</v>
      </c>
      <c r="I167" t="s">
        <v>1130</v>
      </c>
    </row>
    <row r="168" spans="1:9" x14ac:dyDescent="0.2">
      <c r="A168" t="s">
        <v>532</v>
      </c>
      <c r="B168">
        <v>71</v>
      </c>
      <c r="C168" t="s">
        <v>9</v>
      </c>
      <c r="D168" t="s">
        <v>8</v>
      </c>
      <c r="E168" t="s">
        <v>9</v>
      </c>
      <c r="F168">
        <v>4</v>
      </c>
      <c r="G168">
        <v>4</v>
      </c>
      <c r="H168" t="s">
        <v>43</v>
      </c>
      <c r="I168" t="s">
        <v>1130</v>
      </c>
    </row>
    <row r="169" spans="1:9" x14ac:dyDescent="0.2">
      <c r="A169" t="s">
        <v>531</v>
      </c>
      <c r="B169">
        <v>72</v>
      </c>
      <c r="C169" t="s">
        <v>9</v>
      </c>
      <c r="D169" t="s">
        <v>8</v>
      </c>
      <c r="E169" t="s">
        <v>8</v>
      </c>
      <c r="F169">
        <v>2</v>
      </c>
      <c r="G169">
        <v>5</v>
      </c>
      <c r="H169" t="s">
        <v>43</v>
      </c>
      <c r="I169" t="s">
        <v>1130</v>
      </c>
    </row>
    <row r="170" spans="1:9" x14ac:dyDescent="0.2">
      <c r="A170" t="s">
        <v>530</v>
      </c>
      <c r="B170">
        <v>73</v>
      </c>
      <c r="C170" t="s">
        <v>9</v>
      </c>
      <c r="D170" t="s">
        <v>8</v>
      </c>
      <c r="E170" t="s">
        <v>9</v>
      </c>
      <c r="F170">
        <v>4</v>
      </c>
      <c r="G170">
        <v>5</v>
      </c>
      <c r="H170" t="s">
        <v>43</v>
      </c>
      <c r="I170" t="s">
        <v>1130</v>
      </c>
    </row>
    <row r="171" spans="1:9" x14ac:dyDescent="0.2">
      <c r="A171" t="s">
        <v>529</v>
      </c>
      <c r="B171">
        <v>74</v>
      </c>
      <c r="C171" t="s">
        <v>9</v>
      </c>
      <c r="D171" t="s">
        <v>8</v>
      </c>
      <c r="E171" t="s">
        <v>9</v>
      </c>
      <c r="F171">
        <v>4</v>
      </c>
      <c r="G171">
        <v>5</v>
      </c>
      <c r="H171" t="s">
        <v>43</v>
      </c>
      <c r="I171" t="s">
        <v>1130</v>
      </c>
    </row>
    <row r="172" spans="1:9" x14ac:dyDescent="0.2">
      <c r="A172" t="s">
        <v>528</v>
      </c>
      <c r="B172">
        <v>75</v>
      </c>
      <c r="C172" t="s">
        <v>9</v>
      </c>
      <c r="D172" t="s">
        <v>8</v>
      </c>
      <c r="E172" t="s">
        <v>8</v>
      </c>
      <c r="F172">
        <v>4</v>
      </c>
      <c r="G172">
        <v>5</v>
      </c>
      <c r="H172" t="s">
        <v>43</v>
      </c>
      <c r="I172" t="s">
        <v>1130</v>
      </c>
    </row>
    <row r="173" spans="1:9" x14ac:dyDescent="0.2">
      <c r="A173" t="s">
        <v>527</v>
      </c>
      <c r="B173">
        <v>76</v>
      </c>
      <c r="C173" t="s">
        <v>8</v>
      </c>
      <c r="D173" t="s">
        <v>8</v>
      </c>
      <c r="E173" t="s">
        <v>8</v>
      </c>
      <c r="F173">
        <v>4</v>
      </c>
      <c r="G173">
        <v>4</v>
      </c>
      <c r="H173" t="s">
        <v>43</v>
      </c>
      <c r="I173" t="s">
        <v>1130</v>
      </c>
    </row>
    <row r="174" spans="1:9" x14ac:dyDescent="0.2">
      <c r="A174" t="s">
        <v>526</v>
      </c>
      <c r="B174">
        <v>77</v>
      </c>
      <c r="C174" t="s">
        <v>8</v>
      </c>
      <c r="D174" t="s">
        <v>8</v>
      </c>
      <c r="E174" t="s">
        <v>8</v>
      </c>
      <c r="F174">
        <v>1</v>
      </c>
      <c r="G174">
        <v>5</v>
      </c>
      <c r="H174" t="s">
        <v>43</v>
      </c>
      <c r="I174" t="s">
        <v>1130</v>
      </c>
    </row>
    <row r="175" spans="1:9" x14ac:dyDescent="0.2">
      <c r="A175" t="s">
        <v>525</v>
      </c>
      <c r="B175">
        <v>78</v>
      </c>
      <c r="C175" t="s">
        <v>8</v>
      </c>
      <c r="D175" t="s">
        <v>8</v>
      </c>
      <c r="E175" t="s">
        <v>8</v>
      </c>
      <c r="F175">
        <v>1</v>
      </c>
      <c r="G175">
        <v>5</v>
      </c>
      <c r="H175" t="s">
        <v>43</v>
      </c>
      <c r="I175" t="s">
        <v>1130</v>
      </c>
    </row>
    <row r="176" spans="1:9" x14ac:dyDescent="0.2">
      <c r="A176" t="s">
        <v>524</v>
      </c>
      <c r="B176">
        <v>79</v>
      </c>
      <c r="C176" t="s">
        <v>8</v>
      </c>
      <c r="D176" t="s">
        <v>8</v>
      </c>
      <c r="E176" t="s">
        <v>9</v>
      </c>
      <c r="F176">
        <v>2</v>
      </c>
      <c r="G176">
        <v>5</v>
      </c>
      <c r="H176" t="s">
        <v>43</v>
      </c>
      <c r="I176" t="s">
        <v>1130</v>
      </c>
    </row>
    <row r="177" spans="1:9" x14ac:dyDescent="0.2">
      <c r="A177" t="s">
        <v>523</v>
      </c>
      <c r="B177">
        <v>80</v>
      </c>
      <c r="C177" t="s">
        <v>8</v>
      </c>
      <c r="D177" t="s">
        <v>8</v>
      </c>
      <c r="E177" t="s">
        <v>9</v>
      </c>
      <c r="F177">
        <v>3</v>
      </c>
      <c r="G177">
        <v>5</v>
      </c>
      <c r="H177" t="s">
        <v>43</v>
      </c>
      <c r="I177" t="s">
        <v>1130</v>
      </c>
    </row>
    <row r="178" spans="1:9" x14ac:dyDescent="0.2">
      <c r="A178" t="s">
        <v>922</v>
      </c>
      <c r="B178">
        <v>1</v>
      </c>
      <c r="C178" t="s">
        <v>9</v>
      </c>
      <c r="D178" t="s">
        <v>9</v>
      </c>
      <c r="E178" t="s">
        <v>9</v>
      </c>
      <c r="F178">
        <v>1</v>
      </c>
      <c r="G178">
        <v>1</v>
      </c>
      <c r="H178" t="s">
        <v>99</v>
      </c>
      <c r="I178" t="s">
        <v>1130</v>
      </c>
    </row>
    <row r="179" spans="1:9" x14ac:dyDescent="0.2">
      <c r="A179" t="s">
        <v>921</v>
      </c>
      <c r="B179">
        <v>2</v>
      </c>
      <c r="C179" t="s">
        <v>9</v>
      </c>
      <c r="D179" t="s">
        <v>9</v>
      </c>
      <c r="E179" t="s">
        <v>8</v>
      </c>
      <c r="F179">
        <v>2</v>
      </c>
      <c r="G179">
        <v>1</v>
      </c>
      <c r="H179" t="s">
        <v>99</v>
      </c>
      <c r="I179" t="s">
        <v>1130</v>
      </c>
    </row>
    <row r="180" spans="1:9" x14ac:dyDescent="0.2">
      <c r="A180" t="s">
        <v>920</v>
      </c>
      <c r="B180">
        <v>3</v>
      </c>
      <c r="C180" t="s">
        <v>9</v>
      </c>
      <c r="D180" t="s">
        <v>9</v>
      </c>
      <c r="E180" t="s">
        <v>9</v>
      </c>
      <c r="F180">
        <v>3</v>
      </c>
      <c r="G180">
        <v>1</v>
      </c>
      <c r="H180" t="s">
        <v>99</v>
      </c>
      <c r="I180" t="s">
        <v>1130</v>
      </c>
    </row>
    <row r="181" spans="1:9" x14ac:dyDescent="0.2">
      <c r="A181" t="s">
        <v>919</v>
      </c>
      <c r="B181">
        <v>4</v>
      </c>
      <c r="C181" t="s">
        <v>9</v>
      </c>
      <c r="D181" t="s">
        <v>9</v>
      </c>
      <c r="E181" t="s">
        <v>8</v>
      </c>
      <c r="F181">
        <v>4</v>
      </c>
      <c r="G181">
        <v>1</v>
      </c>
      <c r="H181" t="s">
        <v>99</v>
      </c>
      <c r="I181" t="s">
        <v>1130</v>
      </c>
    </row>
    <row r="182" spans="1:9" x14ac:dyDescent="0.2">
      <c r="A182" t="s">
        <v>918</v>
      </c>
      <c r="B182">
        <v>5</v>
      </c>
      <c r="C182" t="s">
        <v>9</v>
      </c>
      <c r="D182" t="s">
        <v>9</v>
      </c>
      <c r="E182" t="s">
        <v>9</v>
      </c>
      <c r="F182">
        <v>1</v>
      </c>
      <c r="G182">
        <v>2</v>
      </c>
      <c r="H182" t="s">
        <v>99</v>
      </c>
      <c r="I182" t="s">
        <v>1130</v>
      </c>
    </row>
    <row r="183" spans="1:9" x14ac:dyDescent="0.2">
      <c r="A183" t="s">
        <v>917</v>
      </c>
      <c r="B183">
        <v>6</v>
      </c>
      <c r="C183" t="s">
        <v>8</v>
      </c>
      <c r="D183" t="s">
        <v>9</v>
      </c>
      <c r="E183" t="s">
        <v>9</v>
      </c>
      <c r="F183">
        <v>1</v>
      </c>
      <c r="G183">
        <v>1</v>
      </c>
      <c r="H183" t="s">
        <v>99</v>
      </c>
      <c r="I183" t="s">
        <v>1130</v>
      </c>
    </row>
    <row r="184" spans="1:9" x14ac:dyDescent="0.2">
      <c r="A184" t="s">
        <v>916</v>
      </c>
      <c r="B184">
        <v>7</v>
      </c>
      <c r="C184" t="s">
        <v>8</v>
      </c>
      <c r="D184" t="s">
        <v>9</v>
      </c>
      <c r="E184" t="s">
        <v>8</v>
      </c>
      <c r="F184">
        <v>3</v>
      </c>
      <c r="G184">
        <v>1</v>
      </c>
      <c r="H184" t="s">
        <v>99</v>
      </c>
      <c r="I184" t="s">
        <v>1130</v>
      </c>
    </row>
    <row r="185" spans="1:9" x14ac:dyDescent="0.2">
      <c r="A185" t="s">
        <v>915</v>
      </c>
      <c r="B185">
        <v>8</v>
      </c>
      <c r="C185" t="s">
        <v>8</v>
      </c>
      <c r="D185" t="s">
        <v>9</v>
      </c>
      <c r="E185" t="s">
        <v>9</v>
      </c>
      <c r="F185">
        <v>3</v>
      </c>
      <c r="G185">
        <v>1</v>
      </c>
      <c r="H185" t="s">
        <v>99</v>
      </c>
      <c r="I185" t="s">
        <v>1130</v>
      </c>
    </row>
    <row r="186" spans="1:9" x14ac:dyDescent="0.2">
      <c r="A186" t="s">
        <v>914</v>
      </c>
      <c r="B186">
        <v>9</v>
      </c>
      <c r="C186" t="s">
        <v>8</v>
      </c>
      <c r="D186" t="s">
        <v>9</v>
      </c>
      <c r="E186" t="s">
        <v>8</v>
      </c>
      <c r="F186">
        <v>4</v>
      </c>
      <c r="G186">
        <v>1</v>
      </c>
      <c r="H186" t="s">
        <v>99</v>
      </c>
      <c r="I186" t="s">
        <v>1130</v>
      </c>
    </row>
    <row r="187" spans="1:9" x14ac:dyDescent="0.2">
      <c r="A187" t="s">
        <v>913</v>
      </c>
      <c r="B187">
        <v>10</v>
      </c>
      <c r="C187" t="s">
        <v>8</v>
      </c>
      <c r="D187" t="s">
        <v>9</v>
      </c>
      <c r="E187" t="s">
        <v>9</v>
      </c>
      <c r="F187">
        <v>1</v>
      </c>
      <c r="G187">
        <v>2</v>
      </c>
      <c r="H187" t="s">
        <v>99</v>
      </c>
      <c r="I187" t="s">
        <v>1130</v>
      </c>
    </row>
    <row r="188" spans="1:9" x14ac:dyDescent="0.2">
      <c r="A188" t="s">
        <v>912</v>
      </c>
      <c r="B188">
        <v>11</v>
      </c>
      <c r="C188" t="s">
        <v>9</v>
      </c>
      <c r="D188" t="s">
        <v>9</v>
      </c>
      <c r="E188" t="s">
        <v>8</v>
      </c>
      <c r="F188">
        <v>2</v>
      </c>
      <c r="G188">
        <v>2</v>
      </c>
      <c r="H188" t="s">
        <v>99</v>
      </c>
      <c r="I188" t="s">
        <v>1130</v>
      </c>
    </row>
    <row r="189" spans="1:9" x14ac:dyDescent="0.2">
      <c r="A189" t="s">
        <v>911</v>
      </c>
      <c r="B189">
        <v>12</v>
      </c>
      <c r="C189" t="s">
        <v>9</v>
      </c>
      <c r="D189" t="s">
        <v>9</v>
      </c>
      <c r="E189" t="s">
        <v>8</v>
      </c>
      <c r="F189">
        <v>3</v>
      </c>
      <c r="G189">
        <v>2</v>
      </c>
      <c r="H189" t="s">
        <v>99</v>
      </c>
      <c r="I189" t="s">
        <v>1130</v>
      </c>
    </row>
    <row r="190" spans="1:9" x14ac:dyDescent="0.2">
      <c r="A190" t="s">
        <v>910</v>
      </c>
      <c r="B190">
        <v>13</v>
      </c>
      <c r="C190" t="s">
        <v>9</v>
      </c>
      <c r="D190" t="s">
        <v>9</v>
      </c>
      <c r="E190" t="s">
        <v>9</v>
      </c>
      <c r="F190">
        <v>4</v>
      </c>
      <c r="G190">
        <v>2</v>
      </c>
      <c r="H190" t="s">
        <v>99</v>
      </c>
      <c r="I190" t="s">
        <v>1130</v>
      </c>
    </row>
    <row r="191" spans="1:9" x14ac:dyDescent="0.2">
      <c r="A191" t="s">
        <v>909</v>
      </c>
      <c r="B191">
        <v>14</v>
      </c>
      <c r="C191" t="s">
        <v>9</v>
      </c>
      <c r="D191" t="s">
        <v>9</v>
      </c>
      <c r="E191" t="s">
        <v>8</v>
      </c>
      <c r="F191">
        <v>1</v>
      </c>
      <c r="G191">
        <v>3</v>
      </c>
      <c r="H191" t="s">
        <v>99</v>
      </c>
      <c r="I191" t="s">
        <v>1130</v>
      </c>
    </row>
    <row r="192" spans="1:9" x14ac:dyDescent="0.2">
      <c r="A192" t="s">
        <v>908</v>
      </c>
      <c r="B192">
        <v>15</v>
      </c>
      <c r="C192" t="s">
        <v>9</v>
      </c>
      <c r="D192" t="s">
        <v>9</v>
      </c>
      <c r="E192" t="s">
        <v>9</v>
      </c>
      <c r="F192">
        <v>1</v>
      </c>
      <c r="G192">
        <v>3</v>
      </c>
      <c r="H192" t="s">
        <v>99</v>
      </c>
      <c r="I192" t="s">
        <v>1130</v>
      </c>
    </row>
    <row r="193" spans="1:9" x14ac:dyDescent="0.2">
      <c r="A193" t="s">
        <v>907</v>
      </c>
      <c r="B193">
        <v>16</v>
      </c>
      <c r="C193" t="s">
        <v>8</v>
      </c>
      <c r="D193" t="s">
        <v>9</v>
      </c>
      <c r="E193" t="s">
        <v>9</v>
      </c>
      <c r="F193">
        <v>2</v>
      </c>
      <c r="G193">
        <v>2</v>
      </c>
      <c r="H193" t="s">
        <v>99</v>
      </c>
      <c r="I193" t="s">
        <v>1130</v>
      </c>
    </row>
    <row r="194" spans="1:9" x14ac:dyDescent="0.2">
      <c r="A194" t="s">
        <v>906</v>
      </c>
      <c r="B194">
        <v>17</v>
      </c>
      <c r="C194" t="s">
        <v>8</v>
      </c>
      <c r="D194" t="s">
        <v>9</v>
      </c>
      <c r="E194" t="s">
        <v>8</v>
      </c>
      <c r="F194">
        <v>3</v>
      </c>
      <c r="G194">
        <v>2</v>
      </c>
      <c r="H194" t="s">
        <v>99</v>
      </c>
      <c r="I194" t="s">
        <v>1130</v>
      </c>
    </row>
    <row r="195" spans="1:9" x14ac:dyDescent="0.2">
      <c r="A195" t="s">
        <v>905</v>
      </c>
      <c r="B195">
        <v>18</v>
      </c>
      <c r="C195" t="s">
        <v>8</v>
      </c>
      <c r="D195" t="s">
        <v>9</v>
      </c>
      <c r="E195" t="s">
        <v>8</v>
      </c>
      <c r="F195">
        <v>4</v>
      </c>
      <c r="G195">
        <v>2</v>
      </c>
      <c r="H195" t="s">
        <v>99</v>
      </c>
      <c r="I195" t="s">
        <v>1130</v>
      </c>
    </row>
    <row r="196" spans="1:9" x14ac:dyDescent="0.2">
      <c r="A196" t="s">
        <v>904</v>
      </c>
      <c r="B196">
        <v>19</v>
      </c>
      <c r="C196" t="s">
        <v>8</v>
      </c>
      <c r="D196" t="s">
        <v>9</v>
      </c>
      <c r="E196" t="s">
        <v>9</v>
      </c>
      <c r="F196">
        <v>2</v>
      </c>
      <c r="G196">
        <v>3</v>
      </c>
      <c r="H196" t="s">
        <v>99</v>
      </c>
      <c r="I196" t="s">
        <v>1130</v>
      </c>
    </row>
    <row r="197" spans="1:9" x14ac:dyDescent="0.2">
      <c r="A197" t="s">
        <v>903</v>
      </c>
      <c r="B197">
        <v>20</v>
      </c>
      <c r="C197" t="s">
        <v>8</v>
      </c>
      <c r="D197" t="s">
        <v>9</v>
      </c>
      <c r="E197" t="s">
        <v>9</v>
      </c>
      <c r="F197">
        <v>2</v>
      </c>
      <c r="G197">
        <v>3</v>
      </c>
      <c r="H197" t="s">
        <v>99</v>
      </c>
      <c r="I197" t="s">
        <v>1130</v>
      </c>
    </row>
    <row r="198" spans="1:9" x14ac:dyDescent="0.2">
      <c r="A198" t="s">
        <v>902</v>
      </c>
      <c r="B198">
        <v>21</v>
      </c>
      <c r="C198" t="s">
        <v>9</v>
      </c>
      <c r="D198" t="s">
        <v>9</v>
      </c>
      <c r="E198" t="s">
        <v>9</v>
      </c>
      <c r="F198">
        <v>2</v>
      </c>
      <c r="G198">
        <v>3</v>
      </c>
      <c r="H198" t="s">
        <v>99</v>
      </c>
      <c r="I198" t="s">
        <v>1130</v>
      </c>
    </row>
    <row r="199" spans="1:9" x14ac:dyDescent="0.2">
      <c r="A199" t="s">
        <v>901</v>
      </c>
      <c r="B199">
        <v>22</v>
      </c>
      <c r="C199" t="s">
        <v>9</v>
      </c>
      <c r="D199" t="s">
        <v>9</v>
      </c>
      <c r="E199" t="s">
        <v>8</v>
      </c>
      <c r="F199">
        <v>3</v>
      </c>
      <c r="G199">
        <v>3</v>
      </c>
      <c r="H199" t="s">
        <v>99</v>
      </c>
      <c r="I199" t="s">
        <v>1130</v>
      </c>
    </row>
    <row r="200" spans="1:9" x14ac:dyDescent="0.2">
      <c r="A200" t="s">
        <v>900</v>
      </c>
      <c r="B200">
        <v>23</v>
      </c>
      <c r="C200" t="s">
        <v>9</v>
      </c>
      <c r="D200" t="s">
        <v>9</v>
      </c>
      <c r="E200" t="s">
        <v>8</v>
      </c>
      <c r="F200">
        <v>2</v>
      </c>
      <c r="G200">
        <v>4</v>
      </c>
      <c r="H200" t="s">
        <v>99</v>
      </c>
      <c r="I200" t="s">
        <v>1130</v>
      </c>
    </row>
    <row r="201" spans="1:9" x14ac:dyDescent="0.2">
      <c r="A201" t="s">
        <v>899</v>
      </c>
      <c r="B201">
        <v>24</v>
      </c>
      <c r="C201" t="s">
        <v>9</v>
      </c>
      <c r="D201" t="s">
        <v>9</v>
      </c>
      <c r="E201" t="s">
        <v>9</v>
      </c>
      <c r="F201">
        <v>2</v>
      </c>
      <c r="G201">
        <v>4</v>
      </c>
      <c r="H201" t="s">
        <v>99</v>
      </c>
      <c r="I201" t="s">
        <v>1130</v>
      </c>
    </row>
    <row r="202" spans="1:9" x14ac:dyDescent="0.2">
      <c r="A202" t="s">
        <v>898</v>
      </c>
      <c r="B202">
        <v>25</v>
      </c>
      <c r="C202" t="s">
        <v>9</v>
      </c>
      <c r="D202" t="s">
        <v>9</v>
      </c>
      <c r="E202" t="s">
        <v>8</v>
      </c>
      <c r="F202">
        <v>3</v>
      </c>
      <c r="G202">
        <v>4</v>
      </c>
      <c r="H202" t="s">
        <v>99</v>
      </c>
      <c r="I202" t="s">
        <v>1130</v>
      </c>
    </row>
    <row r="203" spans="1:9" x14ac:dyDescent="0.2">
      <c r="A203" t="s">
        <v>897</v>
      </c>
      <c r="B203">
        <v>26</v>
      </c>
      <c r="C203" t="s">
        <v>8</v>
      </c>
      <c r="D203" t="s">
        <v>9</v>
      </c>
      <c r="E203" t="s">
        <v>8</v>
      </c>
      <c r="F203">
        <v>3</v>
      </c>
      <c r="G203">
        <v>3</v>
      </c>
      <c r="H203" t="s">
        <v>99</v>
      </c>
      <c r="I203" t="s">
        <v>1130</v>
      </c>
    </row>
    <row r="204" spans="1:9" x14ac:dyDescent="0.2">
      <c r="A204" t="s">
        <v>896</v>
      </c>
      <c r="B204">
        <v>27</v>
      </c>
      <c r="C204" t="s">
        <v>8</v>
      </c>
      <c r="D204" t="s">
        <v>9</v>
      </c>
      <c r="E204" t="s">
        <v>8</v>
      </c>
      <c r="F204">
        <v>3</v>
      </c>
      <c r="G204">
        <v>3</v>
      </c>
      <c r="H204" t="s">
        <v>99</v>
      </c>
      <c r="I204" t="s">
        <v>1130</v>
      </c>
    </row>
    <row r="205" spans="1:9" x14ac:dyDescent="0.2">
      <c r="A205" t="s">
        <v>895</v>
      </c>
      <c r="B205">
        <v>28</v>
      </c>
      <c r="C205" t="s">
        <v>8</v>
      </c>
      <c r="D205" t="s">
        <v>9</v>
      </c>
      <c r="E205" t="s">
        <v>9</v>
      </c>
      <c r="F205">
        <v>1</v>
      </c>
      <c r="G205">
        <v>4</v>
      </c>
      <c r="H205" t="s">
        <v>99</v>
      </c>
      <c r="I205" t="s">
        <v>1130</v>
      </c>
    </row>
    <row r="206" spans="1:9" x14ac:dyDescent="0.2">
      <c r="A206" t="s">
        <v>894</v>
      </c>
      <c r="B206">
        <v>29</v>
      </c>
      <c r="C206" t="s">
        <v>8</v>
      </c>
      <c r="D206" t="s">
        <v>9</v>
      </c>
      <c r="E206" t="s">
        <v>8</v>
      </c>
      <c r="F206">
        <v>3</v>
      </c>
      <c r="G206">
        <v>4</v>
      </c>
      <c r="H206" t="s">
        <v>99</v>
      </c>
      <c r="I206" t="s">
        <v>1130</v>
      </c>
    </row>
    <row r="207" spans="1:9" x14ac:dyDescent="0.2">
      <c r="A207" t="s">
        <v>893</v>
      </c>
      <c r="B207">
        <v>30</v>
      </c>
      <c r="C207" t="s">
        <v>8</v>
      </c>
      <c r="D207" t="s">
        <v>9</v>
      </c>
      <c r="E207" t="s">
        <v>9</v>
      </c>
      <c r="F207">
        <v>3</v>
      </c>
      <c r="G207">
        <v>4</v>
      </c>
      <c r="H207" t="s">
        <v>99</v>
      </c>
      <c r="I207" t="s">
        <v>1130</v>
      </c>
    </row>
    <row r="208" spans="1:9" x14ac:dyDescent="0.2">
      <c r="A208" t="s">
        <v>892</v>
      </c>
      <c r="B208">
        <v>31</v>
      </c>
      <c r="C208" t="s">
        <v>9</v>
      </c>
      <c r="D208" t="s">
        <v>9</v>
      </c>
      <c r="E208" t="s">
        <v>9</v>
      </c>
      <c r="F208">
        <v>4</v>
      </c>
      <c r="G208">
        <v>4</v>
      </c>
      <c r="H208" t="s">
        <v>99</v>
      </c>
      <c r="I208" t="s">
        <v>1130</v>
      </c>
    </row>
    <row r="209" spans="1:9" x14ac:dyDescent="0.2">
      <c r="A209" t="s">
        <v>891</v>
      </c>
      <c r="B209">
        <v>32</v>
      </c>
      <c r="C209" t="s">
        <v>9</v>
      </c>
      <c r="D209" t="s">
        <v>9</v>
      </c>
      <c r="E209" t="s">
        <v>8</v>
      </c>
      <c r="F209">
        <v>2</v>
      </c>
      <c r="G209">
        <v>5</v>
      </c>
      <c r="H209" t="s">
        <v>99</v>
      </c>
      <c r="I209" t="s">
        <v>1130</v>
      </c>
    </row>
    <row r="210" spans="1:9" x14ac:dyDescent="0.2">
      <c r="A210" t="s">
        <v>890</v>
      </c>
      <c r="B210">
        <v>33</v>
      </c>
      <c r="C210" t="s">
        <v>9</v>
      </c>
      <c r="D210" t="s">
        <v>9</v>
      </c>
      <c r="E210" t="s">
        <v>9</v>
      </c>
      <c r="F210">
        <v>2</v>
      </c>
      <c r="G210">
        <v>5</v>
      </c>
      <c r="H210" t="s">
        <v>99</v>
      </c>
      <c r="I210" t="s">
        <v>1130</v>
      </c>
    </row>
    <row r="211" spans="1:9" x14ac:dyDescent="0.2">
      <c r="A211" t="s">
        <v>889</v>
      </c>
      <c r="B211">
        <v>34</v>
      </c>
      <c r="C211" t="s">
        <v>9</v>
      </c>
      <c r="D211" t="s">
        <v>9</v>
      </c>
      <c r="E211" t="s">
        <v>8</v>
      </c>
      <c r="F211">
        <v>3</v>
      </c>
      <c r="G211">
        <v>5</v>
      </c>
      <c r="H211" t="s">
        <v>99</v>
      </c>
      <c r="I211" t="s">
        <v>1130</v>
      </c>
    </row>
    <row r="212" spans="1:9" x14ac:dyDescent="0.2">
      <c r="A212" t="s">
        <v>888</v>
      </c>
      <c r="B212">
        <v>35</v>
      </c>
      <c r="C212" t="s">
        <v>9</v>
      </c>
      <c r="D212" t="s">
        <v>9</v>
      </c>
      <c r="E212" t="s">
        <v>9</v>
      </c>
      <c r="F212">
        <v>4</v>
      </c>
      <c r="G212">
        <v>5</v>
      </c>
      <c r="H212" t="s">
        <v>99</v>
      </c>
      <c r="I212" t="s">
        <v>1130</v>
      </c>
    </row>
    <row r="213" spans="1:9" x14ac:dyDescent="0.2">
      <c r="A213" t="s">
        <v>887</v>
      </c>
      <c r="B213">
        <v>36</v>
      </c>
      <c r="C213" t="s">
        <v>8</v>
      </c>
      <c r="D213" t="s">
        <v>9</v>
      </c>
      <c r="E213" t="s">
        <v>8</v>
      </c>
      <c r="F213">
        <v>4</v>
      </c>
      <c r="G213">
        <v>4</v>
      </c>
      <c r="H213" t="s">
        <v>99</v>
      </c>
      <c r="I213" t="s">
        <v>1130</v>
      </c>
    </row>
    <row r="214" spans="1:9" x14ac:dyDescent="0.2">
      <c r="A214" t="s">
        <v>886</v>
      </c>
      <c r="B214">
        <v>37</v>
      </c>
      <c r="C214" t="s">
        <v>8</v>
      </c>
      <c r="D214" t="s">
        <v>9</v>
      </c>
      <c r="E214" t="s">
        <v>8</v>
      </c>
      <c r="F214">
        <v>1</v>
      </c>
      <c r="G214">
        <v>5</v>
      </c>
      <c r="H214" t="s">
        <v>99</v>
      </c>
      <c r="I214" t="s">
        <v>1130</v>
      </c>
    </row>
    <row r="215" spans="1:9" x14ac:dyDescent="0.2">
      <c r="A215" t="s">
        <v>885</v>
      </c>
      <c r="B215">
        <v>38</v>
      </c>
      <c r="C215" t="s">
        <v>8</v>
      </c>
      <c r="D215" t="s">
        <v>9</v>
      </c>
      <c r="E215" t="s">
        <v>9</v>
      </c>
      <c r="F215">
        <v>1</v>
      </c>
      <c r="G215">
        <v>5</v>
      </c>
      <c r="H215" t="s">
        <v>99</v>
      </c>
      <c r="I215" t="s">
        <v>1130</v>
      </c>
    </row>
    <row r="216" spans="1:9" x14ac:dyDescent="0.2">
      <c r="A216" t="s">
        <v>884</v>
      </c>
      <c r="B216">
        <v>39</v>
      </c>
      <c r="C216" t="s">
        <v>8</v>
      </c>
      <c r="D216" t="s">
        <v>9</v>
      </c>
      <c r="E216" t="s">
        <v>8</v>
      </c>
      <c r="F216">
        <v>3</v>
      </c>
      <c r="G216">
        <v>5</v>
      </c>
      <c r="H216" t="s">
        <v>99</v>
      </c>
      <c r="I216" t="s">
        <v>1130</v>
      </c>
    </row>
    <row r="217" spans="1:9" x14ac:dyDescent="0.2">
      <c r="A217" t="s">
        <v>883</v>
      </c>
      <c r="B217">
        <v>40</v>
      </c>
      <c r="C217" t="s">
        <v>8</v>
      </c>
      <c r="D217" t="s">
        <v>9</v>
      </c>
      <c r="E217" t="s">
        <v>9</v>
      </c>
      <c r="F217">
        <v>3</v>
      </c>
      <c r="G217">
        <v>5</v>
      </c>
      <c r="H217" t="s">
        <v>99</v>
      </c>
      <c r="I217" t="s">
        <v>1130</v>
      </c>
    </row>
    <row r="218" spans="1:9" x14ac:dyDescent="0.2">
      <c r="A218" t="s">
        <v>882</v>
      </c>
      <c r="B218">
        <v>41</v>
      </c>
      <c r="C218" t="s">
        <v>9</v>
      </c>
      <c r="D218" t="s">
        <v>8</v>
      </c>
      <c r="E218" t="s">
        <v>8</v>
      </c>
      <c r="F218">
        <v>1</v>
      </c>
      <c r="G218">
        <v>1</v>
      </c>
      <c r="H218" t="s">
        <v>99</v>
      </c>
      <c r="I218" t="s">
        <v>1130</v>
      </c>
    </row>
    <row r="219" spans="1:9" x14ac:dyDescent="0.2">
      <c r="A219" t="s">
        <v>881</v>
      </c>
      <c r="B219">
        <v>42</v>
      </c>
      <c r="C219" t="s">
        <v>9</v>
      </c>
      <c r="D219" t="s">
        <v>8</v>
      </c>
      <c r="E219" t="s">
        <v>8</v>
      </c>
      <c r="F219">
        <v>2</v>
      </c>
      <c r="G219">
        <v>1</v>
      </c>
      <c r="H219" t="s">
        <v>99</v>
      </c>
      <c r="I219" t="s">
        <v>1130</v>
      </c>
    </row>
    <row r="220" spans="1:9" x14ac:dyDescent="0.2">
      <c r="A220" t="s">
        <v>880</v>
      </c>
      <c r="B220">
        <v>43</v>
      </c>
      <c r="C220" t="s">
        <v>9</v>
      </c>
      <c r="D220" t="s">
        <v>8</v>
      </c>
      <c r="E220" t="s">
        <v>9</v>
      </c>
      <c r="F220">
        <v>4</v>
      </c>
      <c r="G220">
        <v>1</v>
      </c>
      <c r="H220" t="s">
        <v>99</v>
      </c>
      <c r="I220" t="s">
        <v>1130</v>
      </c>
    </row>
    <row r="221" spans="1:9" x14ac:dyDescent="0.2">
      <c r="A221" t="s">
        <v>879</v>
      </c>
      <c r="B221">
        <v>44</v>
      </c>
      <c r="C221" t="s">
        <v>9</v>
      </c>
      <c r="D221" t="s">
        <v>8</v>
      </c>
      <c r="E221" t="s">
        <v>9</v>
      </c>
      <c r="F221">
        <v>4</v>
      </c>
      <c r="G221">
        <v>1</v>
      </c>
      <c r="H221" t="s">
        <v>99</v>
      </c>
      <c r="I221" t="s">
        <v>1130</v>
      </c>
    </row>
    <row r="222" spans="1:9" x14ac:dyDescent="0.2">
      <c r="A222" t="s">
        <v>878</v>
      </c>
      <c r="B222">
        <v>45</v>
      </c>
      <c r="C222" t="s">
        <v>9</v>
      </c>
      <c r="D222" t="s">
        <v>8</v>
      </c>
      <c r="E222" t="s">
        <v>9</v>
      </c>
      <c r="F222">
        <v>1</v>
      </c>
      <c r="G222">
        <v>2</v>
      </c>
      <c r="H222" t="s">
        <v>99</v>
      </c>
      <c r="I222" t="s">
        <v>1130</v>
      </c>
    </row>
    <row r="223" spans="1:9" x14ac:dyDescent="0.2">
      <c r="A223" t="s">
        <v>877</v>
      </c>
      <c r="B223">
        <v>46</v>
      </c>
      <c r="C223" t="s">
        <v>8</v>
      </c>
      <c r="D223" t="s">
        <v>8</v>
      </c>
      <c r="E223" t="s">
        <v>8</v>
      </c>
      <c r="F223">
        <v>1</v>
      </c>
      <c r="G223">
        <v>1</v>
      </c>
      <c r="H223" t="s">
        <v>99</v>
      </c>
      <c r="I223" t="s">
        <v>1130</v>
      </c>
    </row>
    <row r="224" spans="1:9" x14ac:dyDescent="0.2">
      <c r="A224" t="s">
        <v>876</v>
      </c>
      <c r="B224">
        <v>47</v>
      </c>
      <c r="C224" t="s">
        <v>8</v>
      </c>
      <c r="D224" t="s">
        <v>8</v>
      </c>
      <c r="E224" t="s">
        <v>8</v>
      </c>
      <c r="F224">
        <v>2</v>
      </c>
      <c r="G224">
        <v>1</v>
      </c>
      <c r="H224" t="s">
        <v>99</v>
      </c>
      <c r="I224" t="s">
        <v>1130</v>
      </c>
    </row>
    <row r="225" spans="1:9" x14ac:dyDescent="0.2">
      <c r="A225" t="s">
        <v>875</v>
      </c>
      <c r="B225">
        <v>48</v>
      </c>
      <c r="C225" t="s">
        <v>8</v>
      </c>
      <c r="D225" t="s">
        <v>8</v>
      </c>
      <c r="E225" t="s">
        <v>9</v>
      </c>
      <c r="F225">
        <v>2</v>
      </c>
      <c r="G225">
        <v>1</v>
      </c>
      <c r="H225" t="s">
        <v>99</v>
      </c>
      <c r="I225" t="s">
        <v>1130</v>
      </c>
    </row>
    <row r="226" spans="1:9" x14ac:dyDescent="0.2">
      <c r="A226" t="s">
        <v>874</v>
      </c>
      <c r="B226">
        <v>49</v>
      </c>
      <c r="C226" t="s">
        <v>8</v>
      </c>
      <c r="D226" t="s">
        <v>8</v>
      </c>
      <c r="E226" t="s">
        <v>9</v>
      </c>
      <c r="F226">
        <v>3</v>
      </c>
      <c r="G226">
        <v>1</v>
      </c>
      <c r="H226" t="s">
        <v>99</v>
      </c>
      <c r="I226" t="s">
        <v>1130</v>
      </c>
    </row>
    <row r="227" spans="1:9" x14ac:dyDescent="0.2">
      <c r="A227" t="s">
        <v>873</v>
      </c>
      <c r="B227">
        <v>50</v>
      </c>
      <c r="C227" t="s">
        <v>8</v>
      </c>
      <c r="D227" t="s">
        <v>8</v>
      </c>
      <c r="E227" t="s">
        <v>9</v>
      </c>
      <c r="F227">
        <v>1</v>
      </c>
      <c r="G227">
        <v>2</v>
      </c>
      <c r="H227" t="s">
        <v>99</v>
      </c>
      <c r="I227" t="s">
        <v>1130</v>
      </c>
    </row>
    <row r="228" spans="1:9" x14ac:dyDescent="0.2">
      <c r="A228" t="s">
        <v>872</v>
      </c>
      <c r="B228">
        <v>51</v>
      </c>
      <c r="C228" t="s">
        <v>9</v>
      </c>
      <c r="D228" t="s">
        <v>8</v>
      </c>
      <c r="E228" t="s">
        <v>9</v>
      </c>
      <c r="F228">
        <v>2</v>
      </c>
      <c r="G228">
        <v>2</v>
      </c>
      <c r="H228" t="s">
        <v>99</v>
      </c>
      <c r="I228" t="s">
        <v>1130</v>
      </c>
    </row>
    <row r="229" spans="1:9" x14ac:dyDescent="0.2">
      <c r="A229" t="s">
        <v>871</v>
      </c>
      <c r="B229">
        <v>52</v>
      </c>
      <c r="C229" t="s">
        <v>9</v>
      </c>
      <c r="D229" t="s">
        <v>8</v>
      </c>
      <c r="E229" t="s">
        <v>8</v>
      </c>
      <c r="F229">
        <v>3</v>
      </c>
      <c r="G229">
        <v>2</v>
      </c>
      <c r="H229" t="s">
        <v>99</v>
      </c>
      <c r="I229" t="s">
        <v>1130</v>
      </c>
    </row>
    <row r="230" spans="1:9" x14ac:dyDescent="0.2">
      <c r="A230" t="s">
        <v>870</v>
      </c>
      <c r="B230">
        <v>53</v>
      </c>
      <c r="C230" t="s">
        <v>9</v>
      </c>
      <c r="D230" t="s">
        <v>8</v>
      </c>
      <c r="E230" t="s">
        <v>8</v>
      </c>
      <c r="F230">
        <v>3</v>
      </c>
      <c r="G230">
        <v>2</v>
      </c>
      <c r="H230" t="s">
        <v>99</v>
      </c>
      <c r="I230" t="s">
        <v>1130</v>
      </c>
    </row>
    <row r="231" spans="1:9" x14ac:dyDescent="0.2">
      <c r="A231" t="s">
        <v>869</v>
      </c>
      <c r="B231">
        <v>54</v>
      </c>
      <c r="C231" t="s">
        <v>9</v>
      </c>
      <c r="D231" t="s">
        <v>8</v>
      </c>
      <c r="E231" t="s">
        <v>9</v>
      </c>
      <c r="F231">
        <v>1</v>
      </c>
      <c r="G231">
        <v>3</v>
      </c>
      <c r="H231" t="s">
        <v>99</v>
      </c>
      <c r="I231" t="s">
        <v>1130</v>
      </c>
    </row>
    <row r="232" spans="1:9" x14ac:dyDescent="0.2">
      <c r="A232" t="s">
        <v>868</v>
      </c>
      <c r="B232">
        <v>55</v>
      </c>
      <c r="C232" t="s">
        <v>9</v>
      </c>
      <c r="D232" t="s">
        <v>8</v>
      </c>
      <c r="E232" t="s">
        <v>8</v>
      </c>
      <c r="F232">
        <v>1</v>
      </c>
      <c r="G232">
        <v>3</v>
      </c>
      <c r="H232" t="s">
        <v>99</v>
      </c>
      <c r="I232" t="s">
        <v>1130</v>
      </c>
    </row>
    <row r="233" spans="1:9" x14ac:dyDescent="0.2">
      <c r="A233" t="s">
        <v>867</v>
      </c>
      <c r="B233">
        <v>56</v>
      </c>
      <c r="C233" t="s">
        <v>8</v>
      </c>
      <c r="D233" t="s">
        <v>8</v>
      </c>
      <c r="E233" t="s">
        <v>8</v>
      </c>
      <c r="F233">
        <v>2</v>
      </c>
      <c r="G233">
        <v>2</v>
      </c>
      <c r="H233" t="s">
        <v>99</v>
      </c>
      <c r="I233" t="s">
        <v>1130</v>
      </c>
    </row>
    <row r="234" spans="1:9" x14ac:dyDescent="0.2">
      <c r="A234" t="s">
        <v>866</v>
      </c>
      <c r="B234">
        <v>57</v>
      </c>
      <c r="C234" t="s">
        <v>8</v>
      </c>
      <c r="D234" t="s">
        <v>8</v>
      </c>
      <c r="E234" t="s">
        <v>9</v>
      </c>
      <c r="F234">
        <v>4</v>
      </c>
      <c r="G234">
        <v>2</v>
      </c>
      <c r="H234" t="s">
        <v>99</v>
      </c>
      <c r="I234" t="s">
        <v>1130</v>
      </c>
    </row>
    <row r="235" spans="1:9" x14ac:dyDescent="0.2">
      <c r="A235" t="s">
        <v>865</v>
      </c>
      <c r="B235">
        <v>58</v>
      </c>
      <c r="C235" t="s">
        <v>8</v>
      </c>
      <c r="D235" t="s">
        <v>8</v>
      </c>
      <c r="E235" t="s">
        <v>8</v>
      </c>
      <c r="F235">
        <v>4</v>
      </c>
      <c r="G235">
        <v>2</v>
      </c>
      <c r="H235" t="s">
        <v>99</v>
      </c>
      <c r="I235" t="s">
        <v>1130</v>
      </c>
    </row>
    <row r="236" spans="1:9" x14ac:dyDescent="0.2">
      <c r="A236" t="s">
        <v>864</v>
      </c>
      <c r="B236">
        <v>59</v>
      </c>
      <c r="C236" t="s">
        <v>8</v>
      </c>
      <c r="D236" t="s">
        <v>8</v>
      </c>
      <c r="E236" t="s">
        <v>8</v>
      </c>
      <c r="F236">
        <v>2</v>
      </c>
      <c r="G236">
        <v>3</v>
      </c>
      <c r="H236" t="s">
        <v>99</v>
      </c>
      <c r="I236" t="s">
        <v>1130</v>
      </c>
    </row>
    <row r="237" spans="1:9" x14ac:dyDescent="0.2">
      <c r="A237" t="s">
        <v>863</v>
      </c>
      <c r="B237">
        <v>60</v>
      </c>
      <c r="C237" t="s">
        <v>8</v>
      </c>
      <c r="D237" t="s">
        <v>8</v>
      </c>
      <c r="E237" t="s">
        <v>8</v>
      </c>
      <c r="F237">
        <v>3</v>
      </c>
      <c r="G237">
        <v>3</v>
      </c>
      <c r="H237" t="s">
        <v>99</v>
      </c>
      <c r="I237" t="s">
        <v>1130</v>
      </c>
    </row>
    <row r="238" spans="1:9" x14ac:dyDescent="0.2">
      <c r="A238" t="s">
        <v>862</v>
      </c>
      <c r="B238">
        <v>61</v>
      </c>
      <c r="C238" t="s">
        <v>9</v>
      </c>
      <c r="D238" t="s">
        <v>8</v>
      </c>
      <c r="E238" t="s">
        <v>8</v>
      </c>
      <c r="F238">
        <v>4</v>
      </c>
      <c r="G238">
        <v>3</v>
      </c>
      <c r="H238" t="s">
        <v>99</v>
      </c>
      <c r="I238" t="s">
        <v>1130</v>
      </c>
    </row>
    <row r="239" spans="1:9" x14ac:dyDescent="0.2">
      <c r="A239" t="s">
        <v>861</v>
      </c>
      <c r="B239">
        <v>62</v>
      </c>
      <c r="C239" t="s">
        <v>9</v>
      </c>
      <c r="D239" t="s">
        <v>8</v>
      </c>
      <c r="E239" t="s">
        <v>9</v>
      </c>
      <c r="F239">
        <v>4</v>
      </c>
      <c r="G239">
        <v>3</v>
      </c>
      <c r="H239" t="s">
        <v>99</v>
      </c>
      <c r="I239" t="s">
        <v>1130</v>
      </c>
    </row>
    <row r="240" spans="1:9" x14ac:dyDescent="0.2">
      <c r="A240" t="s">
        <v>860</v>
      </c>
      <c r="B240">
        <v>63</v>
      </c>
      <c r="C240" t="s">
        <v>9</v>
      </c>
      <c r="D240" t="s">
        <v>8</v>
      </c>
      <c r="E240" t="s">
        <v>8</v>
      </c>
      <c r="F240">
        <v>1</v>
      </c>
      <c r="G240">
        <v>4</v>
      </c>
      <c r="H240" t="s">
        <v>99</v>
      </c>
      <c r="I240" t="s">
        <v>1130</v>
      </c>
    </row>
    <row r="241" spans="1:9" x14ac:dyDescent="0.2">
      <c r="A241" t="s">
        <v>859</v>
      </c>
      <c r="B241">
        <v>64</v>
      </c>
      <c r="C241" t="s">
        <v>9</v>
      </c>
      <c r="D241" t="s">
        <v>8</v>
      </c>
      <c r="E241" t="s">
        <v>8</v>
      </c>
      <c r="F241">
        <v>2</v>
      </c>
      <c r="G241">
        <v>4</v>
      </c>
      <c r="H241" t="s">
        <v>99</v>
      </c>
      <c r="I241" t="s">
        <v>1130</v>
      </c>
    </row>
    <row r="242" spans="1:9" x14ac:dyDescent="0.2">
      <c r="A242" t="s">
        <v>858</v>
      </c>
      <c r="B242">
        <v>65</v>
      </c>
      <c r="C242" t="s">
        <v>9</v>
      </c>
      <c r="D242" t="s">
        <v>8</v>
      </c>
      <c r="E242" t="s">
        <v>9</v>
      </c>
      <c r="F242">
        <v>2</v>
      </c>
      <c r="G242">
        <v>4</v>
      </c>
      <c r="H242" t="s">
        <v>99</v>
      </c>
      <c r="I242" t="s">
        <v>1130</v>
      </c>
    </row>
    <row r="243" spans="1:9" x14ac:dyDescent="0.2">
      <c r="A243" t="s">
        <v>857</v>
      </c>
      <c r="B243">
        <v>66</v>
      </c>
      <c r="C243" t="s">
        <v>8</v>
      </c>
      <c r="D243" t="s">
        <v>8</v>
      </c>
      <c r="E243" t="s">
        <v>9</v>
      </c>
      <c r="F243">
        <v>4</v>
      </c>
      <c r="G243">
        <v>3</v>
      </c>
      <c r="H243" t="s">
        <v>99</v>
      </c>
      <c r="I243" t="s">
        <v>1130</v>
      </c>
    </row>
    <row r="244" spans="1:9" x14ac:dyDescent="0.2">
      <c r="A244" t="s">
        <v>856</v>
      </c>
      <c r="B244">
        <v>67</v>
      </c>
      <c r="C244" t="s">
        <v>8</v>
      </c>
      <c r="D244" t="s">
        <v>8</v>
      </c>
      <c r="E244" t="s">
        <v>9</v>
      </c>
      <c r="F244">
        <v>4</v>
      </c>
      <c r="G244">
        <v>3</v>
      </c>
      <c r="H244" t="s">
        <v>99</v>
      </c>
      <c r="I244" t="s">
        <v>1130</v>
      </c>
    </row>
    <row r="245" spans="1:9" x14ac:dyDescent="0.2">
      <c r="A245" t="s">
        <v>855</v>
      </c>
      <c r="B245">
        <v>68</v>
      </c>
      <c r="C245" t="s">
        <v>8</v>
      </c>
      <c r="D245" t="s">
        <v>8</v>
      </c>
      <c r="E245" t="s">
        <v>9</v>
      </c>
      <c r="F245">
        <v>1</v>
      </c>
      <c r="G245">
        <v>4</v>
      </c>
      <c r="H245" t="s">
        <v>99</v>
      </c>
      <c r="I245" t="s">
        <v>1130</v>
      </c>
    </row>
    <row r="246" spans="1:9" x14ac:dyDescent="0.2">
      <c r="A246" t="s">
        <v>854</v>
      </c>
      <c r="B246">
        <v>69</v>
      </c>
      <c r="C246" t="s">
        <v>8</v>
      </c>
      <c r="D246" t="s">
        <v>8</v>
      </c>
      <c r="E246" t="s">
        <v>8</v>
      </c>
      <c r="F246">
        <v>1</v>
      </c>
      <c r="G246">
        <v>4</v>
      </c>
      <c r="H246" t="s">
        <v>99</v>
      </c>
      <c r="I246" t="s">
        <v>1130</v>
      </c>
    </row>
    <row r="247" spans="1:9" x14ac:dyDescent="0.2">
      <c r="A247" t="s">
        <v>853</v>
      </c>
      <c r="B247">
        <v>70</v>
      </c>
      <c r="C247" t="s">
        <v>8</v>
      </c>
      <c r="D247" t="s">
        <v>8</v>
      </c>
      <c r="E247" t="s">
        <v>9</v>
      </c>
      <c r="F247">
        <v>3</v>
      </c>
      <c r="G247">
        <v>4</v>
      </c>
      <c r="H247" t="s">
        <v>99</v>
      </c>
      <c r="I247" t="s">
        <v>1130</v>
      </c>
    </row>
    <row r="248" spans="1:9" x14ac:dyDescent="0.2">
      <c r="A248" t="s">
        <v>852</v>
      </c>
      <c r="B248">
        <v>71</v>
      </c>
      <c r="C248" t="s">
        <v>9</v>
      </c>
      <c r="D248" t="s">
        <v>8</v>
      </c>
      <c r="E248" t="s">
        <v>9</v>
      </c>
      <c r="F248">
        <v>4</v>
      </c>
      <c r="G248">
        <v>4</v>
      </c>
      <c r="H248" t="s">
        <v>99</v>
      </c>
      <c r="I248" t="s">
        <v>1130</v>
      </c>
    </row>
    <row r="249" spans="1:9" x14ac:dyDescent="0.2">
      <c r="A249" t="s">
        <v>851</v>
      </c>
      <c r="B249">
        <v>72</v>
      </c>
      <c r="C249" t="s">
        <v>9</v>
      </c>
      <c r="D249" t="s">
        <v>8</v>
      </c>
      <c r="E249" t="s">
        <v>8</v>
      </c>
      <c r="F249">
        <v>2</v>
      </c>
      <c r="G249">
        <v>5</v>
      </c>
      <c r="H249" t="s">
        <v>99</v>
      </c>
      <c r="I249" t="s">
        <v>1130</v>
      </c>
    </row>
    <row r="250" spans="1:9" x14ac:dyDescent="0.2">
      <c r="A250" t="s">
        <v>850</v>
      </c>
      <c r="B250">
        <v>73</v>
      </c>
      <c r="C250" t="s">
        <v>9</v>
      </c>
      <c r="D250" t="s">
        <v>8</v>
      </c>
      <c r="E250" t="s">
        <v>9</v>
      </c>
      <c r="F250">
        <v>4</v>
      </c>
      <c r="G250">
        <v>5</v>
      </c>
      <c r="H250" t="s">
        <v>99</v>
      </c>
      <c r="I250" t="s">
        <v>1130</v>
      </c>
    </row>
    <row r="251" spans="1:9" x14ac:dyDescent="0.2">
      <c r="A251" t="s">
        <v>849</v>
      </c>
      <c r="B251">
        <v>74</v>
      </c>
      <c r="C251" t="s">
        <v>9</v>
      </c>
      <c r="D251" t="s">
        <v>8</v>
      </c>
      <c r="E251" t="s">
        <v>9</v>
      </c>
      <c r="F251">
        <v>4</v>
      </c>
      <c r="G251">
        <v>5</v>
      </c>
      <c r="H251" t="s">
        <v>99</v>
      </c>
      <c r="I251" t="s">
        <v>1130</v>
      </c>
    </row>
    <row r="252" spans="1:9" x14ac:dyDescent="0.2">
      <c r="A252" t="s">
        <v>848</v>
      </c>
      <c r="B252">
        <v>75</v>
      </c>
      <c r="C252" t="s">
        <v>9</v>
      </c>
      <c r="D252" t="s">
        <v>8</v>
      </c>
      <c r="E252" t="s">
        <v>8</v>
      </c>
      <c r="F252">
        <v>4</v>
      </c>
      <c r="G252">
        <v>5</v>
      </c>
      <c r="H252" t="s">
        <v>99</v>
      </c>
      <c r="I252" t="s">
        <v>1130</v>
      </c>
    </row>
    <row r="253" spans="1:9" x14ac:dyDescent="0.2">
      <c r="A253" t="s">
        <v>847</v>
      </c>
      <c r="B253">
        <v>76</v>
      </c>
      <c r="C253" t="s">
        <v>8</v>
      </c>
      <c r="D253" t="s">
        <v>8</v>
      </c>
      <c r="E253" t="s">
        <v>8</v>
      </c>
      <c r="F253">
        <v>4</v>
      </c>
      <c r="G253">
        <v>4</v>
      </c>
      <c r="H253" t="s">
        <v>99</v>
      </c>
      <c r="I253" t="s">
        <v>1130</v>
      </c>
    </row>
    <row r="254" spans="1:9" x14ac:dyDescent="0.2">
      <c r="A254" t="s">
        <v>846</v>
      </c>
      <c r="B254">
        <v>77</v>
      </c>
      <c r="C254" t="s">
        <v>8</v>
      </c>
      <c r="D254" t="s">
        <v>8</v>
      </c>
      <c r="E254" t="s">
        <v>8</v>
      </c>
      <c r="F254">
        <v>1</v>
      </c>
      <c r="G254">
        <v>5</v>
      </c>
      <c r="H254" t="s">
        <v>99</v>
      </c>
      <c r="I254" t="s">
        <v>1130</v>
      </c>
    </row>
    <row r="255" spans="1:9" x14ac:dyDescent="0.2">
      <c r="A255" t="s">
        <v>845</v>
      </c>
      <c r="B255">
        <v>78</v>
      </c>
      <c r="C255" t="s">
        <v>8</v>
      </c>
      <c r="D255" t="s">
        <v>8</v>
      </c>
      <c r="E255" t="s">
        <v>8</v>
      </c>
      <c r="F255">
        <v>1</v>
      </c>
      <c r="G255">
        <v>5</v>
      </c>
      <c r="H255" t="s">
        <v>99</v>
      </c>
      <c r="I255" t="s">
        <v>1130</v>
      </c>
    </row>
    <row r="256" spans="1:9" x14ac:dyDescent="0.2">
      <c r="A256" t="s">
        <v>844</v>
      </c>
      <c r="B256">
        <v>79</v>
      </c>
      <c r="C256" t="s">
        <v>8</v>
      </c>
      <c r="D256" t="s">
        <v>8</v>
      </c>
      <c r="E256" t="s">
        <v>9</v>
      </c>
      <c r="F256">
        <v>2</v>
      </c>
      <c r="G256">
        <v>5</v>
      </c>
      <c r="H256" t="s">
        <v>99</v>
      </c>
      <c r="I256" t="s">
        <v>1130</v>
      </c>
    </row>
    <row r="257" spans="1:9" x14ac:dyDescent="0.2">
      <c r="A257" t="s">
        <v>843</v>
      </c>
      <c r="B257">
        <v>80</v>
      </c>
      <c r="C257" t="s">
        <v>8</v>
      </c>
      <c r="D257" t="s">
        <v>8</v>
      </c>
      <c r="E257" t="s">
        <v>9</v>
      </c>
      <c r="F257">
        <v>3</v>
      </c>
      <c r="G257">
        <v>5</v>
      </c>
      <c r="H257" t="s">
        <v>99</v>
      </c>
      <c r="I257" t="s">
        <v>1130</v>
      </c>
    </row>
    <row r="258" spans="1:9" x14ac:dyDescent="0.2">
      <c r="A258" t="s">
        <v>842</v>
      </c>
      <c r="B258">
        <v>1</v>
      </c>
      <c r="C258" t="s">
        <v>9</v>
      </c>
      <c r="D258" t="s">
        <v>9</v>
      </c>
      <c r="E258" t="s">
        <v>9</v>
      </c>
      <c r="F258">
        <v>1</v>
      </c>
      <c r="G258">
        <v>1</v>
      </c>
      <c r="H258" t="s">
        <v>16</v>
      </c>
      <c r="I258" t="s">
        <v>1130</v>
      </c>
    </row>
    <row r="259" spans="1:9" x14ac:dyDescent="0.2">
      <c r="A259" t="s">
        <v>841</v>
      </c>
      <c r="B259">
        <v>2</v>
      </c>
      <c r="C259" t="s">
        <v>9</v>
      </c>
      <c r="D259" t="s">
        <v>9</v>
      </c>
      <c r="E259" t="s">
        <v>8</v>
      </c>
      <c r="F259">
        <v>2</v>
      </c>
      <c r="G259">
        <v>1</v>
      </c>
      <c r="H259" t="s">
        <v>16</v>
      </c>
      <c r="I259" t="s">
        <v>1130</v>
      </c>
    </row>
    <row r="260" spans="1:9" x14ac:dyDescent="0.2">
      <c r="A260" t="s">
        <v>840</v>
      </c>
      <c r="B260">
        <v>3</v>
      </c>
      <c r="C260" t="s">
        <v>9</v>
      </c>
      <c r="D260" t="s">
        <v>9</v>
      </c>
      <c r="E260" t="s">
        <v>9</v>
      </c>
      <c r="F260">
        <v>3</v>
      </c>
      <c r="G260">
        <v>1</v>
      </c>
      <c r="H260" t="s">
        <v>16</v>
      </c>
      <c r="I260" t="s">
        <v>1130</v>
      </c>
    </row>
    <row r="261" spans="1:9" x14ac:dyDescent="0.2">
      <c r="A261" t="s">
        <v>839</v>
      </c>
      <c r="B261">
        <v>4</v>
      </c>
      <c r="C261" t="s">
        <v>9</v>
      </c>
      <c r="D261" t="s">
        <v>9</v>
      </c>
      <c r="E261" t="s">
        <v>8</v>
      </c>
      <c r="F261">
        <v>4</v>
      </c>
      <c r="G261">
        <v>1</v>
      </c>
      <c r="H261" t="s">
        <v>16</v>
      </c>
      <c r="I261" t="s">
        <v>1130</v>
      </c>
    </row>
    <row r="262" spans="1:9" x14ac:dyDescent="0.2">
      <c r="A262" t="s">
        <v>838</v>
      </c>
      <c r="B262">
        <v>5</v>
      </c>
      <c r="C262" t="s">
        <v>9</v>
      </c>
      <c r="D262" t="s">
        <v>9</v>
      </c>
      <c r="E262" t="s">
        <v>9</v>
      </c>
      <c r="F262">
        <v>1</v>
      </c>
      <c r="G262">
        <v>2</v>
      </c>
      <c r="H262" t="s">
        <v>16</v>
      </c>
      <c r="I262" t="s">
        <v>1130</v>
      </c>
    </row>
    <row r="263" spans="1:9" x14ac:dyDescent="0.2">
      <c r="A263" t="s">
        <v>837</v>
      </c>
      <c r="B263">
        <v>6</v>
      </c>
      <c r="C263" t="s">
        <v>8</v>
      </c>
      <c r="D263" t="s">
        <v>9</v>
      </c>
      <c r="E263" t="s">
        <v>9</v>
      </c>
      <c r="F263">
        <v>1</v>
      </c>
      <c r="G263">
        <v>1</v>
      </c>
      <c r="H263" t="s">
        <v>16</v>
      </c>
      <c r="I263" t="s">
        <v>1130</v>
      </c>
    </row>
    <row r="264" spans="1:9" x14ac:dyDescent="0.2">
      <c r="A264" t="s">
        <v>836</v>
      </c>
      <c r="B264">
        <v>7</v>
      </c>
      <c r="C264" t="s">
        <v>8</v>
      </c>
      <c r="D264" t="s">
        <v>9</v>
      </c>
      <c r="E264" t="s">
        <v>8</v>
      </c>
      <c r="F264">
        <v>3</v>
      </c>
      <c r="G264">
        <v>1</v>
      </c>
      <c r="H264" t="s">
        <v>16</v>
      </c>
      <c r="I264" t="s">
        <v>1130</v>
      </c>
    </row>
    <row r="265" spans="1:9" x14ac:dyDescent="0.2">
      <c r="A265" t="s">
        <v>835</v>
      </c>
      <c r="B265">
        <v>8</v>
      </c>
      <c r="C265" t="s">
        <v>8</v>
      </c>
      <c r="D265" t="s">
        <v>9</v>
      </c>
      <c r="E265" t="s">
        <v>9</v>
      </c>
      <c r="F265">
        <v>3</v>
      </c>
      <c r="G265">
        <v>1</v>
      </c>
      <c r="H265" t="s">
        <v>16</v>
      </c>
      <c r="I265" t="s">
        <v>1130</v>
      </c>
    </row>
    <row r="266" spans="1:9" x14ac:dyDescent="0.2">
      <c r="A266" t="s">
        <v>834</v>
      </c>
      <c r="B266">
        <v>9</v>
      </c>
      <c r="C266" t="s">
        <v>8</v>
      </c>
      <c r="D266" t="s">
        <v>9</v>
      </c>
      <c r="E266" t="s">
        <v>8</v>
      </c>
      <c r="F266">
        <v>4</v>
      </c>
      <c r="G266">
        <v>1</v>
      </c>
      <c r="H266" t="s">
        <v>16</v>
      </c>
      <c r="I266" t="s">
        <v>1130</v>
      </c>
    </row>
    <row r="267" spans="1:9" x14ac:dyDescent="0.2">
      <c r="A267" t="s">
        <v>833</v>
      </c>
      <c r="B267">
        <v>10</v>
      </c>
      <c r="C267" t="s">
        <v>8</v>
      </c>
      <c r="D267" t="s">
        <v>9</v>
      </c>
      <c r="E267" t="s">
        <v>9</v>
      </c>
      <c r="F267">
        <v>1</v>
      </c>
      <c r="G267">
        <v>2</v>
      </c>
      <c r="H267" t="s">
        <v>16</v>
      </c>
      <c r="I267" t="s">
        <v>1130</v>
      </c>
    </row>
    <row r="268" spans="1:9" x14ac:dyDescent="0.2">
      <c r="A268" t="s">
        <v>832</v>
      </c>
      <c r="B268">
        <v>11</v>
      </c>
      <c r="C268" t="s">
        <v>9</v>
      </c>
      <c r="D268" t="s">
        <v>9</v>
      </c>
      <c r="E268" t="s">
        <v>8</v>
      </c>
      <c r="F268">
        <v>2</v>
      </c>
      <c r="G268">
        <v>2</v>
      </c>
      <c r="H268" t="s">
        <v>16</v>
      </c>
      <c r="I268" t="s">
        <v>1130</v>
      </c>
    </row>
    <row r="269" spans="1:9" x14ac:dyDescent="0.2">
      <c r="A269" t="s">
        <v>831</v>
      </c>
      <c r="B269">
        <v>12</v>
      </c>
      <c r="C269" t="s">
        <v>9</v>
      </c>
      <c r="D269" t="s">
        <v>9</v>
      </c>
      <c r="E269" t="s">
        <v>8</v>
      </c>
      <c r="F269">
        <v>3</v>
      </c>
      <c r="G269">
        <v>2</v>
      </c>
      <c r="H269" t="s">
        <v>16</v>
      </c>
      <c r="I269" t="s">
        <v>1130</v>
      </c>
    </row>
    <row r="270" spans="1:9" x14ac:dyDescent="0.2">
      <c r="A270" t="s">
        <v>830</v>
      </c>
      <c r="B270">
        <v>13</v>
      </c>
      <c r="C270" t="s">
        <v>9</v>
      </c>
      <c r="D270" t="s">
        <v>9</v>
      </c>
      <c r="E270" t="s">
        <v>9</v>
      </c>
      <c r="F270">
        <v>4</v>
      </c>
      <c r="G270">
        <v>2</v>
      </c>
      <c r="H270" t="s">
        <v>16</v>
      </c>
      <c r="I270" t="s">
        <v>1130</v>
      </c>
    </row>
    <row r="271" spans="1:9" x14ac:dyDescent="0.2">
      <c r="A271" t="s">
        <v>829</v>
      </c>
      <c r="B271">
        <v>14</v>
      </c>
      <c r="C271" t="s">
        <v>9</v>
      </c>
      <c r="D271" t="s">
        <v>9</v>
      </c>
      <c r="E271" t="s">
        <v>8</v>
      </c>
      <c r="F271">
        <v>1</v>
      </c>
      <c r="G271">
        <v>3</v>
      </c>
      <c r="H271" t="s">
        <v>16</v>
      </c>
      <c r="I271" t="s">
        <v>1130</v>
      </c>
    </row>
    <row r="272" spans="1:9" x14ac:dyDescent="0.2">
      <c r="A272" t="s">
        <v>828</v>
      </c>
      <c r="B272">
        <v>15</v>
      </c>
      <c r="C272" t="s">
        <v>9</v>
      </c>
      <c r="D272" t="s">
        <v>9</v>
      </c>
      <c r="E272" t="s">
        <v>9</v>
      </c>
      <c r="F272">
        <v>1</v>
      </c>
      <c r="G272">
        <v>3</v>
      </c>
      <c r="H272" t="s">
        <v>16</v>
      </c>
      <c r="I272" t="s">
        <v>1130</v>
      </c>
    </row>
    <row r="273" spans="1:9" x14ac:dyDescent="0.2">
      <c r="A273" t="s">
        <v>827</v>
      </c>
      <c r="B273">
        <v>16</v>
      </c>
      <c r="C273" t="s">
        <v>8</v>
      </c>
      <c r="D273" t="s">
        <v>9</v>
      </c>
      <c r="E273" t="s">
        <v>9</v>
      </c>
      <c r="F273">
        <v>2</v>
      </c>
      <c r="G273">
        <v>2</v>
      </c>
      <c r="H273" t="s">
        <v>16</v>
      </c>
      <c r="I273" t="s">
        <v>1130</v>
      </c>
    </row>
    <row r="274" spans="1:9" x14ac:dyDescent="0.2">
      <c r="A274" t="s">
        <v>826</v>
      </c>
      <c r="B274">
        <v>17</v>
      </c>
      <c r="C274" t="s">
        <v>8</v>
      </c>
      <c r="D274" t="s">
        <v>9</v>
      </c>
      <c r="E274" t="s">
        <v>8</v>
      </c>
      <c r="F274">
        <v>3</v>
      </c>
      <c r="G274">
        <v>2</v>
      </c>
      <c r="H274" t="s">
        <v>16</v>
      </c>
      <c r="I274" t="s">
        <v>1130</v>
      </c>
    </row>
    <row r="275" spans="1:9" x14ac:dyDescent="0.2">
      <c r="A275" t="s">
        <v>825</v>
      </c>
      <c r="B275">
        <v>18</v>
      </c>
      <c r="C275" t="s">
        <v>8</v>
      </c>
      <c r="D275" t="s">
        <v>9</v>
      </c>
      <c r="E275" t="s">
        <v>8</v>
      </c>
      <c r="F275">
        <v>4</v>
      </c>
      <c r="G275">
        <v>2</v>
      </c>
      <c r="H275" t="s">
        <v>16</v>
      </c>
      <c r="I275" t="s">
        <v>1130</v>
      </c>
    </row>
    <row r="276" spans="1:9" x14ac:dyDescent="0.2">
      <c r="A276" t="s">
        <v>824</v>
      </c>
      <c r="B276">
        <v>19</v>
      </c>
      <c r="C276" t="s">
        <v>8</v>
      </c>
      <c r="D276" t="s">
        <v>9</v>
      </c>
      <c r="E276" t="s">
        <v>9</v>
      </c>
      <c r="F276">
        <v>2</v>
      </c>
      <c r="G276">
        <v>3</v>
      </c>
      <c r="H276" t="s">
        <v>16</v>
      </c>
      <c r="I276" t="s">
        <v>1130</v>
      </c>
    </row>
    <row r="277" spans="1:9" x14ac:dyDescent="0.2">
      <c r="A277" t="s">
        <v>823</v>
      </c>
      <c r="B277">
        <v>20</v>
      </c>
      <c r="C277" t="s">
        <v>8</v>
      </c>
      <c r="D277" t="s">
        <v>9</v>
      </c>
      <c r="E277" t="s">
        <v>9</v>
      </c>
      <c r="F277">
        <v>2</v>
      </c>
      <c r="G277">
        <v>3</v>
      </c>
      <c r="H277" t="s">
        <v>16</v>
      </c>
      <c r="I277" t="s">
        <v>1130</v>
      </c>
    </row>
    <row r="278" spans="1:9" x14ac:dyDescent="0.2">
      <c r="A278" t="s">
        <v>822</v>
      </c>
      <c r="B278">
        <v>21</v>
      </c>
      <c r="C278" t="s">
        <v>9</v>
      </c>
      <c r="D278" t="s">
        <v>9</v>
      </c>
      <c r="E278" t="s">
        <v>9</v>
      </c>
      <c r="F278">
        <v>2</v>
      </c>
      <c r="G278">
        <v>3</v>
      </c>
      <c r="H278" t="s">
        <v>16</v>
      </c>
      <c r="I278" t="s">
        <v>1130</v>
      </c>
    </row>
    <row r="279" spans="1:9" x14ac:dyDescent="0.2">
      <c r="A279" t="s">
        <v>821</v>
      </c>
      <c r="B279">
        <v>22</v>
      </c>
      <c r="C279" t="s">
        <v>9</v>
      </c>
      <c r="D279" t="s">
        <v>9</v>
      </c>
      <c r="E279" t="s">
        <v>8</v>
      </c>
      <c r="F279">
        <v>3</v>
      </c>
      <c r="G279">
        <v>3</v>
      </c>
      <c r="H279" t="s">
        <v>16</v>
      </c>
      <c r="I279" t="s">
        <v>1130</v>
      </c>
    </row>
    <row r="280" spans="1:9" x14ac:dyDescent="0.2">
      <c r="A280" t="s">
        <v>820</v>
      </c>
      <c r="B280">
        <v>23</v>
      </c>
      <c r="C280" t="s">
        <v>9</v>
      </c>
      <c r="D280" t="s">
        <v>9</v>
      </c>
      <c r="E280" t="s">
        <v>8</v>
      </c>
      <c r="F280">
        <v>2</v>
      </c>
      <c r="G280">
        <v>4</v>
      </c>
      <c r="H280" t="s">
        <v>16</v>
      </c>
      <c r="I280" t="s">
        <v>1130</v>
      </c>
    </row>
    <row r="281" spans="1:9" x14ac:dyDescent="0.2">
      <c r="A281" t="s">
        <v>819</v>
      </c>
      <c r="B281">
        <v>24</v>
      </c>
      <c r="C281" t="s">
        <v>9</v>
      </c>
      <c r="D281" t="s">
        <v>9</v>
      </c>
      <c r="E281" t="s">
        <v>9</v>
      </c>
      <c r="F281">
        <v>2</v>
      </c>
      <c r="G281">
        <v>4</v>
      </c>
      <c r="H281" t="s">
        <v>16</v>
      </c>
      <c r="I281" t="s">
        <v>1130</v>
      </c>
    </row>
    <row r="282" spans="1:9" x14ac:dyDescent="0.2">
      <c r="A282" t="s">
        <v>818</v>
      </c>
      <c r="B282">
        <v>25</v>
      </c>
      <c r="C282" t="s">
        <v>9</v>
      </c>
      <c r="D282" t="s">
        <v>9</v>
      </c>
      <c r="E282" t="s">
        <v>8</v>
      </c>
      <c r="F282">
        <v>3</v>
      </c>
      <c r="G282">
        <v>4</v>
      </c>
      <c r="H282" t="s">
        <v>16</v>
      </c>
      <c r="I282" t="s">
        <v>1130</v>
      </c>
    </row>
    <row r="283" spans="1:9" x14ac:dyDescent="0.2">
      <c r="A283" t="s">
        <v>817</v>
      </c>
      <c r="B283">
        <v>26</v>
      </c>
      <c r="C283" t="s">
        <v>8</v>
      </c>
      <c r="D283" t="s">
        <v>9</v>
      </c>
      <c r="E283" t="s">
        <v>8</v>
      </c>
      <c r="F283">
        <v>3</v>
      </c>
      <c r="G283">
        <v>3</v>
      </c>
      <c r="H283" t="s">
        <v>16</v>
      </c>
      <c r="I283" t="s">
        <v>1130</v>
      </c>
    </row>
    <row r="284" spans="1:9" x14ac:dyDescent="0.2">
      <c r="A284" t="s">
        <v>816</v>
      </c>
      <c r="B284">
        <v>27</v>
      </c>
      <c r="C284" t="s">
        <v>8</v>
      </c>
      <c r="D284" t="s">
        <v>9</v>
      </c>
      <c r="E284" t="s">
        <v>8</v>
      </c>
      <c r="F284">
        <v>3</v>
      </c>
      <c r="G284">
        <v>3</v>
      </c>
      <c r="H284" t="s">
        <v>16</v>
      </c>
      <c r="I284" t="s">
        <v>1130</v>
      </c>
    </row>
    <row r="285" spans="1:9" x14ac:dyDescent="0.2">
      <c r="A285" t="s">
        <v>815</v>
      </c>
      <c r="B285">
        <v>28</v>
      </c>
      <c r="C285" t="s">
        <v>8</v>
      </c>
      <c r="D285" t="s">
        <v>9</v>
      </c>
      <c r="E285" t="s">
        <v>9</v>
      </c>
      <c r="F285">
        <v>1</v>
      </c>
      <c r="G285">
        <v>4</v>
      </c>
      <c r="H285" t="s">
        <v>16</v>
      </c>
      <c r="I285" t="s">
        <v>1130</v>
      </c>
    </row>
    <row r="286" spans="1:9" x14ac:dyDescent="0.2">
      <c r="A286" t="s">
        <v>814</v>
      </c>
      <c r="B286">
        <v>29</v>
      </c>
      <c r="C286" t="s">
        <v>8</v>
      </c>
      <c r="D286" t="s">
        <v>9</v>
      </c>
      <c r="E286" t="s">
        <v>8</v>
      </c>
      <c r="F286">
        <v>3</v>
      </c>
      <c r="G286">
        <v>4</v>
      </c>
      <c r="H286" t="s">
        <v>16</v>
      </c>
      <c r="I286" t="s">
        <v>1130</v>
      </c>
    </row>
    <row r="287" spans="1:9" x14ac:dyDescent="0.2">
      <c r="A287" t="s">
        <v>813</v>
      </c>
      <c r="B287">
        <v>30</v>
      </c>
      <c r="C287" t="s">
        <v>8</v>
      </c>
      <c r="D287" t="s">
        <v>9</v>
      </c>
      <c r="E287" t="s">
        <v>9</v>
      </c>
      <c r="F287">
        <v>3</v>
      </c>
      <c r="G287">
        <v>4</v>
      </c>
      <c r="H287" t="s">
        <v>16</v>
      </c>
      <c r="I287" t="s">
        <v>1130</v>
      </c>
    </row>
    <row r="288" spans="1:9" x14ac:dyDescent="0.2">
      <c r="A288" t="s">
        <v>812</v>
      </c>
      <c r="B288">
        <v>31</v>
      </c>
      <c r="C288" t="s">
        <v>9</v>
      </c>
      <c r="D288" t="s">
        <v>9</v>
      </c>
      <c r="E288" t="s">
        <v>9</v>
      </c>
      <c r="F288">
        <v>4</v>
      </c>
      <c r="G288">
        <v>4</v>
      </c>
      <c r="H288" t="s">
        <v>16</v>
      </c>
      <c r="I288" t="s">
        <v>1130</v>
      </c>
    </row>
    <row r="289" spans="1:9" x14ac:dyDescent="0.2">
      <c r="A289" t="s">
        <v>811</v>
      </c>
      <c r="B289">
        <v>32</v>
      </c>
      <c r="C289" t="s">
        <v>9</v>
      </c>
      <c r="D289" t="s">
        <v>9</v>
      </c>
      <c r="E289" t="s">
        <v>8</v>
      </c>
      <c r="F289">
        <v>2</v>
      </c>
      <c r="G289">
        <v>5</v>
      </c>
      <c r="H289" t="s">
        <v>16</v>
      </c>
      <c r="I289" t="s">
        <v>1130</v>
      </c>
    </row>
    <row r="290" spans="1:9" x14ac:dyDescent="0.2">
      <c r="A290" t="s">
        <v>810</v>
      </c>
      <c r="B290">
        <v>33</v>
      </c>
      <c r="C290" t="s">
        <v>9</v>
      </c>
      <c r="D290" t="s">
        <v>9</v>
      </c>
      <c r="E290" t="s">
        <v>9</v>
      </c>
      <c r="F290">
        <v>2</v>
      </c>
      <c r="G290">
        <v>5</v>
      </c>
      <c r="H290" t="s">
        <v>16</v>
      </c>
      <c r="I290" t="s">
        <v>1130</v>
      </c>
    </row>
    <row r="291" spans="1:9" x14ac:dyDescent="0.2">
      <c r="A291" t="s">
        <v>809</v>
      </c>
      <c r="B291">
        <v>34</v>
      </c>
      <c r="C291" t="s">
        <v>9</v>
      </c>
      <c r="D291" t="s">
        <v>9</v>
      </c>
      <c r="E291" t="s">
        <v>8</v>
      </c>
      <c r="F291">
        <v>3</v>
      </c>
      <c r="G291">
        <v>5</v>
      </c>
      <c r="H291" t="s">
        <v>16</v>
      </c>
      <c r="I291" t="s">
        <v>1130</v>
      </c>
    </row>
    <row r="292" spans="1:9" x14ac:dyDescent="0.2">
      <c r="A292" t="s">
        <v>808</v>
      </c>
      <c r="B292">
        <v>35</v>
      </c>
      <c r="C292" t="s">
        <v>9</v>
      </c>
      <c r="D292" t="s">
        <v>9</v>
      </c>
      <c r="E292" t="s">
        <v>9</v>
      </c>
      <c r="F292">
        <v>4</v>
      </c>
      <c r="G292">
        <v>5</v>
      </c>
      <c r="H292" t="s">
        <v>16</v>
      </c>
      <c r="I292" t="s">
        <v>1130</v>
      </c>
    </row>
    <row r="293" spans="1:9" x14ac:dyDescent="0.2">
      <c r="A293" t="s">
        <v>807</v>
      </c>
      <c r="B293">
        <v>36</v>
      </c>
      <c r="C293" t="s">
        <v>8</v>
      </c>
      <c r="D293" t="s">
        <v>9</v>
      </c>
      <c r="E293" t="s">
        <v>8</v>
      </c>
      <c r="F293">
        <v>4</v>
      </c>
      <c r="G293">
        <v>4</v>
      </c>
      <c r="H293" t="s">
        <v>16</v>
      </c>
      <c r="I293" t="s">
        <v>1130</v>
      </c>
    </row>
    <row r="294" spans="1:9" x14ac:dyDescent="0.2">
      <c r="A294" t="s">
        <v>806</v>
      </c>
      <c r="B294">
        <v>37</v>
      </c>
      <c r="C294" t="s">
        <v>8</v>
      </c>
      <c r="D294" t="s">
        <v>9</v>
      </c>
      <c r="E294" t="s">
        <v>8</v>
      </c>
      <c r="F294">
        <v>1</v>
      </c>
      <c r="G294">
        <v>5</v>
      </c>
      <c r="H294" t="s">
        <v>16</v>
      </c>
      <c r="I294" t="s">
        <v>1130</v>
      </c>
    </row>
    <row r="295" spans="1:9" x14ac:dyDescent="0.2">
      <c r="A295" t="s">
        <v>805</v>
      </c>
      <c r="B295">
        <v>38</v>
      </c>
      <c r="C295" t="s">
        <v>8</v>
      </c>
      <c r="D295" t="s">
        <v>9</v>
      </c>
      <c r="E295" t="s">
        <v>9</v>
      </c>
      <c r="F295">
        <v>1</v>
      </c>
      <c r="G295">
        <v>5</v>
      </c>
      <c r="H295" t="s">
        <v>16</v>
      </c>
      <c r="I295" t="s">
        <v>1130</v>
      </c>
    </row>
    <row r="296" spans="1:9" x14ac:dyDescent="0.2">
      <c r="A296" t="s">
        <v>804</v>
      </c>
      <c r="B296">
        <v>39</v>
      </c>
      <c r="C296" t="s">
        <v>8</v>
      </c>
      <c r="D296" t="s">
        <v>9</v>
      </c>
      <c r="E296" t="s">
        <v>8</v>
      </c>
      <c r="F296">
        <v>3</v>
      </c>
      <c r="G296">
        <v>5</v>
      </c>
      <c r="H296" t="s">
        <v>16</v>
      </c>
      <c r="I296" t="s">
        <v>1130</v>
      </c>
    </row>
    <row r="297" spans="1:9" x14ac:dyDescent="0.2">
      <c r="A297" t="s">
        <v>803</v>
      </c>
      <c r="B297">
        <v>40</v>
      </c>
      <c r="C297" t="s">
        <v>8</v>
      </c>
      <c r="D297" t="s">
        <v>9</v>
      </c>
      <c r="E297" t="s">
        <v>9</v>
      </c>
      <c r="F297">
        <v>3</v>
      </c>
      <c r="G297">
        <v>5</v>
      </c>
      <c r="H297" t="s">
        <v>16</v>
      </c>
      <c r="I297" t="s">
        <v>1130</v>
      </c>
    </row>
    <row r="298" spans="1:9" x14ac:dyDescent="0.2">
      <c r="A298" t="s">
        <v>802</v>
      </c>
      <c r="B298">
        <v>41</v>
      </c>
      <c r="C298" t="s">
        <v>9</v>
      </c>
      <c r="D298" t="s">
        <v>8</v>
      </c>
      <c r="E298" t="s">
        <v>8</v>
      </c>
      <c r="F298">
        <v>1</v>
      </c>
      <c r="G298">
        <v>1</v>
      </c>
      <c r="H298" t="s">
        <v>16</v>
      </c>
      <c r="I298" t="s">
        <v>1130</v>
      </c>
    </row>
    <row r="299" spans="1:9" x14ac:dyDescent="0.2">
      <c r="A299" t="s">
        <v>801</v>
      </c>
      <c r="B299">
        <v>42</v>
      </c>
      <c r="C299" t="s">
        <v>9</v>
      </c>
      <c r="D299" t="s">
        <v>8</v>
      </c>
      <c r="E299" t="s">
        <v>8</v>
      </c>
      <c r="F299">
        <v>2</v>
      </c>
      <c r="G299">
        <v>1</v>
      </c>
      <c r="H299" t="s">
        <v>16</v>
      </c>
      <c r="I299" t="s">
        <v>1130</v>
      </c>
    </row>
    <row r="300" spans="1:9" x14ac:dyDescent="0.2">
      <c r="A300" t="s">
        <v>800</v>
      </c>
      <c r="B300">
        <v>43</v>
      </c>
      <c r="C300" t="s">
        <v>9</v>
      </c>
      <c r="D300" t="s">
        <v>8</v>
      </c>
      <c r="E300" t="s">
        <v>9</v>
      </c>
      <c r="F300">
        <v>4</v>
      </c>
      <c r="G300">
        <v>1</v>
      </c>
      <c r="H300" t="s">
        <v>16</v>
      </c>
      <c r="I300" t="s">
        <v>1130</v>
      </c>
    </row>
    <row r="301" spans="1:9" x14ac:dyDescent="0.2">
      <c r="A301" t="s">
        <v>799</v>
      </c>
      <c r="B301">
        <v>44</v>
      </c>
      <c r="C301" t="s">
        <v>9</v>
      </c>
      <c r="D301" t="s">
        <v>8</v>
      </c>
      <c r="E301" t="s">
        <v>9</v>
      </c>
      <c r="F301">
        <v>4</v>
      </c>
      <c r="G301">
        <v>1</v>
      </c>
      <c r="H301" t="s">
        <v>16</v>
      </c>
      <c r="I301" t="s">
        <v>1130</v>
      </c>
    </row>
    <row r="302" spans="1:9" x14ac:dyDescent="0.2">
      <c r="A302" t="s">
        <v>798</v>
      </c>
      <c r="B302">
        <v>45</v>
      </c>
      <c r="C302" t="s">
        <v>9</v>
      </c>
      <c r="D302" t="s">
        <v>8</v>
      </c>
      <c r="E302" t="s">
        <v>9</v>
      </c>
      <c r="F302">
        <v>1</v>
      </c>
      <c r="G302">
        <v>2</v>
      </c>
      <c r="H302" t="s">
        <v>16</v>
      </c>
      <c r="I302" t="s">
        <v>1130</v>
      </c>
    </row>
    <row r="303" spans="1:9" x14ac:dyDescent="0.2">
      <c r="A303" t="s">
        <v>797</v>
      </c>
      <c r="B303">
        <v>46</v>
      </c>
      <c r="C303" t="s">
        <v>8</v>
      </c>
      <c r="D303" t="s">
        <v>8</v>
      </c>
      <c r="E303" t="s">
        <v>8</v>
      </c>
      <c r="F303">
        <v>1</v>
      </c>
      <c r="G303">
        <v>1</v>
      </c>
      <c r="H303" t="s">
        <v>16</v>
      </c>
      <c r="I303" t="s">
        <v>1130</v>
      </c>
    </row>
    <row r="304" spans="1:9" x14ac:dyDescent="0.2">
      <c r="A304" t="s">
        <v>796</v>
      </c>
      <c r="B304">
        <v>47</v>
      </c>
      <c r="C304" t="s">
        <v>8</v>
      </c>
      <c r="D304" t="s">
        <v>8</v>
      </c>
      <c r="E304" t="s">
        <v>8</v>
      </c>
      <c r="F304">
        <v>2</v>
      </c>
      <c r="G304">
        <v>1</v>
      </c>
      <c r="H304" t="s">
        <v>16</v>
      </c>
      <c r="I304" t="s">
        <v>1130</v>
      </c>
    </row>
    <row r="305" spans="1:9" x14ac:dyDescent="0.2">
      <c r="A305" t="s">
        <v>795</v>
      </c>
      <c r="B305">
        <v>48</v>
      </c>
      <c r="C305" t="s">
        <v>8</v>
      </c>
      <c r="D305" t="s">
        <v>8</v>
      </c>
      <c r="E305" t="s">
        <v>9</v>
      </c>
      <c r="F305">
        <v>2</v>
      </c>
      <c r="G305">
        <v>1</v>
      </c>
      <c r="H305" t="s">
        <v>16</v>
      </c>
      <c r="I305" t="s">
        <v>1130</v>
      </c>
    </row>
    <row r="306" spans="1:9" x14ac:dyDescent="0.2">
      <c r="A306" t="s">
        <v>794</v>
      </c>
      <c r="B306">
        <v>49</v>
      </c>
      <c r="C306" t="s">
        <v>8</v>
      </c>
      <c r="D306" t="s">
        <v>8</v>
      </c>
      <c r="E306" t="s">
        <v>9</v>
      </c>
      <c r="F306">
        <v>3</v>
      </c>
      <c r="G306">
        <v>1</v>
      </c>
      <c r="H306" t="s">
        <v>16</v>
      </c>
      <c r="I306" t="s">
        <v>1130</v>
      </c>
    </row>
    <row r="307" spans="1:9" x14ac:dyDescent="0.2">
      <c r="A307" t="s">
        <v>793</v>
      </c>
      <c r="B307">
        <v>50</v>
      </c>
      <c r="C307" t="s">
        <v>8</v>
      </c>
      <c r="D307" t="s">
        <v>8</v>
      </c>
      <c r="E307" t="s">
        <v>9</v>
      </c>
      <c r="F307">
        <v>1</v>
      </c>
      <c r="G307">
        <v>2</v>
      </c>
      <c r="H307" t="s">
        <v>16</v>
      </c>
      <c r="I307" t="s">
        <v>1130</v>
      </c>
    </row>
    <row r="308" spans="1:9" x14ac:dyDescent="0.2">
      <c r="A308" t="s">
        <v>792</v>
      </c>
      <c r="B308">
        <v>51</v>
      </c>
      <c r="C308" t="s">
        <v>9</v>
      </c>
      <c r="D308" t="s">
        <v>8</v>
      </c>
      <c r="E308" t="s">
        <v>9</v>
      </c>
      <c r="F308">
        <v>2</v>
      </c>
      <c r="G308">
        <v>2</v>
      </c>
      <c r="H308" t="s">
        <v>16</v>
      </c>
      <c r="I308" t="s">
        <v>1130</v>
      </c>
    </row>
    <row r="309" spans="1:9" x14ac:dyDescent="0.2">
      <c r="A309" t="s">
        <v>791</v>
      </c>
      <c r="B309">
        <v>52</v>
      </c>
      <c r="C309" t="s">
        <v>9</v>
      </c>
      <c r="D309" t="s">
        <v>8</v>
      </c>
      <c r="E309" t="s">
        <v>8</v>
      </c>
      <c r="F309">
        <v>3</v>
      </c>
      <c r="G309">
        <v>2</v>
      </c>
      <c r="H309" t="s">
        <v>16</v>
      </c>
      <c r="I309" t="s">
        <v>1130</v>
      </c>
    </row>
    <row r="310" spans="1:9" x14ac:dyDescent="0.2">
      <c r="A310" t="s">
        <v>790</v>
      </c>
      <c r="B310">
        <v>53</v>
      </c>
      <c r="C310" t="s">
        <v>9</v>
      </c>
      <c r="D310" t="s">
        <v>8</v>
      </c>
      <c r="E310" t="s">
        <v>8</v>
      </c>
      <c r="F310">
        <v>3</v>
      </c>
      <c r="G310">
        <v>2</v>
      </c>
      <c r="H310" t="s">
        <v>16</v>
      </c>
      <c r="I310" t="s">
        <v>1130</v>
      </c>
    </row>
    <row r="311" spans="1:9" x14ac:dyDescent="0.2">
      <c r="A311" t="s">
        <v>789</v>
      </c>
      <c r="B311">
        <v>54</v>
      </c>
      <c r="C311" t="s">
        <v>9</v>
      </c>
      <c r="D311" t="s">
        <v>8</v>
      </c>
      <c r="E311" t="s">
        <v>9</v>
      </c>
      <c r="F311">
        <v>1</v>
      </c>
      <c r="G311">
        <v>3</v>
      </c>
      <c r="H311" t="s">
        <v>16</v>
      </c>
      <c r="I311" t="s">
        <v>1130</v>
      </c>
    </row>
    <row r="312" spans="1:9" x14ac:dyDescent="0.2">
      <c r="A312" t="s">
        <v>788</v>
      </c>
      <c r="B312">
        <v>55</v>
      </c>
      <c r="C312" t="s">
        <v>9</v>
      </c>
      <c r="D312" t="s">
        <v>8</v>
      </c>
      <c r="E312" t="s">
        <v>8</v>
      </c>
      <c r="F312">
        <v>1</v>
      </c>
      <c r="G312">
        <v>3</v>
      </c>
      <c r="H312" t="s">
        <v>16</v>
      </c>
      <c r="I312" t="s">
        <v>1130</v>
      </c>
    </row>
    <row r="313" spans="1:9" x14ac:dyDescent="0.2">
      <c r="A313" t="s">
        <v>787</v>
      </c>
      <c r="B313">
        <v>56</v>
      </c>
      <c r="C313" t="s">
        <v>8</v>
      </c>
      <c r="D313" t="s">
        <v>8</v>
      </c>
      <c r="E313" t="s">
        <v>8</v>
      </c>
      <c r="F313">
        <v>2</v>
      </c>
      <c r="G313">
        <v>2</v>
      </c>
      <c r="H313" t="s">
        <v>16</v>
      </c>
      <c r="I313" t="s">
        <v>1130</v>
      </c>
    </row>
    <row r="314" spans="1:9" x14ac:dyDescent="0.2">
      <c r="A314" t="s">
        <v>786</v>
      </c>
      <c r="B314">
        <v>57</v>
      </c>
      <c r="C314" t="s">
        <v>8</v>
      </c>
      <c r="D314" t="s">
        <v>8</v>
      </c>
      <c r="E314" t="s">
        <v>9</v>
      </c>
      <c r="F314">
        <v>4</v>
      </c>
      <c r="G314">
        <v>2</v>
      </c>
      <c r="H314" t="s">
        <v>16</v>
      </c>
      <c r="I314" t="s">
        <v>1130</v>
      </c>
    </row>
    <row r="315" spans="1:9" x14ac:dyDescent="0.2">
      <c r="A315" t="s">
        <v>785</v>
      </c>
      <c r="B315">
        <v>58</v>
      </c>
      <c r="C315" t="s">
        <v>8</v>
      </c>
      <c r="D315" t="s">
        <v>8</v>
      </c>
      <c r="E315" t="s">
        <v>8</v>
      </c>
      <c r="F315">
        <v>4</v>
      </c>
      <c r="G315">
        <v>2</v>
      </c>
      <c r="H315" t="s">
        <v>16</v>
      </c>
      <c r="I315" t="s">
        <v>1130</v>
      </c>
    </row>
    <row r="316" spans="1:9" x14ac:dyDescent="0.2">
      <c r="A316" t="s">
        <v>784</v>
      </c>
      <c r="B316">
        <v>59</v>
      </c>
      <c r="C316" t="s">
        <v>8</v>
      </c>
      <c r="D316" t="s">
        <v>8</v>
      </c>
      <c r="E316" t="s">
        <v>8</v>
      </c>
      <c r="F316">
        <v>2</v>
      </c>
      <c r="G316">
        <v>3</v>
      </c>
      <c r="H316" t="s">
        <v>16</v>
      </c>
      <c r="I316" t="s">
        <v>1130</v>
      </c>
    </row>
    <row r="317" spans="1:9" x14ac:dyDescent="0.2">
      <c r="A317" t="s">
        <v>783</v>
      </c>
      <c r="B317">
        <v>60</v>
      </c>
      <c r="C317" t="s">
        <v>8</v>
      </c>
      <c r="D317" t="s">
        <v>8</v>
      </c>
      <c r="E317" t="s">
        <v>8</v>
      </c>
      <c r="F317">
        <v>3</v>
      </c>
      <c r="G317">
        <v>3</v>
      </c>
      <c r="H317" t="s">
        <v>16</v>
      </c>
      <c r="I317" t="s">
        <v>1130</v>
      </c>
    </row>
    <row r="318" spans="1:9" x14ac:dyDescent="0.2">
      <c r="A318" t="s">
        <v>782</v>
      </c>
      <c r="B318">
        <v>61</v>
      </c>
      <c r="C318" t="s">
        <v>9</v>
      </c>
      <c r="D318" t="s">
        <v>8</v>
      </c>
      <c r="E318" t="s">
        <v>8</v>
      </c>
      <c r="F318">
        <v>4</v>
      </c>
      <c r="G318">
        <v>3</v>
      </c>
      <c r="H318" t="s">
        <v>16</v>
      </c>
      <c r="I318" t="s">
        <v>1130</v>
      </c>
    </row>
    <row r="319" spans="1:9" x14ac:dyDescent="0.2">
      <c r="A319" t="s">
        <v>781</v>
      </c>
      <c r="B319">
        <v>62</v>
      </c>
      <c r="C319" t="s">
        <v>9</v>
      </c>
      <c r="D319" t="s">
        <v>8</v>
      </c>
      <c r="E319" t="s">
        <v>9</v>
      </c>
      <c r="F319">
        <v>4</v>
      </c>
      <c r="G319">
        <v>3</v>
      </c>
      <c r="H319" t="s">
        <v>16</v>
      </c>
      <c r="I319" t="s">
        <v>1130</v>
      </c>
    </row>
    <row r="320" spans="1:9" x14ac:dyDescent="0.2">
      <c r="A320" t="s">
        <v>780</v>
      </c>
      <c r="B320">
        <v>63</v>
      </c>
      <c r="C320" t="s">
        <v>9</v>
      </c>
      <c r="D320" t="s">
        <v>8</v>
      </c>
      <c r="E320" t="s">
        <v>8</v>
      </c>
      <c r="F320">
        <v>1</v>
      </c>
      <c r="G320">
        <v>4</v>
      </c>
      <c r="H320" t="s">
        <v>16</v>
      </c>
      <c r="I320" t="s">
        <v>1130</v>
      </c>
    </row>
    <row r="321" spans="1:9" x14ac:dyDescent="0.2">
      <c r="A321" t="s">
        <v>779</v>
      </c>
      <c r="B321">
        <v>64</v>
      </c>
      <c r="C321" t="s">
        <v>9</v>
      </c>
      <c r="D321" t="s">
        <v>8</v>
      </c>
      <c r="E321" t="s">
        <v>8</v>
      </c>
      <c r="F321">
        <v>2</v>
      </c>
      <c r="G321">
        <v>4</v>
      </c>
      <c r="H321" t="s">
        <v>16</v>
      </c>
      <c r="I321" t="s">
        <v>1130</v>
      </c>
    </row>
    <row r="322" spans="1:9" x14ac:dyDescent="0.2">
      <c r="A322" t="s">
        <v>778</v>
      </c>
      <c r="B322">
        <v>65</v>
      </c>
      <c r="C322" t="s">
        <v>9</v>
      </c>
      <c r="D322" t="s">
        <v>8</v>
      </c>
      <c r="E322" t="s">
        <v>9</v>
      </c>
      <c r="F322">
        <v>2</v>
      </c>
      <c r="G322">
        <v>4</v>
      </c>
      <c r="H322" t="s">
        <v>16</v>
      </c>
      <c r="I322" t="s">
        <v>1130</v>
      </c>
    </row>
    <row r="323" spans="1:9" x14ac:dyDescent="0.2">
      <c r="A323" t="s">
        <v>777</v>
      </c>
      <c r="B323">
        <v>66</v>
      </c>
      <c r="C323" t="s">
        <v>8</v>
      </c>
      <c r="D323" t="s">
        <v>8</v>
      </c>
      <c r="E323" t="s">
        <v>9</v>
      </c>
      <c r="F323">
        <v>4</v>
      </c>
      <c r="G323">
        <v>3</v>
      </c>
      <c r="H323" t="s">
        <v>16</v>
      </c>
      <c r="I323" t="s">
        <v>1130</v>
      </c>
    </row>
    <row r="324" spans="1:9" x14ac:dyDescent="0.2">
      <c r="A324" t="s">
        <v>776</v>
      </c>
      <c r="B324">
        <v>67</v>
      </c>
      <c r="C324" t="s">
        <v>8</v>
      </c>
      <c r="D324" t="s">
        <v>8</v>
      </c>
      <c r="E324" t="s">
        <v>9</v>
      </c>
      <c r="F324">
        <v>4</v>
      </c>
      <c r="G324">
        <v>3</v>
      </c>
      <c r="H324" t="s">
        <v>16</v>
      </c>
      <c r="I324" t="s">
        <v>1130</v>
      </c>
    </row>
    <row r="325" spans="1:9" x14ac:dyDescent="0.2">
      <c r="A325" t="s">
        <v>775</v>
      </c>
      <c r="B325">
        <v>68</v>
      </c>
      <c r="C325" t="s">
        <v>8</v>
      </c>
      <c r="D325" t="s">
        <v>8</v>
      </c>
      <c r="E325" t="s">
        <v>9</v>
      </c>
      <c r="F325">
        <v>1</v>
      </c>
      <c r="G325">
        <v>4</v>
      </c>
      <c r="H325" t="s">
        <v>16</v>
      </c>
      <c r="I325" t="s">
        <v>1130</v>
      </c>
    </row>
    <row r="326" spans="1:9" x14ac:dyDescent="0.2">
      <c r="A326" t="s">
        <v>774</v>
      </c>
      <c r="B326">
        <v>69</v>
      </c>
      <c r="C326" t="s">
        <v>8</v>
      </c>
      <c r="D326" t="s">
        <v>8</v>
      </c>
      <c r="E326" t="s">
        <v>8</v>
      </c>
      <c r="F326">
        <v>1</v>
      </c>
      <c r="G326">
        <v>4</v>
      </c>
      <c r="H326" t="s">
        <v>16</v>
      </c>
      <c r="I326" t="s">
        <v>1130</v>
      </c>
    </row>
    <row r="327" spans="1:9" x14ac:dyDescent="0.2">
      <c r="A327" t="s">
        <v>773</v>
      </c>
      <c r="B327">
        <v>70</v>
      </c>
      <c r="C327" t="s">
        <v>8</v>
      </c>
      <c r="D327" t="s">
        <v>8</v>
      </c>
      <c r="E327" t="s">
        <v>9</v>
      </c>
      <c r="F327">
        <v>3</v>
      </c>
      <c r="G327">
        <v>4</v>
      </c>
      <c r="H327" t="s">
        <v>16</v>
      </c>
      <c r="I327" t="s">
        <v>1130</v>
      </c>
    </row>
    <row r="328" spans="1:9" x14ac:dyDescent="0.2">
      <c r="A328" t="s">
        <v>772</v>
      </c>
      <c r="B328">
        <v>71</v>
      </c>
      <c r="C328" t="s">
        <v>9</v>
      </c>
      <c r="D328" t="s">
        <v>8</v>
      </c>
      <c r="E328" t="s">
        <v>9</v>
      </c>
      <c r="F328">
        <v>4</v>
      </c>
      <c r="G328">
        <v>4</v>
      </c>
      <c r="H328" t="s">
        <v>16</v>
      </c>
      <c r="I328" t="s">
        <v>1130</v>
      </c>
    </row>
    <row r="329" spans="1:9" x14ac:dyDescent="0.2">
      <c r="A329" t="s">
        <v>771</v>
      </c>
      <c r="B329">
        <v>72</v>
      </c>
      <c r="C329" t="s">
        <v>9</v>
      </c>
      <c r="D329" t="s">
        <v>8</v>
      </c>
      <c r="E329" t="s">
        <v>8</v>
      </c>
      <c r="F329">
        <v>2</v>
      </c>
      <c r="G329">
        <v>5</v>
      </c>
      <c r="H329" t="s">
        <v>16</v>
      </c>
      <c r="I329" t="s">
        <v>1130</v>
      </c>
    </row>
    <row r="330" spans="1:9" x14ac:dyDescent="0.2">
      <c r="A330" t="s">
        <v>770</v>
      </c>
      <c r="B330">
        <v>73</v>
      </c>
      <c r="C330" t="s">
        <v>9</v>
      </c>
      <c r="D330" t="s">
        <v>8</v>
      </c>
      <c r="E330" t="s">
        <v>9</v>
      </c>
      <c r="F330">
        <v>4</v>
      </c>
      <c r="G330">
        <v>5</v>
      </c>
      <c r="H330" t="s">
        <v>16</v>
      </c>
      <c r="I330" t="s">
        <v>1130</v>
      </c>
    </row>
    <row r="331" spans="1:9" x14ac:dyDescent="0.2">
      <c r="A331" t="s">
        <v>769</v>
      </c>
      <c r="B331">
        <v>74</v>
      </c>
      <c r="C331" t="s">
        <v>9</v>
      </c>
      <c r="D331" t="s">
        <v>8</v>
      </c>
      <c r="E331" t="s">
        <v>9</v>
      </c>
      <c r="F331">
        <v>4</v>
      </c>
      <c r="G331">
        <v>5</v>
      </c>
      <c r="H331" t="s">
        <v>16</v>
      </c>
      <c r="I331" t="s">
        <v>1130</v>
      </c>
    </row>
    <row r="332" spans="1:9" x14ac:dyDescent="0.2">
      <c r="A332" t="s">
        <v>768</v>
      </c>
      <c r="B332">
        <v>75</v>
      </c>
      <c r="C332" t="s">
        <v>9</v>
      </c>
      <c r="D332" t="s">
        <v>8</v>
      </c>
      <c r="E332" t="s">
        <v>8</v>
      </c>
      <c r="F332">
        <v>4</v>
      </c>
      <c r="G332">
        <v>5</v>
      </c>
      <c r="H332" t="s">
        <v>16</v>
      </c>
      <c r="I332" t="s">
        <v>1130</v>
      </c>
    </row>
    <row r="333" spans="1:9" x14ac:dyDescent="0.2">
      <c r="A333" t="s">
        <v>767</v>
      </c>
      <c r="B333">
        <v>76</v>
      </c>
      <c r="C333" t="s">
        <v>8</v>
      </c>
      <c r="D333" t="s">
        <v>8</v>
      </c>
      <c r="E333" t="s">
        <v>8</v>
      </c>
      <c r="F333">
        <v>4</v>
      </c>
      <c r="G333">
        <v>4</v>
      </c>
      <c r="H333" t="s">
        <v>16</v>
      </c>
      <c r="I333" t="s">
        <v>1130</v>
      </c>
    </row>
    <row r="334" spans="1:9" x14ac:dyDescent="0.2">
      <c r="A334" t="s">
        <v>766</v>
      </c>
      <c r="B334">
        <v>77</v>
      </c>
      <c r="C334" t="s">
        <v>8</v>
      </c>
      <c r="D334" t="s">
        <v>8</v>
      </c>
      <c r="E334" t="s">
        <v>8</v>
      </c>
      <c r="F334">
        <v>1</v>
      </c>
      <c r="G334">
        <v>5</v>
      </c>
      <c r="H334" t="s">
        <v>16</v>
      </c>
      <c r="I334" t="s">
        <v>1130</v>
      </c>
    </row>
    <row r="335" spans="1:9" x14ac:dyDescent="0.2">
      <c r="A335" t="s">
        <v>765</v>
      </c>
      <c r="B335">
        <v>78</v>
      </c>
      <c r="C335" t="s">
        <v>8</v>
      </c>
      <c r="D335" t="s">
        <v>8</v>
      </c>
      <c r="E335" t="s">
        <v>8</v>
      </c>
      <c r="F335">
        <v>1</v>
      </c>
      <c r="G335">
        <v>5</v>
      </c>
      <c r="H335" t="s">
        <v>16</v>
      </c>
      <c r="I335" t="s">
        <v>1130</v>
      </c>
    </row>
    <row r="336" spans="1:9" x14ac:dyDescent="0.2">
      <c r="A336" t="s">
        <v>764</v>
      </c>
      <c r="B336">
        <v>79</v>
      </c>
      <c r="C336" t="s">
        <v>8</v>
      </c>
      <c r="D336" t="s">
        <v>8</v>
      </c>
      <c r="E336" t="s">
        <v>9</v>
      </c>
      <c r="F336">
        <v>2</v>
      </c>
      <c r="G336">
        <v>5</v>
      </c>
      <c r="H336" t="s">
        <v>16</v>
      </c>
      <c r="I336" t="s">
        <v>1130</v>
      </c>
    </row>
    <row r="337" spans="1:9" x14ac:dyDescent="0.2">
      <c r="A337" t="s">
        <v>763</v>
      </c>
      <c r="B337">
        <v>80</v>
      </c>
      <c r="C337" t="s">
        <v>8</v>
      </c>
      <c r="D337" t="s">
        <v>8</v>
      </c>
      <c r="E337" t="s">
        <v>9</v>
      </c>
      <c r="F337">
        <v>3</v>
      </c>
      <c r="G337">
        <v>5</v>
      </c>
      <c r="H337" t="s">
        <v>16</v>
      </c>
      <c r="I337" t="s">
        <v>1130</v>
      </c>
    </row>
    <row r="338" spans="1:9" x14ac:dyDescent="0.2">
      <c r="A338" t="s">
        <v>682</v>
      </c>
      <c r="B338">
        <v>1</v>
      </c>
      <c r="C338" t="s">
        <v>9</v>
      </c>
      <c r="D338" t="s">
        <v>9</v>
      </c>
      <c r="E338" t="s">
        <v>9</v>
      </c>
      <c r="F338">
        <v>1</v>
      </c>
      <c r="G338">
        <v>1</v>
      </c>
      <c r="H338" t="s">
        <v>35</v>
      </c>
      <c r="I338" t="s">
        <v>1130</v>
      </c>
    </row>
    <row r="339" spans="1:9" x14ac:dyDescent="0.2">
      <c r="A339" t="s">
        <v>681</v>
      </c>
      <c r="B339">
        <v>2</v>
      </c>
      <c r="C339" t="s">
        <v>9</v>
      </c>
      <c r="D339" t="s">
        <v>9</v>
      </c>
      <c r="E339" t="s">
        <v>8</v>
      </c>
      <c r="F339">
        <v>2</v>
      </c>
      <c r="G339">
        <v>1</v>
      </c>
      <c r="H339" t="s">
        <v>35</v>
      </c>
      <c r="I339" t="s">
        <v>1130</v>
      </c>
    </row>
    <row r="340" spans="1:9" x14ac:dyDescent="0.2">
      <c r="A340" t="s">
        <v>680</v>
      </c>
      <c r="B340">
        <v>3</v>
      </c>
      <c r="C340" t="s">
        <v>9</v>
      </c>
      <c r="D340" t="s">
        <v>9</v>
      </c>
      <c r="E340" t="s">
        <v>9</v>
      </c>
      <c r="F340">
        <v>3</v>
      </c>
      <c r="G340">
        <v>1</v>
      </c>
      <c r="H340" t="s">
        <v>35</v>
      </c>
      <c r="I340" t="s">
        <v>1130</v>
      </c>
    </row>
    <row r="341" spans="1:9" x14ac:dyDescent="0.2">
      <c r="A341" t="s">
        <v>679</v>
      </c>
      <c r="B341">
        <v>4</v>
      </c>
      <c r="C341" t="s">
        <v>9</v>
      </c>
      <c r="D341" t="s">
        <v>9</v>
      </c>
      <c r="E341" t="s">
        <v>8</v>
      </c>
      <c r="F341">
        <v>4</v>
      </c>
      <c r="G341">
        <v>1</v>
      </c>
      <c r="H341" t="s">
        <v>35</v>
      </c>
      <c r="I341" t="s">
        <v>1130</v>
      </c>
    </row>
    <row r="342" spans="1:9" x14ac:dyDescent="0.2">
      <c r="A342" t="s">
        <v>678</v>
      </c>
      <c r="B342">
        <v>5</v>
      </c>
      <c r="C342" t="s">
        <v>9</v>
      </c>
      <c r="D342" t="s">
        <v>9</v>
      </c>
      <c r="E342" t="s">
        <v>9</v>
      </c>
      <c r="F342">
        <v>1</v>
      </c>
      <c r="G342">
        <v>2</v>
      </c>
      <c r="H342" t="s">
        <v>35</v>
      </c>
      <c r="I342" t="s">
        <v>1130</v>
      </c>
    </row>
    <row r="343" spans="1:9" x14ac:dyDescent="0.2">
      <c r="A343" t="s">
        <v>677</v>
      </c>
      <c r="B343">
        <v>6</v>
      </c>
      <c r="C343" t="s">
        <v>8</v>
      </c>
      <c r="D343" t="s">
        <v>9</v>
      </c>
      <c r="E343" t="s">
        <v>9</v>
      </c>
      <c r="F343">
        <v>1</v>
      </c>
      <c r="G343">
        <v>1</v>
      </c>
      <c r="H343" t="s">
        <v>35</v>
      </c>
      <c r="I343" t="s">
        <v>1130</v>
      </c>
    </row>
    <row r="344" spans="1:9" x14ac:dyDescent="0.2">
      <c r="A344" t="s">
        <v>676</v>
      </c>
      <c r="B344">
        <v>7</v>
      </c>
      <c r="C344" t="s">
        <v>8</v>
      </c>
      <c r="D344" t="s">
        <v>9</v>
      </c>
      <c r="E344" t="s">
        <v>8</v>
      </c>
      <c r="F344">
        <v>3</v>
      </c>
      <c r="G344">
        <v>1</v>
      </c>
      <c r="H344" t="s">
        <v>35</v>
      </c>
      <c r="I344" t="s">
        <v>1130</v>
      </c>
    </row>
    <row r="345" spans="1:9" x14ac:dyDescent="0.2">
      <c r="A345" t="s">
        <v>675</v>
      </c>
      <c r="B345">
        <v>8</v>
      </c>
      <c r="C345" t="s">
        <v>8</v>
      </c>
      <c r="D345" t="s">
        <v>9</v>
      </c>
      <c r="E345" t="s">
        <v>9</v>
      </c>
      <c r="F345">
        <v>3</v>
      </c>
      <c r="G345">
        <v>1</v>
      </c>
      <c r="H345" t="s">
        <v>35</v>
      </c>
      <c r="I345" t="s">
        <v>1130</v>
      </c>
    </row>
    <row r="346" spans="1:9" x14ac:dyDescent="0.2">
      <c r="A346" t="s">
        <v>674</v>
      </c>
      <c r="B346">
        <v>9</v>
      </c>
      <c r="C346" t="s">
        <v>8</v>
      </c>
      <c r="D346" t="s">
        <v>9</v>
      </c>
      <c r="E346" t="s">
        <v>8</v>
      </c>
      <c r="F346">
        <v>4</v>
      </c>
      <c r="G346">
        <v>1</v>
      </c>
      <c r="H346" t="s">
        <v>35</v>
      </c>
      <c r="I346" t="s">
        <v>1130</v>
      </c>
    </row>
    <row r="347" spans="1:9" x14ac:dyDescent="0.2">
      <c r="A347" t="s">
        <v>673</v>
      </c>
      <c r="B347">
        <v>10</v>
      </c>
      <c r="C347" t="s">
        <v>8</v>
      </c>
      <c r="D347" t="s">
        <v>9</v>
      </c>
      <c r="E347" t="s">
        <v>9</v>
      </c>
      <c r="F347">
        <v>1</v>
      </c>
      <c r="G347">
        <v>2</v>
      </c>
      <c r="H347" t="s">
        <v>35</v>
      </c>
      <c r="I347" t="s">
        <v>1130</v>
      </c>
    </row>
    <row r="348" spans="1:9" x14ac:dyDescent="0.2">
      <c r="A348" t="s">
        <v>672</v>
      </c>
      <c r="B348">
        <v>11</v>
      </c>
      <c r="C348" t="s">
        <v>9</v>
      </c>
      <c r="D348" t="s">
        <v>9</v>
      </c>
      <c r="E348" t="s">
        <v>8</v>
      </c>
      <c r="F348">
        <v>2</v>
      </c>
      <c r="G348">
        <v>2</v>
      </c>
      <c r="H348" t="s">
        <v>35</v>
      </c>
      <c r="I348" t="s">
        <v>1130</v>
      </c>
    </row>
    <row r="349" spans="1:9" x14ac:dyDescent="0.2">
      <c r="A349" t="s">
        <v>671</v>
      </c>
      <c r="B349">
        <v>12</v>
      </c>
      <c r="C349" t="s">
        <v>9</v>
      </c>
      <c r="D349" t="s">
        <v>9</v>
      </c>
      <c r="E349" t="s">
        <v>8</v>
      </c>
      <c r="F349">
        <v>3</v>
      </c>
      <c r="G349">
        <v>2</v>
      </c>
      <c r="H349" t="s">
        <v>35</v>
      </c>
      <c r="I349" t="s">
        <v>1130</v>
      </c>
    </row>
    <row r="350" spans="1:9" x14ac:dyDescent="0.2">
      <c r="A350" t="s">
        <v>670</v>
      </c>
      <c r="B350">
        <v>13</v>
      </c>
      <c r="C350" t="s">
        <v>9</v>
      </c>
      <c r="D350" t="s">
        <v>9</v>
      </c>
      <c r="E350" t="s">
        <v>9</v>
      </c>
      <c r="F350">
        <v>4</v>
      </c>
      <c r="G350">
        <v>2</v>
      </c>
      <c r="H350" t="s">
        <v>35</v>
      </c>
      <c r="I350" t="s">
        <v>1130</v>
      </c>
    </row>
    <row r="351" spans="1:9" x14ac:dyDescent="0.2">
      <c r="A351" t="s">
        <v>669</v>
      </c>
      <c r="B351">
        <v>14</v>
      </c>
      <c r="C351" t="s">
        <v>9</v>
      </c>
      <c r="D351" t="s">
        <v>9</v>
      </c>
      <c r="E351" t="s">
        <v>8</v>
      </c>
      <c r="F351">
        <v>1</v>
      </c>
      <c r="G351">
        <v>3</v>
      </c>
      <c r="H351" t="s">
        <v>35</v>
      </c>
      <c r="I351" t="s">
        <v>1130</v>
      </c>
    </row>
    <row r="352" spans="1:9" x14ac:dyDescent="0.2">
      <c r="A352" t="s">
        <v>668</v>
      </c>
      <c r="B352">
        <v>15</v>
      </c>
      <c r="C352" t="s">
        <v>9</v>
      </c>
      <c r="D352" t="s">
        <v>9</v>
      </c>
      <c r="E352" t="s">
        <v>9</v>
      </c>
      <c r="F352">
        <v>1</v>
      </c>
      <c r="G352">
        <v>3</v>
      </c>
      <c r="H352" t="s">
        <v>35</v>
      </c>
      <c r="I352" t="s">
        <v>1130</v>
      </c>
    </row>
    <row r="353" spans="1:9" x14ac:dyDescent="0.2">
      <c r="A353" t="s">
        <v>667</v>
      </c>
      <c r="B353">
        <v>16</v>
      </c>
      <c r="C353" t="s">
        <v>8</v>
      </c>
      <c r="D353" t="s">
        <v>9</v>
      </c>
      <c r="E353" t="s">
        <v>9</v>
      </c>
      <c r="F353">
        <v>2</v>
      </c>
      <c r="G353">
        <v>2</v>
      </c>
      <c r="H353" t="s">
        <v>35</v>
      </c>
      <c r="I353" t="s">
        <v>1130</v>
      </c>
    </row>
    <row r="354" spans="1:9" x14ac:dyDescent="0.2">
      <c r="A354" t="s">
        <v>666</v>
      </c>
      <c r="B354">
        <v>17</v>
      </c>
      <c r="C354" t="s">
        <v>8</v>
      </c>
      <c r="D354" t="s">
        <v>9</v>
      </c>
      <c r="E354" t="s">
        <v>8</v>
      </c>
      <c r="F354">
        <v>3</v>
      </c>
      <c r="G354">
        <v>2</v>
      </c>
      <c r="H354" t="s">
        <v>35</v>
      </c>
      <c r="I354" t="s">
        <v>1130</v>
      </c>
    </row>
    <row r="355" spans="1:9" x14ac:dyDescent="0.2">
      <c r="A355" t="s">
        <v>665</v>
      </c>
      <c r="B355">
        <v>18</v>
      </c>
      <c r="C355" t="s">
        <v>8</v>
      </c>
      <c r="D355" t="s">
        <v>9</v>
      </c>
      <c r="E355" t="s">
        <v>8</v>
      </c>
      <c r="F355">
        <v>4</v>
      </c>
      <c r="G355">
        <v>2</v>
      </c>
      <c r="H355" t="s">
        <v>35</v>
      </c>
      <c r="I355" t="s">
        <v>1130</v>
      </c>
    </row>
    <row r="356" spans="1:9" x14ac:dyDescent="0.2">
      <c r="A356" t="s">
        <v>664</v>
      </c>
      <c r="B356">
        <v>19</v>
      </c>
      <c r="C356" t="s">
        <v>8</v>
      </c>
      <c r="D356" t="s">
        <v>9</v>
      </c>
      <c r="E356" t="s">
        <v>9</v>
      </c>
      <c r="F356">
        <v>2</v>
      </c>
      <c r="G356">
        <v>3</v>
      </c>
      <c r="H356" t="s">
        <v>35</v>
      </c>
      <c r="I356" t="s">
        <v>1130</v>
      </c>
    </row>
    <row r="357" spans="1:9" x14ac:dyDescent="0.2">
      <c r="A357" t="s">
        <v>663</v>
      </c>
      <c r="B357">
        <v>20</v>
      </c>
      <c r="C357" t="s">
        <v>8</v>
      </c>
      <c r="D357" t="s">
        <v>9</v>
      </c>
      <c r="E357" t="s">
        <v>9</v>
      </c>
      <c r="F357">
        <v>2</v>
      </c>
      <c r="G357">
        <v>3</v>
      </c>
      <c r="H357" t="s">
        <v>35</v>
      </c>
      <c r="I357" t="s">
        <v>1130</v>
      </c>
    </row>
    <row r="358" spans="1:9" x14ac:dyDescent="0.2">
      <c r="A358" t="s">
        <v>662</v>
      </c>
      <c r="B358">
        <v>21</v>
      </c>
      <c r="C358" t="s">
        <v>9</v>
      </c>
      <c r="D358" t="s">
        <v>9</v>
      </c>
      <c r="E358" t="s">
        <v>9</v>
      </c>
      <c r="F358">
        <v>2</v>
      </c>
      <c r="G358">
        <v>3</v>
      </c>
      <c r="H358" t="s">
        <v>35</v>
      </c>
      <c r="I358" t="s">
        <v>1130</v>
      </c>
    </row>
    <row r="359" spans="1:9" x14ac:dyDescent="0.2">
      <c r="A359" t="s">
        <v>661</v>
      </c>
      <c r="B359">
        <v>22</v>
      </c>
      <c r="C359" t="s">
        <v>9</v>
      </c>
      <c r="D359" t="s">
        <v>9</v>
      </c>
      <c r="E359" t="s">
        <v>8</v>
      </c>
      <c r="F359">
        <v>3</v>
      </c>
      <c r="G359">
        <v>3</v>
      </c>
      <c r="H359" t="s">
        <v>35</v>
      </c>
      <c r="I359" t="s">
        <v>1130</v>
      </c>
    </row>
    <row r="360" spans="1:9" x14ac:dyDescent="0.2">
      <c r="A360" t="s">
        <v>660</v>
      </c>
      <c r="B360">
        <v>23</v>
      </c>
      <c r="C360" t="s">
        <v>9</v>
      </c>
      <c r="D360" t="s">
        <v>9</v>
      </c>
      <c r="E360" t="s">
        <v>8</v>
      </c>
      <c r="F360">
        <v>2</v>
      </c>
      <c r="G360">
        <v>4</v>
      </c>
      <c r="H360" t="s">
        <v>35</v>
      </c>
      <c r="I360" t="s">
        <v>1130</v>
      </c>
    </row>
    <row r="361" spans="1:9" x14ac:dyDescent="0.2">
      <c r="A361" t="s">
        <v>659</v>
      </c>
      <c r="B361">
        <v>24</v>
      </c>
      <c r="C361" t="s">
        <v>9</v>
      </c>
      <c r="D361" t="s">
        <v>9</v>
      </c>
      <c r="E361" t="s">
        <v>9</v>
      </c>
      <c r="F361">
        <v>2</v>
      </c>
      <c r="G361">
        <v>4</v>
      </c>
      <c r="H361" t="s">
        <v>35</v>
      </c>
      <c r="I361" t="s">
        <v>1130</v>
      </c>
    </row>
    <row r="362" spans="1:9" x14ac:dyDescent="0.2">
      <c r="A362" t="s">
        <v>658</v>
      </c>
      <c r="B362">
        <v>25</v>
      </c>
      <c r="C362" t="s">
        <v>9</v>
      </c>
      <c r="D362" t="s">
        <v>9</v>
      </c>
      <c r="E362" t="s">
        <v>8</v>
      </c>
      <c r="F362">
        <v>3</v>
      </c>
      <c r="G362">
        <v>4</v>
      </c>
      <c r="H362" t="s">
        <v>35</v>
      </c>
      <c r="I362" t="s">
        <v>1130</v>
      </c>
    </row>
    <row r="363" spans="1:9" x14ac:dyDescent="0.2">
      <c r="A363" t="s">
        <v>657</v>
      </c>
      <c r="B363">
        <v>26</v>
      </c>
      <c r="C363" t="s">
        <v>8</v>
      </c>
      <c r="D363" t="s">
        <v>9</v>
      </c>
      <c r="E363" t="s">
        <v>8</v>
      </c>
      <c r="F363">
        <v>3</v>
      </c>
      <c r="G363">
        <v>3</v>
      </c>
      <c r="H363" t="s">
        <v>35</v>
      </c>
      <c r="I363" t="s">
        <v>1130</v>
      </c>
    </row>
    <row r="364" spans="1:9" x14ac:dyDescent="0.2">
      <c r="A364" t="s">
        <v>656</v>
      </c>
      <c r="B364">
        <v>27</v>
      </c>
      <c r="C364" t="s">
        <v>8</v>
      </c>
      <c r="D364" t="s">
        <v>9</v>
      </c>
      <c r="E364" t="s">
        <v>8</v>
      </c>
      <c r="F364">
        <v>3</v>
      </c>
      <c r="G364">
        <v>3</v>
      </c>
      <c r="H364" t="s">
        <v>35</v>
      </c>
      <c r="I364" t="s">
        <v>1130</v>
      </c>
    </row>
    <row r="365" spans="1:9" x14ac:dyDescent="0.2">
      <c r="A365" t="s">
        <v>655</v>
      </c>
      <c r="B365">
        <v>28</v>
      </c>
      <c r="C365" t="s">
        <v>8</v>
      </c>
      <c r="D365" t="s">
        <v>9</v>
      </c>
      <c r="E365" t="s">
        <v>9</v>
      </c>
      <c r="F365">
        <v>1</v>
      </c>
      <c r="G365">
        <v>4</v>
      </c>
      <c r="H365" t="s">
        <v>35</v>
      </c>
      <c r="I365" t="s">
        <v>1130</v>
      </c>
    </row>
    <row r="366" spans="1:9" x14ac:dyDescent="0.2">
      <c r="A366" t="s">
        <v>654</v>
      </c>
      <c r="B366">
        <v>29</v>
      </c>
      <c r="C366" t="s">
        <v>8</v>
      </c>
      <c r="D366" t="s">
        <v>9</v>
      </c>
      <c r="E366" t="s">
        <v>8</v>
      </c>
      <c r="F366">
        <v>3</v>
      </c>
      <c r="G366">
        <v>4</v>
      </c>
      <c r="H366" t="s">
        <v>35</v>
      </c>
      <c r="I366" t="s">
        <v>1130</v>
      </c>
    </row>
    <row r="367" spans="1:9" x14ac:dyDescent="0.2">
      <c r="A367" t="s">
        <v>653</v>
      </c>
      <c r="B367">
        <v>30</v>
      </c>
      <c r="C367" t="s">
        <v>8</v>
      </c>
      <c r="D367" t="s">
        <v>9</v>
      </c>
      <c r="E367" t="s">
        <v>9</v>
      </c>
      <c r="F367">
        <v>3</v>
      </c>
      <c r="G367">
        <v>4</v>
      </c>
      <c r="H367" t="s">
        <v>35</v>
      </c>
      <c r="I367" t="s">
        <v>1130</v>
      </c>
    </row>
    <row r="368" spans="1:9" x14ac:dyDescent="0.2">
      <c r="A368" t="s">
        <v>652</v>
      </c>
      <c r="B368">
        <v>31</v>
      </c>
      <c r="C368" t="s">
        <v>9</v>
      </c>
      <c r="D368" t="s">
        <v>9</v>
      </c>
      <c r="E368" t="s">
        <v>9</v>
      </c>
      <c r="F368">
        <v>4</v>
      </c>
      <c r="G368">
        <v>4</v>
      </c>
      <c r="H368" t="s">
        <v>35</v>
      </c>
      <c r="I368" t="s">
        <v>1130</v>
      </c>
    </row>
    <row r="369" spans="1:9" x14ac:dyDescent="0.2">
      <c r="A369" t="s">
        <v>651</v>
      </c>
      <c r="B369">
        <v>32</v>
      </c>
      <c r="C369" t="s">
        <v>9</v>
      </c>
      <c r="D369" t="s">
        <v>9</v>
      </c>
      <c r="E369" t="s">
        <v>8</v>
      </c>
      <c r="F369">
        <v>2</v>
      </c>
      <c r="G369">
        <v>5</v>
      </c>
      <c r="H369" t="s">
        <v>35</v>
      </c>
      <c r="I369" t="s">
        <v>1130</v>
      </c>
    </row>
    <row r="370" spans="1:9" x14ac:dyDescent="0.2">
      <c r="A370" t="s">
        <v>650</v>
      </c>
      <c r="B370">
        <v>33</v>
      </c>
      <c r="C370" t="s">
        <v>9</v>
      </c>
      <c r="D370" t="s">
        <v>9</v>
      </c>
      <c r="E370" t="s">
        <v>9</v>
      </c>
      <c r="F370">
        <v>2</v>
      </c>
      <c r="G370">
        <v>5</v>
      </c>
      <c r="H370" t="s">
        <v>35</v>
      </c>
      <c r="I370" t="s">
        <v>1130</v>
      </c>
    </row>
    <row r="371" spans="1:9" x14ac:dyDescent="0.2">
      <c r="A371" t="s">
        <v>649</v>
      </c>
      <c r="B371">
        <v>34</v>
      </c>
      <c r="C371" t="s">
        <v>9</v>
      </c>
      <c r="D371" t="s">
        <v>9</v>
      </c>
      <c r="E371" t="s">
        <v>8</v>
      </c>
      <c r="F371">
        <v>3</v>
      </c>
      <c r="G371">
        <v>5</v>
      </c>
      <c r="H371" t="s">
        <v>35</v>
      </c>
      <c r="I371" t="s">
        <v>1130</v>
      </c>
    </row>
    <row r="372" spans="1:9" x14ac:dyDescent="0.2">
      <c r="A372" t="s">
        <v>648</v>
      </c>
      <c r="B372">
        <v>35</v>
      </c>
      <c r="C372" t="s">
        <v>9</v>
      </c>
      <c r="D372" t="s">
        <v>9</v>
      </c>
      <c r="E372" t="s">
        <v>9</v>
      </c>
      <c r="F372">
        <v>4</v>
      </c>
      <c r="G372">
        <v>5</v>
      </c>
      <c r="H372" t="s">
        <v>35</v>
      </c>
      <c r="I372" t="s">
        <v>1130</v>
      </c>
    </row>
    <row r="373" spans="1:9" x14ac:dyDescent="0.2">
      <c r="A373" t="s">
        <v>647</v>
      </c>
      <c r="B373">
        <v>36</v>
      </c>
      <c r="C373" t="s">
        <v>8</v>
      </c>
      <c r="D373" t="s">
        <v>9</v>
      </c>
      <c r="E373" t="s">
        <v>8</v>
      </c>
      <c r="F373">
        <v>4</v>
      </c>
      <c r="G373">
        <v>4</v>
      </c>
      <c r="H373" t="s">
        <v>35</v>
      </c>
      <c r="I373" t="s">
        <v>1130</v>
      </c>
    </row>
    <row r="374" spans="1:9" x14ac:dyDescent="0.2">
      <c r="A374" t="s">
        <v>646</v>
      </c>
      <c r="B374">
        <v>37</v>
      </c>
      <c r="C374" t="s">
        <v>8</v>
      </c>
      <c r="D374" t="s">
        <v>9</v>
      </c>
      <c r="E374" t="s">
        <v>8</v>
      </c>
      <c r="F374">
        <v>1</v>
      </c>
      <c r="G374">
        <v>5</v>
      </c>
      <c r="H374" t="s">
        <v>35</v>
      </c>
      <c r="I374" t="s">
        <v>1130</v>
      </c>
    </row>
    <row r="375" spans="1:9" x14ac:dyDescent="0.2">
      <c r="A375" t="s">
        <v>645</v>
      </c>
      <c r="B375">
        <v>38</v>
      </c>
      <c r="C375" t="s">
        <v>8</v>
      </c>
      <c r="D375" t="s">
        <v>9</v>
      </c>
      <c r="E375" t="s">
        <v>9</v>
      </c>
      <c r="F375">
        <v>1</v>
      </c>
      <c r="G375">
        <v>5</v>
      </c>
      <c r="H375" t="s">
        <v>35</v>
      </c>
      <c r="I375" t="s">
        <v>1130</v>
      </c>
    </row>
    <row r="376" spans="1:9" x14ac:dyDescent="0.2">
      <c r="A376" t="s">
        <v>644</v>
      </c>
      <c r="B376">
        <v>39</v>
      </c>
      <c r="C376" t="s">
        <v>8</v>
      </c>
      <c r="D376" t="s">
        <v>9</v>
      </c>
      <c r="E376" t="s">
        <v>8</v>
      </c>
      <c r="F376">
        <v>3</v>
      </c>
      <c r="G376">
        <v>5</v>
      </c>
      <c r="H376" t="s">
        <v>35</v>
      </c>
      <c r="I376" t="s">
        <v>1130</v>
      </c>
    </row>
    <row r="377" spans="1:9" x14ac:dyDescent="0.2">
      <c r="A377" t="s">
        <v>643</v>
      </c>
      <c r="B377">
        <v>40</v>
      </c>
      <c r="C377" t="s">
        <v>8</v>
      </c>
      <c r="D377" t="s">
        <v>9</v>
      </c>
      <c r="E377" t="s">
        <v>9</v>
      </c>
      <c r="F377">
        <v>3</v>
      </c>
      <c r="G377">
        <v>5</v>
      </c>
      <c r="H377" t="s">
        <v>35</v>
      </c>
      <c r="I377" t="s">
        <v>1130</v>
      </c>
    </row>
    <row r="378" spans="1:9" x14ac:dyDescent="0.2">
      <c r="A378" t="s">
        <v>642</v>
      </c>
      <c r="B378">
        <v>41</v>
      </c>
      <c r="C378" t="s">
        <v>9</v>
      </c>
      <c r="D378" t="s">
        <v>8</v>
      </c>
      <c r="E378" t="s">
        <v>8</v>
      </c>
      <c r="F378">
        <v>1</v>
      </c>
      <c r="G378">
        <v>1</v>
      </c>
      <c r="H378" t="s">
        <v>35</v>
      </c>
      <c r="I378" t="s">
        <v>1130</v>
      </c>
    </row>
    <row r="379" spans="1:9" x14ac:dyDescent="0.2">
      <c r="A379" t="s">
        <v>641</v>
      </c>
      <c r="B379">
        <v>42</v>
      </c>
      <c r="C379" t="s">
        <v>9</v>
      </c>
      <c r="D379" t="s">
        <v>8</v>
      </c>
      <c r="E379" t="s">
        <v>8</v>
      </c>
      <c r="F379">
        <v>2</v>
      </c>
      <c r="G379">
        <v>1</v>
      </c>
      <c r="H379" t="s">
        <v>35</v>
      </c>
      <c r="I379" t="s">
        <v>1130</v>
      </c>
    </row>
    <row r="380" spans="1:9" x14ac:dyDescent="0.2">
      <c r="A380" t="s">
        <v>640</v>
      </c>
      <c r="B380">
        <v>43</v>
      </c>
      <c r="C380" t="s">
        <v>9</v>
      </c>
      <c r="D380" t="s">
        <v>8</v>
      </c>
      <c r="E380" t="s">
        <v>9</v>
      </c>
      <c r="F380">
        <v>4</v>
      </c>
      <c r="G380">
        <v>1</v>
      </c>
      <c r="H380" t="s">
        <v>35</v>
      </c>
      <c r="I380" t="s">
        <v>1130</v>
      </c>
    </row>
    <row r="381" spans="1:9" x14ac:dyDescent="0.2">
      <c r="A381" t="s">
        <v>639</v>
      </c>
      <c r="B381">
        <v>44</v>
      </c>
      <c r="C381" t="s">
        <v>9</v>
      </c>
      <c r="D381" t="s">
        <v>8</v>
      </c>
      <c r="E381" t="s">
        <v>9</v>
      </c>
      <c r="F381">
        <v>4</v>
      </c>
      <c r="G381">
        <v>1</v>
      </c>
      <c r="H381" t="s">
        <v>35</v>
      </c>
      <c r="I381" t="s">
        <v>1130</v>
      </c>
    </row>
    <row r="382" spans="1:9" x14ac:dyDescent="0.2">
      <c r="A382" t="s">
        <v>638</v>
      </c>
      <c r="B382">
        <v>45</v>
      </c>
      <c r="C382" t="s">
        <v>9</v>
      </c>
      <c r="D382" t="s">
        <v>8</v>
      </c>
      <c r="E382" t="s">
        <v>9</v>
      </c>
      <c r="F382">
        <v>1</v>
      </c>
      <c r="G382">
        <v>2</v>
      </c>
      <c r="H382" t="s">
        <v>35</v>
      </c>
      <c r="I382" t="s">
        <v>1130</v>
      </c>
    </row>
    <row r="383" spans="1:9" x14ac:dyDescent="0.2">
      <c r="A383" t="s">
        <v>637</v>
      </c>
      <c r="B383">
        <v>46</v>
      </c>
      <c r="C383" t="s">
        <v>8</v>
      </c>
      <c r="D383" t="s">
        <v>8</v>
      </c>
      <c r="E383" t="s">
        <v>8</v>
      </c>
      <c r="F383">
        <v>1</v>
      </c>
      <c r="G383">
        <v>1</v>
      </c>
      <c r="H383" t="s">
        <v>35</v>
      </c>
      <c r="I383" t="s">
        <v>1130</v>
      </c>
    </row>
    <row r="384" spans="1:9" x14ac:dyDescent="0.2">
      <c r="A384" t="s">
        <v>636</v>
      </c>
      <c r="B384">
        <v>47</v>
      </c>
      <c r="C384" t="s">
        <v>8</v>
      </c>
      <c r="D384" t="s">
        <v>8</v>
      </c>
      <c r="E384" t="s">
        <v>8</v>
      </c>
      <c r="F384">
        <v>2</v>
      </c>
      <c r="G384">
        <v>1</v>
      </c>
      <c r="H384" t="s">
        <v>35</v>
      </c>
      <c r="I384" t="s">
        <v>1130</v>
      </c>
    </row>
    <row r="385" spans="1:9" x14ac:dyDescent="0.2">
      <c r="A385" t="s">
        <v>635</v>
      </c>
      <c r="B385">
        <v>48</v>
      </c>
      <c r="C385" t="s">
        <v>8</v>
      </c>
      <c r="D385" t="s">
        <v>8</v>
      </c>
      <c r="E385" t="s">
        <v>9</v>
      </c>
      <c r="F385">
        <v>2</v>
      </c>
      <c r="G385">
        <v>1</v>
      </c>
      <c r="H385" t="s">
        <v>35</v>
      </c>
      <c r="I385" t="s">
        <v>1130</v>
      </c>
    </row>
    <row r="386" spans="1:9" x14ac:dyDescent="0.2">
      <c r="A386" t="s">
        <v>634</v>
      </c>
      <c r="B386">
        <v>49</v>
      </c>
      <c r="C386" t="s">
        <v>8</v>
      </c>
      <c r="D386" t="s">
        <v>8</v>
      </c>
      <c r="E386" t="s">
        <v>9</v>
      </c>
      <c r="F386">
        <v>3</v>
      </c>
      <c r="G386">
        <v>1</v>
      </c>
      <c r="H386" t="s">
        <v>35</v>
      </c>
      <c r="I386" t="s">
        <v>1130</v>
      </c>
    </row>
    <row r="387" spans="1:9" x14ac:dyDescent="0.2">
      <c r="A387" t="s">
        <v>633</v>
      </c>
      <c r="B387">
        <v>50</v>
      </c>
      <c r="C387" t="s">
        <v>8</v>
      </c>
      <c r="D387" t="s">
        <v>8</v>
      </c>
      <c r="E387" t="s">
        <v>9</v>
      </c>
      <c r="F387">
        <v>1</v>
      </c>
      <c r="G387">
        <v>2</v>
      </c>
      <c r="H387" t="s">
        <v>35</v>
      </c>
      <c r="I387" t="s">
        <v>1130</v>
      </c>
    </row>
    <row r="388" spans="1:9" x14ac:dyDescent="0.2">
      <c r="A388" t="s">
        <v>632</v>
      </c>
      <c r="B388">
        <v>51</v>
      </c>
      <c r="C388" t="s">
        <v>9</v>
      </c>
      <c r="D388" t="s">
        <v>8</v>
      </c>
      <c r="E388" t="s">
        <v>9</v>
      </c>
      <c r="F388">
        <v>2</v>
      </c>
      <c r="G388">
        <v>2</v>
      </c>
      <c r="H388" t="s">
        <v>35</v>
      </c>
      <c r="I388" t="s">
        <v>1130</v>
      </c>
    </row>
    <row r="389" spans="1:9" x14ac:dyDescent="0.2">
      <c r="A389" t="s">
        <v>631</v>
      </c>
      <c r="B389">
        <v>52</v>
      </c>
      <c r="C389" t="s">
        <v>9</v>
      </c>
      <c r="D389" t="s">
        <v>8</v>
      </c>
      <c r="E389" t="s">
        <v>8</v>
      </c>
      <c r="F389">
        <v>3</v>
      </c>
      <c r="G389">
        <v>2</v>
      </c>
      <c r="H389" t="s">
        <v>35</v>
      </c>
      <c r="I389" t="s">
        <v>1130</v>
      </c>
    </row>
    <row r="390" spans="1:9" x14ac:dyDescent="0.2">
      <c r="A390" t="s">
        <v>630</v>
      </c>
      <c r="B390">
        <v>53</v>
      </c>
      <c r="C390" t="s">
        <v>9</v>
      </c>
      <c r="D390" t="s">
        <v>8</v>
      </c>
      <c r="E390" t="s">
        <v>8</v>
      </c>
      <c r="F390">
        <v>3</v>
      </c>
      <c r="G390">
        <v>2</v>
      </c>
      <c r="H390" t="s">
        <v>35</v>
      </c>
      <c r="I390" t="s">
        <v>1130</v>
      </c>
    </row>
    <row r="391" spans="1:9" x14ac:dyDescent="0.2">
      <c r="A391" t="s">
        <v>629</v>
      </c>
      <c r="B391">
        <v>54</v>
      </c>
      <c r="C391" t="s">
        <v>9</v>
      </c>
      <c r="D391" t="s">
        <v>8</v>
      </c>
      <c r="E391" t="s">
        <v>9</v>
      </c>
      <c r="F391">
        <v>1</v>
      </c>
      <c r="G391">
        <v>3</v>
      </c>
      <c r="H391" t="s">
        <v>35</v>
      </c>
      <c r="I391" t="s">
        <v>1130</v>
      </c>
    </row>
    <row r="392" spans="1:9" x14ac:dyDescent="0.2">
      <c r="A392" t="s">
        <v>628</v>
      </c>
      <c r="B392">
        <v>55</v>
      </c>
      <c r="C392" t="s">
        <v>9</v>
      </c>
      <c r="D392" t="s">
        <v>8</v>
      </c>
      <c r="E392" t="s">
        <v>8</v>
      </c>
      <c r="F392">
        <v>1</v>
      </c>
      <c r="G392">
        <v>3</v>
      </c>
      <c r="H392" t="s">
        <v>35</v>
      </c>
      <c r="I392" t="s">
        <v>1130</v>
      </c>
    </row>
    <row r="393" spans="1:9" x14ac:dyDescent="0.2">
      <c r="A393" t="s">
        <v>627</v>
      </c>
      <c r="B393">
        <v>56</v>
      </c>
      <c r="C393" t="s">
        <v>8</v>
      </c>
      <c r="D393" t="s">
        <v>8</v>
      </c>
      <c r="E393" t="s">
        <v>8</v>
      </c>
      <c r="F393">
        <v>2</v>
      </c>
      <c r="G393">
        <v>2</v>
      </c>
      <c r="H393" t="s">
        <v>35</v>
      </c>
      <c r="I393" t="s">
        <v>1130</v>
      </c>
    </row>
    <row r="394" spans="1:9" x14ac:dyDescent="0.2">
      <c r="A394" t="s">
        <v>626</v>
      </c>
      <c r="B394">
        <v>57</v>
      </c>
      <c r="C394" t="s">
        <v>8</v>
      </c>
      <c r="D394" t="s">
        <v>8</v>
      </c>
      <c r="E394" t="s">
        <v>9</v>
      </c>
      <c r="F394">
        <v>4</v>
      </c>
      <c r="G394">
        <v>2</v>
      </c>
      <c r="H394" t="s">
        <v>35</v>
      </c>
      <c r="I394" t="s">
        <v>1130</v>
      </c>
    </row>
    <row r="395" spans="1:9" x14ac:dyDescent="0.2">
      <c r="A395" t="s">
        <v>625</v>
      </c>
      <c r="B395">
        <v>58</v>
      </c>
      <c r="C395" t="s">
        <v>8</v>
      </c>
      <c r="D395" t="s">
        <v>8</v>
      </c>
      <c r="E395" t="s">
        <v>8</v>
      </c>
      <c r="F395">
        <v>4</v>
      </c>
      <c r="G395">
        <v>2</v>
      </c>
      <c r="H395" t="s">
        <v>35</v>
      </c>
      <c r="I395" t="s">
        <v>1130</v>
      </c>
    </row>
    <row r="396" spans="1:9" x14ac:dyDescent="0.2">
      <c r="A396" t="s">
        <v>624</v>
      </c>
      <c r="B396">
        <v>59</v>
      </c>
      <c r="C396" t="s">
        <v>8</v>
      </c>
      <c r="D396" t="s">
        <v>8</v>
      </c>
      <c r="E396" t="s">
        <v>8</v>
      </c>
      <c r="F396">
        <v>2</v>
      </c>
      <c r="G396">
        <v>3</v>
      </c>
      <c r="H396" t="s">
        <v>35</v>
      </c>
      <c r="I396" t="s">
        <v>1130</v>
      </c>
    </row>
    <row r="397" spans="1:9" x14ac:dyDescent="0.2">
      <c r="A397" t="s">
        <v>623</v>
      </c>
      <c r="B397">
        <v>60</v>
      </c>
      <c r="C397" t="s">
        <v>8</v>
      </c>
      <c r="D397" t="s">
        <v>8</v>
      </c>
      <c r="E397" t="s">
        <v>8</v>
      </c>
      <c r="F397">
        <v>3</v>
      </c>
      <c r="G397">
        <v>3</v>
      </c>
      <c r="H397" t="s">
        <v>35</v>
      </c>
      <c r="I397" t="s">
        <v>1130</v>
      </c>
    </row>
    <row r="398" spans="1:9" x14ac:dyDescent="0.2">
      <c r="A398" t="s">
        <v>622</v>
      </c>
      <c r="B398">
        <v>61</v>
      </c>
      <c r="C398" t="s">
        <v>9</v>
      </c>
      <c r="D398" t="s">
        <v>8</v>
      </c>
      <c r="E398" t="s">
        <v>8</v>
      </c>
      <c r="F398">
        <v>4</v>
      </c>
      <c r="G398">
        <v>3</v>
      </c>
      <c r="H398" t="s">
        <v>35</v>
      </c>
      <c r="I398" t="s">
        <v>1130</v>
      </c>
    </row>
    <row r="399" spans="1:9" x14ac:dyDescent="0.2">
      <c r="A399" t="s">
        <v>621</v>
      </c>
      <c r="B399">
        <v>62</v>
      </c>
      <c r="C399" t="s">
        <v>9</v>
      </c>
      <c r="D399" t="s">
        <v>8</v>
      </c>
      <c r="E399" t="s">
        <v>9</v>
      </c>
      <c r="F399">
        <v>4</v>
      </c>
      <c r="G399">
        <v>3</v>
      </c>
      <c r="H399" t="s">
        <v>35</v>
      </c>
      <c r="I399" t="s">
        <v>1130</v>
      </c>
    </row>
    <row r="400" spans="1:9" x14ac:dyDescent="0.2">
      <c r="A400" t="s">
        <v>620</v>
      </c>
      <c r="B400">
        <v>63</v>
      </c>
      <c r="C400" t="s">
        <v>9</v>
      </c>
      <c r="D400" t="s">
        <v>8</v>
      </c>
      <c r="E400" t="s">
        <v>8</v>
      </c>
      <c r="F400">
        <v>1</v>
      </c>
      <c r="G400">
        <v>4</v>
      </c>
      <c r="H400" t="s">
        <v>35</v>
      </c>
      <c r="I400" t="s">
        <v>1130</v>
      </c>
    </row>
    <row r="401" spans="1:9" x14ac:dyDescent="0.2">
      <c r="A401" t="s">
        <v>619</v>
      </c>
      <c r="B401">
        <v>64</v>
      </c>
      <c r="C401" t="s">
        <v>9</v>
      </c>
      <c r="D401" t="s">
        <v>8</v>
      </c>
      <c r="E401" t="s">
        <v>8</v>
      </c>
      <c r="F401">
        <v>2</v>
      </c>
      <c r="G401">
        <v>4</v>
      </c>
      <c r="H401" t="s">
        <v>35</v>
      </c>
      <c r="I401" t="s">
        <v>1130</v>
      </c>
    </row>
    <row r="402" spans="1:9" x14ac:dyDescent="0.2">
      <c r="A402" t="s">
        <v>618</v>
      </c>
      <c r="B402">
        <v>65</v>
      </c>
      <c r="C402" t="s">
        <v>9</v>
      </c>
      <c r="D402" t="s">
        <v>8</v>
      </c>
      <c r="E402" t="s">
        <v>9</v>
      </c>
      <c r="F402">
        <v>2</v>
      </c>
      <c r="G402">
        <v>4</v>
      </c>
      <c r="H402" t="s">
        <v>35</v>
      </c>
      <c r="I402" t="s">
        <v>1130</v>
      </c>
    </row>
    <row r="403" spans="1:9" x14ac:dyDescent="0.2">
      <c r="A403" t="s">
        <v>617</v>
      </c>
      <c r="B403">
        <v>66</v>
      </c>
      <c r="C403" t="s">
        <v>8</v>
      </c>
      <c r="D403" t="s">
        <v>8</v>
      </c>
      <c r="E403" t="s">
        <v>9</v>
      </c>
      <c r="F403">
        <v>4</v>
      </c>
      <c r="G403">
        <v>3</v>
      </c>
      <c r="H403" t="s">
        <v>35</v>
      </c>
      <c r="I403" t="s">
        <v>1130</v>
      </c>
    </row>
    <row r="404" spans="1:9" x14ac:dyDescent="0.2">
      <c r="A404" t="s">
        <v>616</v>
      </c>
      <c r="B404">
        <v>67</v>
      </c>
      <c r="C404" t="s">
        <v>8</v>
      </c>
      <c r="D404" t="s">
        <v>8</v>
      </c>
      <c r="E404" t="s">
        <v>9</v>
      </c>
      <c r="F404">
        <v>4</v>
      </c>
      <c r="G404">
        <v>3</v>
      </c>
      <c r="H404" t="s">
        <v>35</v>
      </c>
      <c r="I404" t="s">
        <v>1130</v>
      </c>
    </row>
    <row r="405" spans="1:9" x14ac:dyDescent="0.2">
      <c r="A405" t="s">
        <v>615</v>
      </c>
      <c r="B405">
        <v>68</v>
      </c>
      <c r="C405" t="s">
        <v>8</v>
      </c>
      <c r="D405" t="s">
        <v>8</v>
      </c>
      <c r="E405" t="s">
        <v>9</v>
      </c>
      <c r="F405">
        <v>1</v>
      </c>
      <c r="G405">
        <v>4</v>
      </c>
      <c r="H405" t="s">
        <v>35</v>
      </c>
      <c r="I405" t="s">
        <v>1130</v>
      </c>
    </row>
    <row r="406" spans="1:9" x14ac:dyDescent="0.2">
      <c r="A406" t="s">
        <v>614</v>
      </c>
      <c r="B406">
        <v>69</v>
      </c>
      <c r="C406" t="s">
        <v>8</v>
      </c>
      <c r="D406" t="s">
        <v>8</v>
      </c>
      <c r="E406" t="s">
        <v>8</v>
      </c>
      <c r="F406">
        <v>1</v>
      </c>
      <c r="G406">
        <v>4</v>
      </c>
      <c r="H406" t="s">
        <v>35</v>
      </c>
      <c r="I406" t="s">
        <v>1130</v>
      </c>
    </row>
    <row r="407" spans="1:9" x14ac:dyDescent="0.2">
      <c r="A407" t="s">
        <v>613</v>
      </c>
      <c r="B407">
        <v>70</v>
      </c>
      <c r="C407" t="s">
        <v>8</v>
      </c>
      <c r="D407" t="s">
        <v>8</v>
      </c>
      <c r="E407" t="s">
        <v>9</v>
      </c>
      <c r="F407">
        <v>3</v>
      </c>
      <c r="G407">
        <v>4</v>
      </c>
      <c r="H407" t="s">
        <v>35</v>
      </c>
      <c r="I407" t="s">
        <v>1130</v>
      </c>
    </row>
    <row r="408" spans="1:9" x14ac:dyDescent="0.2">
      <c r="A408" t="s">
        <v>612</v>
      </c>
      <c r="B408">
        <v>71</v>
      </c>
      <c r="C408" t="s">
        <v>9</v>
      </c>
      <c r="D408" t="s">
        <v>8</v>
      </c>
      <c r="E408" t="s">
        <v>9</v>
      </c>
      <c r="F408">
        <v>4</v>
      </c>
      <c r="G408">
        <v>4</v>
      </c>
      <c r="H408" t="s">
        <v>35</v>
      </c>
      <c r="I408" t="s">
        <v>1130</v>
      </c>
    </row>
    <row r="409" spans="1:9" x14ac:dyDescent="0.2">
      <c r="A409" t="s">
        <v>611</v>
      </c>
      <c r="B409">
        <v>72</v>
      </c>
      <c r="C409" t="s">
        <v>9</v>
      </c>
      <c r="D409" t="s">
        <v>8</v>
      </c>
      <c r="E409" t="s">
        <v>8</v>
      </c>
      <c r="F409">
        <v>2</v>
      </c>
      <c r="G409">
        <v>5</v>
      </c>
      <c r="H409" t="s">
        <v>35</v>
      </c>
      <c r="I409" t="s">
        <v>1130</v>
      </c>
    </row>
    <row r="410" spans="1:9" x14ac:dyDescent="0.2">
      <c r="A410" t="s">
        <v>610</v>
      </c>
      <c r="B410">
        <v>73</v>
      </c>
      <c r="C410" t="s">
        <v>9</v>
      </c>
      <c r="D410" t="s">
        <v>8</v>
      </c>
      <c r="E410" t="s">
        <v>9</v>
      </c>
      <c r="F410">
        <v>4</v>
      </c>
      <c r="G410">
        <v>5</v>
      </c>
      <c r="H410" t="s">
        <v>35</v>
      </c>
      <c r="I410" t="s">
        <v>1130</v>
      </c>
    </row>
    <row r="411" spans="1:9" x14ac:dyDescent="0.2">
      <c r="A411" t="s">
        <v>609</v>
      </c>
      <c r="B411">
        <v>74</v>
      </c>
      <c r="C411" t="s">
        <v>9</v>
      </c>
      <c r="D411" t="s">
        <v>8</v>
      </c>
      <c r="E411" t="s">
        <v>9</v>
      </c>
      <c r="F411">
        <v>4</v>
      </c>
      <c r="G411">
        <v>5</v>
      </c>
      <c r="H411" t="s">
        <v>35</v>
      </c>
      <c r="I411" t="s">
        <v>1130</v>
      </c>
    </row>
    <row r="412" spans="1:9" x14ac:dyDescent="0.2">
      <c r="A412" t="s">
        <v>608</v>
      </c>
      <c r="B412">
        <v>75</v>
      </c>
      <c r="C412" t="s">
        <v>9</v>
      </c>
      <c r="D412" t="s">
        <v>8</v>
      </c>
      <c r="E412" t="s">
        <v>8</v>
      </c>
      <c r="F412">
        <v>4</v>
      </c>
      <c r="G412">
        <v>5</v>
      </c>
      <c r="H412" t="s">
        <v>35</v>
      </c>
      <c r="I412" t="s">
        <v>1130</v>
      </c>
    </row>
    <row r="413" spans="1:9" x14ac:dyDescent="0.2">
      <c r="A413" t="s">
        <v>607</v>
      </c>
      <c r="B413">
        <v>76</v>
      </c>
      <c r="C413" t="s">
        <v>8</v>
      </c>
      <c r="D413" t="s">
        <v>8</v>
      </c>
      <c r="E413" t="s">
        <v>8</v>
      </c>
      <c r="F413">
        <v>4</v>
      </c>
      <c r="G413">
        <v>4</v>
      </c>
      <c r="H413" t="s">
        <v>35</v>
      </c>
      <c r="I413" t="s">
        <v>1130</v>
      </c>
    </row>
    <row r="414" spans="1:9" x14ac:dyDescent="0.2">
      <c r="A414" t="s">
        <v>606</v>
      </c>
      <c r="B414">
        <v>77</v>
      </c>
      <c r="C414" t="s">
        <v>8</v>
      </c>
      <c r="D414" t="s">
        <v>8</v>
      </c>
      <c r="E414" t="s">
        <v>8</v>
      </c>
      <c r="F414">
        <v>1</v>
      </c>
      <c r="G414">
        <v>5</v>
      </c>
      <c r="H414" t="s">
        <v>35</v>
      </c>
      <c r="I414" t="s">
        <v>1130</v>
      </c>
    </row>
    <row r="415" spans="1:9" x14ac:dyDescent="0.2">
      <c r="A415" t="s">
        <v>605</v>
      </c>
      <c r="B415">
        <v>78</v>
      </c>
      <c r="C415" t="s">
        <v>8</v>
      </c>
      <c r="D415" t="s">
        <v>8</v>
      </c>
      <c r="E415" t="s">
        <v>8</v>
      </c>
      <c r="F415">
        <v>1</v>
      </c>
      <c r="G415">
        <v>5</v>
      </c>
      <c r="H415" t="s">
        <v>35</v>
      </c>
      <c r="I415" t="s">
        <v>1130</v>
      </c>
    </row>
    <row r="416" spans="1:9" x14ac:dyDescent="0.2">
      <c r="A416" t="s">
        <v>604</v>
      </c>
      <c r="B416">
        <v>79</v>
      </c>
      <c r="C416" t="s">
        <v>8</v>
      </c>
      <c r="D416" t="s">
        <v>8</v>
      </c>
      <c r="E416" t="s">
        <v>9</v>
      </c>
      <c r="F416">
        <v>2</v>
      </c>
      <c r="G416">
        <v>5</v>
      </c>
      <c r="H416" t="s">
        <v>35</v>
      </c>
      <c r="I416" t="s">
        <v>1130</v>
      </c>
    </row>
    <row r="417" spans="1:9" x14ac:dyDescent="0.2">
      <c r="A417" t="s">
        <v>603</v>
      </c>
      <c r="B417">
        <v>80</v>
      </c>
      <c r="C417" t="s">
        <v>8</v>
      </c>
      <c r="D417" t="s">
        <v>8</v>
      </c>
      <c r="E417" t="s">
        <v>9</v>
      </c>
      <c r="F417">
        <v>3</v>
      </c>
      <c r="G417">
        <v>5</v>
      </c>
      <c r="H417" t="s">
        <v>35</v>
      </c>
      <c r="I417" t="s">
        <v>1130</v>
      </c>
    </row>
    <row r="418" spans="1:9" x14ac:dyDescent="0.2">
      <c r="A418" t="s">
        <v>1072</v>
      </c>
      <c r="B418" t="s">
        <v>11</v>
      </c>
      <c r="C418" t="s">
        <v>11</v>
      </c>
      <c r="D418" t="s">
        <v>11</v>
      </c>
      <c r="E418" t="s">
        <v>11</v>
      </c>
      <c r="F418" t="s">
        <v>11</v>
      </c>
      <c r="G418" t="s">
        <v>11</v>
      </c>
      <c r="H418" t="s">
        <v>11</v>
      </c>
      <c r="I418" t="s">
        <v>1128</v>
      </c>
    </row>
    <row r="419" spans="1:9" x14ac:dyDescent="0.2">
      <c r="A419" t="s">
        <v>128</v>
      </c>
      <c r="B419" t="s">
        <v>11</v>
      </c>
      <c r="C419" t="s">
        <v>11</v>
      </c>
      <c r="D419" t="s">
        <v>11</v>
      </c>
      <c r="E419" t="s">
        <v>11</v>
      </c>
      <c r="F419" t="s">
        <v>11</v>
      </c>
      <c r="G419" t="s">
        <v>11</v>
      </c>
      <c r="H419" t="s">
        <v>11</v>
      </c>
      <c r="I419" t="s">
        <v>1129</v>
      </c>
    </row>
    <row r="420" spans="1:9" x14ac:dyDescent="0.2">
      <c r="A420" t="s">
        <v>129</v>
      </c>
      <c r="B420" t="s">
        <v>11</v>
      </c>
      <c r="C420" t="s">
        <v>11</v>
      </c>
      <c r="D420" t="s">
        <v>11</v>
      </c>
      <c r="E420" t="s">
        <v>11</v>
      </c>
      <c r="F420" t="s">
        <v>11</v>
      </c>
      <c r="G420" t="s">
        <v>11</v>
      </c>
      <c r="H420" t="s">
        <v>11</v>
      </c>
      <c r="I420" t="s">
        <v>1129</v>
      </c>
    </row>
    <row r="421" spans="1:9" x14ac:dyDescent="0.2">
      <c r="A421" t="s">
        <v>166</v>
      </c>
      <c r="B421" t="s">
        <v>11</v>
      </c>
      <c r="C421" t="s">
        <v>11</v>
      </c>
      <c r="D421" t="s">
        <v>11</v>
      </c>
      <c r="E421" t="s">
        <v>11</v>
      </c>
      <c r="F421" t="s">
        <v>11</v>
      </c>
      <c r="G421" t="s">
        <v>11</v>
      </c>
      <c r="H421" t="s">
        <v>11</v>
      </c>
      <c r="I421" t="s">
        <v>1129</v>
      </c>
    </row>
    <row r="422" spans="1:9" x14ac:dyDescent="0.2">
      <c r="A422" t="s">
        <v>167</v>
      </c>
      <c r="B422" t="s">
        <v>11</v>
      </c>
      <c r="C422" t="s">
        <v>11</v>
      </c>
      <c r="D422" t="s">
        <v>11</v>
      </c>
      <c r="E422" t="s">
        <v>11</v>
      </c>
      <c r="F422" t="s">
        <v>11</v>
      </c>
      <c r="G422" t="s">
        <v>11</v>
      </c>
      <c r="H422" t="s">
        <v>11</v>
      </c>
      <c r="I422" t="s">
        <v>1129</v>
      </c>
    </row>
  </sheetData>
  <sortState xmlns:xlrd2="http://schemas.microsoft.com/office/spreadsheetml/2017/richdata2" ref="A2:I422">
    <sortCondition ref="H2:H42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13"/>
  <sheetViews>
    <sheetView zoomScaleNormal="100" workbookViewId="0">
      <pane xSplit="2" ySplit="1" topLeftCell="C2" activePane="bottomRight" state="frozen"/>
      <selection pane="topRight" activeCell="B1" sqref="B1"/>
      <selection pane="bottomLeft" activeCell="A2" sqref="A2"/>
      <selection pane="bottomRight" activeCell="C8" sqref="C8"/>
    </sheetView>
  </sheetViews>
  <sheetFormatPr baseColWidth="10" defaultColWidth="8.83203125" defaultRowHeight="15" x14ac:dyDescent="0.2"/>
  <cols>
    <col min="1" max="1" width="17.1640625" customWidth="1"/>
    <col min="2" max="2" width="18" customWidth="1"/>
    <col min="3" max="3" width="15.5" customWidth="1"/>
    <col min="4" max="5" width="18.5" customWidth="1"/>
    <col min="6" max="6" width="10.83203125" customWidth="1"/>
    <col min="7" max="7" width="12.33203125" customWidth="1"/>
    <col min="8" max="8" width="18" customWidth="1"/>
    <col min="9" max="9" width="12.5" customWidth="1"/>
    <col min="10" max="10" width="11.83203125" customWidth="1"/>
    <col min="11" max="11" width="8.1640625" customWidth="1"/>
  </cols>
  <sheetData>
    <row r="1" spans="1:11" x14ac:dyDescent="0.2">
      <c r="A1" s="2" t="s">
        <v>923</v>
      </c>
      <c r="B1" s="2" t="s">
        <v>924</v>
      </c>
      <c r="C1" s="2" t="s">
        <v>925</v>
      </c>
      <c r="D1" s="2" t="s">
        <v>933</v>
      </c>
      <c r="E1" s="16" t="s">
        <v>928</v>
      </c>
      <c r="F1" s="2" t="s">
        <v>930</v>
      </c>
      <c r="G1" s="2" t="s">
        <v>931</v>
      </c>
      <c r="H1" s="2" t="s">
        <v>929</v>
      </c>
      <c r="I1" s="2" t="s">
        <v>926</v>
      </c>
      <c r="J1" s="2" t="s">
        <v>927</v>
      </c>
      <c r="K1" s="2" t="s">
        <v>71</v>
      </c>
    </row>
    <row r="2" spans="1:11" x14ac:dyDescent="0.2">
      <c r="A2" t="s">
        <v>302</v>
      </c>
      <c r="B2" t="s">
        <v>302</v>
      </c>
      <c r="C2" t="s">
        <v>11</v>
      </c>
      <c r="D2">
        <v>4.3499999999999996</v>
      </c>
      <c r="E2" s="1">
        <v>43431</v>
      </c>
      <c r="F2" t="s">
        <v>932</v>
      </c>
      <c r="G2" s="1">
        <v>43782</v>
      </c>
      <c r="H2" t="s">
        <v>11</v>
      </c>
      <c r="I2" t="s">
        <v>11</v>
      </c>
      <c r="J2" t="s">
        <v>11</v>
      </c>
      <c r="K2" t="s">
        <v>316</v>
      </c>
    </row>
    <row r="3" spans="1:11" x14ac:dyDescent="0.2">
      <c r="A3" t="s">
        <v>303</v>
      </c>
      <c r="B3" t="s">
        <v>303</v>
      </c>
      <c r="C3" t="s">
        <v>11</v>
      </c>
      <c r="D3">
        <v>4.93</v>
      </c>
      <c r="E3" s="1">
        <v>43431</v>
      </c>
      <c r="F3" t="s">
        <v>932</v>
      </c>
      <c r="G3" s="1">
        <v>43782</v>
      </c>
      <c r="H3" t="s">
        <v>11</v>
      </c>
      <c r="I3" t="s">
        <v>11</v>
      </c>
      <c r="J3" t="s">
        <v>11</v>
      </c>
      <c r="K3" t="s">
        <v>316</v>
      </c>
    </row>
    <row r="4" spans="1:11" x14ac:dyDescent="0.2">
      <c r="A4" t="s">
        <v>760</v>
      </c>
      <c r="B4" t="s">
        <v>228</v>
      </c>
      <c r="C4" t="s">
        <v>458</v>
      </c>
      <c r="D4">
        <v>6.4</v>
      </c>
      <c r="E4" s="1">
        <v>43410</v>
      </c>
      <c r="F4" t="s">
        <v>932</v>
      </c>
      <c r="G4" s="1">
        <v>43782</v>
      </c>
      <c r="H4" s="1">
        <v>43421</v>
      </c>
      <c r="I4" s="1">
        <v>43542</v>
      </c>
      <c r="J4" s="1">
        <v>43544</v>
      </c>
      <c r="K4" t="s">
        <v>319</v>
      </c>
    </row>
    <row r="5" spans="1:11" x14ac:dyDescent="0.2">
      <c r="A5" t="s">
        <v>600</v>
      </c>
      <c r="B5" t="s">
        <v>276</v>
      </c>
      <c r="C5" t="s">
        <v>459</v>
      </c>
      <c r="D5">
        <v>5.68</v>
      </c>
      <c r="E5" s="1">
        <v>43423</v>
      </c>
      <c r="F5" t="s">
        <v>932</v>
      </c>
      <c r="G5" s="1">
        <v>43782</v>
      </c>
      <c r="H5" s="1">
        <v>43497</v>
      </c>
      <c r="I5" s="1">
        <v>43544</v>
      </c>
      <c r="J5" s="1">
        <v>43544</v>
      </c>
      <c r="K5" t="s">
        <v>319</v>
      </c>
    </row>
    <row r="6" spans="1:11" x14ac:dyDescent="0.2">
      <c r="A6" t="s">
        <v>840</v>
      </c>
      <c r="B6" t="s">
        <v>204</v>
      </c>
      <c r="C6" t="s">
        <v>460</v>
      </c>
      <c r="D6">
        <v>7.1</v>
      </c>
      <c r="E6" s="1">
        <v>43018</v>
      </c>
      <c r="F6" t="s">
        <v>932</v>
      </c>
      <c r="G6" s="1">
        <v>43782</v>
      </c>
      <c r="H6" s="1">
        <v>43375</v>
      </c>
      <c r="I6" s="1">
        <v>43542</v>
      </c>
      <c r="J6" s="1">
        <v>43544</v>
      </c>
      <c r="K6" t="s">
        <v>319</v>
      </c>
    </row>
    <row r="7" spans="1:11" x14ac:dyDescent="0.2">
      <c r="A7" t="s">
        <v>680</v>
      </c>
      <c r="B7" t="s">
        <v>252</v>
      </c>
      <c r="C7" t="s">
        <v>461</v>
      </c>
      <c r="D7">
        <v>5.13</v>
      </c>
      <c r="E7" s="1">
        <v>43418</v>
      </c>
      <c r="F7" t="s">
        <v>932</v>
      </c>
      <c r="G7" s="1">
        <v>43782</v>
      </c>
      <c r="H7" s="1">
        <v>43452</v>
      </c>
      <c r="I7" s="1">
        <v>43543</v>
      </c>
      <c r="J7" s="1">
        <v>43544</v>
      </c>
      <c r="K7" t="s">
        <v>319</v>
      </c>
    </row>
    <row r="8" spans="1:11" x14ac:dyDescent="0.2">
      <c r="A8" t="s">
        <v>312</v>
      </c>
      <c r="B8" t="s">
        <v>312</v>
      </c>
      <c r="C8" t="s">
        <v>11</v>
      </c>
      <c r="D8">
        <v>5.29</v>
      </c>
      <c r="E8" s="1">
        <v>43431</v>
      </c>
      <c r="F8" t="s">
        <v>932</v>
      </c>
      <c r="G8" s="1">
        <v>43782</v>
      </c>
      <c r="H8" t="s">
        <v>11</v>
      </c>
      <c r="I8" t="s">
        <v>11</v>
      </c>
      <c r="J8" t="s">
        <v>11</v>
      </c>
      <c r="K8" t="s">
        <v>316</v>
      </c>
    </row>
    <row r="9" spans="1:11" x14ac:dyDescent="0.2">
      <c r="A9" t="s">
        <v>313</v>
      </c>
      <c r="B9" t="s">
        <v>313</v>
      </c>
      <c r="C9" t="s">
        <v>11</v>
      </c>
      <c r="D9">
        <v>6.57</v>
      </c>
      <c r="E9" s="1">
        <v>43431</v>
      </c>
      <c r="F9" t="s">
        <v>932</v>
      </c>
      <c r="G9" s="1">
        <v>43782</v>
      </c>
      <c r="H9" t="s">
        <v>11</v>
      </c>
      <c r="I9" t="s">
        <v>11</v>
      </c>
      <c r="J9" t="s">
        <v>11</v>
      </c>
      <c r="K9" t="s">
        <v>316</v>
      </c>
    </row>
    <row r="10" spans="1:11" x14ac:dyDescent="0.2">
      <c r="A10" t="s">
        <v>759</v>
      </c>
      <c r="B10" t="s">
        <v>229</v>
      </c>
      <c r="C10" t="s">
        <v>478</v>
      </c>
      <c r="D10">
        <v>5.09</v>
      </c>
      <c r="E10" s="1">
        <v>43410</v>
      </c>
      <c r="F10" t="s">
        <v>932</v>
      </c>
      <c r="G10" s="1">
        <v>43782</v>
      </c>
      <c r="H10" s="1">
        <v>43421</v>
      </c>
      <c r="I10" s="1">
        <v>43542</v>
      </c>
      <c r="J10" s="1">
        <v>43544</v>
      </c>
      <c r="K10" t="s">
        <v>319</v>
      </c>
    </row>
    <row r="11" spans="1:11" x14ac:dyDescent="0.2">
      <c r="A11" t="s">
        <v>599</v>
      </c>
      <c r="B11" t="s">
        <v>277</v>
      </c>
      <c r="C11" t="s">
        <v>479</v>
      </c>
      <c r="D11">
        <v>4.92</v>
      </c>
      <c r="E11" s="1">
        <v>43423</v>
      </c>
      <c r="F11" t="s">
        <v>932</v>
      </c>
      <c r="G11" s="1">
        <v>43782</v>
      </c>
      <c r="H11" s="1">
        <v>43497</v>
      </c>
      <c r="I11" s="1">
        <v>43544</v>
      </c>
      <c r="J11" s="1">
        <v>43544</v>
      </c>
      <c r="K11" t="s">
        <v>319</v>
      </c>
    </row>
    <row r="12" spans="1:11" x14ac:dyDescent="0.2">
      <c r="A12" t="s">
        <v>839</v>
      </c>
      <c r="B12" t="s">
        <v>205</v>
      </c>
      <c r="C12" t="s">
        <v>480</v>
      </c>
      <c r="D12">
        <v>6.44</v>
      </c>
      <c r="E12" s="1">
        <v>43397</v>
      </c>
      <c r="F12" t="s">
        <v>932</v>
      </c>
      <c r="G12" s="1">
        <v>43782</v>
      </c>
      <c r="H12" s="1">
        <v>43375</v>
      </c>
      <c r="I12" s="1">
        <v>43542</v>
      </c>
      <c r="J12" s="1">
        <v>43544</v>
      </c>
      <c r="K12" t="s">
        <v>319</v>
      </c>
    </row>
    <row r="13" spans="1:11" x14ac:dyDescent="0.2">
      <c r="A13" t="s">
        <v>679</v>
      </c>
      <c r="B13" t="s">
        <v>253</v>
      </c>
      <c r="C13" t="s">
        <v>481</v>
      </c>
      <c r="D13">
        <v>4.6399999999999997</v>
      </c>
      <c r="E13" s="1">
        <v>43418</v>
      </c>
      <c r="F13" t="s">
        <v>932</v>
      </c>
      <c r="G13" s="1">
        <v>43782</v>
      </c>
      <c r="H13" s="1">
        <v>43445</v>
      </c>
      <c r="I13" s="1">
        <v>43543</v>
      </c>
      <c r="J13" s="1">
        <v>43544</v>
      </c>
      <c r="K13" t="s">
        <v>319</v>
      </c>
    </row>
    <row r="14" spans="1:11" x14ac:dyDescent="0.2">
      <c r="A14" t="s">
        <v>304</v>
      </c>
      <c r="B14" t="s">
        <v>304</v>
      </c>
      <c r="C14" t="s">
        <v>11</v>
      </c>
      <c r="D14">
        <v>5.93</v>
      </c>
      <c r="E14" s="1">
        <v>43431</v>
      </c>
      <c r="F14" t="s">
        <v>932</v>
      </c>
      <c r="G14" s="1">
        <v>43782</v>
      </c>
      <c r="H14" t="s">
        <v>11</v>
      </c>
      <c r="I14" t="s">
        <v>11</v>
      </c>
      <c r="J14" t="s">
        <v>11</v>
      </c>
      <c r="K14" t="s">
        <v>316</v>
      </c>
    </row>
    <row r="15" spans="1:11" x14ac:dyDescent="0.2">
      <c r="A15" t="s">
        <v>305</v>
      </c>
      <c r="B15" t="s">
        <v>305</v>
      </c>
      <c r="C15" t="s">
        <v>11</v>
      </c>
      <c r="D15">
        <v>5</v>
      </c>
      <c r="E15" s="1">
        <v>43431</v>
      </c>
      <c r="F15" t="s">
        <v>932</v>
      </c>
      <c r="G15" s="1">
        <v>43782</v>
      </c>
      <c r="H15" t="s">
        <v>11</v>
      </c>
      <c r="I15" t="s">
        <v>11</v>
      </c>
      <c r="J15" t="s">
        <v>11</v>
      </c>
      <c r="K15" t="s">
        <v>316</v>
      </c>
    </row>
    <row r="16" spans="1:11" x14ac:dyDescent="0.2">
      <c r="A16" t="s">
        <v>300</v>
      </c>
      <c r="B16" t="s">
        <v>300</v>
      </c>
      <c r="C16" t="s">
        <v>11</v>
      </c>
      <c r="D16">
        <v>5.32</v>
      </c>
      <c r="E16" s="1">
        <v>43431</v>
      </c>
      <c r="F16" t="s">
        <v>932</v>
      </c>
      <c r="G16" s="1">
        <v>43782</v>
      </c>
      <c r="H16" t="s">
        <v>11</v>
      </c>
      <c r="I16" t="s">
        <v>11</v>
      </c>
      <c r="J16" t="s">
        <v>11</v>
      </c>
      <c r="K16" t="s">
        <v>316</v>
      </c>
    </row>
    <row r="17" spans="1:11" x14ac:dyDescent="0.2">
      <c r="A17" t="s">
        <v>301</v>
      </c>
      <c r="B17" t="s">
        <v>301</v>
      </c>
      <c r="C17" t="s">
        <v>11</v>
      </c>
      <c r="D17">
        <v>5.04</v>
      </c>
      <c r="E17" s="1">
        <v>43431</v>
      </c>
      <c r="F17" t="s">
        <v>932</v>
      </c>
      <c r="G17" s="1">
        <v>43782</v>
      </c>
      <c r="H17" t="s">
        <v>11</v>
      </c>
      <c r="I17" t="s">
        <v>11</v>
      </c>
      <c r="J17" t="s">
        <v>11</v>
      </c>
      <c r="K17" t="s">
        <v>316</v>
      </c>
    </row>
    <row r="18" spans="1:11" x14ac:dyDescent="0.2">
      <c r="A18" t="s">
        <v>314</v>
      </c>
      <c r="B18" t="s">
        <v>314</v>
      </c>
      <c r="C18" t="s">
        <v>11</v>
      </c>
      <c r="D18">
        <v>7.22</v>
      </c>
      <c r="E18" s="1">
        <v>43431</v>
      </c>
      <c r="F18" t="s">
        <v>932</v>
      </c>
      <c r="G18" s="1">
        <v>43782</v>
      </c>
      <c r="H18" t="s">
        <v>11</v>
      </c>
      <c r="I18" t="s">
        <v>11</v>
      </c>
      <c r="J18" t="s">
        <v>11</v>
      </c>
      <c r="K18" t="s">
        <v>316</v>
      </c>
    </row>
    <row r="19" spans="1:11" x14ac:dyDescent="0.2">
      <c r="A19" t="s">
        <v>315</v>
      </c>
      <c r="B19" t="s">
        <v>315</v>
      </c>
      <c r="C19" t="s">
        <v>11</v>
      </c>
      <c r="D19">
        <v>4.68</v>
      </c>
      <c r="E19" s="1">
        <v>43431</v>
      </c>
      <c r="F19" t="s">
        <v>932</v>
      </c>
      <c r="G19" s="1">
        <v>43782</v>
      </c>
      <c r="H19" t="s">
        <v>11</v>
      </c>
      <c r="I19" t="s">
        <v>11</v>
      </c>
      <c r="J19" t="s">
        <v>11</v>
      </c>
      <c r="K19" t="s">
        <v>316</v>
      </c>
    </row>
    <row r="20" spans="1:11" x14ac:dyDescent="0.2">
      <c r="A20" t="s">
        <v>306</v>
      </c>
      <c r="B20" t="s">
        <v>306</v>
      </c>
      <c r="C20" t="s">
        <v>11</v>
      </c>
      <c r="D20">
        <v>5.87</v>
      </c>
      <c r="E20" s="1">
        <v>43431</v>
      </c>
      <c r="F20" t="s">
        <v>932</v>
      </c>
      <c r="G20" s="1">
        <v>43782</v>
      </c>
      <c r="H20" t="s">
        <v>11</v>
      </c>
      <c r="I20" t="s">
        <v>11</v>
      </c>
      <c r="J20" t="s">
        <v>11</v>
      </c>
      <c r="K20" t="s">
        <v>316</v>
      </c>
    </row>
    <row r="21" spans="1:11" x14ac:dyDescent="0.2">
      <c r="A21" t="s">
        <v>307</v>
      </c>
      <c r="B21" t="s">
        <v>307</v>
      </c>
      <c r="C21" t="s">
        <v>11</v>
      </c>
      <c r="D21">
        <v>6.53</v>
      </c>
      <c r="E21" s="1">
        <v>43431</v>
      </c>
      <c r="F21" t="s">
        <v>932</v>
      </c>
      <c r="G21" s="1">
        <v>43782</v>
      </c>
      <c r="H21" t="s">
        <v>11</v>
      </c>
      <c r="I21" t="s">
        <v>11</v>
      </c>
      <c r="J21" t="s">
        <v>11</v>
      </c>
      <c r="K21" t="s">
        <v>316</v>
      </c>
    </row>
    <row r="22" spans="1:11" x14ac:dyDescent="0.2">
      <c r="A22" t="s">
        <v>755</v>
      </c>
      <c r="B22" t="s">
        <v>142</v>
      </c>
      <c r="C22" t="s">
        <v>370</v>
      </c>
      <c r="D22">
        <v>4.53</v>
      </c>
      <c r="E22" s="1">
        <v>43474</v>
      </c>
      <c r="F22" t="s">
        <v>932</v>
      </c>
      <c r="G22" s="1">
        <v>43782</v>
      </c>
      <c r="H22" s="1">
        <v>43546</v>
      </c>
      <c r="I22" s="1">
        <v>43586</v>
      </c>
      <c r="J22" s="1">
        <v>43588</v>
      </c>
      <c r="K22" t="s">
        <v>317</v>
      </c>
    </row>
    <row r="23" spans="1:11" x14ac:dyDescent="0.2">
      <c r="A23" t="s">
        <v>755</v>
      </c>
      <c r="B23" t="s">
        <v>180</v>
      </c>
      <c r="C23" t="s">
        <v>418</v>
      </c>
      <c r="D23">
        <v>3.49</v>
      </c>
      <c r="E23" s="1">
        <v>43630</v>
      </c>
      <c r="F23" t="s">
        <v>932</v>
      </c>
      <c r="G23" s="1">
        <v>43782</v>
      </c>
      <c r="H23" s="1">
        <v>43570</v>
      </c>
      <c r="I23" s="1">
        <v>43587</v>
      </c>
      <c r="J23" s="1">
        <v>43588</v>
      </c>
      <c r="K23" t="s">
        <v>318</v>
      </c>
    </row>
    <row r="24" spans="1:11" x14ac:dyDescent="0.2">
      <c r="A24" t="s">
        <v>755</v>
      </c>
      <c r="B24" t="s">
        <v>230</v>
      </c>
      <c r="C24" t="s">
        <v>514</v>
      </c>
      <c r="D24">
        <v>7.84</v>
      </c>
      <c r="E24" s="1">
        <v>43410</v>
      </c>
      <c r="F24" t="s">
        <v>932</v>
      </c>
      <c r="G24" s="1">
        <v>43782</v>
      </c>
      <c r="H24" s="1">
        <v>43423</v>
      </c>
      <c r="I24" s="1">
        <v>43543</v>
      </c>
      <c r="J24" s="1">
        <v>43544</v>
      </c>
      <c r="K24" t="s">
        <v>319</v>
      </c>
    </row>
    <row r="25" spans="1:11" x14ac:dyDescent="0.2">
      <c r="A25" t="s">
        <v>595</v>
      </c>
      <c r="B25" t="s">
        <v>127</v>
      </c>
      <c r="C25" t="s">
        <v>371</v>
      </c>
      <c r="D25">
        <v>5.6</v>
      </c>
      <c r="E25" s="1">
        <v>43656</v>
      </c>
      <c r="F25" t="s">
        <v>932</v>
      </c>
      <c r="G25" s="1">
        <v>43782</v>
      </c>
      <c r="H25" s="1">
        <v>43577</v>
      </c>
      <c r="I25" s="1">
        <v>43588</v>
      </c>
      <c r="J25" s="1">
        <v>43588</v>
      </c>
      <c r="K25" t="s">
        <v>317</v>
      </c>
    </row>
    <row r="26" spans="1:11" x14ac:dyDescent="0.2">
      <c r="A26" t="s">
        <v>595</v>
      </c>
      <c r="B26" t="s">
        <v>115</v>
      </c>
      <c r="C26" t="s">
        <v>419</v>
      </c>
      <c r="D26">
        <v>6.01</v>
      </c>
      <c r="E26" s="1">
        <v>43634</v>
      </c>
      <c r="F26" t="s">
        <v>932</v>
      </c>
      <c r="G26" s="1">
        <v>43782</v>
      </c>
      <c r="H26" s="1">
        <v>43586</v>
      </c>
      <c r="I26" s="1">
        <v>43588</v>
      </c>
      <c r="J26" s="1">
        <v>43588</v>
      </c>
      <c r="K26" t="s">
        <v>318</v>
      </c>
    </row>
    <row r="27" spans="1:11" x14ac:dyDescent="0.2">
      <c r="A27" t="s">
        <v>595</v>
      </c>
      <c r="B27" t="s">
        <v>278</v>
      </c>
      <c r="C27" t="s">
        <v>515</v>
      </c>
      <c r="D27">
        <v>5.92</v>
      </c>
      <c r="E27" s="1">
        <v>43423</v>
      </c>
      <c r="F27" t="s">
        <v>932</v>
      </c>
      <c r="G27" s="1">
        <v>43782</v>
      </c>
      <c r="H27" s="1">
        <v>43500</v>
      </c>
      <c r="I27" s="1">
        <v>43515</v>
      </c>
      <c r="J27" s="1">
        <v>43516</v>
      </c>
      <c r="K27" t="s">
        <v>319</v>
      </c>
    </row>
    <row r="28" spans="1:11" x14ac:dyDescent="0.2">
      <c r="A28" t="s">
        <v>835</v>
      </c>
      <c r="B28" t="s">
        <v>130</v>
      </c>
      <c r="C28" t="s">
        <v>372</v>
      </c>
      <c r="D28">
        <v>4.51</v>
      </c>
      <c r="E28" s="1">
        <v>42923</v>
      </c>
      <c r="F28" t="s">
        <v>932</v>
      </c>
      <c r="G28" s="1">
        <v>43782</v>
      </c>
      <c r="H28" s="1">
        <v>43528</v>
      </c>
      <c r="I28" s="1">
        <v>43586</v>
      </c>
      <c r="J28" s="1">
        <v>43588</v>
      </c>
      <c r="K28" t="s">
        <v>317</v>
      </c>
    </row>
    <row r="29" spans="1:11" x14ac:dyDescent="0.2">
      <c r="A29" t="s">
        <v>835</v>
      </c>
      <c r="B29" t="s">
        <v>168</v>
      </c>
      <c r="C29" t="s">
        <v>420</v>
      </c>
      <c r="D29">
        <v>4.09</v>
      </c>
      <c r="E29" s="1">
        <v>43621</v>
      </c>
      <c r="F29" t="s">
        <v>932</v>
      </c>
      <c r="G29" s="1">
        <v>43782</v>
      </c>
      <c r="H29" s="1">
        <v>43563</v>
      </c>
      <c r="I29" s="1">
        <v>43587</v>
      </c>
      <c r="J29" s="1">
        <v>43588</v>
      </c>
      <c r="K29" t="s">
        <v>318</v>
      </c>
    </row>
    <row r="30" spans="1:11" x14ac:dyDescent="0.2">
      <c r="A30" t="s">
        <v>835</v>
      </c>
      <c r="B30" t="s">
        <v>206</v>
      </c>
      <c r="C30" t="s">
        <v>516</v>
      </c>
      <c r="D30">
        <v>5.08</v>
      </c>
      <c r="E30" s="1">
        <v>43397</v>
      </c>
      <c r="F30" t="s">
        <v>932</v>
      </c>
      <c r="G30" s="1">
        <v>43782</v>
      </c>
      <c r="H30" s="1">
        <v>43417</v>
      </c>
      <c r="I30" s="1">
        <v>43542</v>
      </c>
      <c r="J30" s="1">
        <v>43544</v>
      </c>
      <c r="K30" t="s">
        <v>319</v>
      </c>
    </row>
    <row r="31" spans="1:11" x14ac:dyDescent="0.2">
      <c r="A31" t="s">
        <v>675</v>
      </c>
      <c r="B31" t="s">
        <v>154</v>
      </c>
      <c r="C31" t="s">
        <v>373</v>
      </c>
      <c r="D31">
        <v>9.36</v>
      </c>
      <c r="E31" s="1">
        <v>43623</v>
      </c>
      <c r="F31" t="s">
        <v>932</v>
      </c>
      <c r="G31" s="1">
        <v>43782</v>
      </c>
      <c r="H31" s="1">
        <v>43514</v>
      </c>
      <c r="I31" s="1">
        <v>43586</v>
      </c>
      <c r="J31" s="1">
        <v>43588</v>
      </c>
      <c r="K31" t="s">
        <v>317</v>
      </c>
    </row>
    <row r="32" spans="1:11" x14ac:dyDescent="0.2">
      <c r="A32" t="s">
        <v>675</v>
      </c>
      <c r="B32" t="s">
        <v>192</v>
      </c>
      <c r="C32" t="s">
        <v>421</v>
      </c>
      <c r="D32">
        <v>6.56</v>
      </c>
      <c r="E32" s="1">
        <v>43656</v>
      </c>
      <c r="F32" t="s">
        <v>932</v>
      </c>
      <c r="G32" s="1">
        <v>43782</v>
      </c>
      <c r="H32" s="1">
        <v>43556</v>
      </c>
      <c r="I32" s="1">
        <v>43587</v>
      </c>
      <c r="J32" s="1">
        <v>43588</v>
      </c>
      <c r="K32" t="s">
        <v>318</v>
      </c>
    </row>
    <row r="33" spans="1:11" x14ac:dyDescent="0.2">
      <c r="A33" t="s">
        <v>675</v>
      </c>
      <c r="B33" t="s">
        <v>254</v>
      </c>
      <c r="C33" t="s">
        <v>517</v>
      </c>
      <c r="D33">
        <v>6.58</v>
      </c>
      <c r="E33" s="1">
        <v>43418</v>
      </c>
      <c r="F33" t="s">
        <v>932</v>
      </c>
      <c r="G33" s="1">
        <v>43782</v>
      </c>
      <c r="H33" s="1">
        <v>43447</v>
      </c>
      <c r="I33" s="1">
        <v>43543</v>
      </c>
      <c r="J33" s="1">
        <v>43544</v>
      </c>
      <c r="K33" t="s">
        <v>319</v>
      </c>
    </row>
    <row r="34" spans="1:11" x14ac:dyDescent="0.2">
      <c r="A34" t="s">
        <v>754</v>
      </c>
      <c r="B34" t="s">
        <v>143</v>
      </c>
      <c r="C34" t="s">
        <v>374</v>
      </c>
      <c r="D34">
        <v>7.48</v>
      </c>
      <c r="E34" s="1">
        <v>43474</v>
      </c>
      <c r="F34" t="s">
        <v>932</v>
      </c>
      <c r="G34" s="1">
        <v>43782</v>
      </c>
      <c r="H34" s="1">
        <v>43546</v>
      </c>
      <c r="I34" s="1">
        <v>43586</v>
      </c>
      <c r="J34" s="1">
        <v>43588</v>
      </c>
      <c r="K34" t="s">
        <v>317</v>
      </c>
    </row>
    <row r="35" spans="1:11" x14ac:dyDescent="0.2">
      <c r="A35" t="s">
        <v>754</v>
      </c>
      <c r="B35" t="s">
        <v>181</v>
      </c>
      <c r="C35" t="s">
        <v>422</v>
      </c>
      <c r="D35">
        <v>5.94</v>
      </c>
      <c r="E35" s="1">
        <v>43656</v>
      </c>
      <c r="F35" t="s">
        <v>932</v>
      </c>
      <c r="G35" s="1">
        <v>43782</v>
      </c>
      <c r="H35" s="1">
        <v>43570</v>
      </c>
      <c r="I35" s="1">
        <v>43587</v>
      </c>
      <c r="J35" s="1">
        <v>43588</v>
      </c>
      <c r="K35" t="s">
        <v>318</v>
      </c>
    </row>
    <row r="36" spans="1:11" x14ac:dyDescent="0.2">
      <c r="A36" t="s">
        <v>754</v>
      </c>
      <c r="B36" t="s">
        <v>231</v>
      </c>
      <c r="C36" t="s">
        <v>518</v>
      </c>
      <c r="D36">
        <v>6.32</v>
      </c>
      <c r="E36" s="1">
        <v>43410</v>
      </c>
      <c r="F36" t="s">
        <v>932</v>
      </c>
      <c r="G36" s="1">
        <v>43782</v>
      </c>
      <c r="H36" s="1">
        <v>43423</v>
      </c>
      <c r="I36" s="1">
        <v>43543</v>
      </c>
      <c r="J36" s="1">
        <v>43544</v>
      </c>
      <c r="K36" t="s">
        <v>319</v>
      </c>
    </row>
    <row r="37" spans="1:11" x14ac:dyDescent="0.2">
      <c r="A37" t="s">
        <v>594</v>
      </c>
      <c r="B37" t="s">
        <v>126</v>
      </c>
      <c r="C37" t="s">
        <v>375</v>
      </c>
      <c r="D37">
        <v>8.49</v>
      </c>
      <c r="E37" s="1">
        <v>43627</v>
      </c>
      <c r="F37" t="s">
        <v>932</v>
      </c>
      <c r="G37" s="1">
        <v>43782</v>
      </c>
      <c r="H37" s="1">
        <v>43577</v>
      </c>
      <c r="I37" s="1">
        <v>43588</v>
      </c>
      <c r="J37" s="1">
        <v>43588</v>
      </c>
      <c r="K37" t="s">
        <v>317</v>
      </c>
    </row>
    <row r="38" spans="1:11" x14ac:dyDescent="0.2">
      <c r="A38" t="s">
        <v>594</v>
      </c>
      <c r="B38" t="s">
        <v>114</v>
      </c>
      <c r="C38" t="s">
        <v>423</v>
      </c>
      <c r="D38">
        <v>5.34</v>
      </c>
      <c r="E38" s="1">
        <v>43634</v>
      </c>
      <c r="F38" t="s">
        <v>932</v>
      </c>
      <c r="G38" s="1">
        <v>43782</v>
      </c>
      <c r="H38" s="1">
        <v>43586</v>
      </c>
      <c r="I38" s="1">
        <v>43588</v>
      </c>
      <c r="J38" s="1">
        <v>43588</v>
      </c>
      <c r="K38" t="s">
        <v>318</v>
      </c>
    </row>
    <row r="39" spans="1:11" x14ac:dyDescent="0.2">
      <c r="A39" t="s">
        <v>594</v>
      </c>
      <c r="B39" t="s">
        <v>279</v>
      </c>
      <c r="C39" t="s">
        <v>519</v>
      </c>
      <c r="D39">
        <v>4.72</v>
      </c>
      <c r="E39" s="1">
        <v>43423</v>
      </c>
      <c r="F39" t="s">
        <v>932</v>
      </c>
      <c r="G39" s="1">
        <v>43782</v>
      </c>
      <c r="H39" s="1">
        <v>43500</v>
      </c>
      <c r="I39" s="1">
        <v>43515</v>
      </c>
      <c r="J39" s="1">
        <v>43516</v>
      </c>
      <c r="K39" t="s">
        <v>319</v>
      </c>
    </row>
    <row r="40" spans="1:11" x14ac:dyDescent="0.2">
      <c r="A40" t="s">
        <v>834</v>
      </c>
      <c r="B40" t="s">
        <v>131</v>
      </c>
      <c r="C40" t="s">
        <v>376</v>
      </c>
      <c r="D40">
        <v>8.76</v>
      </c>
      <c r="E40" s="1">
        <v>42926</v>
      </c>
      <c r="F40" t="s">
        <v>932</v>
      </c>
      <c r="G40" s="1">
        <v>43782</v>
      </c>
      <c r="H40" s="1">
        <v>43528</v>
      </c>
      <c r="I40" s="1">
        <v>43586</v>
      </c>
      <c r="J40" s="1">
        <v>43588</v>
      </c>
      <c r="K40" t="s">
        <v>317</v>
      </c>
    </row>
    <row r="41" spans="1:11" x14ac:dyDescent="0.2">
      <c r="A41" t="s">
        <v>834</v>
      </c>
      <c r="B41" t="s">
        <v>169</v>
      </c>
      <c r="C41" t="s">
        <v>424</v>
      </c>
      <c r="D41">
        <v>7.06</v>
      </c>
      <c r="E41" s="1">
        <v>43621</v>
      </c>
      <c r="F41" t="s">
        <v>932</v>
      </c>
      <c r="G41" s="1">
        <v>43782</v>
      </c>
      <c r="H41" s="1">
        <v>43563</v>
      </c>
      <c r="I41" s="1">
        <v>43587</v>
      </c>
      <c r="J41" s="1">
        <v>43588</v>
      </c>
      <c r="K41" t="s">
        <v>318</v>
      </c>
    </row>
    <row r="42" spans="1:11" x14ac:dyDescent="0.2">
      <c r="A42" t="s">
        <v>834</v>
      </c>
      <c r="B42" t="s">
        <v>207</v>
      </c>
      <c r="C42" t="s">
        <v>520</v>
      </c>
      <c r="D42">
        <v>5.0199999999999996</v>
      </c>
      <c r="E42" s="1">
        <v>43397</v>
      </c>
      <c r="F42" t="s">
        <v>932</v>
      </c>
      <c r="G42" s="1">
        <v>43782</v>
      </c>
      <c r="H42" s="1">
        <v>43417</v>
      </c>
      <c r="I42" s="1">
        <v>43542</v>
      </c>
      <c r="J42" s="1">
        <v>43544</v>
      </c>
      <c r="K42" t="s">
        <v>319</v>
      </c>
    </row>
    <row r="43" spans="1:11" x14ac:dyDescent="0.2">
      <c r="A43" t="s">
        <v>674</v>
      </c>
      <c r="B43" t="s">
        <v>155</v>
      </c>
      <c r="C43" t="s">
        <v>377</v>
      </c>
      <c r="D43">
        <v>6.06</v>
      </c>
      <c r="E43" s="1">
        <v>43623</v>
      </c>
      <c r="F43" t="s">
        <v>932</v>
      </c>
      <c r="G43" s="1">
        <v>43782</v>
      </c>
      <c r="H43" s="1">
        <v>43514</v>
      </c>
      <c r="I43" s="1">
        <v>43586</v>
      </c>
      <c r="J43" s="1">
        <v>43588</v>
      </c>
      <c r="K43" t="s">
        <v>317</v>
      </c>
    </row>
    <row r="44" spans="1:11" x14ac:dyDescent="0.2">
      <c r="A44" t="s">
        <v>674</v>
      </c>
      <c r="B44" t="s">
        <v>193</v>
      </c>
      <c r="C44" t="s">
        <v>425</v>
      </c>
      <c r="D44">
        <v>5.75</v>
      </c>
      <c r="E44" s="1">
        <v>43630</v>
      </c>
      <c r="F44" t="s">
        <v>932</v>
      </c>
      <c r="G44" s="1">
        <v>43782</v>
      </c>
      <c r="H44" s="1">
        <v>43556</v>
      </c>
      <c r="I44" s="1">
        <v>43587</v>
      </c>
      <c r="J44" s="1">
        <v>43588</v>
      </c>
      <c r="K44" t="s">
        <v>318</v>
      </c>
    </row>
    <row r="45" spans="1:11" x14ac:dyDescent="0.2">
      <c r="A45" t="s">
        <v>674</v>
      </c>
      <c r="B45" t="s">
        <v>255</v>
      </c>
      <c r="C45" t="s">
        <v>521</v>
      </c>
      <c r="D45">
        <v>4.3600000000000003</v>
      </c>
      <c r="E45" s="1">
        <v>43418</v>
      </c>
      <c r="F45" t="s">
        <v>932</v>
      </c>
      <c r="G45" s="1">
        <v>43782</v>
      </c>
      <c r="H45" s="1">
        <v>43447</v>
      </c>
      <c r="I45" s="1">
        <v>43543</v>
      </c>
      <c r="J45" s="1">
        <v>43544</v>
      </c>
      <c r="K45" t="s">
        <v>319</v>
      </c>
    </row>
    <row r="46" spans="1:11" x14ac:dyDescent="0.2">
      <c r="A46" t="s">
        <v>308</v>
      </c>
      <c r="B46" t="s">
        <v>308</v>
      </c>
      <c r="C46" t="s">
        <v>11</v>
      </c>
      <c r="D46">
        <v>5.44</v>
      </c>
      <c r="E46" s="1">
        <v>43431</v>
      </c>
      <c r="F46" t="s">
        <v>932</v>
      </c>
      <c r="G46" s="1">
        <v>43782</v>
      </c>
      <c r="H46" t="s">
        <v>11</v>
      </c>
      <c r="I46" t="s">
        <v>11</v>
      </c>
      <c r="J46" t="s">
        <v>11</v>
      </c>
      <c r="K46" t="s">
        <v>316</v>
      </c>
    </row>
    <row r="47" spans="1:11" x14ac:dyDescent="0.2">
      <c r="A47" t="s">
        <v>309</v>
      </c>
      <c r="B47" t="s">
        <v>309</v>
      </c>
      <c r="C47" t="s">
        <v>11</v>
      </c>
      <c r="D47">
        <v>6.68</v>
      </c>
      <c r="E47" s="1">
        <v>43431</v>
      </c>
      <c r="F47" t="s">
        <v>932</v>
      </c>
      <c r="G47" s="1">
        <v>43782</v>
      </c>
      <c r="H47" t="s">
        <v>11</v>
      </c>
      <c r="I47" t="s">
        <v>11</v>
      </c>
      <c r="J47" t="s">
        <v>11</v>
      </c>
      <c r="K47" t="s">
        <v>316</v>
      </c>
    </row>
    <row r="48" spans="1:11" x14ac:dyDescent="0.2">
      <c r="A48" t="s">
        <v>310</v>
      </c>
      <c r="B48" t="s">
        <v>310</v>
      </c>
      <c r="C48" t="s">
        <v>11</v>
      </c>
      <c r="D48">
        <v>5.78</v>
      </c>
      <c r="E48" s="1">
        <v>43431</v>
      </c>
      <c r="F48" t="s">
        <v>932</v>
      </c>
      <c r="G48" s="1">
        <v>43782</v>
      </c>
      <c r="H48" t="s">
        <v>11</v>
      </c>
      <c r="I48" t="s">
        <v>11</v>
      </c>
      <c r="J48" t="s">
        <v>11</v>
      </c>
      <c r="K48" t="s">
        <v>316</v>
      </c>
    </row>
    <row r="49" spans="1:11" x14ac:dyDescent="0.2">
      <c r="A49" t="s">
        <v>311</v>
      </c>
      <c r="B49" t="s">
        <v>311</v>
      </c>
      <c r="C49" t="s">
        <v>11</v>
      </c>
      <c r="D49">
        <v>1.22</v>
      </c>
      <c r="E49" s="1">
        <v>43431</v>
      </c>
      <c r="F49" t="s">
        <v>932</v>
      </c>
      <c r="G49" s="1">
        <v>43782</v>
      </c>
      <c r="H49" t="s">
        <v>11</v>
      </c>
      <c r="I49" t="s">
        <v>11</v>
      </c>
      <c r="J49" t="s">
        <v>11</v>
      </c>
      <c r="K49" t="s">
        <v>316</v>
      </c>
    </row>
    <row r="50" spans="1:11" x14ac:dyDescent="0.2">
      <c r="A50" t="s">
        <v>744</v>
      </c>
      <c r="B50" t="s">
        <v>144</v>
      </c>
      <c r="C50" t="s">
        <v>330</v>
      </c>
      <c r="D50">
        <v>4.83</v>
      </c>
      <c r="E50" s="1">
        <v>43474</v>
      </c>
      <c r="F50" t="s">
        <v>932</v>
      </c>
      <c r="G50" s="1">
        <v>43782</v>
      </c>
      <c r="H50" s="1">
        <v>43546</v>
      </c>
      <c r="I50" s="1">
        <v>43586</v>
      </c>
      <c r="J50" s="1">
        <v>43588</v>
      </c>
      <c r="K50" t="s">
        <v>317</v>
      </c>
    </row>
    <row r="51" spans="1:11" x14ac:dyDescent="0.2">
      <c r="A51" t="s">
        <v>744</v>
      </c>
      <c r="B51" t="s">
        <v>182</v>
      </c>
      <c r="C51" t="s">
        <v>378</v>
      </c>
      <c r="D51">
        <v>7.47</v>
      </c>
      <c r="E51" s="1">
        <v>43630</v>
      </c>
      <c r="F51" t="s">
        <v>932</v>
      </c>
      <c r="G51" s="1">
        <v>43782</v>
      </c>
      <c r="H51" s="1">
        <v>43570</v>
      </c>
      <c r="I51" s="1">
        <v>43587</v>
      </c>
      <c r="J51" s="1">
        <v>43588</v>
      </c>
      <c r="K51" t="s">
        <v>318</v>
      </c>
    </row>
    <row r="52" spans="1:11" x14ac:dyDescent="0.2">
      <c r="A52" t="s">
        <v>744</v>
      </c>
      <c r="B52" t="s">
        <v>232</v>
      </c>
      <c r="C52" t="s">
        <v>426</v>
      </c>
      <c r="D52">
        <v>3.67</v>
      </c>
      <c r="E52" s="1">
        <v>43410</v>
      </c>
      <c r="F52" t="s">
        <v>932</v>
      </c>
      <c r="G52" s="1">
        <v>43782</v>
      </c>
      <c r="H52" s="1">
        <v>43423</v>
      </c>
      <c r="I52" s="1">
        <v>43543</v>
      </c>
      <c r="J52" s="1">
        <v>43544</v>
      </c>
      <c r="K52" t="s">
        <v>319</v>
      </c>
    </row>
    <row r="53" spans="1:11" x14ac:dyDescent="0.2">
      <c r="A53" t="s">
        <v>584</v>
      </c>
      <c r="B53" t="s">
        <v>125</v>
      </c>
      <c r="C53" t="s">
        <v>331</v>
      </c>
      <c r="D53">
        <v>8.91</v>
      </c>
      <c r="E53" s="1">
        <v>43627</v>
      </c>
      <c r="F53" t="s">
        <v>932</v>
      </c>
      <c r="G53" s="1">
        <v>43782</v>
      </c>
      <c r="H53" s="1">
        <v>43577</v>
      </c>
      <c r="I53" s="1">
        <v>43588</v>
      </c>
      <c r="J53" s="1">
        <v>43588</v>
      </c>
      <c r="K53" t="s">
        <v>317</v>
      </c>
    </row>
    <row r="54" spans="1:11" x14ac:dyDescent="0.2">
      <c r="A54" t="s">
        <v>584</v>
      </c>
      <c r="B54" t="s">
        <v>113</v>
      </c>
      <c r="C54" t="s">
        <v>379</v>
      </c>
      <c r="D54">
        <v>5.39</v>
      </c>
      <c r="E54" s="1">
        <v>43634</v>
      </c>
      <c r="F54" t="s">
        <v>932</v>
      </c>
      <c r="G54" s="1">
        <v>43782</v>
      </c>
      <c r="H54" s="1">
        <v>43586</v>
      </c>
      <c r="I54" s="1">
        <v>43588</v>
      </c>
      <c r="J54" s="1">
        <v>43588</v>
      </c>
      <c r="K54" t="s">
        <v>318</v>
      </c>
    </row>
    <row r="55" spans="1:11" x14ac:dyDescent="0.2">
      <c r="A55" t="s">
        <v>584</v>
      </c>
      <c r="B55" t="s">
        <v>280</v>
      </c>
      <c r="C55" t="s">
        <v>427</v>
      </c>
      <c r="D55">
        <v>4.95</v>
      </c>
      <c r="E55" s="1">
        <v>43423</v>
      </c>
      <c r="F55" t="s">
        <v>932</v>
      </c>
      <c r="G55" s="1">
        <v>43782</v>
      </c>
      <c r="H55" s="1">
        <v>43500</v>
      </c>
      <c r="I55" s="1">
        <v>43515</v>
      </c>
      <c r="J55" s="1">
        <v>43516</v>
      </c>
      <c r="K55" t="s">
        <v>319</v>
      </c>
    </row>
    <row r="56" spans="1:11" x14ac:dyDescent="0.2">
      <c r="A56" t="s">
        <v>824</v>
      </c>
      <c r="B56" t="s">
        <v>132</v>
      </c>
      <c r="C56" t="s">
        <v>332</v>
      </c>
      <c r="D56">
        <v>10.9</v>
      </c>
      <c r="E56" s="1">
        <v>42888</v>
      </c>
      <c r="F56" t="s">
        <v>932</v>
      </c>
      <c r="G56" s="1">
        <v>43782</v>
      </c>
      <c r="H56" s="1">
        <v>43528</v>
      </c>
      <c r="I56" s="1">
        <v>43586</v>
      </c>
      <c r="J56" s="1">
        <v>43588</v>
      </c>
      <c r="K56" t="s">
        <v>317</v>
      </c>
    </row>
    <row r="57" spans="1:11" x14ac:dyDescent="0.2">
      <c r="A57" t="s">
        <v>824</v>
      </c>
      <c r="B57" t="s">
        <v>170</v>
      </c>
      <c r="C57" t="s">
        <v>380</v>
      </c>
      <c r="D57">
        <v>6.34</v>
      </c>
      <c r="E57" s="1">
        <v>43621</v>
      </c>
      <c r="F57" t="s">
        <v>932</v>
      </c>
      <c r="G57" s="1">
        <v>43782</v>
      </c>
      <c r="H57" s="1">
        <v>43563</v>
      </c>
      <c r="I57" s="1">
        <v>43587</v>
      </c>
      <c r="J57" s="1">
        <v>43588</v>
      </c>
      <c r="K57" t="s">
        <v>318</v>
      </c>
    </row>
    <row r="58" spans="1:11" x14ac:dyDescent="0.2">
      <c r="A58" t="s">
        <v>824</v>
      </c>
      <c r="B58" t="s">
        <v>208</v>
      </c>
      <c r="C58" t="s">
        <v>428</v>
      </c>
      <c r="D58">
        <v>5.89</v>
      </c>
      <c r="E58" s="1">
        <v>43397</v>
      </c>
      <c r="F58" t="s">
        <v>932</v>
      </c>
      <c r="G58" s="1">
        <v>43782</v>
      </c>
      <c r="H58" s="1">
        <v>43417</v>
      </c>
      <c r="I58" s="1">
        <v>43542</v>
      </c>
      <c r="J58" s="1">
        <v>43544</v>
      </c>
      <c r="K58" t="s">
        <v>319</v>
      </c>
    </row>
    <row r="59" spans="1:11" x14ac:dyDescent="0.2">
      <c r="A59" t="s">
        <v>664</v>
      </c>
      <c r="B59" t="s">
        <v>156</v>
      </c>
      <c r="C59" t="s">
        <v>333</v>
      </c>
      <c r="D59">
        <v>14.3</v>
      </c>
      <c r="E59" s="1">
        <v>43623</v>
      </c>
      <c r="F59" t="s">
        <v>932</v>
      </c>
      <c r="G59" s="1">
        <v>43782</v>
      </c>
      <c r="H59" s="1">
        <v>43514</v>
      </c>
      <c r="I59" s="1">
        <v>43586</v>
      </c>
      <c r="J59" s="1">
        <v>43588</v>
      </c>
      <c r="K59" t="s">
        <v>317</v>
      </c>
    </row>
    <row r="60" spans="1:11" x14ac:dyDescent="0.2">
      <c r="A60" t="s">
        <v>664</v>
      </c>
      <c r="B60" t="s">
        <v>194</v>
      </c>
      <c r="C60" t="s">
        <v>381</v>
      </c>
      <c r="D60">
        <v>6.65</v>
      </c>
      <c r="E60" s="1">
        <v>43656</v>
      </c>
      <c r="F60" t="s">
        <v>932</v>
      </c>
      <c r="G60" s="1">
        <v>43782</v>
      </c>
      <c r="H60" s="1">
        <v>43556</v>
      </c>
      <c r="I60" s="1">
        <v>43587</v>
      </c>
      <c r="J60" s="1">
        <v>43588</v>
      </c>
      <c r="K60" t="s">
        <v>318</v>
      </c>
    </row>
    <row r="61" spans="1:11" x14ac:dyDescent="0.2">
      <c r="A61" t="s">
        <v>664</v>
      </c>
      <c r="B61" t="s">
        <v>256</v>
      </c>
      <c r="C61" t="s">
        <v>429</v>
      </c>
      <c r="D61">
        <v>5.6</v>
      </c>
      <c r="E61" s="1">
        <v>43418</v>
      </c>
      <c r="F61" t="s">
        <v>932</v>
      </c>
      <c r="G61" s="1">
        <v>43782</v>
      </c>
      <c r="H61" s="1">
        <v>43447</v>
      </c>
      <c r="I61" s="1">
        <v>43543</v>
      </c>
      <c r="J61" s="1">
        <v>43544</v>
      </c>
      <c r="K61" t="s">
        <v>319</v>
      </c>
    </row>
    <row r="62" spans="1:11" x14ac:dyDescent="0.2">
      <c r="A62" t="s">
        <v>742</v>
      </c>
      <c r="B62" t="s">
        <v>233</v>
      </c>
      <c r="C62" t="s">
        <v>430</v>
      </c>
      <c r="D62">
        <v>4.79</v>
      </c>
      <c r="E62" s="1">
        <v>43410</v>
      </c>
      <c r="F62" t="s">
        <v>932</v>
      </c>
      <c r="G62" s="1">
        <v>43782</v>
      </c>
      <c r="H62" s="1">
        <v>43421</v>
      </c>
      <c r="I62" s="1">
        <v>43542</v>
      </c>
      <c r="J62" s="1">
        <v>43544</v>
      </c>
      <c r="K62" t="s">
        <v>319</v>
      </c>
    </row>
    <row r="63" spans="1:11" x14ac:dyDescent="0.2">
      <c r="A63" t="s">
        <v>582</v>
      </c>
      <c r="B63" t="s">
        <v>281</v>
      </c>
      <c r="C63" t="s">
        <v>431</v>
      </c>
      <c r="D63">
        <v>6.46</v>
      </c>
      <c r="E63" s="1">
        <v>43423</v>
      </c>
      <c r="F63" t="s">
        <v>932</v>
      </c>
      <c r="G63" s="1">
        <v>43782</v>
      </c>
      <c r="H63" s="1">
        <v>43497</v>
      </c>
      <c r="I63" s="1">
        <v>43544</v>
      </c>
      <c r="J63" s="1">
        <v>43544</v>
      </c>
      <c r="K63" t="s">
        <v>319</v>
      </c>
    </row>
    <row r="64" spans="1:11" x14ac:dyDescent="0.2">
      <c r="A64" t="s">
        <v>822</v>
      </c>
      <c r="B64" t="s">
        <v>209</v>
      </c>
      <c r="C64" t="s">
        <v>432</v>
      </c>
      <c r="D64">
        <v>6.44</v>
      </c>
      <c r="E64" s="1">
        <v>43397</v>
      </c>
      <c r="F64" t="s">
        <v>932</v>
      </c>
      <c r="G64" s="1">
        <v>43782</v>
      </c>
      <c r="H64" s="1">
        <v>43375</v>
      </c>
      <c r="I64" s="1">
        <v>43542</v>
      </c>
      <c r="J64" s="1">
        <v>43544</v>
      </c>
      <c r="K64" t="s">
        <v>319</v>
      </c>
    </row>
    <row r="65" spans="1:11" x14ac:dyDescent="0.2">
      <c r="A65" t="s">
        <v>662</v>
      </c>
      <c r="B65" t="s">
        <v>257</v>
      </c>
      <c r="C65" t="s">
        <v>433</v>
      </c>
      <c r="D65">
        <v>7.6</v>
      </c>
      <c r="E65" s="1">
        <v>43418</v>
      </c>
      <c r="F65" t="s">
        <v>932</v>
      </c>
      <c r="G65" s="1">
        <v>43782</v>
      </c>
      <c r="H65" s="1">
        <v>43445</v>
      </c>
      <c r="I65" s="1">
        <v>43543</v>
      </c>
      <c r="J65" s="1">
        <v>43544</v>
      </c>
      <c r="K65" t="s">
        <v>319</v>
      </c>
    </row>
    <row r="66" spans="1:11" x14ac:dyDescent="0.2">
      <c r="A66" t="s">
        <v>741</v>
      </c>
      <c r="B66" t="s">
        <v>234</v>
      </c>
      <c r="C66" t="s">
        <v>434</v>
      </c>
      <c r="D66">
        <v>5.42</v>
      </c>
      <c r="E66" s="1">
        <v>43410</v>
      </c>
      <c r="F66" t="s">
        <v>932</v>
      </c>
      <c r="G66" s="1">
        <v>43782</v>
      </c>
      <c r="H66" s="1">
        <v>43421</v>
      </c>
      <c r="I66" s="1">
        <v>43542</v>
      </c>
      <c r="J66" s="1">
        <v>43544</v>
      </c>
      <c r="K66" t="s">
        <v>319</v>
      </c>
    </row>
    <row r="67" spans="1:11" x14ac:dyDescent="0.2">
      <c r="A67" t="s">
        <v>581</v>
      </c>
      <c r="B67" t="s">
        <v>282</v>
      </c>
      <c r="C67" t="s">
        <v>435</v>
      </c>
      <c r="D67">
        <v>5.15</v>
      </c>
      <c r="E67" s="1">
        <v>43423</v>
      </c>
      <c r="F67" t="s">
        <v>932</v>
      </c>
      <c r="G67" s="1">
        <v>43782</v>
      </c>
      <c r="H67" s="1">
        <v>43497</v>
      </c>
      <c r="I67" s="1">
        <v>43544</v>
      </c>
      <c r="J67" s="1">
        <v>43544</v>
      </c>
      <c r="K67" t="s">
        <v>319</v>
      </c>
    </row>
    <row r="68" spans="1:11" x14ac:dyDescent="0.2">
      <c r="A68" t="s">
        <v>821</v>
      </c>
      <c r="B68" t="s">
        <v>210</v>
      </c>
      <c r="C68" t="s">
        <v>436</v>
      </c>
      <c r="D68">
        <v>6.75</v>
      </c>
      <c r="E68" s="1">
        <v>43397</v>
      </c>
      <c r="F68" t="s">
        <v>932</v>
      </c>
      <c r="G68" s="1">
        <v>43782</v>
      </c>
      <c r="H68" s="1">
        <v>43375</v>
      </c>
      <c r="I68" s="1">
        <v>43542</v>
      </c>
      <c r="J68" s="1">
        <v>43544</v>
      </c>
      <c r="K68" t="s">
        <v>319</v>
      </c>
    </row>
    <row r="69" spans="1:11" x14ac:dyDescent="0.2">
      <c r="A69" t="s">
        <v>661</v>
      </c>
      <c r="B69" t="s">
        <v>258</v>
      </c>
      <c r="C69" t="s">
        <v>437</v>
      </c>
      <c r="D69">
        <v>6.11</v>
      </c>
      <c r="E69" s="1">
        <v>43418</v>
      </c>
      <c r="F69" t="s">
        <v>932</v>
      </c>
      <c r="G69" s="1">
        <v>43782</v>
      </c>
      <c r="H69" s="1">
        <v>43445</v>
      </c>
      <c r="I69" s="1">
        <v>43543</v>
      </c>
      <c r="J69" s="1">
        <v>43544</v>
      </c>
      <c r="K69" t="s">
        <v>319</v>
      </c>
    </row>
    <row r="70" spans="1:11" x14ac:dyDescent="0.2">
      <c r="A70" t="s">
        <v>740</v>
      </c>
      <c r="B70" t="s">
        <v>235</v>
      </c>
      <c r="C70" t="s">
        <v>438</v>
      </c>
      <c r="D70">
        <v>5.18</v>
      </c>
      <c r="E70" s="1">
        <v>43410</v>
      </c>
      <c r="F70" t="s">
        <v>932</v>
      </c>
      <c r="G70" s="1">
        <v>43782</v>
      </c>
      <c r="H70" s="1">
        <v>43421</v>
      </c>
      <c r="I70" s="1">
        <v>43542</v>
      </c>
      <c r="J70" s="1">
        <v>43544</v>
      </c>
      <c r="K70" t="s">
        <v>319</v>
      </c>
    </row>
    <row r="71" spans="1:11" x14ac:dyDescent="0.2">
      <c r="A71" t="s">
        <v>580</v>
      </c>
      <c r="B71" t="s">
        <v>283</v>
      </c>
      <c r="C71" t="s">
        <v>439</v>
      </c>
      <c r="D71">
        <v>5.75</v>
      </c>
      <c r="E71" s="1">
        <v>43423</v>
      </c>
      <c r="F71" t="s">
        <v>932</v>
      </c>
      <c r="G71" s="1">
        <v>43782</v>
      </c>
      <c r="H71" s="1">
        <v>43497</v>
      </c>
      <c r="I71" s="1">
        <v>43544</v>
      </c>
      <c r="J71" s="1">
        <v>43544</v>
      </c>
      <c r="K71" t="s">
        <v>319</v>
      </c>
    </row>
    <row r="72" spans="1:11" x14ac:dyDescent="0.2">
      <c r="A72" t="s">
        <v>820</v>
      </c>
      <c r="B72" t="s">
        <v>211</v>
      </c>
      <c r="C72" t="s">
        <v>440</v>
      </c>
      <c r="D72">
        <v>5.68</v>
      </c>
      <c r="E72" s="1">
        <v>43397</v>
      </c>
      <c r="F72" t="s">
        <v>932</v>
      </c>
      <c r="G72" s="1">
        <v>43782</v>
      </c>
      <c r="H72" s="1">
        <v>43375</v>
      </c>
      <c r="I72" s="1">
        <v>43542</v>
      </c>
      <c r="J72" s="1">
        <v>43544</v>
      </c>
      <c r="K72" t="s">
        <v>319</v>
      </c>
    </row>
    <row r="73" spans="1:11" x14ac:dyDescent="0.2">
      <c r="A73" t="s">
        <v>660</v>
      </c>
      <c r="B73" t="s">
        <v>259</v>
      </c>
      <c r="C73" t="s">
        <v>441</v>
      </c>
      <c r="D73">
        <v>6.53</v>
      </c>
      <c r="E73" s="1">
        <v>43418</v>
      </c>
      <c r="F73" t="s">
        <v>932</v>
      </c>
      <c r="G73" s="1">
        <v>43782</v>
      </c>
      <c r="H73" s="1">
        <v>43445</v>
      </c>
      <c r="I73" s="1">
        <v>43543</v>
      </c>
      <c r="J73" s="1">
        <v>43544</v>
      </c>
      <c r="K73" t="s">
        <v>319</v>
      </c>
    </row>
    <row r="74" spans="1:11" x14ac:dyDescent="0.2">
      <c r="A74" t="s">
        <v>736</v>
      </c>
      <c r="B74" t="s">
        <v>145</v>
      </c>
      <c r="C74" t="s">
        <v>334</v>
      </c>
      <c r="D74">
        <v>1.85</v>
      </c>
      <c r="E74" s="1">
        <v>43474</v>
      </c>
      <c r="F74" t="s">
        <v>932</v>
      </c>
      <c r="G74" s="1">
        <v>43782</v>
      </c>
      <c r="H74" s="1">
        <v>43546</v>
      </c>
      <c r="I74" s="1">
        <v>43586</v>
      </c>
      <c r="J74" s="1">
        <v>43588</v>
      </c>
      <c r="K74" t="s">
        <v>317</v>
      </c>
    </row>
    <row r="75" spans="1:11" x14ac:dyDescent="0.2">
      <c r="A75" t="s">
        <v>736</v>
      </c>
      <c r="B75" t="s">
        <v>183</v>
      </c>
      <c r="C75" t="s">
        <v>382</v>
      </c>
      <c r="D75">
        <v>7.9</v>
      </c>
      <c r="E75" s="1">
        <v>43630</v>
      </c>
      <c r="F75" t="s">
        <v>932</v>
      </c>
      <c r="G75" s="1">
        <v>43782</v>
      </c>
      <c r="H75" s="1">
        <v>43570</v>
      </c>
      <c r="I75" s="1">
        <v>43588</v>
      </c>
      <c r="J75" s="1">
        <v>43588</v>
      </c>
      <c r="K75" t="s">
        <v>318</v>
      </c>
    </row>
    <row r="76" spans="1:11" x14ac:dyDescent="0.2">
      <c r="A76" t="s">
        <v>736</v>
      </c>
      <c r="B76" t="s">
        <v>236</v>
      </c>
      <c r="C76" t="s">
        <v>442</v>
      </c>
      <c r="D76">
        <v>6.21</v>
      </c>
      <c r="E76" s="1">
        <v>43410</v>
      </c>
      <c r="F76" t="s">
        <v>932</v>
      </c>
      <c r="G76" s="1">
        <v>43782</v>
      </c>
      <c r="H76" s="1">
        <v>43423</v>
      </c>
      <c r="I76" s="1">
        <v>43543</v>
      </c>
      <c r="J76" s="1">
        <v>43544</v>
      </c>
      <c r="K76" t="s">
        <v>319</v>
      </c>
    </row>
    <row r="77" spans="1:11" x14ac:dyDescent="0.2">
      <c r="A77" t="s">
        <v>576</v>
      </c>
      <c r="B77" t="s">
        <v>124</v>
      </c>
      <c r="C77" t="s">
        <v>335</v>
      </c>
      <c r="D77">
        <v>8.8800000000000008</v>
      </c>
      <c r="E77" s="1">
        <v>43627</v>
      </c>
      <c r="F77" t="s">
        <v>932</v>
      </c>
      <c r="G77" s="1">
        <v>43782</v>
      </c>
      <c r="H77" s="1">
        <v>43577</v>
      </c>
      <c r="I77" s="1">
        <v>43588</v>
      </c>
      <c r="J77" s="1">
        <v>43588</v>
      </c>
      <c r="K77" t="s">
        <v>317</v>
      </c>
    </row>
    <row r="78" spans="1:11" x14ac:dyDescent="0.2">
      <c r="A78" t="s">
        <v>576</v>
      </c>
      <c r="B78" t="s">
        <v>112</v>
      </c>
      <c r="C78" t="s">
        <v>383</v>
      </c>
      <c r="D78">
        <v>6.87</v>
      </c>
      <c r="E78" s="1">
        <v>43634</v>
      </c>
      <c r="F78" t="s">
        <v>932</v>
      </c>
      <c r="G78" s="1">
        <v>43782</v>
      </c>
      <c r="H78" s="1">
        <v>43586</v>
      </c>
      <c r="I78" s="1">
        <v>43588</v>
      </c>
      <c r="J78" s="1">
        <v>43588</v>
      </c>
      <c r="K78" t="s">
        <v>318</v>
      </c>
    </row>
    <row r="79" spans="1:11" x14ac:dyDescent="0.2">
      <c r="A79" t="s">
        <v>576</v>
      </c>
      <c r="B79" t="s">
        <v>284</v>
      </c>
      <c r="C79" t="s">
        <v>443</v>
      </c>
      <c r="D79">
        <v>6.07</v>
      </c>
      <c r="E79" s="1">
        <v>43423</v>
      </c>
      <c r="F79" t="s">
        <v>932</v>
      </c>
      <c r="G79" s="1">
        <v>43782</v>
      </c>
      <c r="H79" s="1">
        <v>43511</v>
      </c>
      <c r="I79" s="1">
        <v>43515</v>
      </c>
      <c r="J79" s="1">
        <v>43516</v>
      </c>
      <c r="K79" t="s">
        <v>319</v>
      </c>
    </row>
    <row r="80" spans="1:11" x14ac:dyDescent="0.2">
      <c r="A80" t="s">
        <v>816</v>
      </c>
      <c r="B80" t="s">
        <v>133</v>
      </c>
      <c r="C80" t="s">
        <v>336</v>
      </c>
      <c r="D80">
        <v>8.23</v>
      </c>
      <c r="E80" s="1">
        <v>42892</v>
      </c>
      <c r="F80" t="s">
        <v>932</v>
      </c>
      <c r="G80" s="1">
        <v>43782</v>
      </c>
      <c r="H80" s="1">
        <v>43528</v>
      </c>
      <c r="I80" s="1">
        <v>43586</v>
      </c>
      <c r="J80" s="1">
        <v>43588</v>
      </c>
      <c r="K80" t="s">
        <v>317</v>
      </c>
    </row>
    <row r="81" spans="1:11" x14ac:dyDescent="0.2">
      <c r="A81" t="s">
        <v>816</v>
      </c>
      <c r="B81" t="s">
        <v>171</v>
      </c>
      <c r="C81" t="s">
        <v>384</v>
      </c>
      <c r="D81">
        <v>4.5</v>
      </c>
      <c r="E81" s="1">
        <v>43621</v>
      </c>
      <c r="F81" t="s">
        <v>932</v>
      </c>
      <c r="G81" s="1">
        <v>43782</v>
      </c>
      <c r="H81" s="1">
        <v>43563</v>
      </c>
      <c r="I81" s="1">
        <v>43587</v>
      </c>
      <c r="J81" s="1">
        <v>43588</v>
      </c>
      <c r="K81" t="s">
        <v>318</v>
      </c>
    </row>
    <row r="82" spans="1:11" x14ac:dyDescent="0.2">
      <c r="A82" t="s">
        <v>816</v>
      </c>
      <c r="B82" t="s">
        <v>212</v>
      </c>
      <c r="C82" t="s">
        <v>444</v>
      </c>
      <c r="D82">
        <v>9.33</v>
      </c>
      <c r="E82" s="1">
        <v>43397</v>
      </c>
      <c r="F82" t="s">
        <v>932</v>
      </c>
      <c r="G82" s="1">
        <v>43782</v>
      </c>
      <c r="H82" s="1">
        <v>43452</v>
      </c>
      <c r="I82" s="1">
        <v>43542</v>
      </c>
      <c r="J82" s="1">
        <v>43544</v>
      </c>
      <c r="K82" t="s">
        <v>319</v>
      </c>
    </row>
    <row r="83" spans="1:11" x14ac:dyDescent="0.2">
      <c r="A83" t="s">
        <v>656</v>
      </c>
      <c r="B83" t="s">
        <v>157</v>
      </c>
      <c r="C83" t="s">
        <v>337</v>
      </c>
      <c r="D83">
        <v>5.53</v>
      </c>
      <c r="E83" s="1">
        <v>43623</v>
      </c>
      <c r="F83" t="s">
        <v>932</v>
      </c>
      <c r="G83" s="1">
        <v>43782</v>
      </c>
      <c r="H83" s="1">
        <v>43514</v>
      </c>
      <c r="I83" s="1">
        <v>43586</v>
      </c>
      <c r="J83" s="1">
        <v>43588</v>
      </c>
      <c r="K83" t="s">
        <v>317</v>
      </c>
    </row>
    <row r="84" spans="1:11" x14ac:dyDescent="0.2">
      <c r="A84" t="s">
        <v>656</v>
      </c>
      <c r="B84" t="s">
        <v>195</v>
      </c>
      <c r="C84" t="s">
        <v>385</v>
      </c>
      <c r="D84">
        <v>6.74</v>
      </c>
      <c r="E84" s="1">
        <v>43634</v>
      </c>
      <c r="F84" t="s">
        <v>932</v>
      </c>
      <c r="G84" s="1">
        <v>43782</v>
      </c>
      <c r="H84" s="1">
        <v>43556</v>
      </c>
      <c r="I84" s="1">
        <v>43587</v>
      </c>
      <c r="J84" s="1">
        <v>43588</v>
      </c>
      <c r="K84" t="s">
        <v>318</v>
      </c>
    </row>
    <row r="85" spans="1:11" x14ac:dyDescent="0.2">
      <c r="A85" t="s">
        <v>656</v>
      </c>
      <c r="B85" t="s">
        <v>260</v>
      </c>
      <c r="C85" t="s">
        <v>445</v>
      </c>
      <c r="D85">
        <v>6.65</v>
      </c>
      <c r="E85" s="1">
        <v>43418</v>
      </c>
      <c r="F85" t="s">
        <v>932</v>
      </c>
      <c r="G85" s="1">
        <v>43782</v>
      </c>
      <c r="H85" s="1">
        <v>43447</v>
      </c>
      <c r="I85" s="1">
        <v>43544</v>
      </c>
      <c r="J85" s="1">
        <v>43544</v>
      </c>
      <c r="K85" t="s">
        <v>319</v>
      </c>
    </row>
    <row r="86" spans="1:11" x14ac:dyDescent="0.2">
      <c r="A86" t="s">
        <v>734</v>
      </c>
      <c r="B86" t="s">
        <v>146</v>
      </c>
      <c r="C86" t="s">
        <v>338</v>
      </c>
      <c r="D86">
        <v>8.25</v>
      </c>
      <c r="E86" s="1">
        <v>43474</v>
      </c>
      <c r="F86" t="s">
        <v>932</v>
      </c>
      <c r="G86" s="1">
        <v>43782</v>
      </c>
      <c r="H86" s="1">
        <v>43546</v>
      </c>
      <c r="I86" s="1">
        <v>43586</v>
      </c>
      <c r="J86" s="1">
        <v>43588</v>
      </c>
      <c r="K86" t="s">
        <v>317</v>
      </c>
    </row>
    <row r="87" spans="1:11" x14ac:dyDescent="0.2">
      <c r="A87" t="s">
        <v>734</v>
      </c>
      <c r="B87" t="s">
        <v>184</v>
      </c>
      <c r="C87" t="s">
        <v>386</v>
      </c>
      <c r="D87">
        <v>7.61</v>
      </c>
      <c r="E87" s="1">
        <v>43627</v>
      </c>
      <c r="F87" t="s">
        <v>932</v>
      </c>
      <c r="G87" s="1">
        <v>43782</v>
      </c>
      <c r="H87" s="1">
        <v>43570</v>
      </c>
      <c r="I87" s="1">
        <v>43588</v>
      </c>
      <c r="J87" s="1">
        <v>43588</v>
      </c>
      <c r="K87" t="s">
        <v>318</v>
      </c>
    </row>
    <row r="88" spans="1:11" x14ac:dyDescent="0.2">
      <c r="A88" t="s">
        <v>734</v>
      </c>
      <c r="B88" t="s">
        <v>237</v>
      </c>
      <c r="C88" t="s">
        <v>446</v>
      </c>
      <c r="D88">
        <v>6.26</v>
      </c>
      <c r="E88" s="1">
        <v>43410</v>
      </c>
      <c r="F88" t="s">
        <v>932</v>
      </c>
      <c r="G88" s="1">
        <v>43788</v>
      </c>
      <c r="H88" s="1">
        <v>43423</v>
      </c>
      <c r="I88" s="1">
        <v>43543</v>
      </c>
      <c r="J88" s="1">
        <v>43544</v>
      </c>
      <c r="K88" t="s">
        <v>319</v>
      </c>
    </row>
    <row r="89" spans="1:11" x14ac:dyDescent="0.2">
      <c r="A89" t="s">
        <v>574</v>
      </c>
      <c r="B89" t="s">
        <v>123</v>
      </c>
      <c r="C89" t="s">
        <v>339</v>
      </c>
      <c r="D89">
        <v>9.83</v>
      </c>
      <c r="E89" s="1">
        <v>43630</v>
      </c>
      <c r="F89" t="s">
        <v>932</v>
      </c>
      <c r="G89" s="1">
        <v>43782</v>
      </c>
      <c r="H89" s="1">
        <v>43577</v>
      </c>
      <c r="I89" s="1">
        <v>43588</v>
      </c>
      <c r="J89" s="1">
        <v>43588</v>
      </c>
      <c r="K89" t="s">
        <v>317</v>
      </c>
    </row>
    <row r="90" spans="1:11" x14ac:dyDescent="0.2">
      <c r="A90" t="s">
        <v>574</v>
      </c>
      <c r="B90" t="s">
        <v>111</v>
      </c>
      <c r="C90" t="s">
        <v>387</v>
      </c>
      <c r="D90">
        <v>7.96</v>
      </c>
      <c r="E90" s="1">
        <v>43634</v>
      </c>
      <c r="F90" t="s">
        <v>932</v>
      </c>
      <c r="G90" s="1">
        <v>43782</v>
      </c>
      <c r="H90" s="1">
        <v>43586</v>
      </c>
      <c r="I90" s="1">
        <v>43588</v>
      </c>
      <c r="J90" s="1">
        <v>43588</v>
      </c>
      <c r="K90" t="s">
        <v>318</v>
      </c>
    </row>
    <row r="91" spans="1:11" x14ac:dyDescent="0.2">
      <c r="A91" t="s">
        <v>574</v>
      </c>
      <c r="B91" t="s">
        <v>285</v>
      </c>
      <c r="C91" t="s">
        <v>447</v>
      </c>
      <c r="D91">
        <v>0.86399999999999999</v>
      </c>
      <c r="E91" s="1">
        <v>43423</v>
      </c>
      <c r="F91" t="s">
        <v>932</v>
      </c>
      <c r="G91" s="1">
        <v>43782</v>
      </c>
      <c r="H91" s="1">
        <v>43500</v>
      </c>
      <c r="I91" s="1">
        <v>43515</v>
      </c>
      <c r="J91" s="1">
        <v>43516</v>
      </c>
      <c r="K91" t="s">
        <v>319</v>
      </c>
    </row>
    <row r="92" spans="1:11" x14ac:dyDescent="0.2">
      <c r="A92" t="s">
        <v>814</v>
      </c>
      <c r="B92" t="s">
        <v>134</v>
      </c>
      <c r="C92" t="s">
        <v>340</v>
      </c>
      <c r="D92">
        <v>12.7</v>
      </c>
      <c r="E92" s="1">
        <v>42892</v>
      </c>
      <c r="F92" t="s">
        <v>932</v>
      </c>
      <c r="G92" s="1">
        <v>43782</v>
      </c>
      <c r="H92" s="1">
        <v>43528</v>
      </c>
      <c r="I92" s="1">
        <v>43586</v>
      </c>
      <c r="J92" s="1">
        <v>43588</v>
      </c>
      <c r="K92" t="s">
        <v>317</v>
      </c>
    </row>
    <row r="93" spans="1:11" x14ac:dyDescent="0.2">
      <c r="A93" t="s">
        <v>814</v>
      </c>
      <c r="B93" t="s">
        <v>172</v>
      </c>
      <c r="C93" t="s">
        <v>388</v>
      </c>
      <c r="D93">
        <v>6.32</v>
      </c>
      <c r="E93" s="1">
        <v>43621</v>
      </c>
      <c r="F93" t="s">
        <v>932</v>
      </c>
      <c r="G93" s="1">
        <v>43782</v>
      </c>
      <c r="H93" s="1">
        <v>43563</v>
      </c>
      <c r="I93" s="1">
        <v>43587</v>
      </c>
      <c r="J93" s="1">
        <v>43588</v>
      </c>
      <c r="K93" t="s">
        <v>318</v>
      </c>
    </row>
    <row r="94" spans="1:11" x14ac:dyDescent="0.2">
      <c r="A94" t="s">
        <v>814</v>
      </c>
      <c r="B94" t="s">
        <v>213</v>
      </c>
      <c r="C94" t="s">
        <v>448</v>
      </c>
      <c r="D94">
        <v>5.95</v>
      </c>
      <c r="E94" s="1">
        <v>43397</v>
      </c>
      <c r="F94" t="s">
        <v>932</v>
      </c>
      <c r="G94" s="1">
        <v>43782</v>
      </c>
      <c r="H94" s="1">
        <v>43417</v>
      </c>
      <c r="I94" s="1">
        <v>43542</v>
      </c>
      <c r="J94" s="1">
        <v>43544</v>
      </c>
      <c r="K94" t="s">
        <v>319</v>
      </c>
    </row>
    <row r="95" spans="1:11" x14ac:dyDescent="0.2">
      <c r="A95" t="s">
        <v>654</v>
      </c>
      <c r="B95" t="s">
        <v>158</v>
      </c>
      <c r="C95" t="s">
        <v>341</v>
      </c>
      <c r="D95">
        <v>11.5</v>
      </c>
      <c r="E95" s="1">
        <v>43623</v>
      </c>
      <c r="F95" t="s">
        <v>932</v>
      </c>
      <c r="G95" s="1">
        <v>43782</v>
      </c>
      <c r="H95" s="1">
        <v>43514</v>
      </c>
      <c r="I95" s="1">
        <v>43586</v>
      </c>
      <c r="J95" s="1">
        <v>43588</v>
      </c>
      <c r="K95" t="s">
        <v>317</v>
      </c>
    </row>
    <row r="96" spans="1:11" x14ac:dyDescent="0.2">
      <c r="A96" t="s">
        <v>654</v>
      </c>
      <c r="B96" t="s">
        <v>196</v>
      </c>
      <c r="C96" t="s">
        <v>389</v>
      </c>
      <c r="D96">
        <v>6.58</v>
      </c>
      <c r="E96" s="1">
        <v>43634</v>
      </c>
      <c r="F96" t="s">
        <v>932</v>
      </c>
      <c r="G96" s="1">
        <v>43782</v>
      </c>
      <c r="H96" s="1">
        <v>43556</v>
      </c>
      <c r="I96" s="1">
        <v>43587</v>
      </c>
      <c r="J96" s="1">
        <v>43588</v>
      </c>
      <c r="K96" t="s">
        <v>318</v>
      </c>
    </row>
    <row r="97" spans="1:11" x14ac:dyDescent="0.2">
      <c r="A97" t="s">
        <v>654</v>
      </c>
      <c r="B97" t="s">
        <v>261</v>
      </c>
      <c r="C97" t="s">
        <v>449</v>
      </c>
      <c r="D97">
        <v>4.88</v>
      </c>
      <c r="E97" s="1">
        <v>43418</v>
      </c>
      <c r="F97" t="s">
        <v>932</v>
      </c>
      <c r="G97" s="1">
        <v>43782</v>
      </c>
      <c r="H97" s="1">
        <v>43447</v>
      </c>
      <c r="I97" s="1">
        <v>43544</v>
      </c>
      <c r="J97" s="1">
        <v>43544</v>
      </c>
      <c r="K97" t="s">
        <v>319</v>
      </c>
    </row>
    <row r="98" spans="1:11" x14ac:dyDescent="0.2">
      <c r="A98" t="s">
        <v>733</v>
      </c>
      <c r="B98" t="s">
        <v>147</v>
      </c>
      <c r="C98" t="s">
        <v>342</v>
      </c>
      <c r="D98">
        <v>6.92</v>
      </c>
      <c r="E98" s="1">
        <v>43474</v>
      </c>
      <c r="F98" t="s">
        <v>932</v>
      </c>
      <c r="G98" s="1">
        <v>43782</v>
      </c>
      <c r="H98" s="1">
        <v>43546</v>
      </c>
      <c r="I98" s="1">
        <v>43586</v>
      </c>
      <c r="J98" s="1">
        <v>43588</v>
      </c>
      <c r="K98" t="s">
        <v>317</v>
      </c>
    </row>
    <row r="99" spans="1:11" x14ac:dyDescent="0.2">
      <c r="A99" t="s">
        <v>733</v>
      </c>
      <c r="B99" t="s">
        <v>185</v>
      </c>
      <c r="C99" t="s">
        <v>390</v>
      </c>
      <c r="D99">
        <v>6.56</v>
      </c>
      <c r="E99" s="1">
        <v>43627</v>
      </c>
      <c r="F99" t="s">
        <v>932</v>
      </c>
      <c r="G99" s="1">
        <v>43782</v>
      </c>
      <c r="H99" s="1">
        <v>43570</v>
      </c>
      <c r="I99" s="1">
        <v>43587</v>
      </c>
      <c r="J99" s="1">
        <v>43588</v>
      </c>
      <c r="K99" t="s">
        <v>318</v>
      </c>
    </row>
    <row r="100" spans="1:11" x14ac:dyDescent="0.2">
      <c r="A100" t="s">
        <v>733</v>
      </c>
      <c r="B100" t="s">
        <v>238</v>
      </c>
      <c r="C100" t="s">
        <v>450</v>
      </c>
      <c r="D100">
        <v>4.47</v>
      </c>
      <c r="E100" s="1">
        <v>43410</v>
      </c>
      <c r="F100" t="s">
        <v>932</v>
      </c>
      <c r="G100" s="1">
        <v>43782</v>
      </c>
      <c r="H100" s="1">
        <v>43423</v>
      </c>
      <c r="I100" s="1">
        <v>43543</v>
      </c>
      <c r="J100" s="1">
        <v>43544</v>
      </c>
      <c r="K100" t="s">
        <v>319</v>
      </c>
    </row>
    <row r="101" spans="1:11" x14ac:dyDescent="0.2">
      <c r="A101" t="s">
        <v>573</v>
      </c>
      <c r="B101" t="s">
        <v>122</v>
      </c>
      <c r="C101" t="s">
        <v>343</v>
      </c>
      <c r="D101">
        <v>13.8</v>
      </c>
      <c r="E101" s="1">
        <v>43630</v>
      </c>
      <c r="F101" t="s">
        <v>932</v>
      </c>
      <c r="G101" s="1">
        <v>43782</v>
      </c>
      <c r="H101" s="1">
        <v>43577</v>
      </c>
      <c r="I101" s="1">
        <v>43588</v>
      </c>
      <c r="J101" s="1">
        <v>43588</v>
      </c>
      <c r="K101" t="s">
        <v>317</v>
      </c>
    </row>
    <row r="102" spans="1:11" x14ac:dyDescent="0.2">
      <c r="A102" t="s">
        <v>573</v>
      </c>
      <c r="B102" t="s">
        <v>110</v>
      </c>
      <c r="C102" t="s">
        <v>391</v>
      </c>
      <c r="D102">
        <v>6.14</v>
      </c>
      <c r="E102" s="1">
        <v>43634</v>
      </c>
      <c r="F102" t="s">
        <v>932</v>
      </c>
      <c r="G102" s="1">
        <v>43782</v>
      </c>
      <c r="H102" s="1">
        <v>43586</v>
      </c>
      <c r="I102" s="1">
        <v>43588</v>
      </c>
      <c r="J102" s="1">
        <v>43588</v>
      </c>
      <c r="K102" t="s">
        <v>318</v>
      </c>
    </row>
    <row r="103" spans="1:11" x14ac:dyDescent="0.2">
      <c r="A103" t="s">
        <v>573</v>
      </c>
      <c r="B103" t="s">
        <v>286</v>
      </c>
      <c r="C103" t="s">
        <v>451</v>
      </c>
      <c r="D103">
        <v>5.29</v>
      </c>
      <c r="E103" s="1">
        <v>43423</v>
      </c>
      <c r="F103" t="s">
        <v>932</v>
      </c>
      <c r="G103" s="1">
        <v>43782</v>
      </c>
      <c r="H103" s="1">
        <v>43500</v>
      </c>
      <c r="I103" s="1">
        <v>43515</v>
      </c>
      <c r="J103" s="1">
        <v>43516</v>
      </c>
      <c r="K103" t="s">
        <v>319</v>
      </c>
    </row>
    <row r="104" spans="1:11" x14ac:dyDescent="0.2">
      <c r="A104" t="s">
        <v>813</v>
      </c>
      <c r="B104" t="s">
        <v>135</v>
      </c>
      <c r="C104" t="s">
        <v>344</v>
      </c>
      <c r="D104">
        <v>8.66</v>
      </c>
      <c r="E104" s="1">
        <v>42892</v>
      </c>
      <c r="F104" t="s">
        <v>932</v>
      </c>
      <c r="G104" s="1">
        <v>43782</v>
      </c>
      <c r="H104" s="1">
        <v>43528</v>
      </c>
      <c r="I104" s="1">
        <v>43586</v>
      </c>
      <c r="J104" s="1">
        <v>43588</v>
      </c>
      <c r="K104" t="s">
        <v>317</v>
      </c>
    </row>
    <row r="105" spans="1:11" x14ac:dyDescent="0.2">
      <c r="A105" t="s">
        <v>813</v>
      </c>
      <c r="B105" t="s">
        <v>173</v>
      </c>
      <c r="C105" t="s">
        <v>392</v>
      </c>
      <c r="D105">
        <v>6.64</v>
      </c>
      <c r="E105" s="1">
        <v>43621</v>
      </c>
      <c r="F105" t="s">
        <v>932</v>
      </c>
      <c r="G105" s="1">
        <v>43782</v>
      </c>
      <c r="H105" s="1">
        <v>43563</v>
      </c>
      <c r="I105" s="1">
        <v>43587</v>
      </c>
      <c r="J105" s="1">
        <v>43588</v>
      </c>
      <c r="K105" t="s">
        <v>318</v>
      </c>
    </row>
    <row r="106" spans="1:11" x14ac:dyDescent="0.2">
      <c r="A106" t="s">
        <v>813</v>
      </c>
      <c r="B106" t="s">
        <v>214</v>
      </c>
      <c r="C106" t="s">
        <v>452</v>
      </c>
      <c r="D106">
        <v>6.56</v>
      </c>
      <c r="E106" s="1">
        <v>43397</v>
      </c>
      <c r="F106" t="s">
        <v>932</v>
      </c>
      <c r="G106" s="1">
        <v>43782</v>
      </c>
      <c r="H106" s="1">
        <v>43417</v>
      </c>
      <c r="I106" s="1">
        <v>43542</v>
      </c>
      <c r="J106" s="1">
        <v>43544</v>
      </c>
      <c r="K106" t="s">
        <v>319</v>
      </c>
    </row>
    <row r="107" spans="1:11" x14ac:dyDescent="0.2">
      <c r="A107" t="s">
        <v>653</v>
      </c>
      <c r="B107" t="s">
        <v>159</v>
      </c>
      <c r="C107" t="s">
        <v>345</v>
      </c>
      <c r="D107">
        <v>7.03</v>
      </c>
      <c r="E107" s="1">
        <v>43623</v>
      </c>
      <c r="F107" t="s">
        <v>932</v>
      </c>
      <c r="G107" s="1">
        <v>43782</v>
      </c>
      <c r="H107" s="1">
        <v>43514</v>
      </c>
      <c r="I107" s="1">
        <v>43586</v>
      </c>
      <c r="J107" s="1">
        <v>43588</v>
      </c>
      <c r="K107" t="s">
        <v>317</v>
      </c>
    </row>
    <row r="108" spans="1:11" x14ac:dyDescent="0.2">
      <c r="A108" t="s">
        <v>653</v>
      </c>
      <c r="B108" t="s">
        <v>197</v>
      </c>
      <c r="C108" t="s">
        <v>393</v>
      </c>
      <c r="D108">
        <v>4.47</v>
      </c>
      <c r="E108" s="1">
        <v>43634</v>
      </c>
      <c r="F108" t="s">
        <v>932</v>
      </c>
      <c r="G108" s="1">
        <v>43782</v>
      </c>
      <c r="H108" s="1">
        <v>43556</v>
      </c>
      <c r="I108" s="1">
        <v>43587</v>
      </c>
      <c r="J108" s="1">
        <v>43588</v>
      </c>
      <c r="K108" t="s">
        <v>318</v>
      </c>
    </row>
    <row r="109" spans="1:11" x14ac:dyDescent="0.2">
      <c r="A109" t="s">
        <v>653</v>
      </c>
      <c r="B109" t="s">
        <v>262</v>
      </c>
      <c r="C109" t="s">
        <v>453</v>
      </c>
      <c r="D109">
        <v>6.23</v>
      </c>
      <c r="E109" s="1">
        <v>43418</v>
      </c>
      <c r="F109" t="s">
        <v>932</v>
      </c>
      <c r="G109" s="1">
        <v>43782</v>
      </c>
      <c r="H109" s="1">
        <v>43447</v>
      </c>
      <c r="I109" s="1">
        <v>43543</v>
      </c>
      <c r="J109" s="1">
        <v>43544</v>
      </c>
      <c r="K109" t="s">
        <v>319</v>
      </c>
    </row>
    <row r="110" spans="1:11" x14ac:dyDescent="0.2">
      <c r="A110" t="s">
        <v>732</v>
      </c>
      <c r="B110" t="s">
        <v>239</v>
      </c>
      <c r="C110" t="s">
        <v>454</v>
      </c>
      <c r="D110">
        <v>6.68</v>
      </c>
      <c r="E110" s="1">
        <v>43410</v>
      </c>
      <c r="F110" t="s">
        <v>932</v>
      </c>
      <c r="G110" s="1">
        <v>43782</v>
      </c>
      <c r="H110" s="1">
        <v>43421</v>
      </c>
      <c r="I110" s="1">
        <v>43542</v>
      </c>
      <c r="J110" s="1">
        <v>43544</v>
      </c>
      <c r="K110" t="s">
        <v>319</v>
      </c>
    </row>
    <row r="111" spans="1:11" x14ac:dyDescent="0.2">
      <c r="A111" t="s">
        <v>572</v>
      </c>
      <c r="B111" t="s">
        <v>287</v>
      </c>
      <c r="C111" t="s">
        <v>455</v>
      </c>
      <c r="D111">
        <v>9.18</v>
      </c>
      <c r="E111" s="1">
        <v>43431</v>
      </c>
      <c r="F111" t="s">
        <v>932</v>
      </c>
      <c r="G111" s="1">
        <v>43782</v>
      </c>
      <c r="H111" s="1">
        <v>43497</v>
      </c>
      <c r="I111" s="1">
        <v>43544</v>
      </c>
      <c r="J111" s="1">
        <v>43544</v>
      </c>
      <c r="K111" t="s">
        <v>319</v>
      </c>
    </row>
    <row r="112" spans="1:11" x14ac:dyDescent="0.2">
      <c r="A112" t="s">
        <v>812</v>
      </c>
      <c r="B112" t="s">
        <v>215</v>
      </c>
      <c r="C112" t="s">
        <v>456</v>
      </c>
      <c r="D112">
        <v>4.99</v>
      </c>
      <c r="E112" s="1">
        <v>43397</v>
      </c>
      <c r="F112" t="s">
        <v>932</v>
      </c>
      <c r="G112" s="1">
        <v>43782</v>
      </c>
      <c r="H112" s="1">
        <v>43375</v>
      </c>
      <c r="I112" s="1">
        <v>43542</v>
      </c>
      <c r="J112" s="1">
        <v>43544</v>
      </c>
      <c r="K112" t="s">
        <v>319</v>
      </c>
    </row>
    <row r="113" spans="1:11" x14ac:dyDescent="0.2">
      <c r="A113" t="s">
        <v>652</v>
      </c>
      <c r="B113" t="s">
        <v>263</v>
      </c>
      <c r="C113" t="s">
        <v>457</v>
      </c>
      <c r="D113">
        <v>5.62</v>
      </c>
      <c r="E113" s="1">
        <v>43418</v>
      </c>
      <c r="F113" t="s">
        <v>932</v>
      </c>
      <c r="G113" s="1">
        <v>43782</v>
      </c>
      <c r="H113" s="1">
        <v>43452</v>
      </c>
      <c r="I113" s="1">
        <v>43543</v>
      </c>
      <c r="J113" s="1">
        <v>43544</v>
      </c>
      <c r="K113" t="s">
        <v>319</v>
      </c>
    </row>
    <row r="114" spans="1:11" x14ac:dyDescent="0.2">
      <c r="A114" t="s">
        <v>721</v>
      </c>
      <c r="B114" t="s">
        <v>240</v>
      </c>
      <c r="C114" t="s">
        <v>462</v>
      </c>
      <c r="D114">
        <v>1.82</v>
      </c>
      <c r="E114" s="1">
        <v>43423</v>
      </c>
      <c r="F114" t="s">
        <v>932</v>
      </c>
      <c r="G114" s="1">
        <v>43782</v>
      </c>
      <c r="H114" s="1">
        <v>43423</v>
      </c>
      <c r="I114" s="1">
        <v>43543</v>
      </c>
      <c r="J114" s="1">
        <v>43544</v>
      </c>
      <c r="K114" t="s">
        <v>319</v>
      </c>
    </row>
    <row r="115" spans="1:11" x14ac:dyDescent="0.2">
      <c r="A115" t="s">
        <v>561</v>
      </c>
      <c r="B115" t="s">
        <v>288</v>
      </c>
      <c r="C115" t="s">
        <v>463</v>
      </c>
      <c r="D115">
        <v>4.8</v>
      </c>
      <c r="E115" s="1">
        <v>43431</v>
      </c>
      <c r="F115" t="s">
        <v>932</v>
      </c>
      <c r="G115" s="1">
        <v>43782</v>
      </c>
      <c r="H115" s="1">
        <v>43498</v>
      </c>
      <c r="I115" s="1">
        <v>43544</v>
      </c>
      <c r="J115" s="1">
        <v>43544</v>
      </c>
      <c r="K115" t="s">
        <v>319</v>
      </c>
    </row>
    <row r="116" spans="1:11" x14ac:dyDescent="0.2">
      <c r="A116" t="s">
        <v>801</v>
      </c>
      <c r="B116" t="s">
        <v>216</v>
      </c>
      <c r="C116" t="s">
        <v>464</v>
      </c>
      <c r="D116">
        <v>6.15</v>
      </c>
      <c r="E116" s="1">
        <v>43397</v>
      </c>
      <c r="F116" t="s">
        <v>932</v>
      </c>
      <c r="G116" s="1">
        <v>43782</v>
      </c>
      <c r="H116" s="1">
        <v>43413</v>
      </c>
      <c r="I116" s="1">
        <v>43542</v>
      </c>
      <c r="J116" s="1">
        <v>43544</v>
      </c>
      <c r="K116" t="s">
        <v>319</v>
      </c>
    </row>
    <row r="117" spans="1:11" x14ac:dyDescent="0.2">
      <c r="A117" t="s">
        <v>641</v>
      </c>
      <c r="B117" t="s">
        <v>264</v>
      </c>
      <c r="C117" t="s">
        <v>465</v>
      </c>
      <c r="D117">
        <v>5.01</v>
      </c>
      <c r="E117" s="1">
        <v>43410</v>
      </c>
      <c r="F117" t="s">
        <v>932</v>
      </c>
      <c r="G117" s="1">
        <v>43788</v>
      </c>
      <c r="H117" s="1">
        <v>43446</v>
      </c>
      <c r="I117" s="1">
        <v>43543</v>
      </c>
      <c r="J117" s="1">
        <v>43544</v>
      </c>
      <c r="K117" t="s">
        <v>319</v>
      </c>
    </row>
    <row r="118" spans="1:11" x14ac:dyDescent="0.2">
      <c r="A118" t="s">
        <v>719</v>
      </c>
      <c r="B118" t="s">
        <v>241</v>
      </c>
      <c r="C118" t="s">
        <v>466</v>
      </c>
      <c r="D118">
        <v>4.07</v>
      </c>
      <c r="E118" s="1">
        <v>43423</v>
      </c>
      <c r="F118" t="s">
        <v>932</v>
      </c>
      <c r="G118" s="1">
        <v>43782</v>
      </c>
      <c r="H118" s="1">
        <v>43423</v>
      </c>
      <c r="I118" s="1">
        <v>43542</v>
      </c>
      <c r="J118" s="1">
        <v>43544</v>
      </c>
      <c r="K118" t="s">
        <v>319</v>
      </c>
    </row>
    <row r="119" spans="1:11" x14ac:dyDescent="0.2">
      <c r="A119" t="s">
        <v>559</v>
      </c>
      <c r="B119" t="s">
        <v>289</v>
      </c>
      <c r="C119" t="s">
        <v>467</v>
      </c>
      <c r="D119">
        <v>5.27</v>
      </c>
      <c r="E119" s="1">
        <v>43418</v>
      </c>
      <c r="F119" t="s">
        <v>932</v>
      </c>
      <c r="G119" s="1">
        <v>43782</v>
      </c>
      <c r="H119" s="1">
        <v>43498</v>
      </c>
      <c r="I119" s="1">
        <v>43544</v>
      </c>
      <c r="J119" s="1">
        <v>43544</v>
      </c>
      <c r="K119" t="s">
        <v>319</v>
      </c>
    </row>
    <row r="120" spans="1:11" x14ac:dyDescent="0.2">
      <c r="A120" t="s">
        <v>799</v>
      </c>
      <c r="B120" t="s">
        <v>217</v>
      </c>
      <c r="C120" t="s">
        <v>468</v>
      </c>
      <c r="D120">
        <v>5.68</v>
      </c>
      <c r="E120" s="1">
        <v>43397</v>
      </c>
      <c r="F120" t="s">
        <v>932</v>
      </c>
      <c r="G120" s="1">
        <v>43782</v>
      </c>
      <c r="H120" s="1">
        <v>43413</v>
      </c>
      <c r="I120" s="1">
        <v>43542</v>
      </c>
      <c r="J120" s="1">
        <v>43544</v>
      </c>
      <c r="K120" t="s">
        <v>319</v>
      </c>
    </row>
    <row r="121" spans="1:11" x14ac:dyDescent="0.2">
      <c r="A121" t="s">
        <v>639</v>
      </c>
      <c r="B121" t="s">
        <v>265</v>
      </c>
      <c r="C121" t="s">
        <v>469</v>
      </c>
      <c r="D121">
        <v>5.6</v>
      </c>
      <c r="E121" s="1">
        <v>43410</v>
      </c>
      <c r="F121" t="s">
        <v>932</v>
      </c>
      <c r="G121" s="1">
        <v>43788</v>
      </c>
      <c r="H121" s="1">
        <v>43446</v>
      </c>
      <c r="I121" s="1">
        <v>43543</v>
      </c>
      <c r="J121" s="1">
        <v>43544</v>
      </c>
      <c r="K121" t="s">
        <v>319</v>
      </c>
    </row>
    <row r="122" spans="1:11" x14ac:dyDescent="0.2">
      <c r="A122" t="s">
        <v>716</v>
      </c>
      <c r="B122" t="s">
        <v>148</v>
      </c>
      <c r="C122" t="s">
        <v>346</v>
      </c>
      <c r="D122">
        <v>7.44</v>
      </c>
      <c r="E122" s="1">
        <v>43474</v>
      </c>
      <c r="F122" t="s">
        <v>932</v>
      </c>
      <c r="G122" s="1">
        <v>43782</v>
      </c>
      <c r="H122" s="1">
        <v>43553</v>
      </c>
      <c r="I122" s="1">
        <v>43587</v>
      </c>
      <c r="J122" s="1">
        <v>43588</v>
      </c>
      <c r="K122" t="s">
        <v>317</v>
      </c>
    </row>
    <row r="123" spans="1:11" x14ac:dyDescent="0.2">
      <c r="A123" t="s">
        <v>716</v>
      </c>
      <c r="B123" t="s">
        <v>186</v>
      </c>
      <c r="C123" t="s">
        <v>394</v>
      </c>
      <c r="D123">
        <v>6.54</v>
      </c>
      <c r="E123" s="1">
        <v>43627</v>
      </c>
      <c r="F123" t="s">
        <v>932</v>
      </c>
      <c r="G123" s="1">
        <v>43782</v>
      </c>
      <c r="H123" s="1">
        <v>43572</v>
      </c>
      <c r="I123" s="1">
        <v>43588</v>
      </c>
      <c r="J123" s="1">
        <v>43588</v>
      </c>
      <c r="K123" t="s">
        <v>318</v>
      </c>
    </row>
    <row r="124" spans="1:11" x14ac:dyDescent="0.2">
      <c r="A124" t="s">
        <v>716</v>
      </c>
      <c r="B124" t="s">
        <v>242</v>
      </c>
      <c r="C124" t="s">
        <v>470</v>
      </c>
      <c r="D124">
        <v>5.86</v>
      </c>
      <c r="E124" s="1">
        <v>43423</v>
      </c>
      <c r="F124" t="s">
        <v>932</v>
      </c>
      <c r="G124" s="1">
        <v>43788</v>
      </c>
      <c r="H124" s="1">
        <v>43434</v>
      </c>
      <c r="I124" s="1">
        <v>43543</v>
      </c>
      <c r="J124" s="1">
        <v>43544</v>
      </c>
      <c r="K124" t="s">
        <v>319</v>
      </c>
    </row>
    <row r="125" spans="1:11" x14ac:dyDescent="0.2">
      <c r="A125" t="s">
        <v>556</v>
      </c>
      <c r="B125" t="s">
        <v>121</v>
      </c>
      <c r="C125" t="s">
        <v>347</v>
      </c>
      <c r="D125">
        <v>9.3699999999999992</v>
      </c>
      <c r="E125" s="1">
        <v>43630</v>
      </c>
      <c r="F125" t="s">
        <v>932</v>
      </c>
      <c r="G125" s="1">
        <v>43782</v>
      </c>
      <c r="H125" s="1">
        <v>43580</v>
      </c>
      <c r="I125" s="1">
        <v>43588</v>
      </c>
      <c r="J125" s="1">
        <v>43588</v>
      </c>
      <c r="K125" t="s">
        <v>317</v>
      </c>
    </row>
    <row r="126" spans="1:11" x14ac:dyDescent="0.2">
      <c r="A126" t="s">
        <v>556</v>
      </c>
      <c r="B126" t="s">
        <v>109</v>
      </c>
      <c r="C126" t="s">
        <v>395</v>
      </c>
      <c r="D126">
        <v>5.64</v>
      </c>
      <c r="E126" s="1">
        <v>43656</v>
      </c>
      <c r="F126" t="s">
        <v>932</v>
      </c>
      <c r="G126" s="1">
        <v>43782</v>
      </c>
      <c r="H126" s="1">
        <v>43587</v>
      </c>
      <c r="I126" s="1">
        <v>43588</v>
      </c>
      <c r="J126" s="1">
        <v>43588</v>
      </c>
      <c r="K126" t="s">
        <v>318</v>
      </c>
    </row>
    <row r="127" spans="1:11" x14ac:dyDescent="0.2">
      <c r="A127" t="s">
        <v>556</v>
      </c>
      <c r="B127" t="s">
        <v>290</v>
      </c>
      <c r="C127" t="s">
        <v>471</v>
      </c>
      <c r="D127">
        <v>4.68</v>
      </c>
      <c r="E127" s="1">
        <v>43418</v>
      </c>
      <c r="F127" t="s">
        <v>932</v>
      </c>
      <c r="G127" s="1">
        <v>43788</v>
      </c>
      <c r="H127" s="1">
        <v>43500</v>
      </c>
      <c r="I127" s="1">
        <v>43515</v>
      </c>
      <c r="J127" s="1">
        <v>43516</v>
      </c>
      <c r="K127" t="s">
        <v>319</v>
      </c>
    </row>
    <row r="128" spans="1:11" x14ac:dyDescent="0.2">
      <c r="A128" t="s">
        <v>796</v>
      </c>
      <c r="B128" t="s">
        <v>136</v>
      </c>
      <c r="C128" t="s">
        <v>348</v>
      </c>
      <c r="D128">
        <v>9.33</v>
      </c>
      <c r="E128" s="1">
        <v>42888</v>
      </c>
      <c r="F128" t="s">
        <v>932</v>
      </c>
      <c r="G128" s="1">
        <v>43782</v>
      </c>
      <c r="H128" s="1">
        <v>43539</v>
      </c>
      <c r="I128" s="1">
        <v>43586</v>
      </c>
      <c r="J128" s="1">
        <v>43588</v>
      </c>
      <c r="K128" t="s">
        <v>317</v>
      </c>
    </row>
    <row r="129" spans="1:11" x14ac:dyDescent="0.2">
      <c r="A129" t="s">
        <v>796</v>
      </c>
      <c r="B129" t="s">
        <v>174</v>
      </c>
      <c r="C129" t="s">
        <v>396</v>
      </c>
      <c r="D129">
        <v>7.23</v>
      </c>
      <c r="E129" s="1">
        <v>43621</v>
      </c>
      <c r="F129" t="s">
        <v>932</v>
      </c>
      <c r="G129" s="1">
        <v>43782</v>
      </c>
      <c r="H129" s="1">
        <v>43565</v>
      </c>
      <c r="I129" s="1">
        <v>43587</v>
      </c>
      <c r="J129" s="1">
        <v>43588</v>
      </c>
      <c r="K129" t="s">
        <v>318</v>
      </c>
    </row>
    <row r="130" spans="1:11" x14ac:dyDescent="0.2">
      <c r="A130" t="s">
        <v>796</v>
      </c>
      <c r="B130" t="s">
        <v>218</v>
      </c>
      <c r="C130" t="s">
        <v>472</v>
      </c>
      <c r="D130">
        <v>4.43</v>
      </c>
      <c r="E130" s="1">
        <v>43397</v>
      </c>
      <c r="F130" t="s">
        <v>932</v>
      </c>
      <c r="G130" s="1">
        <v>43782</v>
      </c>
      <c r="H130" s="1">
        <v>43785</v>
      </c>
      <c r="I130" s="1">
        <v>43542</v>
      </c>
      <c r="J130" s="1">
        <v>43544</v>
      </c>
      <c r="K130" t="s">
        <v>319</v>
      </c>
    </row>
    <row r="131" spans="1:11" x14ac:dyDescent="0.2">
      <c r="A131" t="s">
        <v>636</v>
      </c>
      <c r="B131" t="s">
        <v>160</v>
      </c>
      <c r="C131" t="s">
        <v>349</v>
      </c>
      <c r="D131">
        <v>9.91</v>
      </c>
      <c r="E131" s="1">
        <v>43656</v>
      </c>
      <c r="F131" t="s">
        <v>932</v>
      </c>
      <c r="G131" s="1">
        <v>43782</v>
      </c>
      <c r="H131" s="1">
        <v>43525</v>
      </c>
      <c r="I131" s="1">
        <v>43586</v>
      </c>
      <c r="J131" s="1">
        <v>43588</v>
      </c>
      <c r="K131" t="s">
        <v>317</v>
      </c>
    </row>
    <row r="132" spans="1:11" x14ac:dyDescent="0.2">
      <c r="A132" t="s">
        <v>636</v>
      </c>
      <c r="B132" t="s">
        <v>198</v>
      </c>
      <c r="C132" t="s">
        <v>397</v>
      </c>
      <c r="D132">
        <v>6.02</v>
      </c>
      <c r="E132" s="1">
        <v>43656</v>
      </c>
      <c r="F132" t="s">
        <v>932</v>
      </c>
      <c r="G132" s="1">
        <v>43782</v>
      </c>
      <c r="H132" s="1">
        <v>43557</v>
      </c>
      <c r="I132" s="1">
        <v>43587</v>
      </c>
      <c r="J132" s="1">
        <v>43588</v>
      </c>
      <c r="K132" t="s">
        <v>318</v>
      </c>
    </row>
    <row r="133" spans="1:11" x14ac:dyDescent="0.2">
      <c r="A133" t="s">
        <v>636</v>
      </c>
      <c r="B133" t="s">
        <v>266</v>
      </c>
      <c r="C133" t="s">
        <v>473</v>
      </c>
      <c r="D133">
        <v>6.37</v>
      </c>
      <c r="E133" s="1">
        <v>43410</v>
      </c>
      <c r="F133" t="s">
        <v>932</v>
      </c>
      <c r="G133" s="1">
        <v>43782</v>
      </c>
      <c r="H133" s="1">
        <v>43447</v>
      </c>
      <c r="I133" s="1">
        <v>43544</v>
      </c>
      <c r="J133" s="1">
        <v>43544</v>
      </c>
      <c r="K133" t="s">
        <v>319</v>
      </c>
    </row>
    <row r="134" spans="1:11" x14ac:dyDescent="0.2">
      <c r="A134" t="s">
        <v>714</v>
      </c>
      <c r="B134" t="s">
        <v>149</v>
      </c>
      <c r="C134" t="s">
        <v>350</v>
      </c>
      <c r="D134">
        <v>9.89</v>
      </c>
      <c r="E134" s="1">
        <v>43494</v>
      </c>
      <c r="F134" t="s">
        <v>932</v>
      </c>
      <c r="G134" s="1">
        <v>43782</v>
      </c>
      <c r="H134" s="1">
        <v>43553</v>
      </c>
      <c r="I134" s="1">
        <v>43586</v>
      </c>
      <c r="J134" s="1">
        <v>43588</v>
      </c>
      <c r="K134" t="s">
        <v>317</v>
      </c>
    </row>
    <row r="135" spans="1:11" x14ac:dyDescent="0.2">
      <c r="A135" t="s">
        <v>714</v>
      </c>
      <c r="B135" t="s">
        <v>187</v>
      </c>
      <c r="C135" t="s">
        <v>398</v>
      </c>
      <c r="D135">
        <v>6.48</v>
      </c>
      <c r="E135" s="1">
        <v>43627</v>
      </c>
      <c r="F135" t="s">
        <v>932</v>
      </c>
      <c r="G135" s="1">
        <v>43782</v>
      </c>
      <c r="H135" s="1">
        <v>43572</v>
      </c>
      <c r="I135" s="1">
        <v>43588</v>
      </c>
      <c r="J135" s="1">
        <v>43588</v>
      </c>
      <c r="K135" t="s">
        <v>318</v>
      </c>
    </row>
    <row r="136" spans="1:11" x14ac:dyDescent="0.2">
      <c r="A136" t="s">
        <v>714</v>
      </c>
      <c r="B136" t="s">
        <v>243</v>
      </c>
      <c r="C136" t="s">
        <v>474</v>
      </c>
      <c r="D136">
        <v>8.61</v>
      </c>
      <c r="E136" s="1">
        <v>43423</v>
      </c>
      <c r="F136" t="s">
        <v>932</v>
      </c>
      <c r="G136" s="1">
        <v>43782</v>
      </c>
      <c r="H136" s="1">
        <v>43434</v>
      </c>
      <c r="I136" s="1">
        <v>43543</v>
      </c>
      <c r="J136" s="1">
        <v>43544</v>
      </c>
      <c r="K136" t="s">
        <v>319</v>
      </c>
    </row>
    <row r="137" spans="1:11" x14ac:dyDescent="0.2">
      <c r="A137" t="s">
        <v>554</v>
      </c>
      <c r="B137" t="s">
        <v>120</v>
      </c>
      <c r="C137" t="s">
        <v>351</v>
      </c>
      <c r="D137">
        <v>11.2</v>
      </c>
      <c r="E137" s="1">
        <v>43630</v>
      </c>
      <c r="F137" t="s">
        <v>932</v>
      </c>
      <c r="G137" s="1">
        <v>43782</v>
      </c>
      <c r="H137" s="1">
        <v>43580</v>
      </c>
      <c r="I137" s="1">
        <v>43588</v>
      </c>
      <c r="J137" s="1">
        <v>43588</v>
      </c>
      <c r="K137" t="s">
        <v>317</v>
      </c>
    </row>
    <row r="138" spans="1:11" x14ac:dyDescent="0.2">
      <c r="A138" t="s">
        <v>554</v>
      </c>
      <c r="B138" t="s">
        <v>108</v>
      </c>
      <c r="C138" t="s">
        <v>399</v>
      </c>
      <c r="D138">
        <v>7.78</v>
      </c>
      <c r="E138" s="1">
        <v>43656</v>
      </c>
      <c r="F138" t="s">
        <v>932</v>
      </c>
      <c r="G138" s="1">
        <v>43782</v>
      </c>
      <c r="H138" s="1">
        <v>43587</v>
      </c>
      <c r="I138" s="1">
        <v>43588</v>
      </c>
      <c r="J138" s="1">
        <v>43588</v>
      </c>
      <c r="K138" t="s">
        <v>318</v>
      </c>
    </row>
    <row r="139" spans="1:11" x14ac:dyDescent="0.2">
      <c r="A139" t="s">
        <v>554</v>
      </c>
      <c r="B139" t="s">
        <v>291</v>
      </c>
      <c r="C139" t="s">
        <v>475</v>
      </c>
      <c r="D139">
        <v>6.26</v>
      </c>
      <c r="E139" s="1">
        <v>43418</v>
      </c>
      <c r="F139" t="s">
        <v>932</v>
      </c>
      <c r="G139" s="1">
        <v>43782</v>
      </c>
      <c r="H139" s="1">
        <v>43500</v>
      </c>
      <c r="I139" s="1">
        <v>43515</v>
      </c>
      <c r="J139" s="1">
        <v>43516</v>
      </c>
      <c r="K139" t="s">
        <v>319</v>
      </c>
    </row>
    <row r="140" spans="1:11" x14ac:dyDescent="0.2">
      <c r="A140" t="s">
        <v>794</v>
      </c>
      <c r="B140" t="s">
        <v>137</v>
      </c>
      <c r="C140" t="s">
        <v>352</v>
      </c>
      <c r="D140">
        <v>7.23</v>
      </c>
      <c r="E140" s="1">
        <v>42892</v>
      </c>
      <c r="F140" t="s">
        <v>932</v>
      </c>
      <c r="G140" s="1">
        <v>43782</v>
      </c>
      <c r="H140" s="1">
        <v>43539</v>
      </c>
      <c r="I140" s="1">
        <v>43586</v>
      </c>
      <c r="J140" s="1">
        <v>43588</v>
      </c>
      <c r="K140" t="s">
        <v>317</v>
      </c>
    </row>
    <row r="141" spans="1:11" x14ac:dyDescent="0.2">
      <c r="A141" t="s">
        <v>794</v>
      </c>
      <c r="B141" t="s">
        <v>175</v>
      </c>
      <c r="C141" t="s">
        <v>400</v>
      </c>
      <c r="D141">
        <v>7.41</v>
      </c>
      <c r="E141" s="1">
        <v>43621</v>
      </c>
      <c r="F141" t="s">
        <v>932</v>
      </c>
      <c r="G141" s="1">
        <v>43782</v>
      </c>
      <c r="H141" s="1">
        <v>43565</v>
      </c>
      <c r="I141" s="1">
        <v>43587</v>
      </c>
      <c r="J141" s="1">
        <v>43588</v>
      </c>
      <c r="K141" t="s">
        <v>318</v>
      </c>
    </row>
    <row r="142" spans="1:11" x14ac:dyDescent="0.2">
      <c r="A142" t="s">
        <v>794</v>
      </c>
      <c r="B142" t="s">
        <v>219</v>
      </c>
      <c r="C142" t="s">
        <v>476</v>
      </c>
      <c r="D142">
        <v>8.9600000000000009</v>
      </c>
      <c r="E142" s="1">
        <v>43397</v>
      </c>
      <c r="F142" t="s">
        <v>932</v>
      </c>
      <c r="G142" s="1">
        <v>43782</v>
      </c>
      <c r="H142" s="1">
        <v>43420</v>
      </c>
      <c r="I142" s="1">
        <v>43542</v>
      </c>
      <c r="J142" s="1">
        <v>43544</v>
      </c>
      <c r="K142" t="s">
        <v>319</v>
      </c>
    </row>
    <row r="143" spans="1:11" x14ac:dyDescent="0.2">
      <c r="A143" t="s">
        <v>634</v>
      </c>
      <c r="B143" t="s">
        <v>161</v>
      </c>
      <c r="C143" t="s">
        <v>353</v>
      </c>
      <c r="D143">
        <v>6.9</v>
      </c>
      <c r="E143" s="1">
        <v>43623</v>
      </c>
      <c r="F143" t="s">
        <v>932</v>
      </c>
      <c r="G143" s="1">
        <v>43782</v>
      </c>
      <c r="H143" s="1">
        <v>43525</v>
      </c>
      <c r="I143" s="1">
        <v>43586</v>
      </c>
      <c r="J143" s="1">
        <v>43588</v>
      </c>
      <c r="K143" t="s">
        <v>317</v>
      </c>
    </row>
    <row r="144" spans="1:11" x14ac:dyDescent="0.2">
      <c r="A144" t="s">
        <v>634</v>
      </c>
      <c r="B144" t="s">
        <v>199</v>
      </c>
      <c r="C144" t="s">
        <v>401</v>
      </c>
      <c r="D144">
        <v>6.71</v>
      </c>
      <c r="E144" s="1">
        <v>43634</v>
      </c>
      <c r="F144" t="s">
        <v>932</v>
      </c>
      <c r="G144" s="1">
        <v>43782</v>
      </c>
      <c r="H144" s="1">
        <v>43557</v>
      </c>
      <c r="I144" s="1">
        <v>43587</v>
      </c>
      <c r="J144" s="1">
        <v>43588</v>
      </c>
      <c r="K144" t="s">
        <v>318</v>
      </c>
    </row>
    <row r="145" spans="1:11" x14ac:dyDescent="0.2">
      <c r="A145" t="s">
        <v>634</v>
      </c>
      <c r="B145" t="s">
        <v>267</v>
      </c>
      <c r="C145" t="s">
        <v>477</v>
      </c>
      <c r="D145">
        <v>7.13</v>
      </c>
      <c r="E145" s="1">
        <v>43410</v>
      </c>
      <c r="F145" t="s">
        <v>932</v>
      </c>
      <c r="G145" s="1">
        <v>43782</v>
      </c>
      <c r="H145" s="1">
        <v>43447</v>
      </c>
      <c r="I145" s="1">
        <v>43544</v>
      </c>
      <c r="J145" s="1">
        <v>43544</v>
      </c>
      <c r="K145" t="s">
        <v>319</v>
      </c>
    </row>
    <row r="146" spans="1:11" x14ac:dyDescent="0.2">
      <c r="A146" t="s">
        <v>703</v>
      </c>
      <c r="B146" t="s">
        <v>150</v>
      </c>
      <c r="C146" t="s">
        <v>354</v>
      </c>
      <c r="D146">
        <v>10.5</v>
      </c>
      <c r="E146" s="1">
        <v>43494</v>
      </c>
      <c r="F146" t="s">
        <v>932</v>
      </c>
      <c r="G146" s="1">
        <v>43782</v>
      </c>
      <c r="H146" s="1">
        <v>43553</v>
      </c>
      <c r="I146" s="1">
        <v>43587</v>
      </c>
      <c r="J146" s="1">
        <v>43588</v>
      </c>
      <c r="K146" t="s">
        <v>317</v>
      </c>
    </row>
    <row r="147" spans="1:11" x14ac:dyDescent="0.2">
      <c r="A147" t="s">
        <v>703</v>
      </c>
      <c r="B147" t="s">
        <v>188</v>
      </c>
      <c r="C147" t="s">
        <v>402</v>
      </c>
      <c r="D147">
        <v>7.44</v>
      </c>
      <c r="E147" s="1">
        <v>43627</v>
      </c>
      <c r="F147" t="s">
        <v>932</v>
      </c>
      <c r="G147" s="1">
        <v>43782</v>
      </c>
      <c r="H147" s="1">
        <v>43572</v>
      </c>
      <c r="I147" s="1">
        <v>43588</v>
      </c>
      <c r="J147" s="1">
        <v>43588</v>
      </c>
      <c r="K147" t="s">
        <v>318</v>
      </c>
    </row>
    <row r="148" spans="1:11" x14ac:dyDescent="0.2">
      <c r="A148" t="s">
        <v>703</v>
      </c>
      <c r="B148" t="s">
        <v>244</v>
      </c>
      <c r="C148" t="s">
        <v>482</v>
      </c>
      <c r="D148">
        <v>6.91</v>
      </c>
      <c r="E148" s="1">
        <v>43423</v>
      </c>
      <c r="F148" t="s">
        <v>932</v>
      </c>
      <c r="G148" s="1">
        <v>43782</v>
      </c>
      <c r="H148" s="1">
        <v>43434</v>
      </c>
      <c r="I148" s="1">
        <v>43543</v>
      </c>
      <c r="J148" s="1">
        <v>43544</v>
      </c>
      <c r="K148" t="s">
        <v>319</v>
      </c>
    </row>
    <row r="149" spans="1:11" x14ac:dyDescent="0.2">
      <c r="A149" t="s">
        <v>543</v>
      </c>
      <c r="B149" t="s">
        <v>119</v>
      </c>
      <c r="C149" t="s">
        <v>355</v>
      </c>
      <c r="D149">
        <v>10.7</v>
      </c>
      <c r="E149" s="1">
        <v>43630</v>
      </c>
      <c r="F149" t="s">
        <v>932</v>
      </c>
      <c r="G149" s="1">
        <v>43782</v>
      </c>
      <c r="H149" s="1">
        <v>43580</v>
      </c>
      <c r="I149" s="1">
        <v>43588</v>
      </c>
      <c r="J149" s="1">
        <v>43588</v>
      </c>
      <c r="K149" t="s">
        <v>317</v>
      </c>
    </row>
    <row r="150" spans="1:11" x14ac:dyDescent="0.2">
      <c r="A150" t="s">
        <v>543</v>
      </c>
      <c r="B150" t="s">
        <v>107</v>
      </c>
      <c r="C150" t="s">
        <v>403</v>
      </c>
      <c r="D150">
        <v>4.4400000000000004</v>
      </c>
      <c r="E150" s="1">
        <v>43656</v>
      </c>
      <c r="F150" t="s">
        <v>932</v>
      </c>
      <c r="G150" s="1">
        <v>43788</v>
      </c>
      <c r="H150" s="1">
        <v>43587</v>
      </c>
      <c r="I150" s="1">
        <v>43588</v>
      </c>
      <c r="J150" s="1">
        <v>43588</v>
      </c>
      <c r="K150" t="s">
        <v>318</v>
      </c>
    </row>
    <row r="151" spans="1:11" x14ac:dyDescent="0.2">
      <c r="A151" t="s">
        <v>543</v>
      </c>
      <c r="B151" t="s">
        <v>292</v>
      </c>
      <c r="C151" t="s">
        <v>483</v>
      </c>
      <c r="D151">
        <v>6.91</v>
      </c>
      <c r="E151" s="1">
        <v>43418</v>
      </c>
      <c r="F151" t="s">
        <v>932</v>
      </c>
      <c r="G151" s="1">
        <v>43782</v>
      </c>
      <c r="H151" s="1">
        <v>43500</v>
      </c>
      <c r="I151" s="1">
        <v>43515</v>
      </c>
      <c r="J151" s="1">
        <v>43516</v>
      </c>
      <c r="K151" t="s">
        <v>319</v>
      </c>
    </row>
    <row r="152" spans="1:11" x14ac:dyDescent="0.2">
      <c r="A152" t="s">
        <v>783</v>
      </c>
      <c r="B152" t="s">
        <v>138</v>
      </c>
      <c r="C152" t="s">
        <v>356</v>
      </c>
      <c r="D152">
        <v>4.16</v>
      </c>
      <c r="E152" s="1">
        <v>42892</v>
      </c>
      <c r="F152" t="s">
        <v>932</v>
      </c>
      <c r="G152" s="1">
        <v>43782</v>
      </c>
      <c r="H152" s="1">
        <v>43539</v>
      </c>
      <c r="I152" s="1">
        <v>43586</v>
      </c>
      <c r="J152" s="1">
        <v>43588</v>
      </c>
      <c r="K152" t="s">
        <v>317</v>
      </c>
    </row>
    <row r="153" spans="1:11" x14ac:dyDescent="0.2">
      <c r="A153" t="s">
        <v>783</v>
      </c>
      <c r="B153" t="s">
        <v>176</v>
      </c>
      <c r="C153" t="s">
        <v>404</v>
      </c>
      <c r="D153">
        <v>8.81</v>
      </c>
      <c r="E153" s="1">
        <v>42943</v>
      </c>
      <c r="F153" t="s">
        <v>932</v>
      </c>
      <c r="G153" s="1">
        <v>43782</v>
      </c>
      <c r="H153" s="1">
        <v>43565</v>
      </c>
      <c r="I153" s="1">
        <v>43587</v>
      </c>
      <c r="J153" s="1">
        <v>43588</v>
      </c>
      <c r="K153" t="s">
        <v>318</v>
      </c>
    </row>
    <row r="154" spans="1:11" x14ac:dyDescent="0.2">
      <c r="A154" t="s">
        <v>783</v>
      </c>
      <c r="B154" t="s">
        <v>220</v>
      </c>
      <c r="C154" t="s">
        <v>484</v>
      </c>
      <c r="D154">
        <v>9.3699999999999992</v>
      </c>
      <c r="E154" s="1">
        <v>43397</v>
      </c>
      <c r="F154" t="s">
        <v>932</v>
      </c>
      <c r="G154" s="1">
        <v>43782</v>
      </c>
      <c r="H154" s="1">
        <v>43420</v>
      </c>
      <c r="I154" s="1">
        <v>43542</v>
      </c>
      <c r="J154" s="1">
        <v>43544</v>
      </c>
      <c r="K154" t="s">
        <v>319</v>
      </c>
    </row>
    <row r="155" spans="1:11" x14ac:dyDescent="0.2">
      <c r="A155" t="s">
        <v>623</v>
      </c>
      <c r="B155" t="s">
        <v>162</v>
      </c>
      <c r="C155" t="s">
        <v>357</v>
      </c>
      <c r="D155">
        <v>8.83</v>
      </c>
      <c r="E155" s="1">
        <v>43623</v>
      </c>
      <c r="F155" t="s">
        <v>932</v>
      </c>
      <c r="G155" s="1">
        <v>43782</v>
      </c>
      <c r="H155" s="1">
        <v>43525</v>
      </c>
      <c r="I155" s="1">
        <v>43586</v>
      </c>
      <c r="J155" s="1">
        <v>43588</v>
      </c>
      <c r="K155" t="s">
        <v>317</v>
      </c>
    </row>
    <row r="156" spans="1:11" x14ac:dyDescent="0.2">
      <c r="A156" t="s">
        <v>623</v>
      </c>
      <c r="B156" t="s">
        <v>200</v>
      </c>
      <c r="C156" t="s">
        <v>405</v>
      </c>
      <c r="D156">
        <v>5.12</v>
      </c>
      <c r="E156" s="1">
        <v>43634</v>
      </c>
      <c r="F156" t="s">
        <v>932</v>
      </c>
      <c r="G156" s="1">
        <v>43782</v>
      </c>
      <c r="H156" s="1">
        <v>43557</v>
      </c>
      <c r="I156" s="1">
        <v>43587</v>
      </c>
      <c r="J156" s="1">
        <v>43588</v>
      </c>
      <c r="K156" t="s">
        <v>318</v>
      </c>
    </row>
    <row r="157" spans="1:11" x14ac:dyDescent="0.2">
      <c r="A157" t="s">
        <v>623</v>
      </c>
      <c r="B157" t="s">
        <v>268</v>
      </c>
      <c r="C157" t="s">
        <v>485</v>
      </c>
      <c r="D157">
        <v>7.58</v>
      </c>
      <c r="E157" s="1">
        <v>43410</v>
      </c>
      <c r="F157" t="s">
        <v>932</v>
      </c>
      <c r="G157" s="1">
        <v>43782</v>
      </c>
      <c r="H157" s="1">
        <v>43447</v>
      </c>
      <c r="I157" s="1">
        <v>43544</v>
      </c>
      <c r="J157" s="1">
        <v>43544</v>
      </c>
      <c r="K157" t="s">
        <v>319</v>
      </c>
    </row>
    <row r="158" spans="1:11" x14ac:dyDescent="0.2">
      <c r="A158" t="s">
        <v>702</v>
      </c>
      <c r="B158" t="s">
        <v>245</v>
      </c>
      <c r="C158" t="s">
        <v>486</v>
      </c>
      <c r="D158">
        <v>6.67</v>
      </c>
      <c r="E158" s="1">
        <v>43423</v>
      </c>
      <c r="F158" t="s">
        <v>932</v>
      </c>
      <c r="G158" s="1">
        <v>43782</v>
      </c>
      <c r="H158" s="1">
        <v>43423</v>
      </c>
      <c r="I158" s="1">
        <v>43543</v>
      </c>
      <c r="J158" s="1">
        <v>43544</v>
      </c>
      <c r="K158" t="s">
        <v>319</v>
      </c>
    </row>
    <row r="159" spans="1:11" x14ac:dyDescent="0.2">
      <c r="A159" t="s">
        <v>542</v>
      </c>
      <c r="B159" t="s">
        <v>293</v>
      </c>
      <c r="C159" t="s">
        <v>487</v>
      </c>
      <c r="D159">
        <v>5.69</v>
      </c>
      <c r="E159" s="1">
        <v>43418</v>
      </c>
      <c r="F159" t="s">
        <v>932</v>
      </c>
      <c r="G159" s="1">
        <v>43782</v>
      </c>
      <c r="H159" s="1">
        <v>43498</v>
      </c>
      <c r="I159" s="1">
        <v>43544</v>
      </c>
      <c r="J159" s="1">
        <v>43544</v>
      </c>
      <c r="K159" t="s">
        <v>319</v>
      </c>
    </row>
    <row r="160" spans="1:11" x14ac:dyDescent="0.2">
      <c r="A160" t="s">
        <v>782</v>
      </c>
      <c r="B160" t="s">
        <v>221</v>
      </c>
      <c r="C160" t="s">
        <v>488</v>
      </c>
      <c r="D160">
        <v>7.13</v>
      </c>
      <c r="E160" s="1">
        <v>43397</v>
      </c>
      <c r="F160" t="s">
        <v>932</v>
      </c>
      <c r="G160" s="1">
        <v>43782</v>
      </c>
      <c r="H160" s="1">
        <v>43413</v>
      </c>
      <c r="I160" s="1">
        <v>43542</v>
      </c>
      <c r="J160" s="1">
        <v>43544</v>
      </c>
      <c r="K160" t="s">
        <v>319</v>
      </c>
    </row>
    <row r="161" spans="1:11" x14ac:dyDescent="0.2">
      <c r="A161" t="s">
        <v>622</v>
      </c>
      <c r="B161" t="s">
        <v>269</v>
      </c>
      <c r="C161" t="s">
        <v>489</v>
      </c>
      <c r="D161">
        <v>4.0999999999999996</v>
      </c>
      <c r="E161" s="1">
        <v>43410</v>
      </c>
      <c r="F161" t="s">
        <v>932</v>
      </c>
      <c r="G161" s="1">
        <v>43782</v>
      </c>
      <c r="H161" s="1">
        <v>43446</v>
      </c>
      <c r="I161" s="1">
        <v>43543</v>
      </c>
      <c r="J161" s="1">
        <v>43544</v>
      </c>
      <c r="K161" t="s">
        <v>319</v>
      </c>
    </row>
    <row r="162" spans="1:11" x14ac:dyDescent="0.2">
      <c r="A162" t="s">
        <v>701</v>
      </c>
      <c r="B162" t="s">
        <v>246</v>
      </c>
      <c r="C162" t="s">
        <v>490</v>
      </c>
      <c r="D162">
        <v>6.29</v>
      </c>
      <c r="E162" s="1">
        <v>43423</v>
      </c>
      <c r="F162" t="s">
        <v>932</v>
      </c>
      <c r="G162" s="1">
        <v>43782</v>
      </c>
      <c r="H162" s="1">
        <v>43423</v>
      </c>
      <c r="I162" s="1">
        <v>43542</v>
      </c>
      <c r="J162" s="1">
        <v>43544</v>
      </c>
      <c r="K162" t="s">
        <v>319</v>
      </c>
    </row>
    <row r="163" spans="1:11" x14ac:dyDescent="0.2">
      <c r="A163" t="s">
        <v>541</v>
      </c>
      <c r="B163" t="s">
        <v>294</v>
      </c>
      <c r="C163" t="s">
        <v>491</v>
      </c>
      <c r="D163">
        <v>6.63</v>
      </c>
      <c r="E163" s="1">
        <v>43418</v>
      </c>
      <c r="F163" t="s">
        <v>932</v>
      </c>
      <c r="G163" s="1">
        <v>43782</v>
      </c>
      <c r="H163" s="1">
        <v>43498</v>
      </c>
      <c r="I163" s="1">
        <v>43544</v>
      </c>
      <c r="J163" s="1">
        <v>43544</v>
      </c>
      <c r="K163" t="s">
        <v>319</v>
      </c>
    </row>
    <row r="164" spans="1:11" x14ac:dyDescent="0.2">
      <c r="A164" t="s">
        <v>781</v>
      </c>
      <c r="B164" t="s">
        <v>222</v>
      </c>
      <c r="C164" t="s">
        <v>492</v>
      </c>
      <c r="D164">
        <v>4.59</v>
      </c>
      <c r="E164" s="1">
        <v>43397</v>
      </c>
      <c r="F164" t="s">
        <v>932</v>
      </c>
      <c r="G164" s="1">
        <v>43782</v>
      </c>
      <c r="H164" s="1">
        <v>43413</v>
      </c>
      <c r="I164" s="1">
        <v>43542</v>
      </c>
      <c r="J164" s="1">
        <v>43544</v>
      </c>
      <c r="K164" t="s">
        <v>319</v>
      </c>
    </row>
    <row r="165" spans="1:11" x14ac:dyDescent="0.2">
      <c r="A165" t="s">
        <v>621</v>
      </c>
      <c r="B165" t="s">
        <v>270</v>
      </c>
      <c r="C165" t="s">
        <v>493</v>
      </c>
      <c r="D165">
        <v>6.01</v>
      </c>
      <c r="E165" s="1">
        <v>43410</v>
      </c>
      <c r="F165" t="s">
        <v>932</v>
      </c>
      <c r="G165" s="1">
        <v>43782</v>
      </c>
      <c r="H165" s="1">
        <v>43446</v>
      </c>
      <c r="I165" s="1">
        <v>43543</v>
      </c>
      <c r="J165" s="1">
        <v>43544</v>
      </c>
      <c r="K165" t="s">
        <v>319</v>
      </c>
    </row>
    <row r="166" spans="1:11" x14ac:dyDescent="0.2">
      <c r="A166" t="s">
        <v>700</v>
      </c>
      <c r="B166" t="s">
        <v>247</v>
      </c>
      <c r="C166" t="s">
        <v>494</v>
      </c>
      <c r="D166">
        <v>6.14</v>
      </c>
      <c r="E166" s="1">
        <v>43423</v>
      </c>
      <c r="F166" t="s">
        <v>932</v>
      </c>
      <c r="G166" s="1">
        <v>43782</v>
      </c>
      <c r="H166" s="1">
        <v>43423</v>
      </c>
      <c r="I166" s="1">
        <v>43543</v>
      </c>
      <c r="J166" s="1">
        <v>43544</v>
      </c>
      <c r="K166" t="s">
        <v>319</v>
      </c>
    </row>
    <row r="167" spans="1:11" x14ac:dyDescent="0.2">
      <c r="A167" t="s">
        <v>540</v>
      </c>
      <c r="B167" t="s">
        <v>295</v>
      </c>
      <c r="C167" t="s">
        <v>495</v>
      </c>
      <c r="D167">
        <v>7.81</v>
      </c>
      <c r="E167" s="1">
        <v>43418</v>
      </c>
      <c r="F167" t="s">
        <v>932</v>
      </c>
      <c r="G167" s="1">
        <v>43782</v>
      </c>
      <c r="H167" s="1">
        <v>43498</v>
      </c>
      <c r="I167" s="1">
        <v>43544</v>
      </c>
      <c r="J167" s="1">
        <v>43544</v>
      </c>
      <c r="K167" t="s">
        <v>319</v>
      </c>
    </row>
    <row r="168" spans="1:11" x14ac:dyDescent="0.2">
      <c r="A168" t="s">
        <v>780</v>
      </c>
      <c r="B168" t="s">
        <v>223</v>
      </c>
      <c r="C168" t="s">
        <v>496</v>
      </c>
      <c r="D168">
        <v>5.16</v>
      </c>
      <c r="E168" s="1">
        <v>43397</v>
      </c>
      <c r="F168" t="s">
        <v>932</v>
      </c>
      <c r="G168" s="1">
        <v>43782</v>
      </c>
      <c r="H168" s="1">
        <v>43413</v>
      </c>
      <c r="I168" s="1">
        <v>43542</v>
      </c>
      <c r="J168" s="1">
        <v>43544</v>
      </c>
      <c r="K168" t="s">
        <v>319</v>
      </c>
    </row>
    <row r="169" spans="1:11" x14ac:dyDescent="0.2">
      <c r="A169" t="s">
        <v>620</v>
      </c>
      <c r="B169" t="s">
        <v>271</v>
      </c>
      <c r="C169" t="s">
        <v>497</v>
      </c>
      <c r="D169">
        <v>4.79</v>
      </c>
      <c r="E169" s="1">
        <v>43410</v>
      </c>
      <c r="F169" t="s">
        <v>932</v>
      </c>
      <c r="G169" s="1">
        <v>43782</v>
      </c>
      <c r="H169" s="1">
        <v>43446</v>
      </c>
      <c r="I169" s="1">
        <v>43543</v>
      </c>
      <c r="J169" s="1">
        <v>43544</v>
      </c>
      <c r="K169" t="s">
        <v>319</v>
      </c>
    </row>
    <row r="170" spans="1:11" x14ac:dyDescent="0.2">
      <c r="A170" t="s">
        <v>698</v>
      </c>
      <c r="B170" t="s">
        <v>248</v>
      </c>
      <c r="C170" t="s">
        <v>498</v>
      </c>
      <c r="D170">
        <v>7.13</v>
      </c>
      <c r="E170" s="1">
        <v>43423</v>
      </c>
      <c r="F170" t="s">
        <v>932</v>
      </c>
      <c r="G170" s="1">
        <v>43782</v>
      </c>
      <c r="H170" s="1">
        <v>43423</v>
      </c>
      <c r="I170" s="1">
        <v>43543</v>
      </c>
      <c r="J170" s="1">
        <v>43544</v>
      </c>
      <c r="K170" t="s">
        <v>319</v>
      </c>
    </row>
    <row r="171" spans="1:11" x14ac:dyDescent="0.2">
      <c r="A171" t="s">
        <v>538</v>
      </c>
      <c r="B171" t="s">
        <v>296</v>
      </c>
      <c r="C171" t="s">
        <v>499</v>
      </c>
      <c r="D171">
        <v>5.55</v>
      </c>
      <c r="E171" s="1">
        <v>43418</v>
      </c>
      <c r="F171" t="s">
        <v>932</v>
      </c>
      <c r="G171" s="1">
        <v>43782</v>
      </c>
      <c r="H171" s="1">
        <v>43498</v>
      </c>
      <c r="I171" s="1">
        <v>43544</v>
      </c>
      <c r="J171" s="1">
        <v>43544</v>
      </c>
      <c r="K171" t="s">
        <v>319</v>
      </c>
    </row>
    <row r="172" spans="1:11" x14ac:dyDescent="0.2">
      <c r="A172" t="s">
        <v>778</v>
      </c>
      <c r="B172" t="s">
        <v>224</v>
      </c>
      <c r="C172" t="s">
        <v>500</v>
      </c>
      <c r="D172">
        <v>6.01</v>
      </c>
      <c r="E172" s="1">
        <v>43397</v>
      </c>
      <c r="F172" t="s">
        <v>932</v>
      </c>
      <c r="G172" s="1">
        <v>43782</v>
      </c>
      <c r="H172" s="1">
        <v>43413</v>
      </c>
      <c r="I172" s="1">
        <v>43542</v>
      </c>
      <c r="J172" s="1">
        <v>43544</v>
      </c>
      <c r="K172" t="s">
        <v>319</v>
      </c>
    </row>
    <row r="173" spans="1:11" x14ac:dyDescent="0.2">
      <c r="A173" t="s">
        <v>618</v>
      </c>
      <c r="B173" t="s">
        <v>272</v>
      </c>
      <c r="C173" t="s">
        <v>501</v>
      </c>
      <c r="D173">
        <v>6.18</v>
      </c>
      <c r="E173" s="1">
        <v>43410</v>
      </c>
      <c r="F173" t="s">
        <v>932</v>
      </c>
      <c r="G173" s="1">
        <v>43782</v>
      </c>
      <c r="H173" s="1">
        <v>43446</v>
      </c>
      <c r="I173" s="1">
        <v>43543</v>
      </c>
      <c r="J173" s="1">
        <v>43544</v>
      </c>
      <c r="K173" t="s">
        <v>319</v>
      </c>
    </row>
    <row r="174" spans="1:11" x14ac:dyDescent="0.2">
      <c r="A174" t="s">
        <v>697</v>
      </c>
      <c r="B174" t="s">
        <v>151</v>
      </c>
      <c r="C174" t="s">
        <v>358</v>
      </c>
      <c r="D174">
        <v>9.7100000000000009</v>
      </c>
      <c r="E174" s="1">
        <v>43494</v>
      </c>
      <c r="F174" t="s">
        <v>932</v>
      </c>
      <c r="G174" s="1">
        <v>43782</v>
      </c>
      <c r="H174" s="1">
        <v>43553</v>
      </c>
      <c r="I174" s="1">
        <v>43586</v>
      </c>
      <c r="J174" s="1">
        <v>43588</v>
      </c>
      <c r="K174" t="s">
        <v>317</v>
      </c>
    </row>
    <row r="175" spans="1:11" x14ac:dyDescent="0.2">
      <c r="A175" t="s">
        <v>697</v>
      </c>
      <c r="B175" t="s">
        <v>189</v>
      </c>
      <c r="C175" t="s">
        <v>406</v>
      </c>
      <c r="D175">
        <v>6.85</v>
      </c>
      <c r="E175" s="1">
        <v>43627</v>
      </c>
      <c r="F175" t="s">
        <v>932</v>
      </c>
      <c r="G175" s="1">
        <v>43782</v>
      </c>
      <c r="H175" s="1">
        <v>43572</v>
      </c>
      <c r="I175" s="1">
        <v>43588</v>
      </c>
      <c r="J175" s="1">
        <v>43588</v>
      </c>
      <c r="K175" t="s">
        <v>318</v>
      </c>
    </row>
    <row r="176" spans="1:11" x14ac:dyDescent="0.2">
      <c r="A176" t="s">
        <v>697</v>
      </c>
      <c r="B176" t="s">
        <v>249</v>
      </c>
      <c r="C176" t="s">
        <v>502</v>
      </c>
      <c r="D176">
        <v>6.04</v>
      </c>
      <c r="E176" s="1">
        <v>43423</v>
      </c>
      <c r="F176" t="s">
        <v>932</v>
      </c>
      <c r="G176" s="1">
        <v>43782</v>
      </c>
      <c r="H176" s="1">
        <v>43434</v>
      </c>
      <c r="I176" s="1">
        <v>43543</v>
      </c>
      <c r="J176" s="1">
        <v>43544</v>
      </c>
      <c r="K176" t="s">
        <v>319</v>
      </c>
    </row>
    <row r="177" spans="1:11" x14ac:dyDescent="0.2">
      <c r="A177" t="s">
        <v>537</v>
      </c>
      <c r="B177" t="s">
        <v>118</v>
      </c>
      <c r="C177" t="s">
        <v>359</v>
      </c>
      <c r="D177">
        <v>13</v>
      </c>
      <c r="E177" s="1">
        <v>43630</v>
      </c>
      <c r="F177" t="s">
        <v>932</v>
      </c>
      <c r="G177" s="1">
        <v>43782</v>
      </c>
      <c r="H177" s="1">
        <v>43580</v>
      </c>
      <c r="I177" s="1">
        <v>43588</v>
      </c>
      <c r="J177" s="1">
        <v>43588</v>
      </c>
      <c r="K177" t="s">
        <v>317</v>
      </c>
    </row>
    <row r="178" spans="1:11" x14ac:dyDescent="0.2">
      <c r="A178" t="s">
        <v>537</v>
      </c>
      <c r="B178" t="s">
        <v>106</v>
      </c>
      <c r="C178" t="s">
        <v>407</v>
      </c>
      <c r="D178">
        <v>7.33</v>
      </c>
      <c r="E178" s="1">
        <v>43656</v>
      </c>
      <c r="F178" t="s">
        <v>932</v>
      </c>
      <c r="G178" s="1">
        <v>43782</v>
      </c>
      <c r="H178" s="1">
        <v>43587</v>
      </c>
      <c r="I178" s="1">
        <v>43588</v>
      </c>
      <c r="J178" s="1">
        <v>43588</v>
      </c>
      <c r="K178" t="s">
        <v>318</v>
      </c>
    </row>
    <row r="179" spans="1:11" x14ac:dyDescent="0.2">
      <c r="A179" t="s">
        <v>537</v>
      </c>
      <c r="B179" t="s">
        <v>297</v>
      </c>
      <c r="C179" t="s">
        <v>503</v>
      </c>
      <c r="D179">
        <v>6.09</v>
      </c>
      <c r="E179" s="1">
        <v>43418</v>
      </c>
      <c r="F179" t="s">
        <v>932</v>
      </c>
      <c r="G179" s="1">
        <v>43782</v>
      </c>
      <c r="H179" s="1">
        <v>43500</v>
      </c>
      <c r="I179" s="1">
        <v>43515</v>
      </c>
      <c r="J179" s="1">
        <v>43516</v>
      </c>
      <c r="K179" t="s">
        <v>319</v>
      </c>
    </row>
    <row r="180" spans="1:11" x14ac:dyDescent="0.2">
      <c r="A180" t="s">
        <v>777</v>
      </c>
      <c r="B180" t="s">
        <v>139</v>
      </c>
      <c r="C180" t="s">
        <v>360</v>
      </c>
      <c r="D180">
        <v>10.8</v>
      </c>
      <c r="E180" s="1">
        <v>42926</v>
      </c>
      <c r="F180" t="s">
        <v>932</v>
      </c>
      <c r="G180" s="1">
        <v>43782</v>
      </c>
      <c r="H180" s="1">
        <v>43539</v>
      </c>
      <c r="I180" s="1">
        <v>43586</v>
      </c>
      <c r="J180" s="1">
        <v>43588</v>
      </c>
      <c r="K180" t="s">
        <v>317</v>
      </c>
    </row>
    <row r="181" spans="1:11" x14ac:dyDescent="0.2">
      <c r="A181" t="s">
        <v>777</v>
      </c>
      <c r="B181" t="s">
        <v>177</v>
      </c>
      <c r="C181" t="s">
        <v>408</v>
      </c>
      <c r="D181">
        <v>4.75</v>
      </c>
      <c r="E181" s="1">
        <v>43621</v>
      </c>
      <c r="F181" t="s">
        <v>932</v>
      </c>
      <c r="G181" s="1">
        <v>43782</v>
      </c>
      <c r="H181" s="1">
        <v>43565</v>
      </c>
      <c r="I181" s="1">
        <v>43587</v>
      </c>
      <c r="J181" s="1">
        <v>43588</v>
      </c>
      <c r="K181" t="s">
        <v>318</v>
      </c>
    </row>
    <row r="182" spans="1:11" x14ac:dyDescent="0.2">
      <c r="A182" t="s">
        <v>777</v>
      </c>
      <c r="B182" t="s">
        <v>225</v>
      </c>
      <c r="C182" t="s">
        <v>504</v>
      </c>
      <c r="D182">
        <v>6.04</v>
      </c>
      <c r="E182" s="1">
        <v>43397</v>
      </c>
      <c r="F182" t="s">
        <v>932</v>
      </c>
      <c r="G182" s="1">
        <v>43782</v>
      </c>
      <c r="H182" s="1">
        <v>43420</v>
      </c>
      <c r="I182" s="1">
        <v>43542</v>
      </c>
      <c r="J182" s="1">
        <v>43544</v>
      </c>
      <c r="K182" t="s">
        <v>319</v>
      </c>
    </row>
    <row r="183" spans="1:11" x14ac:dyDescent="0.2">
      <c r="A183" t="s">
        <v>617</v>
      </c>
      <c r="B183" t="s">
        <v>163</v>
      </c>
      <c r="C183" t="s">
        <v>361</v>
      </c>
      <c r="D183">
        <v>8.49</v>
      </c>
      <c r="E183" s="1">
        <v>43623</v>
      </c>
      <c r="F183" t="s">
        <v>932</v>
      </c>
      <c r="G183" s="1">
        <v>43782</v>
      </c>
      <c r="H183" s="1">
        <v>43525</v>
      </c>
      <c r="I183" s="1">
        <v>43586</v>
      </c>
      <c r="J183" s="1">
        <v>43588</v>
      </c>
      <c r="K183" t="s">
        <v>317</v>
      </c>
    </row>
    <row r="184" spans="1:11" x14ac:dyDescent="0.2">
      <c r="A184" t="s">
        <v>617</v>
      </c>
      <c r="B184" t="s">
        <v>201</v>
      </c>
      <c r="C184" t="s">
        <v>409</v>
      </c>
      <c r="D184">
        <v>7.31</v>
      </c>
      <c r="E184" s="1">
        <v>43634</v>
      </c>
      <c r="F184" t="s">
        <v>932</v>
      </c>
      <c r="G184" s="1">
        <v>43782</v>
      </c>
      <c r="H184" s="1">
        <v>43557</v>
      </c>
      <c r="I184" s="1">
        <v>43587</v>
      </c>
      <c r="J184" s="1">
        <v>43588</v>
      </c>
      <c r="K184" t="s">
        <v>318</v>
      </c>
    </row>
    <row r="185" spans="1:11" x14ac:dyDescent="0.2">
      <c r="A185" t="s">
        <v>617</v>
      </c>
      <c r="B185" t="s">
        <v>273</v>
      </c>
      <c r="C185" t="s">
        <v>505</v>
      </c>
      <c r="D185">
        <v>5.55</v>
      </c>
      <c r="E185" s="1">
        <v>43410</v>
      </c>
      <c r="F185" t="s">
        <v>932</v>
      </c>
      <c r="G185" s="1">
        <v>43782</v>
      </c>
      <c r="H185" s="1">
        <v>43447</v>
      </c>
      <c r="I185" s="1">
        <v>43544</v>
      </c>
      <c r="J185" s="1">
        <v>43544</v>
      </c>
      <c r="K185" t="s">
        <v>319</v>
      </c>
    </row>
    <row r="186" spans="1:11" x14ac:dyDescent="0.2">
      <c r="A186" t="s">
        <v>695</v>
      </c>
      <c r="B186" t="s">
        <v>152</v>
      </c>
      <c r="C186" t="s">
        <v>362</v>
      </c>
      <c r="D186">
        <v>5.34</v>
      </c>
      <c r="E186" s="1">
        <v>43494</v>
      </c>
      <c r="F186" t="s">
        <v>932</v>
      </c>
      <c r="G186" s="1">
        <v>43782</v>
      </c>
      <c r="H186" s="1">
        <v>43553</v>
      </c>
      <c r="I186" s="1">
        <v>43587</v>
      </c>
      <c r="J186" s="1">
        <v>43588</v>
      </c>
      <c r="K186" t="s">
        <v>317</v>
      </c>
    </row>
    <row r="187" spans="1:11" x14ac:dyDescent="0.2">
      <c r="A187" t="s">
        <v>695</v>
      </c>
      <c r="B187" t="s">
        <v>190</v>
      </c>
      <c r="C187" t="s">
        <v>410</v>
      </c>
      <c r="D187">
        <v>8.64</v>
      </c>
      <c r="E187" s="1">
        <v>43627</v>
      </c>
      <c r="F187" t="s">
        <v>932</v>
      </c>
      <c r="G187" s="1">
        <v>43782</v>
      </c>
      <c r="H187" s="1">
        <v>43572</v>
      </c>
      <c r="I187" s="1">
        <v>43588</v>
      </c>
      <c r="J187" s="1">
        <v>43588</v>
      </c>
      <c r="K187" t="s">
        <v>318</v>
      </c>
    </row>
    <row r="188" spans="1:11" x14ac:dyDescent="0.2">
      <c r="A188" t="s">
        <v>695</v>
      </c>
      <c r="B188" t="s">
        <v>250</v>
      </c>
      <c r="C188" t="s">
        <v>506</v>
      </c>
      <c r="D188">
        <v>3.47</v>
      </c>
      <c r="E188" s="1">
        <v>43423</v>
      </c>
      <c r="F188" t="s">
        <v>932</v>
      </c>
      <c r="G188" s="1">
        <v>43782</v>
      </c>
      <c r="H188" s="1">
        <v>43452</v>
      </c>
      <c r="I188" s="1">
        <v>43543</v>
      </c>
      <c r="J188" s="1">
        <v>43544</v>
      </c>
      <c r="K188" t="s">
        <v>319</v>
      </c>
    </row>
    <row r="189" spans="1:11" x14ac:dyDescent="0.2">
      <c r="A189" t="s">
        <v>535</v>
      </c>
      <c r="B189" t="s">
        <v>117</v>
      </c>
      <c r="C189" t="s">
        <v>363</v>
      </c>
      <c r="D189">
        <v>7.88</v>
      </c>
      <c r="E189" s="1">
        <v>43630</v>
      </c>
      <c r="F189" t="s">
        <v>932</v>
      </c>
      <c r="G189" s="1">
        <v>43782</v>
      </c>
      <c r="H189" s="1">
        <v>43580</v>
      </c>
      <c r="I189" s="1">
        <v>43588</v>
      </c>
      <c r="J189" s="1">
        <v>43588</v>
      </c>
      <c r="K189" t="s">
        <v>317</v>
      </c>
    </row>
    <row r="190" spans="1:11" x14ac:dyDescent="0.2">
      <c r="A190" t="s">
        <v>535</v>
      </c>
      <c r="B190" t="s">
        <v>105</v>
      </c>
      <c r="C190" t="s">
        <v>411</v>
      </c>
      <c r="D190">
        <v>7.51</v>
      </c>
      <c r="E190" s="1">
        <v>43656</v>
      </c>
      <c r="F190" t="s">
        <v>932</v>
      </c>
      <c r="G190" s="1">
        <v>43782</v>
      </c>
      <c r="H190" s="1">
        <v>43587</v>
      </c>
      <c r="I190" s="1">
        <v>43588</v>
      </c>
      <c r="J190" s="1">
        <v>43588</v>
      </c>
      <c r="K190" t="s">
        <v>318</v>
      </c>
    </row>
    <row r="191" spans="1:11" x14ac:dyDescent="0.2">
      <c r="A191" t="s">
        <v>535</v>
      </c>
      <c r="B191" t="s">
        <v>298</v>
      </c>
      <c r="C191" t="s">
        <v>507</v>
      </c>
      <c r="D191">
        <v>5.3</v>
      </c>
      <c r="E191" s="1">
        <v>43418</v>
      </c>
      <c r="F191" t="s">
        <v>932</v>
      </c>
      <c r="G191" s="1">
        <v>43782</v>
      </c>
      <c r="H191" s="1">
        <v>43500</v>
      </c>
      <c r="I191" s="1">
        <v>43515</v>
      </c>
      <c r="J191" s="1">
        <v>43516</v>
      </c>
      <c r="K191" t="s">
        <v>319</v>
      </c>
    </row>
    <row r="192" spans="1:11" x14ac:dyDescent="0.2">
      <c r="A192" t="s">
        <v>775</v>
      </c>
      <c r="B192" t="s">
        <v>140</v>
      </c>
      <c r="C192" t="s">
        <v>364</v>
      </c>
      <c r="D192">
        <v>7.44</v>
      </c>
      <c r="E192" s="1">
        <v>42888</v>
      </c>
      <c r="F192" t="s">
        <v>932</v>
      </c>
      <c r="G192" s="1">
        <v>43782</v>
      </c>
      <c r="H192" s="1">
        <v>43539</v>
      </c>
      <c r="I192" s="1">
        <v>43586</v>
      </c>
      <c r="J192" s="1">
        <v>43588</v>
      </c>
      <c r="K192" t="s">
        <v>317</v>
      </c>
    </row>
    <row r="193" spans="1:11" x14ac:dyDescent="0.2">
      <c r="A193" t="s">
        <v>775</v>
      </c>
      <c r="B193" t="s">
        <v>178</v>
      </c>
      <c r="C193" t="s">
        <v>412</v>
      </c>
      <c r="D193">
        <v>6.48</v>
      </c>
      <c r="E193" s="1">
        <v>43621</v>
      </c>
      <c r="F193" t="s">
        <v>932</v>
      </c>
      <c r="G193" s="1">
        <v>43782</v>
      </c>
      <c r="H193" s="1">
        <v>43565</v>
      </c>
      <c r="I193" s="1">
        <v>43587</v>
      </c>
      <c r="J193" s="1">
        <v>43588</v>
      </c>
      <c r="K193" t="s">
        <v>318</v>
      </c>
    </row>
    <row r="194" spans="1:11" x14ac:dyDescent="0.2">
      <c r="A194" t="s">
        <v>775</v>
      </c>
      <c r="B194" t="s">
        <v>226</v>
      </c>
      <c r="C194" t="s">
        <v>508</v>
      </c>
      <c r="D194">
        <v>2.84</v>
      </c>
      <c r="E194" s="1">
        <v>43397</v>
      </c>
      <c r="F194" t="s">
        <v>932</v>
      </c>
      <c r="G194" s="1">
        <v>43782</v>
      </c>
      <c r="H194" s="1">
        <v>43420</v>
      </c>
      <c r="I194" s="1">
        <v>43542</v>
      </c>
      <c r="J194" s="1">
        <v>43544</v>
      </c>
      <c r="K194" t="s">
        <v>319</v>
      </c>
    </row>
    <row r="195" spans="1:11" x14ac:dyDescent="0.2">
      <c r="A195" t="s">
        <v>615</v>
      </c>
      <c r="B195" t="s">
        <v>164</v>
      </c>
      <c r="C195" t="s">
        <v>365</v>
      </c>
      <c r="D195">
        <v>6.24</v>
      </c>
      <c r="E195" s="1">
        <v>43623</v>
      </c>
      <c r="F195" t="s">
        <v>932</v>
      </c>
      <c r="G195" s="1">
        <v>43782</v>
      </c>
      <c r="H195" s="1">
        <v>43525</v>
      </c>
      <c r="I195" s="1">
        <v>43586</v>
      </c>
      <c r="J195" s="1">
        <v>43588</v>
      </c>
      <c r="K195" t="s">
        <v>317</v>
      </c>
    </row>
    <row r="196" spans="1:11" x14ac:dyDescent="0.2">
      <c r="A196" t="s">
        <v>615</v>
      </c>
      <c r="B196" t="s">
        <v>202</v>
      </c>
      <c r="C196" t="s">
        <v>413</v>
      </c>
      <c r="D196">
        <v>7.23</v>
      </c>
      <c r="E196" s="1">
        <v>43634</v>
      </c>
      <c r="F196" t="s">
        <v>932</v>
      </c>
      <c r="G196" s="1">
        <v>43782</v>
      </c>
      <c r="H196" s="1">
        <v>43557</v>
      </c>
      <c r="I196" s="1">
        <v>43587</v>
      </c>
      <c r="J196" s="1">
        <v>43588</v>
      </c>
      <c r="K196" t="s">
        <v>318</v>
      </c>
    </row>
    <row r="197" spans="1:11" x14ac:dyDescent="0.2">
      <c r="A197" t="s">
        <v>615</v>
      </c>
      <c r="B197" t="s">
        <v>274</v>
      </c>
      <c r="C197" t="s">
        <v>509</v>
      </c>
      <c r="D197">
        <v>4.87</v>
      </c>
      <c r="E197" s="1">
        <v>43410</v>
      </c>
      <c r="F197" t="s">
        <v>932</v>
      </c>
      <c r="G197" s="1">
        <v>43782</v>
      </c>
      <c r="H197" s="1">
        <v>43452</v>
      </c>
      <c r="I197" s="1">
        <v>43544</v>
      </c>
      <c r="J197" s="1">
        <v>43544</v>
      </c>
      <c r="K197" t="s">
        <v>319</v>
      </c>
    </row>
    <row r="198" spans="1:11" x14ac:dyDescent="0.2">
      <c r="A198" t="s">
        <v>694</v>
      </c>
      <c r="B198" t="s">
        <v>153</v>
      </c>
      <c r="C198" t="s">
        <v>366</v>
      </c>
      <c r="D198">
        <v>7.56</v>
      </c>
      <c r="E198" s="1">
        <v>43494</v>
      </c>
      <c r="F198" t="s">
        <v>932</v>
      </c>
      <c r="G198" s="1">
        <v>43782</v>
      </c>
      <c r="H198" s="1">
        <v>43553</v>
      </c>
      <c r="I198" s="1">
        <v>43587</v>
      </c>
      <c r="J198" s="1">
        <v>43588</v>
      </c>
      <c r="K198" t="s">
        <v>317</v>
      </c>
    </row>
    <row r="199" spans="1:11" x14ac:dyDescent="0.2">
      <c r="A199" t="s">
        <v>694</v>
      </c>
      <c r="B199" t="s">
        <v>191</v>
      </c>
      <c r="C199" t="s">
        <v>414</v>
      </c>
      <c r="D199">
        <v>7</v>
      </c>
      <c r="E199" s="1">
        <v>43656</v>
      </c>
      <c r="F199" t="s">
        <v>932</v>
      </c>
      <c r="G199" s="1">
        <v>43782</v>
      </c>
      <c r="H199" s="1">
        <v>43572</v>
      </c>
      <c r="I199" s="1">
        <v>43588</v>
      </c>
      <c r="J199" s="1">
        <v>43588</v>
      </c>
      <c r="K199" t="s">
        <v>318</v>
      </c>
    </row>
    <row r="200" spans="1:11" x14ac:dyDescent="0.2">
      <c r="A200" t="s">
        <v>694</v>
      </c>
      <c r="B200" t="s">
        <v>251</v>
      </c>
      <c r="C200" t="s">
        <v>510</v>
      </c>
      <c r="D200">
        <v>7.61</v>
      </c>
      <c r="E200" s="1">
        <v>43423</v>
      </c>
      <c r="F200" t="s">
        <v>932</v>
      </c>
      <c r="G200" s="1">
        <v>43782</v>
      </c>
      <c r="H200" s="1">
        <v>43452</v>
      </c>
      <c r="I200" s="1">
        <v>43543</v>
      </c>
      <c r="J200" s="1">
        <v>43544</v>
      </c>
      <c r="K200" t="s">
        <v>319</v>
      </c>
    </row>
    <row r="201" spans="1:11" x14ac:dyDescent="0.2">
      <c r="A201" t="s">
        <v>534</v>
      </c>
      <c r="B201" t="s">
        <v>116</v>
      </c>
      <c r="C201" t="s">
        <v>367</v>
      </c>
      <c r="D201">
        <v>9.1</v>
      </c>
      <c r="E201" s="1">
        <v>43630</v>
      </c>
      <c r="F201" t="s">
        <v>932</v>
      </c>
      <c r="G201" s="1">
        <v>43782</v>
      </c>
      <c r="H201" s="1">
        <v>43580</v>
      </c>
      <c r="I201" s="1">
        <v>43588</v>
      </c>
      <c r="J201" s="1">
        <v>43588</v>
      </c>
      <c r="K201" t="s">
        <v>317</v>
      </c>
    </row>
    <row r="202" spans="1:11" x14ac:dyDescent="0.2">
      <c r="A202" t="s">
        <v>534</v>
      </c>
      <c r="B202" t="s">
        <v>104</v>
      </c>
      <c r="C202" t="s">
        <v>415</v>
      </c>
      <c r="D202">
        <v>6</v>
      </c>
      <c r="E202" s="1">
        <v>43656</v>
      </c>
      <c r="F202" t="s">
        <v>932</v>
      </c>
      <c r="G202" s="1">
        <v>43782</v>
      </c>
      <c r="H202" s="1">
        <v>43587</v>
      </c>
      <c r="I202" s="1">
        <v>43588</v>
      </c>
      <c r="J202" s="1">
        <v>43588</v>
      </c>
      <c r="K202" t="s">
        <v>318</v>
      </c>
    </row>
    <row r="203" spans="1:11" x14ac:dyDescent="0.2">
      <c r="A203" t="s">
        <v>534</v>
      </c>
      <c r="B203" t="s">
        <v>299</v>
      </c>
      <c r="C203" t="s">
        <v>511</v>
      </c>
      <c r="D203">
        <v>3.04</v>
      </c>
      <c r="E203" s="1">
        <v>43418</v>
      </c>
      <c r="F203" t="s">
        <v>932</v>
      </c>
      <c r="G203" s="1">
        <v>43788</v>
      </c>
      <c r="H203" s="1">
        <v>43500</v>
      </c>
      <c r="I203" s="1">
        <v>43515</v>
      </c>
      <c r="J203" s="1">
        <v>43516</v>
      </c>
      <c r="K203" t="s">
        <v>319</v>
      </c>
    </row>
    <row r="204" spans="1:11" x14ac:dyDescent="0.2">
      <c r="A204" t="s">
        <v>774</v>
      </c>
      <c r="B204" t="s">
        <v>141</v>
      </c>
      <c r="C204" t="s">
        <v>368</v>
      </c>
      <c r="D204">
        <v>2.41</v>
      </c>
      <c r="E204" s="1">
        <v>42888</v>
      </c>
      <c r="F204" t="s">
        <v>932</v>
      </c>
      <c r="G204" s="1">
        <v>43782</v>
      </c>
      <c r="H204" s="1">
        <v>43539</v>
      </c>
      <c r="I204" s="1">
        <v>43586</v>
      </c>
      <c r="J204" s="1">
        <v>43588</v>
      </c>
      <c r="K204" t="s">
        <v>317</v>
      </c>
    </row>
    <row r="205" spans="1:11" x14ac:dyDescent="0.2">
      <c r="A205" t="s">
        <v>774</v>
      </c>
      <c r="B205" t="s">
        <v>179</v>
      </c>
      <c r="C205" t="s">
        <v>416</v>
      </c>
      <c r="D205">
        <v>7.66</v>
      </c>
      <c r="E205" s="1">
        <v>43621</v>
      </c>
      <c r="F205" t="s">
        <v>932</v>
      </c>
      <c r="G205" s="1">
        <v>43782</v>
      </c>
      <c r="H205" s="1">
        <v>43565</v>
      </c>
      <c r="I205" s="1">
        <v>43587</v>
      </c>
      <c r="J205" s="1">
        <v>43588</v>
      </c>
      <c r="K205" t="s">
        <v>318</v>
      </c>
    </row>
    <row r="206" spans="1:11" x14ac:dyDescent="0.2">
      <c r="A206" t="s">
        <v>774</v>
      </c>
      <c r="B206" t="s">
        <v>227</v>
      </c>
      <c r="C206" t="s">
        <v>512</v>
      </c>
      <c r="D206">
        <v>7.63</v>
      </c>
      <c r="E206" s="1">
        <v>43397</v>
      </c>
      <c r="F206" t="s">
        <v>932</v>
      </c>
      <c r="G206" s="1">
        <v>43782</v>
      </c>
      <c r="H206" s="1">
        <v>43420</v>
      </c>
      <c r="I206" s="1">
        <v>43542</v>
      </c>
      <c r="J206" s="1">
        <v>43544</v>
      </c>
      <c r="K206" t="s">
        <v>319</v>
      </c>
    </row>
    <row r="207" spans="1:11" x14ac:dyDescent="0.2">
      <c r="A207" t="s">
        <v>614</v>
      </c>
      <c r="B207" t="s">
        <v>165</v>
      </c>
      <c r="C207" t="s">
        <v>369</v>
      </c>
      <c r="D207">
        <v>6.01</v>
      </c>
      <c r="E207" s="1">
        <v>43623</v>
      </c>
      <c r="F207" t="s">
        <v>932</v>
      </c>
      <c r="G207" s="1">
        <v>43782</v>
      </c>
      <c r="H207" s="1">
        <v>43525</v>
      </c>
      <c r="I207" s="1">
        <v>43586</v>
      </c>
      <c r="J207" s="1">
        <v>43588</v>
      </c>
      <c r="K207" t="s">
        <v>317</v>
      </c>
    </row>
    <row r="208" spans="1:11" x14ac:dyDescent="0.2">
      <c r="A208" t="s">
        <v>614</v>
      </c>
      <c r="B208" t="s">
        <v>203</v>
      </c>
      <c r="C208" t="s">
        <v>417</v>
      </c>
      <c r="D208">
        <v>6.11</v>
      </c>
      <c r="E208" s="1">
        <v>43634</v>
      </c>
      <c r="F208" t="s">
        <v>932</v>
      </c>
      <c r="G208" s="1">
        <v>43782</v>
      </c>
      <c r="H208" s="1">
        <v>43557</v>
      </c>
      <c r="I208" s="1">
        <v>43587</v>
      </c>
      <c r="J208" s="1">
        <v>43588</v>
      </c>
      <c r="K208" t="s">
        <v>318</v>
      </c>
    </row>
    <row r="209" spans="1:11" x14ac:dyDescent="0.2">
      <c r="A209" t="s">
        <v>614</v>
      </c>
      <c r="B209" t="s">
        <v>275</v>
      </c>
      <c r="C209" t="s">
        <v>513</v>
      </c>
      <c r="D209">
        <v>5.68</v>
      </c>
      <c r="E209" s="1">
        <v>43431</v>
      </c>
      <c r="F209" t="s">
        <v>932</v>
      </c>
      <c r="G209" s="1">
        <v>43782</v>
      </c>
      <c r="H209" s="1">
        <v>43447</v>
      </c>
      <c r="I209" s="1">
        <v>43544</v>
      </c>
      <c r="J209" s="1">
        <v>43544</v>
      </c>
      <c r="K209" t="s">
        <v>319</v>
      </c>
    </row>
    <row r="210" spans="1:11" x14ac:dyDescent="0.2">
      <c r="A210" t="s">
        <v>128</v>
      </c>
      <c r="B210" t="s">
        <v>128</v>
      </c>
      <c r="C210" t="s">
        <v>11</v>
      </c>
      <c r="D210">
        <v>3.11</v>
      </c>
      <c r="E210" s="1">
        <v>43656</v>
      </c>
      <c r="F210" t="s">
        <v>932</v>
      </c>
      <c r="G210" s="1">
        <v>43782</v>
      </c>
      <c r="H210" t="s">
        <v>11</v>
      </c>
      <c r="I210" t="s">
        <v>11</v>
      </c>
      <c r="J210" t="s">
        <v>11</v>
      </c>
      <c r="K210" t="s">
        <v>317</v>
      </c>
    </row>
    <row r="211" spans="1:11" x14ac:dyDescent="0.2">
      <c r="A211" t="s">
        <v>129</v>
      </c>
      <c r="B211" t="s">
        <v>129</v>
      </c>
      <c r="C211" t="s">
        <v>11</v>
      </c>
      <c r="D211">
        <v>4.8</v>
      </c>
      <c r="E211" s="1">
        <v>43656</v>
      </c>
      <c r="F211" t="s">
        <v>932</v>
      </c>
      <c r="G211" s="1">
        <v>43782</v>
      </c>
      <c r="H211" t="s">
        <v>11</v>
      </c>
      <c r="I211" t="s">
        <v>11</v>
      </c>
      <c r="J211" t="s">
        <v>11</v>
      </c>
      <c r="K211" t="s">
        <v>317</v>
      </c>
    </row>
    <row r="212" spans="1:11" x14ac:dyDescent="0.2">
      <c r="A212" t="s">
        <v>166</v>
      </c>
      <c r="B212" t="s">
        <v>166</v>
      </c>
      <c r="C212" t="s">
        <v>11</v>
      </c>
      <c r="D212">
        <v>5.46</v>
      </c>
      <c r="E212" s="1">
        <v>43656</v>
      </c>
      <c r="F212" t="s">
        <v>932</v>
      </c>
      <c r="G212" s="1">
        <v>43782</v>
      </c>
      <c r="H212" t="s">
        <v>11</v>
      </c>
      <c r="I212" t="s">
        <v>11</v>
      </c>
      <c r="J212" t="s">
        <v>11</v>
      </c>
      <c r="K212" t="s">
        <v>318</v>
      </c>
    </row>
    <row r="213" spans="1:11" x14ac:dyDescent="0.2">
      <c r="A213" t="s">
        <v>167</v>
      </c>
      <c r="B213" t="s">
        <v>167</v>
      </c>
      <c r="C213" t="s">
        <v>11</v>
      </c>
      <c r="D213">
        <v>8.64</v>
      </c>
      <c r="E213" s="1">
        <v>43656</v>
      </c>
      <c r="F213" t="s">
        <v>932</v>
      </c>
      <c r="G213" s="1">
        <v>43782</v>
      </c>
      <c r="H213" t="s">
        <v>11</v>
      </c>
      <c r="I213" t="s">
        <v>11</v>
      </c>
      <c r="J213" t="s">
        <v>11</v>
      </c>
      <c r="K213" t="s">
        <v>318</v>
      </c>
    </row>
  </sheetData>
  <sortState xmlns:xlrd2="http://schemas.microsoft.com/office/spreadsheetml/2017/richdata2" ref="A2:K213">
    <sortCondition ref="A2:A213"/>
  </sortState>
  <phoneticPr fontId="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05258-0B26-4B0F-A2D0-7FF35CB1DBD7}">
  <dimension ref="A1:H435"/>
  <sheetViews>
    <sheetView topLeftCell="B1" workbookViewId="0">
      <selection activeCell="E242" sqref="E242"/>
    </sheetView>
  </sheetViews>
  <sheetFormatPr baseColWidth="10" defaultColWidth="15.1640625" defaultRowHeight="15" x14ac:dyDescent="0.2"/>
  <cols>
    <col min="7" max="7" width="89.1640625" customWidth="1"/>
    <col min="8" max="8" width="90.5" customWidth="1"/>
  </cols>
  <sheetData>
    <row r="1" spans="1:8" x14ac:dyDescent="0.2">
      <c r="A1" s="2" t="s">
        <v>923</v>
      </c>
      <c r="B1" s="2" t="s">
        <v>1131</v>
      </c>
      <c r="C1" s="2" t="s">
        <v>1132</v>
      </c>
      <c r="D1" s="2" t="s">
        <v>1142</v>
      </c>
      <c r="E1" s="2" t="s">
        <v>1143</v>
      </c>
      <c r="F1" s="2" t="s">
        <v>1997</v>
      </c>
      <c r="G1" s="2" t="s">
        <v>1144</v>
      </c>
      <c r="H1" s="2" t="s">
        <v>1145</v>
      </c>
    </row>
    <row r="2" spans="1:8" x14ac:dyDescent="0.2">
      <c r="A2" t="s">
        <v>660</v>
      </c>
      <c r="B2" t="s">
        <v>259</v>
      </c>
      <c r="C2" t="s">
        <v>1138</v>
      </c>
      <c r="D2" s="26" t="str">
        <f t="shared" ref="D2:D65" si="0">HYPERLINK("https://www.ncbi.nlm.nih.gov/bioproject/PRJNA599388", "PRJNA599388")</f>
        <v>PRJNA599388</v>
      </c>
      <c r="E2" s="26" t="str">
        <f>HYPERLINK("https://www.ncbi.nlm.nih.gov/biosample/13747714", "SAMN13747714")</f>
        <v>SAMN13747714</v>
      </c>
      <c r="F2" s="26" t="str">
        <f>HYPERLINK("https://trace.ncbi.nlm.nih.gov/Traces/sra/?run=SRR10870020", "SRR10870020")</f>
        <v>SRR10870020</v>
      </c>
      <c r="G2" t="s">
        <v>1688</v>
      </c>
      <c r="H2" t="s">
        <v>1780</v>
      </c>
    </row>
    <row r="3" spans="1:8" x14ac:dyDescent="0.2">
      <c r="A3" t="s">
        <v>661</v>
      </c>
      <c r="B3" t="s">
        <v>258</v>
      </c>
      <c r="C3" t="s">
        <v>1138</v>
      </c>
      <c r="D3" s="26" t="str">
        <f t="shared" si="0"/>
        <v>PRJNA599388</v>
      </c>
      <c r="E3" s="26" t="str">
        <f>HYPERLINK("https://www.ncbi.nlm.nih.gov/biosample/13747713", "SAMN13747713")</f>
        <v>SAMN13747713</v>
      </c>
      <c r="F3" s="26" t="str">
        <f>HYPERLINK("https://trace.ncbi.nlm.nih.gov/Traces/sra/?run=SRR10870021", "SRR10870021")</f>
        <v>SRR10870021</v>
      </c>
      <c r="G3" t="s">
        <v>1684</v>
      </c>
      <c r="H3" t="s">
        <v>1781</v>
      </c>
    </row>
    <row r="4" spans="1:8" x14ac:dyDescent="0.2">
      <c r="A4" t="s">
        <v>662</v>
      </c>
      <c r="B4" t="s">
        <v>257</v>
      </c>
      <c r="C4" t="s">
        <v>1138</v>
      </c>
      <c r="D4" s="26" t="str">
        <f t="shared" si="0"/>
        <v>PRJNA599388</v>
      </c>
      <c r="E4" s="26" t="str">
        <f>HYPERLINK("https://www.ncbi.nlm.nih.gov/biosample/13747712", "SAMN13747712")</f>
        <v>SAMN13747712</v>
      </c>
      <c r="F4" s="26" t="str">
        <f>HYPERLINK("https://trace.ncbi.nlm.nih.gov/Traces/sra/?run=SRR10870022", "SRR10870022")</f>
        <v>SRR10870022</v>
      </c>
      <c r="G4" t="s">
        <v>1662</v>
      </c>
      <c r="H4" t="s">
        <v>1782</v>
      </c>
    </row>
    <row r="5" spans="1:8" x14ac:dyDescent="0.2">
      <c r="A5" t="s">
        <v>664</v>
      </c>
      <c r="B5" t="s">
        <v>256</v>
      </c>
      <c r="C5" t="s">
        <v>1138</v>
      </c>
      <c r="D5" s="26" t="str">
        <f t="shared" si="0"/>
        <v>PRJNA599388</v>
      </c>
      <c r="E5" s="26" t="str">
        <f>HYPERLINK("https://www.ncbi.nlm.nih.gov/biosample/13747711", "SAMN13747711")</f>
        <v>SAMN13747711</v>
      </c>
      <c r="F5" s="26" t="str">
        <f>HYPERLINK("https://trace.ncbi.nlm.nih.gov/Traces/sra/?run=SRR10870023", "SRR10870023")</f>
        <v>SRR10870023</v>
      </c>
      <c r="G5" t="s">
        <v>1582</v>
      </c>
      <c r="H5" t="s">
        <v>1783</v>
      </c>
    </row>
    <row r="6" spans="1:8" x14ac:dyDescent="0.2">
      <c r="A6" t="s">
        <v>674</v>
      </c>
      <c r="B6" t="s">
        <v>255</v>
      </c>
      <c r="C6" t="s">
        <v>1138</v>
      </c>
      <c r="D6" s="26" t="str">
        <f t="shared" si="0"/>
        <v>PRJNA599388</v>
      </c>
      <c r="E6" s="26" t="str">
        <f>HYPERLINK("https://www.ncbi.nlm.nih.gov/biosample/13747710", "SAMN13747710")</f>
        <v>SAMN13747710</v>
      </c>
      <c r="F6" s="26" t="str">
        <f>HYPERLINK("https://trace.ncbi.nlm.nih.gov/Traces/sra/?run=SRR10870024", "SRR10870024")</f>
        <v>SRR10870024</v>
      </c>
      <c r="G6" t="s">
        <v>1563</v>
      </c>
      <c r="H6" t="s">
        <v>1784</v>
      </c>
    </row>
    <row r="7" spans="1:8" x14ac:dyDescent="0.2">
      <c r="A7" t="s">
        <v>675</v>
      </c>
      <c r="B7" t="s">
        <v>254</v>
      </c>
      <c r="C7" t="s">
        <v>1138</v>
      </c>
      <c r="D7" s="26" t="str">
        <f t="shared" si="0"/>
        <v>PRJNA599388</v>
      </c>
      <c r="E7" s="26" t="str">
        <f>HYPERLINK("https://www.ncbi.nlm.nih.gov/biosample/13747709", "SAMN13747709")</f>
        <v>SAMN13747709</v>
      </c>
      <c r="F7" s="26" t="str">
        <f>HYPERLINK("https://trace.ncbi.nlm.nih.gov/Traces/sra/?run=SRR10870025", "SRR10870025")</f>
        <v>SRR10870025</v>
      </c>
      <c r="G7" t="s">
        <v>1629</v>
      </c>
      <c r="H7" t="s">
        <v>1785</v>
      </c>
    </row>
    <row r="8" spans="1:8" x14ac:dyDescent="0.2">
      <c r="A8" t="s">
        <v>754</v>
      </c>
      <c r="B8" t="s">
        <v>143</v>
      </c>
      <c r="C8" t="s">
        <v>1138</v>
      </c>
      <c r="D8" s="26" t="str">
        <f t="shared" si="0"/>
        <v>PRJNA599388</v>
      </c>
      <c r="E8" s="26" t="str">
        <f>HYPERLINK("https://www.ncbi.nlm.nih.gov/biosample/13747574", "SAMN13747574")</f>
        <v>SAMN13747574</v>
      </c>
      <c r="F8" s="26" t="str">
        <f>HYPERLINK("https://trace.ncbi.nlm.nih.gov/Traces/sra/?run=SRR10870026", "SRR10870026")</f>
        <v>SRR10870026</v>
      </c>
      <c r="G8" t="s">
        <v>1720</v>
      </c>
      <c r="H8" t="s">
        <v>1786</v>
      </c>
    </row>
    <row r="9" spans="1:8" x14ac:dyDescent="0.2">
      <c r="A9" t="s">
        <v>679</v>
      </c>
      <c r="B9" t="s">
        <v>253</v>
      </c>
      <c r="C9" t="s">
        <v>1138</v>
      </c>
      <c r="D9" s="26" t="str">
        <f t="shared" si="0"/>
        <v>PRJNA599388</v>
      </c>
      <c r="E9" s="26" t="str">
        <f>HYPERLINK("https://www.ncbi.nlm.nih.gov/biosample/13747708", "SAMN13747708")</f>
        <v>SAMN13747708</v>
      </c>
      <c r="F9" s="26" t="str">
        <f>HYPERLINK("https://trace.ncbi.nlm.nih.gov/Traces/sra/?run=SRR10870027", "SRR10870027")</f>
        <v>SRR10870027</v>
      </c>
      <c r="G9" t="s">
        <v>1762</v>
      </c>
      <c r="H9" t="s">
        <v>1787</v>
      </c>
    </row>
    <row r="10" spans="1:8" x14ac:dyDescent="0.2">
      <c r="A10" t="s">
        <v>680</v>
      </c>
      <c r="B10" t="s">
        <v>252</v>
      </c>
      <c r="C10" t="s">
        <v>1138</v>
      </c>
      <c r="D10" s="26" t="str">
        <f t="shared" si="0"/>
        <v>PRJNA599388</v>
      </c>
      <c r="E10" s="26" t="str">
        <f>HYPERLINK("https://www.ncbi.nlm.nih.gov/biosample/13747707", "SAMN13747707")</f>
        <v>SAMN13747707</v>
      </c>
      <c r="F10" s="26" t="str">
        <f>HYPERLINK("https://trace.ncbi.nlm.nih.gov/Traces/sra/?run=SRR10870028", "SRR10870028")</f>
        <v>SRR10870028</v>
      </c>
      <c r="G10" t="s">
        <v>1696</v>
      </c>
      <c r="H10" t="s">
        <v>1788</v>
      </c>
    </row>
    <row r="11" spans="1:8" x14ac:dyDescent="0.2">
      <c r="A11" t="s">
        <v>694</v>
      </c>
      <c r="B11" t="s">
        <v>251</v>
      </c>
      <c r="C11" t="s">
        <v>1138</v>
      </c>
      <c r="D11" s="26" t="str">
        <f t="shared" si="0"/>
        <v>PRJNA599388</v>
      </c>
      <c r="E11" s="26" t="str">
        <f>HYPERLINK("https://www.ncbi.nlm.nih.gov/biosample/13747706", "SAMN13747706")</f>
        <v>SAMN13747706</v>
      </c>
      <c r="F11" s="26" t="str">
        <f>HYPERLINK("https://trace.ncbi.nlm.nih.gov/Traces/sra/?run=SRR10870029", "SRR10870029")</f>
        <v>SRR10870029</v>
      </c>
      <c r="G11" t="s">
        <v>1767</v>
      </c>
      <c r="H11" t="s">
        <v>1789</v>
      </c>
    </row>
    <row r="12" spans="1:8" x14ac:dyDescent="0.2">
      <c r="A12" t="s">
        <v>695</v>
      </c>
      <c r="B12" t="s">
        <v>250</v>
      </c>
      <c r="C12" t="s">
        <v>1138</v>
      </c>
      <c r="D12" s="26" t="str">
        <f t="shared" si="0"/>
        <v>PRJNA599388</v>
      </c>
      <c r="E12" s="26" t="str">
        <f>HYPERLINK("https://www.ncbi.nlm.nih.gov/biosample/13747705", "SAMN13747705")</f>
        <v>SAMN13747705</v>
      </c>
      <c r="F12" s="26" t="str">
        <f>HYPERLINK("https://trace.ncbi.nlm.nih.gov/Traces/sra/?run=SRR10870030", "SRR10870030")</f>
        <v>SRR10870030</v>
      </c>
      <c r="G12" t="s">
        <v>1691</v>
      </c>
      <c r="H12" t="s">
        <v>1790</v>
      </c>
    </row>
    <row r="13" spans="1:8" x14ac:dyDescent="0.2">
      <c r="A13" t="s">
        <v>697</v>
      </c>
      <c r="B13" t="s">
        <v>249</v>
      </c>
      <c r="C13" t="s">
        <v>1138</v>
      </c>
      <c r="D13" s="26" t="str">
        <f t="shared" si="0"/>
        <v>PRJNA599388</v>
      </c>
      <c r="E13" s="26" t="str">
        <f>HYPERLINK("https://www.ncbi.nlm.nih.gov/biosample/13747704", "SAMN13747704")</f>
        <v>SAMN13747704</v>
      </c>
      <c r="F13" s="26" t="str">
        <f>HYPERLINK("https://trace.ncbi.nlm.nih.gov/Traces/sra/?run=SRR10870031", "SRR10870031")</f>
        <v>SRR10870031</v>
      </c>
      <c r="G13" t="s">
        <v>1665</v>
      </c>
      <c r="H13" t="s">
        <v>1791</v>
      </c>
    </row>
    <row r="14" spans="1:8" x14ac:dyDescent="0.2">
      <c r="A14" t="s">
        <v>698</v>
      </c>
      <c r="B14" t="s">
        <v>248</v>
      </c>
      <c r="C14" t="s">
        <v>1138</v>
      </c>
      <c r="D14" s="26" t="str">
        <f t="shared" si="0"/>
        <v>PRJNA599388</v>
      </c>
      <c r="E14" s="26" t="str">
        <f>HYPERLINK("https://www.ncbi.nlm.nih.gov/biosample/13747703", "SAMN13747703")</f>
        <v>SAMN13747703</v>
      </c>
      <c r="F14" s="26" t="str">
        <f>HYPERLINK("https://trace.ncbi.nlm.nih.gov/Traces/sra/?run=SRR10870032", "SRR10870032")</f>
        <v>SRR10870032</v>
      </c>
      <c r="G14" t="s">
        <v>1771</v>
      </c>
      <c r="H14" t="s">
        <v>1792</v>
      </c>
    </row>
    <row r="15" spans="1:8" x14ac:dyDescent="0.2">
      <c r="A15" t="s">
        <v>700</v>
      </c>
      <c r="B15" t="s">
        <v>247</v>
      </c>
      <c r="C15" t="s">
        <v>1138</v>
      </c>
      <c r="D15" s="26" t="str">
        <f t="shared" si="0"/>
        <v>PRJNA599388</v>
      </c>
      <c r="E15" s="26" t="str">
        <f>HYPERLINK("https://www.ncbi.nlm.nih.gov/biosample/13747702", "SAMN13747702")</f>
        <v>SAMN13747702</v>
      </c>
      <c r="F15" s="26" t="str">
        <f>HYPERLINK("https://trace.ncbi.nlm.nih.gov/Traces/sra/?run=SRR10870033", "SRR10870033")</f>
        <v>SRR10870033</v>
      </c>
      <c r="G15" t="s">
        <v>1692</v>
      </c>
      <c r="H15" t="s">
        <v>1793</v>
      </c>
    </row>
    <row r="16" spans="1:8" x14ac:dyDescent="0.2">
      <c r="A16" t="s">
        <v>701</v>
      </c>
      <c r="B16" t="s">
        <v>246</v>
      </c>
      <c r="C16" t="s">
        <v>1138</v>
      </c>
      <c r="D16" s="26" t="str">
        <f t="shared" si="0"/>
        <v>PRJNA599388</v>
      </c>
      <c r="E16" s="26" t="str">
        <f>HYPERLINK("https://www.ncbi.nlm.nih.gov/biosample/13747701", "SAMN13747701")</f>
        <v>SAMN13747701</v>
      </c>
      <c r="F16" s="26" t="str">
        <f>HYPERLINK("https://trace.ncbi.nlm.nih.gov/Traces/sra/?run=SRR10870034", "SRR10870034")</f>
        <v>SRR10870034</v>
      </c>
      <c r="G16" t="s">
        <v>1669</v>
      </c>
      <c r="H16" t="s">
        <v>1794</v>
      </c>
    </row>
    <row r="17" spans="1:8" x14ac:dyDescent="0.2">
      <c r="A17" t="s">
        <v>702</v>
      </c>
      <c r="B17" t="s">
        <v>245</v>
      </c>
      <c r="C17" t="s">
        <v>1138</v>
      </c>
      <c r="D17" s="26" t="str">
        <f t="shared" si="0"/>
        <v>PRJNA599388</v>
      </c>
      <c r="E17" s="26" t="str">
        <f>HYPERLINK("https://www.ncbi.nlm.nih.gov/biosample/13747700", "SAMN13747700")</f>
        <v>SAMN13747700</v>
      </c>
      <c r="F17" s="26" t="str">
        <f>HYPERLINK("https://trace.ncbi.nlm.nih.gov/Traces/sra/?run=SRR10870035", "SRR10870035")</f>
        <v>SRR10870035</v>
      </c>
      <c r="G17" t="s">
        <v>1565</v>
      </c>
      <c r="H17" t="s">
        <v>1795</v>
      </c>
    </row>
    <row r="18" spans="1:8" x14ac:dyDescent="0.2">
      <c r="A18" t="s">
        <v>703</v>
      </c>
      <c r="B18" t="s">
        <v>244</v>
      </c>
      <c r="C18" t="s">
        <v>1138</v>
      </c>
      <c r="D18" s="26" t="str">
        <f t="shared" si="0"/>
        <v>PRJNA599388</v>
      </c>
      <c r="E18" s="26" t="str">
        <f>HYPERLINK("https://www.ncbi.nlm.nih.gov/biosample/13747699", "SAMN13747699")</f>
        <v>SAMN13747699</v>
      </c>
      <c r="F18" s="26" t="str">
        <f>HYPERLINK("https://trace.ncbi.nlm.nih.gov/Traces/sra/?run=SRR10870036", "SRR10870036")</f>
        <v>SRR10870036</v>
      </c>
      <c r="G18" t="s">
        <v>1661</v>
      </c>
      <c r="H18" t="s">
        <v>1796</v>
      </c>
    </row>
    <row r="19" spans="1:8" x14ac:dyDescent="0.2">
      <c r="A19" t="s">
        <v>755</v>
      </c>
      <c r="B19" t="s">
        <v>142</v>
      </c>
      <c r="C19" t="s">
        <v>1138</v>
      </c>
      <c r="D19" s="26" t="str">
        <f t="shared" si="0"/>
        <v>PRJNA599388</v>
      </c>
      <c r="E19" s="26" t="str">
        <f>HYPERLINK("https://www.ncbi.nlm.nih.gov/biosample/13747573", "SAMN13747573")</f>
        <v>SAMN13747573</v>
      </c>
      <c r="F19" s="26" t="str">
        <f>HYPERLINK("https://trace.ncbi.nlm.nih.gov/Traces/sra/?run=SRR10870037", "SRR10870037")</f>
        <v>SRR10870037</v>
      </c>
      <c r="G19" t="s">
        <v>1732</v>
      </c>
      <c r="H19" t="s">
        <v>1797</v>
      </c>
    </row>
    <row r="20" spans="1:8" x14ac:dyDescent="0.2">
      <c r="A20" t="s">
        <v>714</v>
      </c>
      <c r="B20" t="s">
        <v>243</v>
      </c>
      <c r="C20" t="s">
        <v>1138</v>
      </c>
      <c r="D20" s="26" t="str">
        <f t="shared" si="0"/>
        <v>PRJNA599388</v>
      </c>
      <c r="E20" s="26" t="str">
        <f>HYPERLINK("https://www.ncbi.nlm.nih.gov/biosample/13747698", "SAMN13747698")</f>
        <v>SAMN13747698</v>
      </c>
      <c r="F20" s="26" t="str">
        <f>HYPERLINK("https://trace.ncbi.nlm.nih.gov/Traces/sra/?run=SRR10870038", "SRR10870038")</f>
        <v>SRR10870038</v>
      </c>
      <c r="G20" t="s">
        <v>1704</v>
      </c>
      <c r="H20" t="s">
        <v>1798</v>
      </c>
    </row>
    <row r="21" spans="1:8" x14ac:dyDescent="0.2">
      <c r="A21" t="s">
        <v>716</v>
      </c>
      <c r="B21" t="s">
        <v>242</v>
      </c>
      <c r="C21" t="s">
        <v>1138</v>
      </c>
      <c r="D21" s="26" t="str">
        <f t="shared" si="0"/>
        <v>PRJNA599388</v>
      </c>
      <c r="E21" s="26" t="str">
        <f>HYPERLINK("https://www.ncbi.nlm.nih.gov/biosample/13747697", "SAMN13747697")</f>
        <v>SAMN13747697</v>
      </c>
      <c r="F21" s="26" t="str">
        <f>HYPERLINK("https://trace.ncbi.nlm.nih.gov/Traces/sra/?run=SRR10870039", "SRR10870039")</f>
        <v>SRR10870039</v>
      </c>
      <c r="G21" t="s">
        <v>1769</v>
      </c>
      <c r="H21" t="s">
        <v>1799</v>
      </c>
    </row>
    <row r="22" spans="1:8" x14ac:dyDescent="0.2">
      <c r="A22" t="s">
        <v>719</v>
      </c>
      <c r="B22" t="s">
        <v>241</v>
      </c>
      <c r="C22" t="s">
        <v>1138</v>
      </c>
      <c r="D22" s="26" t="str">
        <f t="shared" si="0"/>
        <v>PRJNA599388</v>
      </c>
      <c r="E22" s="26" t="str">
        <f>HYPERLINK("https://www.ncbi.nlm.nih.gov/biosample/13747696", "SAMN13747696")</f>
        <v>SAMN13747696</v>
      </c>
      <c r="F22" s="26" t="str">
        <f>HYPERLINK("https://trace.ncbi.nlm.nih.gov/Traces/sra/?run=SRR10870040", "SRR10870040")</f>
        <v>SRR10870040</v>
      </c>
      <c r="G22" t="s">
        <v>1679</v>
      </c>
      <c r="H22" t="s">
        <v>1800</v>
      </c>
    </row>
    <row r="23" spans="1:8" x14ac:dyDescent="0.2">
      <c r="A23" t="s">
        <v>721</v>
      </c>
      <c r="B23" t="s">
        <v>240</v>
      </c>
      <c r="C23" t="s">
        <v>1138</v>
      </c>
      <c r="D23" s="26" t="str">
        <f t="shared" si="0"/>
        <v>PRJNA599388</v>
      </c>
      <c r="E23" s="26" t="str">
        <f>HYPERLINK("https://www.ncbi.nlm.nih.gov/biosample/13747695", "SAMN13747695")</f>
        <v>SAMN13747695</v>
      </c>
      <c r="F23" s="26" t="str">
        <f>HYPERLINK("https://trace.ncbi.nlm.nih.gov/Traces/sra/?run=SRR10870041", "SRR10870041")</f>
        <v>SRR10870041</v>
      </c>
      <c r="G23" t="s">
        <v>1756</v>
      </c>
      <c r="H23" t="s">
        <v>1801</v>
      </c>
    </row>
    <row r="24" spans="1:8" x14ac:dyDescent="0.2">
      <c r="A24" t="s">
        <v>732</v>
      </c>
      <c r="B24" t="s">
        <v>239</v>
      </c>
      <c r="C24" t="s">
        <v>1138</v>
      </c>
      <c r="D24" s="26" t="str">
        <f t="shared" si="0"/>
        <v>PRJNA599388</v>
      </c>
      <c r="E24" s="26" t="str">
        <f>HYPERLINK("https://www.ncbi.nlm.nih.gov/biosample/13747694", "SAMN13747694")</f>
        <v>SAMN13747694</v>
      </c>
      <c r="F24" s="26" t="str">
        <f>HYPERLINK("https://trace.ncbi.nlm.nih.gov/Traces/sra/?run=SRR10870042", "SRR10870042")</f>
        <v>SRR10870042</v>
      </c>
      <c r="G24" t="s">
        <v>1603</v>
      </c>
      <c r="H24" t="s">
        <v>1802</v>
      </c>
    </row>
    <row r="25" spans="1:8" x14ac:dyDescent="0.2">
      <c r="A25" t="s">
        <v>733</v>
      </c>
      <c r="B25" t="s">
        <v>238</v>
      </c>
      <c r="C25" t="s">
        <v>1138</v>
      </c>
      <c r="D25" s="26" t="str">
        <f t="shared" si="0"/>
        <v>PRJNA599388</v>
      </c>
      <c r="E25" s="26" t="str">
        <f>HYPERLINK("https://www.ncbi.nlm.nih.gov/biosample/13747693", "SAMN13747693")</f>
        <v>SAMN13747693</v>
      </c>
      <c r="F25" s="26" t="str">
        <f>HYPERLINK("https://trace.ncbi.nlm.nih.gov/Traces/sra/?run=SRR10870043", "SRR10870043")</f>
        <v>SRR10870043</v>
      </c>
      <c r="G25" t="s">
        <v>1627</v>
      </c>
      <c r="H25" t="s">
        <v>1803</v>
      </c>
    </row>
    <row r="26" spans="1:8" x14ac:dyDescent="0.2">
      <c r="A26" t="s">
        <v>734</v>
      </c>
      <c r="B26" t="s">
        <v>237</v>
      </c>
      <c r="C26" t="s">
        <v>1138</v>
      </c>
      <c r="D26" s="26" t="str">
        <f t="shared" si="0"/>
        <v>PRJNA599388</v>
      </c>
      <c r="E26" s="26" t="str">
        <f>HYPERLINK("https://www.ncbi.nlm.nih.gov/biosample/13747692", "SAMN13747692")</f>
        <v>SAMN13747692</v>
      </c>
      <c r="F26" s="26" t="str">
        <f>HYPERLINK("https://trace.ncbi.nlm.nih.gov/Traces/sra/?run=SRR10870044", "SRR10870044")</f>
        <v>SRR10870044</v>
      </c>
      <c r="G26" t="s">
        <v>1750</v>
      </c>
      <c r="H26" t="s">
        <v>1804</v>
      </c>
    </row>
    <row r="27" spans="1:8" x14ac:dyDescent="0.2">
      <c r="A27" t="s">
        <v>736</v>
      </c>
      <c r="B27" t="s">
        <v>236</v>
      </c>
      <c r="C27" t="s">
        <v>1138</v>
      </c>
      <c r="D27" s="26" t="str">
        <f t="shared" si="0"/>
        <v>PRJNA599388</v>
      </c>
      <c r="E27" s="26" t="str">
        <f>HYPERLINK("https://www.ncbi.nlm.nih.gov/biosample/13747691", "SAMN13747691")</f>
        <v>SAMN13747691</v>
      </c>
      <c r="F27" s="26" t="str">
        <f>HYPERLINK("https://trace.ncbi.nlm.nih.gov/Traces/sra/?run=SRR10870045", "SRR10870045")</f>
        <v>SRR10870045</v>
      </c>
      <c r="G27" t="s">
        <v>1695</v>
      </c>
      <c r="H27" t="s">
        <v>1805</v>
      </c>
    </row>
    <row r="28" spans="1:8" x14ac:dyDescent="0.2">
      <c r="A28" t="s">
        <v>740</v>
      </c>
      <c r="B28" t="s">
        <v>235</v>
      </c>
      <c r="C28" t="s">
        <v>1138</v>
      </c>
      <c r="D28" s="26" t="str">
        <f t="shared" si="0"/>
        <v>PRJNA599388</v>
      </c>
      <c r="E28" s="26" t="str">
        <f>HYPERLINK("https://www.ncbi.nlm.nih.gov/biosample/13747690", "SAMN13747690")</f>
        <v>SAMN13747690</v>
      </c>
      <c r="F28" s="26" t="str">
        <f>HYPERLINK("https://trace.ncbi.nlm.nih.gov/Traces/sra/?run=SRR10870046", "SRR10870046")</f>
        <v>SRR10870046</v>
      </c>
      <c r="G28" t="s">
        <v>1581</v>
      </c>
      <c r="H28" t="s">
        <v>1806</v>
      </c>
    </row>
    <row r="29" spans="1:8" x14ac:dyDescent="0.2">
      <c r="A29" t="s">
        <v>741</v>
      </c>
      <c r="B29" t="s">
        <v>234</v>
      </c>
      <c r="C29" t="s">
        <v>1138</v>
      </c>
      <c r="D29" s="26" t="str">
        <f t="shared" si="0"/>
        <v>PRJNA599388</v>
      </c>
      <c r="E29" s="26" t="str">
        <f>HYPERLINK("https://www.ncbi.nlm.nih.gov/biosample/13747689", "SAMN13747689")</f>
        <v>SAMN13747689</v>
      </c>
      <c r="F29" s="26" t="str">
        <f>HYPERLINK("https://trace.ncbi.nlm.nih.gov/Traces/sra/?run=SRR10870047", "SRR10870047")</f>
        <v>SRR10870047</v>
      </c>
      <c r="G29" t="s">
        <v>1655</v>
      </c>
      <c r="H29" t="s">
        <v>1807</v>
      </c>
    </row>
    <row r="30" spans="1:8" x14ac:dyDescent="0.2">
      <c r="A30" t="s">
        <v>774</v>
      </c>
      <c r="B30" t="s">
        <v>141</v>
      </c>
      <c r="C30" t="s">
        <v>1138</v>
      </c>
      <c r="D30" s="26" t="str">
        <f t="shared" si="0"/>
        <v>PRJNA599388</v>
      </c>
      <c r="E30" s="26" t="str">
        <f>HYPERLINK("https://www.ncbi.nlm.nih.gov/biosample/13747572", "SAMN13747572")</f>
        <v>SAMN13747572</v>
      </c>
      <c r="F30" s="26" t="str">
        <f>HYPERLINK("https://trace.ncbi.nlm.nih.gov/Traces/sra/?run=SRR10870048", "SRR10870048")</f>
        <v>SRR10870048</v>
      </c>
      <c r="G30" t="s">
        <v>1694</v>
      </c>
      <c r="H30" t="s">
        <v>1808</v>
      </c>
    </row>
    <row r="31" spans="1:8" x14ac:dyDescent="0.2">
      <c r="A31" t="s">
        <v>742</v>
      </c>
      <c r="B31" t="s">
        <v>233</v>
      </c>
      <c r="C31" t="s">
        <v>1138</v>
      </c>
      <c r="D31" s="26" t="str">
        <f t="shared" si="0"/>
        <v>PRJNA599388</v>
      </c>
      <c r="E31" s="26" t="str">
        <f>HYPERLINK("https://www.ncbi.nlm.nih.gov/biosample/13747688", "SAMN13747688")</f>
        <v>SAMN13747688</v>
      </c>
      <c r="F31" s="26" t="str">
        <f>HYPERLINK("https://trace.ncbi.nlm.nih.gov/Traces/sra/?run=SRR10870049", "SRR10870049")</f>
        <v>SRR10870049</v>
      </c>
      <c r="G31" t="s">
        <v>1624</v>
      </c>
      <c r="H31" t="s">
        <v>1809</v>
      </c>
    </row>
    <row r="32" spans="1:8" x14ac:dyDescent="0.2">
      <c r="A32" t="s">
        <v>744</v>
      </c>
      <c r="B32" t="s">
        <v>232</v>
      </c>
      <c r="C32" t="s">
        <v>1138</v>
      </c>
      <c r="D32" s="26" t="str">
        <f t="shared" si="0"/>
        <v>PRJNA599388</v>
      </c>
      <c r="E32" s="26" t="str">
        <f>HYPERLINK("https://www.ncbi.nlm.nih.gov/biosample/13747687", "SAMN13747687")</f>
        <v>SAMN13747687</v>
      </c>
      <c r="F32" s="26" t="str">
        <f>HYPERLINK("https://trace.ncbi.nlm.nih.gov/Traces/sra/?run=SRR10870050", "SRR10870050")</f>
        <v>SRR10870050</v>
      </c>
      <c r="G32" t="s">
        <v>1744</v>
      </c>
      <c r="H32" t="s">
        <v>1810</v>
      </c>
    </row>
    <row r="33" spans="1:8" x14ac:dyDescent="0.2">
      <c r="A33" t="s">
        <v>754</v>
      </c>
      <c r="B33" t="s">
        <v>231</v>
      </c>
      <c r="C33" t="s">
        <v>1138</v>
      </c>
      <c r="D33" s="26" t="str">
        <f t="shared" si="0"/>
        <v>PRJNA599388</v>
      </c>
      <c r="E33" s="26" t="str">
        <f>HYPERLINK("https://www.ncbi.nlm.nih.gov/biosample/13747686", "SAMN13747686")</f>
        <v>SAMN13747686</v>
      </c>
      <c r="F33" s="26" t="str">
        <f>HYPERLINK("https://trace.ncbi.nlm.nih.gov/Traces/sra/?run=SRR10870051", "SRR10870051")</f>
        <v>SRR10870051</v>
      </c>
      <c r="G33" t="s">
        <v>1577</v>
      </c>
      <c r="H33" t="s">
        <v>1811</v>
      </c>
    </row>
    <row r="34" spans="1:8" x14ac:dyDescent="0.2">
      <c r="A34" t="s">
        <v>534</v>
      </c>
      <c r="B34" t="s">
        <v>104</v>
      </c>
      <c r="C34" t="s">
        <v>1138</v>
      </c>
      <c r="D34" s="26" t="str">
        <f t="shared" si="0"/>
        <v>PRJNA599388</v>
      </c>
      <c r="E34" s="26" t="str">
        <f>HYPERLINK("https://www.ncbi.nlm.nih.gov/biosample/13747658", "SAMN13747658")</f>
        <v>SAMN13747658</v>
      </c>
      <c r="F34" s="26" t="str">
        <f>HYPERLINK("https://trace.ncbi.nlm.nih.gov/Traces/sra/?run=SRR10870052", "SRR10870052")</f>
        <v>SRR10870052</v>
      </c>
      <c r="G34" t="s">
        <v>1572</v>
      </c>
      <c r="H34" t="s">
        <v>1812</v>
      </c>
    </row>
    <row r="35" spans="1:8" x14ac:dyDescent="0.2">
      <c r="A35" t="s">
        <v>535</v>
      </c>
      <c r="B35" t="s">
        <v>105</v>
      </c>
      <c r="C35" t="s">
        <v>1138</v>
      </c>
      <c r="D35" s="26" t="str">
        <f t="shared" si="0"/>
        <v>PRJNA599388</v>
      </c>
      <c r="E35" s="26" t="str">
        <f>HYPERLINK("https://www.ncbi.nlm.nih.gov/biosample/13747657", "SAMN13747657")</f>
        <v>SAMN13747657</v>
      </c>
      <c r="F35" s="26" t="str">
        <f>HYPERLINK("https://trace.ncbi.nlm.nih.gov/Traces/sra/?run=SRR10870053", "SRR10870053")</f>
        <v>SRR10870053</v>
      </c>
      <c r="G35" t="s">
        <v>1765</v>
      </c>
      <c r="H35" t="s">
        <v>1813</v>
      </c>
    </row>
    <row r="36" spans="1:8" x14ac:dyDescent="0.2">
      <c r="A36" t="s">
        <v>537</v>
      </c>
      <c r="B36" t="s">
        <v>106</v>
      </c>
      <c r="C36" t="s">
        <v>1138</v>
      </c>
      <c r="D36" s="26" t="str">
        <f t="shared" si="0"/>
        <v>PRJNA599388</v>
      </c>
      <c r="E36" s="26" t="str">
        <f>HYPERLINK("https://www.ncbi.nlm.nih.gov/biosample/13747656", "SAMN13747656")</f>
        <v>SAMN13747656</v>
      </c>
      <c r="F36" s="26" t="str">
        <f>HYPERLINK("https://trace.ncbi.nlm.nih.gov/Traces/sra/?run=SRR10870054", "SRR10870054")</f>
        <v>SRR10870054</v>
      </c>
      <c r="G36" t="s">
        <v>1631</v>
      </c>
      <c r="H36" t="s">
        <v>1814</v>
      </c>
    </row>
    <row r="37" spans="1:8" x14ac:dyDescent="0.2">
      <c r="A37" t="s">
        <v>543</v>
      </c>
      <c r="B37" t="s">
        <v>107</v>
      </c>
      <c r="C37" t="s">
        <v>1138</v>
      </c>
      <c r="D37" s="26" t="str">
        <f t="shared" si="0"/>
        <v>PRJNA599388</v>
      </c>
      <c r="E37" s="26" t="str">
        <f>HYPERLINK("https://www.ncbi.nlm.nih.gov/biosample/13747655", "SAMN13747655")</f>
        <v>SAMN13747655</v>
      </c>
      <c r="F37" s="26" t="str">
        <f>HYPERLINK("https://trace.ncbi.nlm.nih.gov/Traces/sra/?run=SRR10870055", "SRR10870055")</f>
        <v>SRR10870055</v>
      </c>
      <c r="G37" t="s">
        <v>1615</v>
      </c>
      <c r="H37" t="s">
        <v>1815</v>
      </c>
    </row>
    <row r="38" spans="1:8" x14ac:dyDescent="0.2">
      <c r="A38" t="s">
        <v>554</v>
      </c>
      <c r="B38" t="s">
        <v>108</v>
      </c>
      <c r="C38" t="s">
        <v>1138</v>
      </c>
      <c r="D38" s="26" t="str">
        <f t="shared" si="0"/>
        <v>PRJNA599388</v>
      </c>
      <c r="E38" s="26" t="str">
        <f>HYPERLINK("https://www.ncbi.nlm.nih.gov/biosample/13747654", "SAMN13747654")</f>
        <v>SAMN13747654</v>
      </c>
      <c r="F38" s="26" t="str">
        <f>HYPERLINK("https://trace.ncbi.nlm.nih.gov/Traces/sra/?run=SRR10870056", "SRR10870056")</f>
        <v>SRR10870056</v>
      </c>
      <c r="G38" t="s">
        <v>1743</v>
      </c>
      <c r="H38" t="s">
        <v>1816</v>
      </c>
    </row>
    <row r="39" spans="1:8" x14ac:dyDescent="0.2">
      <c r="A39" t="s">
        <v>556</v>
      </c>
      <c r="B39" t="s">
        <v>109</v>
      </c>
      <c r="C39" t="s">
        <v>1138</v>
      </c>
      <c r="D39" s="26" t="str">
        <f t="shared" si="0"/>
        <v>PRJNA599388</v>
      </c>
      <c r="E39" s="26" t="str">
        <f>HYPERLINK("https://www.ncbi.nlm.nih.gov/biosample/13747653", "SAMN13747653")</f>
        <v>SAMN13747653</v>
      </c>
      <c r="F39" s="26" t="str">
        <f>HYPERLINK("https://trace.ncbi.nlm.nih.gov/Traces/sra/?run=SRR10870057", "SRR10870057")</f>
        <v>SRR10870057</v>
      </c>
      <c r="G39" t="s">
        <v>1757</v>
      </c>
      <c r="H39" t="s">
        <v>1817</v>
      </c>
    </row>
    <row r="40" spans="1:8" x14ac:dyDescent="0.2">
      <c r="A40" t="s">
        <v>573</v>
      </c>
      <c r="B40" t="s">
        <v>110</v>
      </c>
      <c r="C40" t="s">
        <v>1138</v>
      </c>
      <c r="D40" s="26" t="str">
        <f t="shared" si="0"/>
        <v>PRJNA599388</v>
      </c>
      <c r="E40" s="26" t="str">
        <f>HYPERLINK("https://www.ncbi.nlm.nih.gov/biosample/13747652", "SAMN13747652")</f>
        <v>SAMN13747652</v>
      </c>
      <c r="F40" s="26" t="str">
        <f>HYPERLINK("https://trace.ncbi.nlm.nih.gov/Traces/sra/?run=SRR10870058", "SRR10870058")</f>
        <v>SRR10870058</v>
      </c>
      <c r="G40" t="s">
        <v>1736</v>
      </c>
      <c r="H40" t="s">
        <v>1818</v>
      </c>
    </row>
    <row r="41" spans="1:8" x14ac:dyDescent="0.2">
      <c r="A41" t="s">
        <v>574</v>
      </c>
      <c r="B41" t="s">
        <v>111</v>
      </c>
      <c r="C41" t="s">
        <v>1138</v>
      </c>
      <c r="D41" s="26" t="str">
        <f t="shared" si="0"/>
        <v>PRJNA599388</v>
      </c>
      <c r="E41" s="26" t="str">
        <f>HYPERLINK("https://www.ncbi.nlm.nih.gov/biosample/13747651", "SAMN13747651")</f>
        <v>SAMN13747651</v>
      </c>
      <c r="F41" s="26" t="str">
        <f>HYPERLINK("https://trace.ncbi.nlm.nih.gov/Traces/sra/?run=SRR10870059", "SRR10870059")</f>
        <v>SRR10870059</v>
      </c>
      <c r="G41" t="s">
        <v>1764</v>
      </c>
      <c r="H41" t="s">
        <v>1819</v>
      </c>
    </row>
    <row r="42" spans="1:8" x14ac:dyDescent="0.2">
      <c r="A42" t="s">
        <v>576</v>
      </c>
      <c r="B42" t="s">
        <v>112</v>
      </c>
      <c r="C42" t="s">
        <v>1138</v>
      </c>
      <c r="D42" s="26" t="str">
        <f t="shared" si="0"/>
        <v>PRJNA599388</v>
      </c>
      <c r="E42" s="26" t="str">
        <f>HYPERLINK("https://www.ncbi.nlm.nih.gov/biosample/13747650", "SAMN13747650")</f>
        <v>SAMN13747650</v>
      </c>
      <c r="F42" s="26" t="str">
        <f>HYPERLINK("https://trace.ncbi.nlm.nih.gov/Traces/sra/?run=SRR10870060", "SRR10870060")</f>
        <v>SRR10870060</v>
      </c>
      <c r="G42" t="s">
        <v>1591</v>
      </c>
      <c r="H42" t="s">
        <v>1820</v>
      </c>
    </row>
    <row r="43" spans="1:8" x14ac:dyDescent="0.2">
      <c r="A43" t="s">
        <v>584</v>
      </c>
      <c r="B43" t="s">
        <v>113</v>
      </c>
      <c r="C43" t="s">
        <v>1138</v>
      </c>
      <c r="D43" s="26" t="str">
        <f t="shared" si="0"/>
        <v>PRJNA599388</v>
      </c>
      <c r="E43" s="26" t="str">
        <f>HYPERLINK("https://www.ncbi.nlm.nih.gov/biosample/13747649", "SAMN13747649")</f>
        <v>SAMN13747649</v>
      </c>
      <c r="F43" s="26" t="str">
        <f>HYPERLINK("https://trace.ncbi.nlm.nih.gov/Traces/sra/?run=SRR10870061", "SRR10870061")</f>
        <v>SRR10870061</v>
      </c>
      <c r="G43" t="s">
        <v>1604</v>
      </c>
      <c r="H43" t="s">
        <v>1821</v>
      </c>
    </row>
    <row r="44" spans="1:8" x14ac:dyDescent="0.2">
      <c r="A44" t="s">
        <v>794</v>
      </c>
      <c r="B44" t="s">
        <v>137</v>
      </c>
      <c r="C44" t="s">
        <v>1138</v>
      </c>
      <c r="D44" s="26" t="str">
        <f t="shared" si="0"/>
        <v>PRJNA599388</v>
      </c>
      <c r="E44" s="26" t="str">
        <f>HYPERLINK("https://www.ncbi.nlm.nih.gov/biosample/13747568", "SAMN13747568")</f>
        <v>SAMN13747568</v>
      </c>
      <c r="F44" s="26" t="str">
        <f>HYPERLINK("https://trace.ncbi.nlm.nih.gov/Traces/sra/?run=SRR10870062", "SRR10870062")</f>
        <v>SRR10870062</v>
      </c>
      <c r="G44" t="s">
        <v>1673</v>
      </c>
      <c r="H44" t="s">
        <v>1822</v>
      </c>
    </row>
    <row r="45" spans="1:8" x14ac:dyDescent="0.2">
      <c r="A45" t="s">
        <v>594</v>
      </c>
      <c r="B45" t="s">
        <v>114</v>
      </c>
      <c r="C45" t="s">
        <v>1138</v>
      </c>
      <c r="D45" s="26" t="str">
        <f t="shared" si="0"/>
        <v>PRJNA599388</v>
      </c>
      <c r="E45" s="26" t="str">
        <f>HYPERLINK("https://www.ncbi.nlm.nih.gov/biosample/13747648", "SAMN13747648")</f>
        <v>SAMN13747648</v>
      </c>
      <c r="F45" s="26" t="str">
        <f>HYPERLINK("https://trace.ncbi.nlm.nih.gov/Traces/sra/?run=SRR10870063", "SRR10870063")</f>
        <v>SRR10870063</v>
      </c>
      <c r="G45" t="s">
        <v>1674</v>
      </c>
      <c r="H45" t="s">
        <v>1823</v>
      </c>
    </row>
    <row r="46" spans="1:8" x14ac:dyDescent="0.2">
      <c r="A46" t="s">
        <v>595</v>
      </c>
      <c r="B46" t="s">
        <v>115</v>
      </c>
      <c r="C46" t="s">
        <v>1138</v>
      </c>
      <c r="D46" s="26" t="str">
        <f t="shared" si="0"/>
        <v>PRJNA599388</v>
      </c>
      <c r="E46" s="26" t="str">
        <f>HYPERLINK("https://www.ncbi.nlm.nih.gov/biosample/13747647", "SAMN13747647")</f>
        <v>SAMN13747647</v>
      </c>
      <c r="F46" s="26" t="str">
        <f>HYPERLINK("https://trace.ncbi.nlm.nih.gov/Traces/sra/?run=SRR10870064", "SRR10870064")</f>
        <v>SRR10870064</v>
      </c>
      <c r="G46" t="s">
        <v>1583</v>
      </c>
      <c r="H46" t="s">
        <v>1824</v>
      </c>
    </row>
    <row r="47" spans="1:8" x14ac:dyDescent="0.2">
      <c r="A47" t="s">
        <v>614</v>
      </c>
      <c r="B47" t="s">
        <v>203</v>
      </c>
      <c r="C47" t="s">
        <v>1138</v>
      </c>
      <c r="D47" s="26" t="str">
        <f t="shared" si="0"/>
        <v>PRJNA599388</v>
      </c>
      <c r="E47" s="26" t="str">
        <f>HYPERLINK("https://www.ncbi.nlm.nih.gov/biosample/13747646", "SAMN13747646")</f>
        <v>SAMN13747646</v>
      </c>
      <c r="F47" s="26" t="str">
        <f>HYPERLINK("https://trace.ncbi.nlm.nih.gov/Traces/sra/?run=SRR10870065", "SRR10870065")</f>
        <v>SRR10870065</v>
      </c>
      <c r="G47" t="s">
        <v>1777</v>
      </c>
      <c r="H47" t="s">
        <v>1825</v>
      </c>
    </row>
    <row r="48" spans="1:8" x14ac:dyDescent="0.2">
      <c r="A48" t="s">
        <v>615</v>
      </c>
      <c r="B48" t="s">
        <v>202</v>
      </c>
      <c r="C48" t="s">
        <v>1138</v>
      </c>
      <c r="D48" s="26" t="str">
        <f t="shared" si="0"/>
        <v>PRJNA599388</v>
      </c>
      <c r="E48" s="26" t="str">
        <f>HYPERLINK("https://www.ncbi.nlm.nih.gov/biosample/13747645", "SAMN13747645")</f>
        <v>SAMN13747645</v>
      </c>
      <c r="F48" s="26" t="str">
        <f>HYPERLINK("https://trace.ncbi.nlm.nih.gov/Traces/sra/?run=SRR10870066", "SRR10870066")</f>
        <v>SRR10870066</v>
      </c>
      <c r="G48" t="s">
        <v>1597</v>
      </c>
      <c r="H48" t="s">
        <v>1826</v>
      </c>
    </row>
    <row r="49" spans="1:8" x14ac:dyDescent="0.2">
      <c r="A49" t="s">
        <v>617</v>
      </c>
      <c r="B49" t="s">
        <v>201</v>
      </c>
      <c r="C49" t="s">
        <v>1138</v>
      </c>
      <c r="D49" s="26" t="str">
        <f t="shared" si="0"/>
        <v>PRJNA599388</v>
      </c>
      <c r="E49" s="26" t="str">
        <f>HYPERLINK("https://www.ncbi.nlm.nih.gov/biosample/13747644", "SAMN13747644")</f>
        <v>SAMN13747644</v>
      </c>
      <c r="F49" s="26" t="str">
        <f>HYPERLINK("https://trace.ncbi.nlm.nih.gov/Traces/sra/?run=SRR10870067", "SRR10870067")</f>
        <v>SRR10870067</v>
      </c>
      <c r="G49" t="s">
        <v>1770</v>
      </c>
      <c r="H49" t="s">
        <v>1827</v>
      </c>
    </row>
    <row r="50" spans="1:8" x14ac:dyDescent="0.2">
      <c r="A50" t="s">
        <v>623</v>
      </c>
      <c r="B50" t="s">
        <v>200</v>
      </c>
      <c r="C50" t="s">
        <v>1138</v>
      </c>
      <c r="D50" s="26" t="str">
        <f t="shared" si="0"/>
        <v>PRJNA599388</v>
      </c>
      <c r="E50" s="26" t="str">
        <f>HYPERLINK("https://www.ncbi.nlm.nih.gov/biosample/13747643", "SAMN13747643")</f>
        <v>SAMN13747643</v>
      </c>
      <c r="F50" s="26" t="str">
        <f>HYPERLINK("https://trace.ncbi.nlm.nih.gov/Traces/sra/?run=SRR10870068", "SRR10870068")</f>
        <v>SRR10870068</v>
      </c>
      <c r="G50" t="s">
        <v>1595</v>
      </c>
      <c r="H50" t="s">
        <v>1828</v>
      </c>
    </row>
    <row r="51" spans="1:8" x14ac:dyDescent="0.2">
      <c r="A51" t="s">
        <v>634</v>
      </c>
      <c r="B51" t="s">
        <v>199</v>
      </c>
      <c r="C51" t="s">
        <v>1138</v>
      </c>
      <c r="D51" s="26" t="str">
        <f t="shared" si="0"/>
        <v>PRJNA599388</v>
      </c>
      <c r="E51" s="26" t="str">
        <f>HYPERLINK("https://www.ncbi.nlm.nih.gov/biosample/13747642", "SAMN13747642")</f>
        <v>SAMN13747642</v>
      </c>
      <c r="F51" s="26" t="str">
        <f>HYPERLINK("https://trace.ncbi.nlm.nih.gov/Traces/sra/?run=SRR10870069", "SRR10870069")</f>
        <v>SRR10870069</v>
      </c>
      <c r="G51" t="s">
        <v>1727</v>
      </c>
      <c r="H51" t="s">
        <v>1829</v>
      </c>
    </row>
    <row r="52" spans="1:8" x14ac:dyDescent="0.2">
      <c r="A52" t="s">
        <v>636</v>
      </c>
      <c r="B52" t="s">
        <v>198</v>
      </c>
      <c r="C52" t="s">
        <v>1138</v>
      </c>
      <c r="D52" s="26" t="str">
        <f t="shared" si="0"/>
        <v>PRJNA599388</v>
      </c>
      <c r="E52" s="26" t="str">
        <f>HYPERLINK("https://www.ncbi.nlm.nih.gov/biosample/13747641", "SAMN13747641")</f>
        <v>SAMN13747641</v>
      </c>
      <c r="F52" s="26" t="str">
        <f>HYPERLINK("https://trace.ncbi.nlm.nih.gov/Traces/sra/?run=SRR10870070", "SRR10870070")</f>
        <v>SRR10870070</v>
      </c>
      <c r="G52" t="s">
        <v>1721</v>
      </c>
      <c r="H52" t="s">
        <v>1830</v>
      </c>
    </row>
    <row r="53" spans="1:8" x14ac:dyDescent="0.2">
      <c r="A53" t="s">
        <v>653</v>
      </c>
      <c r="B53" t="s">
        <v>197</v>
      </c>
      <c r="C53" t="s">
        <v>1138</v>
      </c>
      <c r="D53" s="26" t="str">
        <f t="shared" si="0"/>
        <v>PRJNA599388</v>
      </c>
      <c r="E53" s="26" t="str">
        <f>HYPERLINK("https://www.ncbi.nlm.nih.gov/biosample/13747640", "SAMN13747640")</f>
        <v>SAMN13747640</v>
      </c>
      <c r="F53" s="26" t="str">
        <f>HYPERLINK("https://trace.ncbi.nlm.nih.gov/Traces/sra/?run=SRR10870071", "SRR10870071")</f>
        <v>SRR10870071</v>
      </c>
      <c r="G53" t="s">
        <v>1566</v>
      </c>
      <c r="H53" t="s">
        <v>1831</v>
      </c>
    </row>
    <row r="54" spans="1:8" x14ac:dyDescent="0.2">
      <c r="A54" t="s">
        <v>654</v>
      </c>
      <c r="B54" t="s">
        <v>196</v>
      </c>
      <c r="C54" t="s">
        <v>1138</v>
      </c>
      <c r="D54" s="26" t="str">
        <f t="shared" si="0"/>
        <v>PRJNA599388</v>
      </c>
      <c r="E54" s="26" t="str">
        <f>HYPERLINK("https://www.ncbi.nlm.nih.gov/biosample/13747639", "SAMN13747639")</f>
        <v>SAMN13747639</v>
      </c>
      <c r="F54" s="26" t="str">
        <f>HYPERLINK("https://trace.ncbi.nlm.nih.gov/Traces/sra/?run=SRR10870072", "SRR10870072")</f>
        <v>SRR10870072</v>
      </c>
      <c r="G54" t="s">
        <v>1606</v>
      </c>
      <c r="H54" t="s">
        <v>1832</v>
      </c>
    </row>
    <row r="55" spans="1:8" x14ac:dyDescent="0.2">
      <c r="A55" t="s">
        <v>796</v>
      </c>
      <c r="B55" t="s">
        <v>136</v>
      </c>
      <c r="C55" t="s">
        <v>1138</v>
      </c>
      <c r="D55" s="26" t="str">
        <f t="shared" si="0"/>
        <v>PRJNA599388</v>
      </c>
      <c r="E55" s="26" t="str">
        <f>HYPERLINK("https://www.ncbi.nlm.nih.gov/biosample/13747567", "SAMN13747567")</f>
        <v>SAMN13747567</v>
      </c>
      <c r="F55" s="26" t="str">
        <f>HYPERLINK("https://trace.ncbi.nlm.nih.gov/Traces/sra/?run=SRR10870073", "SRR10870073")</f>
        <v>SRR10870073</v>
      </c>
      <c r="G55" t="s">
        <v>1675</v>
      </c>
      <c r="H55" t="s">
        <v>1833</v>
      </c>
    </row>
    <row r="56" spans="1:8" x14ac:dyDescent="0.2">
      <c r="A56" t="s">
        <v>656</v>
      </c>
      <c r="B56" t="s">
        <v>195</v>
      </c>
      <c r="C56" t="s">
        <v>1138</v>
      </c>
      <c r="D56" s="26" t="str">
        <f t="shared" si="0"/>
        <v>PRJNA599388</v>
      </c>
      <c r="E56" s="26" t="str">
        <f>HYPERLINK("https://www.ncbi.nlm.nih.gov/biosample/13747638", "SAMN13747638")</f>
        <v>SAMN13747638</v>
      </c>
      <c r="F56" s="26" t="str">
        <f>HYPERLINK("https://trace.ncbi.nlm.nih.gov/Traces/sra/?run=SRR10870074", "SRR10870074")</f>
        <v>SRR10870074</v>
      </c>
      <c r="G56" t="s">
        <v>1739</v>
      </c>
      <c r="H56" t="s">
        <v>1834</v>
      </c>
    </row>
    <row r="57" spans="1:8" x14ac:dyDescent="0.2">
      <c r="A57" t="s">
        <v>664</v>
      </c>
      <c r="B57" t="s">
        <v>194</v>
      </c>
      <c r="C57" t="s">
        <v>1138</v>
      </c>
      <c r="D57" s="26" t="str">
        <f t="shared" si="0"/>
        <v>PRJNA599388</v>
      </c>
      <c r="E57" s="26" t="str">
        <f>HYPERLINK("https://www.ncbi.nlm.nih.gov/biosample/13747637", "SAMN13747637")</f>
        <v>SAMN13747637</v>
      </c>
      <c r="F57" s="26" t="str">
        <f>HYPERLINK("https://trace.ncbi.nlm.nih.gov/Traces/sra/?run=SRR10870075", "SRR10870075")</f>
        <v>SRR10870075</v>
      </c>
      <c r="G57" t="s">
        <v>1650</v>
      </c>
      <c r="H57" t="s">
        <v>1835</v>
      </c>
    </row>
    <row r="58" spans="1:8" x14ac:dyDescent="0.2">
      <c r="A58" t="s">
        <v>674</v>
      </c>
      <c r="B58" t="s">
        <v>193</v>
      </c>
      <c r="C58" t="s">
        <v>1138</v>
      </c>
      <c r="D58" s="26" t="str">
        <f t="shared" si="0"/>
        <v>PRJNA599388</v>
      </c>
      <c r="E58" s="26" t="str">
        <f>HYPERLINK("https://www.ncbi.nlm.nih.gov/biosample/13747636", "SAMN13747636")</f>
        <v>SAMN13747636</v>
      </c>
      <c r="F58" s="26" t="str">
        <f>HYPERLINK("https://trace.ncbi.nlm.nih.gov/Traces/sra/?run=SRR10870076", "SRR10870076")</f>
        <v>SRR10870076</v>
      </c>
      <c r="G58" t="s">
        <v>1681</v>
      </c>
      <c r="H58" t="s">
        <v>1836</v>
      </c>
    </row>
    <row r="59" spans="1:8" x14ac:dyDescent="0.2">
      <c r="A59" t="s">
        <v>675</v>
      </c>
      <c r="B59" t="s">
        <v>192</v>
      </c>
      <c r="C59" t="s">
        <v>1138</v>
      </c>
      <c r="D59" s="26" t="str">
        <f t="shared" si="0"/>
        <v>PRJNA599388</v>
      </c>
      <c r="E59" s="26" t="str">
        <f>HYPERLINK("https://www.ncbi.nlm.nih.gov/biosample/13747635", "SAMN13747635")</f>
        <v>SAMN13747635</v>
      </c>
      <c r="F59" s="26" t="str">
        <f>HYPERLINK("https://trace.ncbi.nlm.nih.gov/Traces/sra/?run=SRR10870077", "SRR10870077")</f>
        <v>SRR10870077</v>
      </c>
      <c r="G59" t="s">
        <v>1656</v>
      </c>
      <c r="H59" t="s">
        <v>1837</v>
      </c>
    </row>
    <row r="60" spans="1:8" x14ac:dyDescent="0.2">
      <c r="A60" t="s">
        <v>694</v>
      </c>
      <c r="B60" t="s">
        <v>191</v>
      </c>
      <c r="C60" t="s">
        <v>1138</v>
      </c>
      <c r="D60" s="26" t="str">
        <f t="shared" si="0"/>
        <v>PRJNA599388</v>
      </c>
      <c r="E60" s="26" t="str">
        <f>HYPERLINK("https://www.ncbi.nlm.nih.gov/biosample/13747634", "SAMN13747634")</f>
        <v>SAMN13747634</v>
      </c>
      <c r="F60" s="26" t="str">
        <f>HYPERLINK("https://trace.ncbi.nlm.nih.gov/Traces/sra/?run=SRR10870078", "SRR10870078")</f>
        <v>SRR10870078</v>
      </c>
      <c r="G60" t="s">
        <v>1738</v>
      </c>
      <c r="H60" t="s">
        <v>1838</v>
      </c>
    </row>
    <row r="61" spans="1:8" x14ac:dyDescent="0.2">
      <c r="A61" t="s">
        <v>695</v>
      </c>
      <c r="B61" t="s">
        <v>190</v>
      </c>
      <c r="C61" t="s">
        <v>1138</v>
      </c>
      <c r="D61" s="26" t="str">
        <f t="shared" si="0"/>
        <v>PRJNA599388</v>
      </c>
      <c r="E61" s="26" t="str">
        <f>HYPERLINK("https://www.ncbi.nlm.nih.gov/biosample/13747633", "SAMN13747633")</f>
        <v>SAMN13747633</v>
      </c>
      <c r="F61" s="26" t="str">
        <f>HYPERLINK("https://trace.ncbi.nlm.nih.gov/Traces/sra/?run=SRR10870079", "SRR10870079")</f>
        <v>SRR10870079</v>
      </c>
      <c r="G61" t="s">
        <v>1589</v>
      </c>
      <c r="H61" t="s">
        <v>1839</v>
      </c>
    </row>
    <row r="62" spans="1:8" x14ac:dyDescent="0.2">
      <c r="A62" t="s">
        <v>697</v>
      </c>
      <c r="B62" t="s">
        <v>189</v>
      </c>
      <c r="C62" t="s">
        <v>1138</v>
      </c>
      <c r="D62" s="26" t="str">
        <f t="shared" si="0"/>
        <v>PRJNA599388</v>
      </c>
      <c r="E62" s="26" t="str">
        <f>HYPERLINK("https://www.ncbi.nlm.nih.gov/biosample/13747632", "SAMN13747632")</f>
        <v>SAMN13747632</v>
      </c>
      <c r="F62" s="26" t="str">
        <f>HYPERLINK("https://trace.ncbi.nlm.nih.gov/Traces/sra/?run=SRR10870080", "SRR10870080")</f>
        <v>SRR10870080</v>
      </c>
      <c r="G62" t="s">
        <v>1726</v>
      </c>
      <c r="H62" t="s">
        <v>1840</v>
      </c>
    </row>
    <row r="63" spans="1:8" x14ac:dyDescent="0.2">
      <c r="A63" t="s">
        <v>703</v>
      </c>
      <c r="B63" t="s">
        <v>188</v>
      </c>
      <c r="C63" t="s">
        <v>1138</v>
      </c>
      <c r="D63" s="26" t="str">
        <f t="shared" si="0"/>
        <v>PRJNA599388</v>
      </c>
      <c r="E63" s="26" t="str">
        <f>HYPERLINK("https://www.ncbi.nlm.nih.gov/biosample/13747631", "SAMN13747631")</f>
        <v>SAMN13747631</v>
      </c>
      <c r="F63" s="26" t="str">
        <f>HYPERLINK("https://trace.ncbi.nlm.nih.gov/Traces/sra/?run=SRR10870081", "SRR10870081")</f>
        <v>SRR10870081</v>
      </c>
      <c r="G63" t="s">
        <v>1759</v>
      </c>
      <c r="H63" t="s">
        <v>1841</v>
      </c>
    </row>
    <row r="64" spans="1:8" x14ac:dyDescent="0.2">
      <c r="A64" t="s">
        <v>714</v>
      </c>
      <c r="B64" t="s">
        <v>187</v>
      </c>
      <c r="C64" t="s">
        <v>1138</v>
      </c>
      <c r="D64" s="26" t="str">
        <f t="shared" si="0"/>
        <v>PRJNA599388</v>
      </c>
      <c r="E64" s="26" t="str">
        <f>HYPERLINK("https://www.ncbi.nlm.nih.gov/biosample/13747630", "SAMN13747630")</f>
        <v>SAMN13747630</v>
      </c>
      <c r="F64" s="26" t="str">
        <f>HYPERLINK("https://trace.ncbi.nlm.nih.gov/Traces/sra/?run=SRR10870082", "SRR10870082")</f>
        <v>SRR10870082</v>
      </c>
      <c r="G64" t="s">
        <v>1752</v>
      </c>
      <c r="H64" t="s">
        <v>1842</v>
      </c>
    </row>
    <row r="65" spans="1:8" x14ac:dyDescent="0.2">
      <c r="A65" t="s">
        <v>716</v>
      </c>
      <c r="B65" t="s">
        <v>186</v>
      </c>
      <c r="C65" t="s">
        <v>1138</v>
      </c>
      <c r="D65" s="26" t="str">
        <f t="shared" si="0"/>
        <v>PRJNA599388</v>
      </c>
      <c r="E65" s="26" t="str">
        <f>HYPERLINK("https://www.ncbi.nlm.nih.gov/biosample/13747629", "SAMN13747629")</f>
        <v>SAMN13747629</v>
      </c>
      <c r="F65" s="26" t="str">
        <f>HYPERLINK("https://trace.ncbi.nlm.nih.gov/Traces/sra/?run=SRR10870083", "SRR10870083")</f>
        <v>SRR10870083</v>
      </c>
      <c r="G65" t="s">
        <v>1773</v>
      </c>
      <c r="H65" t="s">
        <v>1843</v>
      </c>
    </row>
    <row r="66" spans="1:8" x14ac:dyDescent="0.2">
      <c r="A66" t="s">
        <v>813</v>
      </c>
      <c r="B66" t="s">
        <v>135</v>
      </c>
      <c r="C66" t="s">
        <v>1138</v>
      </c>
      <c r="D66" s="26" t="str">
        <f t="shared" ref="D66:D129" si="1">HYPERLINK("https://www.ncbi.nlm.nih.gov/bioproject/PRJNA599388", "PRJNA599388")</f>
        <v>PRJNA599388</v>
      </c>
      <c r="E66" s="26" t="str">
        <f>HYPERLINK("https://www.ncbi.nlm.nih.gov/biosample/13747566", "SAMN13747566")</f>
        <v>SAMN13747566</v>
      </c>
      <c r="F66" s="26" t="str">
        <f>HYPERLINK("https://trace.ncbi.nlm.nih.gov/Traces/sra/?run=SRR10870084", "SRR10870084")</f>
        <v>SRR10870084</v>
      </c>
      <c r="G66" t="s">
        <v>1776</v>
      </c>
      <c r="H66" t="s">
        <v>1844</v>
      </c>
    </row>
    <row r="67" spans="1:8" x14ac:dyDescent="0.2">
      <c r="A67" t="s">
        <v>733</v>
      </c>
      <c r="B67" t="s">
        <v>185</v>
      </c>
      <c r="C67" t="s">
        <v>1138</v>
      </c>
      <c r="D67" s="26" t="str">
        <f t="shared" si="1"/>
        <v>PRJNA599388</v>
      </c>
      <c r="E67" s="26" t="str">
        <f>HYPERLINK("https://www.ncbi.nlm.nih.gov/biosample/13747628", "SAMN13747628")</f>
        <v>SAMN13747628</v>
      </c>
      <c r="F67" s="26" t="str">
        <f>HYPERLINK("https://trace.ncbi.nlm.nih.gov/Traces/sra/?run=SRR10870085", "SRR10870085")</f>
        <v>SRR10870085</v>
      </c>
      <c r="G67" t="s">
        <v>1607</v>
      </c>
      <c r="H67" t="s">
        <v>1845</v>
      </c>
    </row>
    <row r="68" spans="1:8" x14ac:dyDescent="0.2">
      <c r="A68" t="s">
        <v>734</v>
      </c>
      <c r="B68" t="s">
        <v>184</v>
      </c>
      <c r="C68" t="s">
        <v>1138</v>
      </c>
      <c r="D68" s="26" t="str">
        <f t="shared" si="1"/>
        <v>PRJNA599388</v>
      </c>
      <c r="E68" s="26" t="str">
        <f>HYPERLINK("https://www.ncbi.nlm.nih.gov/biosample/13747627", "SAMN13747627")</f>
        <v>SAMN13747627</v>
      </c>
      <c r="F68" s="26" t="str">
        <f>HYPERLINK("https://trace.ncbi.nlm.nih.gov/Traces/sra/?run=SRR10870086", "SRR10870086")</f>
        <v>SRR10870086</v>
      </c>
      <c r="G68" t="s">
        <v>1664</v>
      </c>
      <c r="H68" t="s">
        <v>1846</v>
      </c>
    </row>
    <row r="69" spans="1:8" x14ac:dyDescent="0.2">
      <c r="A69" t="s">
        <v>736</v>
      </c>
      <c r="B69" t="s">
        <v>183</v>
      </c>
      <c r="C69" t="s">
        <v>1138</v>
      </c>
      <c r="D69" s="26" t="str">
        <f t="shared" si="1"/>
        <v>PRJNA599388</v>
      </c>
      <c r="E69" s="26" t="str">
        <f>HYPERLINK("https://www.ncbi.nlm.nih.gov/biosample/13747626", "SAMN13747626")</f>
        <v>SAMN13747626</v>
      </c>
      <c r="F69" s="26" t="str">
        <f>HYPERLINK("https://trace.ncbi.nlm.nih.gov/Traces/sra/?run=SRR10870087", "SRR10870087")</f>
        <v>SRR10870087</v>
      </c>
      <c r="G69" t="s">
        <v>1618</v>
      </c>
      <c r="H69" t="s">
        <v>1847</v>
      </c>
    </row>
    <row r="70" spans="1:8" x14ac:dyDescent="0.2">
      <c r="A70" t="s">
        <v>744</v>
      </c>
      <c r="B70" t="s">
        <v>182</v>
      </c>
      <c r="C70" t="s">
        <v>1138</v>
      </c>
      <c r="D70" s="26" t="str">
        <f t="shared" si="1"/>
        <v>PRJNA599388</v>
      </c>
      <c r="E70" s="26" t="str">
        <f>HYPERLINK("https://www.ncbi.nlm.nih.gov/biosample/13747625", "SAMN13747625")</f>
        <v>SAMN13747625</v>
      </c>
      <c r="F70" s="26" t="str">
        <f>HYPERLINK("https://trace.ncbi.nlm.nih.gov/Traces/sra/?run=SRR10870088", "SRR10870088")</f>
        <v>SRR10870088</v>
      </c>
      <c r="G70" t="s">
        <v>1586</v>
      </c>
      <c r="H70" t="s">
        <v>1848</v>
      </c>
    </row>
    <row r="71" spans="1:8" x14ac:dyDescent="0.2">
      <c r="A71" t="s">
        <v>754</v>
      </c>
      <c r="B71" t="s">
        <v>181</v>
      </c>
      <c r="C71" t="s">
        <v>1138</v>
      </c>
      <c r="D71" s="26" t="str">
        <f t="shared" si="1"/>
        <v>PRJNA599388</v>
      </c>
      <c r="E71" s="26" t="str">
        <f>HYPERLINK("https://www.ncbi.nlm.nih.gov/biosample/13747624", "SAMN13747624")</f>
        <v>SAMN13747624</v>
      </c>
      <c r="F71" s="26" t="str">
        <f>HYPERLINK("https://trace.ncbi.nlm.nih.gov/Traces/sra/?run=SRR10870089", "SRR10870089")</f>
        <v>SRR10870089</v>
      </c>
      <c r="G71" t="s">
        <v>1570</v>
      </c>
      <c r="H71" t="s">
        <v>1849</v>
      </c>
    </row>
    <row r="72" spans="1:8" x14ac:dyDescent="0.2">
      <c r="A72" t="s">
        <v>755</v>
      </c>
      <c r="B72" t="s">
        <v>180</v>
      </c>
      <c r="C72" t="s">
        <v>1138</v>
      </c>
      <c r="D72" s="26" t="str">
        <f t="shared" si="1"/>
        <v>PRJNA599388</v>
      </c>
      <c r="E72" s="26" t="str">
        <f>HYPERLINK("https://www.ncbi.nlm.nih.gov/biosample/13747623", "SAMN13747623")</f>
        <v>SAMN13747623</v>
      </c>
      <c r="F72" s="26" t="str">
        <f>HYPERLINK("https://trace.ncbi.nlm.nih.gov/Traces/sra/?run=SRR10870090", "SRR10870090")</f>
        <v>SRR10870090</v>
      </c>
      <c r="G72" t="s">
        <v>1758</v>
      </c>
      <c r="H72" t="s">
        <v>1850</v>
      </c>
    </row>
    <row r="73" spans="1:8" x14ac:dyDescent="0.2">
      <c r="A73" t="s">
        <v>774</v>
      </c>
      <c r="B73" t="s">
        <v>179</v>
      </c>
      <c r="C73" t="s">
        <v>1138</v>
      </c>
      <c r="D73" s="26" t="str">
        <f t="shared" si="1"/>
        <v>PRJNA599388</v>
      </c>
      <c r="E73" s="26" t="str">
        <f>HYPERLINK("https://www.ncbi.nlm.nih.gov/biosample/13747622", "SAMN13747622")</f>
        <v>SAMN13747622</v>
      </c>
      <c r="F73" s="26" t="str">
        <f>HYPERLINK("https://trace.ncbi.nlm.nih.gov/Traces/sra/?run=SRR10870091", "SRR10870091")</f>
        <v>SRR10870091</v>
      </c>
      <c r="G73" t="s">
        <v>1621</v>
      </c>
      <c r="H73" t="s">
        <v>1851</v>
      </c>
    </row>
    <row r="74" spans="1:8" x14ac:dyDescent="0.2">
      <c r="A74" t="s">
        <v>775</v>
      </c>
      <c r="B74" t="s">
        <v>178</v>
      </c>
      <c r="C74" t="s">
        <v>1138</v>
      </c>
      <c r="D74" s="26" t="str">
        <f t="shared" si="1"/>
        <v>PRJNA599388</v>
      </c>
      <c r="E74" s="26" t="str">
        <f>HYPERLINK("https://www.ncbi.nlm.nih.gov/biosample/13747621", "SAMN13747621")</f>
        <v>SAMN13747621</v>
      </c>
      <c r="F74" s="26" t="str">
        <f>HYPERLINK("https://trace.ncbi.nlm.nih.gov/Traces/sra/?run=SRR10870092", "SRR10870092")</f>
        <v>SRR10870092</v>
      </c>
      <c r="G74" t="s">
        <v>1663</v>
      </c>
      <c r="H74" t="s">
        <v>1852</v>
      </c>
    </row>
    <row r="75" spans="1:8" x14ac:dyDescent="0.2">
      <c r="A75" t="s">
        <v>777</v>
      </c>
      <c r="B75" t="s">
        <v>177</v>
      </c>
      <c r="C75" t="s">
        <v>1138</v>
      </c>
      <c r="D75" s="26" t="str">
        <f t="shared" si="1"/>
        <v>PRJNA599388</v>
      </c>
      <c r="E75" s="26" t="str">
        <f>HYPERLINK("https://www.ncbi.nlm.nih.gov/biosample/13747620", "SAMN13747620")</f>
        <v>SAMN13747620</v>
      </c>
      <c r="F75" s="26" t="str">
        <f>HYPERLINK("https://trace.ncbi.nlm.nih.gov/Traces/sra/?run=SRR10870093", "SRR10870093")</f>
        <v>SRR10870093</v>
      </c>
      <c r="G75" t="s">
        <v>1689</v>
      </c>
      <c r="H75" t="s">
        <v>1853</v>
      </c>
    </row>
    <row r="76" spans="1:8" x14ac:dyDescent="0.2">
      <c r="A76" t="s">
        <v>783</v>
      </c>
      <c r="B76" t="s">
        <v>176</v>
      </c>
      <c r="C76" t="s">
        <v>1138</v>
      </c>
      <c r="D76" s="26" t="str">
        <f t="shared" si="1"/>
        <v>PRJNA599388</v>
      </c>
      <c r="E76" s="26" t="str">
        <f>HYPERLINK("https://www.ncbi.nlm.nih.gov/biosample/13747619", "SAMN13747619")</f>
        <v>SAMN13747619</v>
      </c>
      <c r="F76" s="26" t="str">
        <f>HYPERLINK("https://trace.ncbi.nlm.nih.gov/Traces/sra/?run=SRR10870094", "SRR10870094")</f>
        <v>SRR10870094</v>
      </c>
      <c r="G76" t="s">
        <v>1751</v>
      </c>
      <c r="H76" t="s">
        <v>1854</v>
      </c>
    </row>
    <row r="77" spans="1:8" x14ac:dyDescent="0.2">
      <c r="A77" t="s">
        <v>814</v>
      </c>
      <c r="B77" t="s">
        <v>134</v>
      </c>
      <c r="C77" t="s">
        <v>1138</v>
      </c>
      <c r="D77" s="26" t="str">
        <f t="shared" si="1"/>
        <v>PRJNA599388</v>
      </c>
      <c r="E77" s="26" t="str">
        <f>HYPERLINK("https://www.ncbi.nlm.nih.gov/biosample/13747565", "SAMN13747565")</f>
        <v>SAMN13747565</v>
      </c>
      <c r="F77" s="26" t="str">
        <f>HYPERLINK("https://trace.ncbi.nlm.nih.gov/Traces/sra/?run=SRR10870095", "SRR10870095")</f>
        <v>SRR10870095</v>
      </c>
      <c r="G77" t="s">
        <v>1763</v>
      </c>
      <c r="H77" t="s">
        <v>1855</v>
      </c>
    </row>
    <row r="78" spans="1:8" x14ac:dyDescent="0.2">
      <c r="A78" t="s">
        <v>794</v>
      </c>
      <c r="B78" t="s">
        <v>175</v>
      </c>
      <c r="C78" t="s">
        <v>1138</v>
      </c>
      <c r="D78" s="26" t="str">
        <f t="shared" si="1"/>
        <v>PRJNA599388</v>
      </c>
      <c r="E78" s="26" t="str">
        <f>HYPERLINK("https://www.ncbi.nlm.nih.gov/biosample/13747618", "SAMN13747618")</f>
        <v>SAMN13747618</v>
      </c>
      <c r="F78" s="26" t="str">
        <f>HYPERLINK("https://trace.ncbi.nlm.nih.gov/Traces/sra/?run=SRR10870096", "SRR10870096")</f>
        <v>SRR10870096</v>
      </c>
      <c r="G78" t="s">
        <v>1610</v>
      </c>
      <c r="H78" t="s">
        <v>1856</v>
      </c>
    </row>
    <row r="79" spans="1:8" x14ac:dyDescent="0.2">
      <c r="A79" t="s">
        <v>796</v>
      </c>
      <c r="B79" t="s">
        <v>174</v>
      </c>
      <c r="C79" t="s">
        <v>1138</v>
      </c>
      <c r="D79" s="26" t="str">
        <f t="shared" si="1"/>
        <v>PRJNA599388</v>
      </c>
      <c r="E79" s="26" t="str">
        <f>HYPERLINK("https://www.ncbi.nlm.nih.gov/biosample/13747617", "SAMN13747617")</f>
        <v>SAMN13747617</v>
      </c>
      <c r="F79" s="26" t="str">
        <f>HYPERLINK("https://trace.ncbi.nlm.nih.gov/Traces/sra/?run=SRR10870097", "SRR10870097")</f>
        <v>SRR10870097</v>
      </c>
      <c r="G79" t="s">
        <v>1701</v>
      </c>
      <c r="H79" t="s">
        <v>1857</v>
      </c>
    </row>
    <row r="80" spans="1:8" x14ac:dyDescent="0.2">
      <c r="A80" t="s">
        <v>813</v>
      </c>
      <c r="B80" t="s">
        <v>173</v>
      </c>
      <c r="C80" t="s">
        <v>1138</v>
      </c>
      <c r="D80" s="26" t="str">
        <f t="shared" si="1"/>
        <v>PRJNA599388</v>
      </c>
      <c r="E80" s="26" t="str">
        <f>HYPERLINK("https://www.ncbi.nlm.nih.gov/biosample/13747616", "SAMN13747616")</f>
        <v>SAMN13747616</v>
      </c>
      <c r="F80" s="26" t="str">
        <f>HYPERLINK("https://trace.ncbi.nlm.nih.gov/Traces/sra/?run=SRR10870098", "SRR10870098")</f>
        <v>SRR10870098</v>
      </c>
      <c r="G80" t="s">
        <v>1740</v>
      </c>
      <c r="H80" t="s">
        <v>1858</v>
      </c>
    </row>
    <row r="81" spans="1:8" x14ac:dyDescent="0.2">
      <c r="A81" t="s">
        <v>814</v>
      </c>
      <c r="B81" t="s">
        <v>172</v>
      </c>
      <c r="C81" t="s">
        <v>1138</v>
      </c>
      <c r="D81" s="26" t="str">
        <f t="shared" si="1"/>
        <v>PRJNA599388</v>
      </c>
      <c r="E81" s="26" t="str">
        <f>HYPERLINK("https://www.ncbi.nlm.nih.gov/biosample/13747615", "SAMN13747615")</f>
        <v>SAMN13747615</v>
      </c>
      <c r="F81" s="26" t="str">
        <f>HYPERLINK("https://trace.ncbi.nlm.nih.gov/Traces/sra/?run=SRR10870099", "SRR10870099")</f>
        <v>SRR10870099</v>
      </c>
      <c r="G81" t="s">
        <v>1601</v>
      </c>
      <c r="H81" t="s">
        <v>1859</v>
      </c>
    </row>
    <row r="82" spans="1:8" x14ac:dyDescent="0.2">
      <c r="A82" t="s">
        <v>816</v>
      </c>
      <c r="B82" t="s">
        <v>171</v>
      </c>
      <c r="C82" t="s">
        <v>1138</v>
      </c>
      <c r="D82" s="26" t="str">
        <f t="shared" si="1"/>
        <v>PRJNA599388</v>
      </c>
      <c r="E82" s="26" t="str">
        <f>HYPERLINK("https://www.ncbi.nlm.nih.gov/biosample/13747614", "SAMN13747614")</f>
        <v>SAMN13747614</v>
      </c>
      <c r="F82" s="26" t="str">
        <f>HYPERLINK("https://trace.ncbi.nlm.nih.gov/Traces/sra/?run=SRR10870100", "SRR10870100")</f>
        <v>SRR10870100</v>
      </c>
      <c r="G82" t="s">
        <v>1653</v>
      </c>
      <c r="H82" t="s">
        <v>1860</v>
      </c>
    </row>
    <row r="83" spans="1:8" x14ac:dyDescent="0.2">
      <c r="A83" t="s">
        <v>824</v>
      </c>
      <c r="B83" t="s">
        <v>170</v>
      </c>
      <c r="C83" t="s">
        <v>1138</v>
      </c>
      <c r="D83" s="26" t="str">
        <f t="shared" si="1"/>
        <v>PRJNA599388</v>
      </c>
      <c r="E83" s="26" t="str">
        <f>HYPERLINK("https://www.ncbi.nlm.nih.gov/biosample/13747613", "SAMN13747613")</f>
        <v>SAMN13747613</v>
      </c>
      <c r="F83" s="26" t="str">
        <f>HYPERLINK("https://trace.ncbi.nlm.nih.gov/Traces/sra/?run=SRR10870101", "SRR10870101")</f>
        <v>SRR10870101</v>
      </c>
      <c r="G83" t="s">
        <v>1649</v>
      </c>
      <c r="H83" t="s">
        <v>1861</v>
      </c>
    </row>
    <row r="84" spans="1:8" x14ac:dyDescent="0.2">
      <c r="A84" t="s">
        <v>834</v>
      </c>
      <c r="B84" t="s">
        <v>169</v>
      </c>
      <c r="C84" t="s">
        <v>1138</v>
      </c>
      <c r="D84" s="26" t="str">
        <f t="shared" si="1"/>
        <v>PRJNA599388</v>
      </c>
      <c r="E84" s="26" t="str">
        <f>HYPERLINK("https://www.ncbi.nlm.nih.gov/biosample/13747612", "SAMN13747612")</f>
        <v>SAMN13747612</v>
      </c>
      <c r="F84" s="26" t="str">
        <f>HYPERLINK("https://trace.ncbi.nlm.nih.gov/Traces/sra/?run=SRR10870102", "SRR10870102")</f>
        <v>SRR10870102</v>
      </c>
      <c r="G84" t="s">
        <v>1746</v>
      </c>
      <c r="H84" t="s">
        <v>1862</v>
      </c>
    </row>
    <row r="85" spans="1:8" x14ac:dyDescent="0.2">
      <c r="A85" t="s">
        <v>835</v>
      </c>
      <c r="B85" t="s">
        <v>168</v>
      </c>
      <c r="C85" t="s">
        <v>1138</v>
      </c>
      <c r="D85" s="26" t="str">
        <f t="shared" si="1"/>
        <v>PRJNA599388</v>
      </c>
      <c r="E85" s="26" t="str">
        <f>HYPERLINK("https://www.ncbi.nlm.nih.gov/biosample/13747611", "SAMN13747611")</f>
        <v>SAMN13747611</v>
      </c>
      <c r="F85" s="26" t="str">
        <f>HYPERLINK("https://trace.ncbi.nlm.nih.gov/Traces/sra/?run=SRR10870103", "SRR10870103")</f>
        <v>SRR10870103</v>
      </c>
      <c r="G85" t="s">
        <v>1608</v>
      </c>
      <c r="H85" t="s">
        <v>1863</v>
      </c>
    </row>
    <row r="86" spans="1:8" x14ac:dyDescent="0.2">
      <c r="A86" t="s">
        <v>167</v>
      </c>
      <c r="B86" t="s">
        <v>167</v>
      </c>
      <c r="C86" t="s">
        <v>1138</v>
      </c>
      <c r="D86" s="26" t="str">
        <f t="shared" si="1"/>
        <v>PRJNA599388</v>
      </c>
      <c r="E86" s="26" t="str">
        <f>HYPERLINK("https://www.ncbi.nlm.nih.gov/biosample/13747610", "SAMN13747610")</f>
        <v>SAMN13747610</v>
      </c>
      <c r="F86" s="26" t="str">
        <f>HYPERLINK("https://trace.ncbi.nlm.nih.gov/Traces/sra/?run=SRR10870104", "SRR10870104")</f>
        <v>SRR10870104</v>
      </c>
      <c r="G86" t="s">
        <v>1658</v>
      </c>
      <c r="H86" t="s">
        <v>1864</v>
      </c>
    </row>
    <row r="87" spans="1:8" x14ac:dyDescent="0.2">
      <c r="A87" t="s">
        <v>166</v>
      </c>
      <c r="B87" t="s">
        <v>166</v>
      </c>
      <c r="C87" t="s">
        <v>1138</v>
      </c>
      <c r="D87" s="26" t="str">
        <f t="shared" si="1"/>
        <v>PRJNA599388</v>
      </c>
      <c r="E87" s="26" t="str">
        <f>HYPERLINK("https://www.ncbi.nlm.nih.gov/biosample/13747609", "SAMN13747609")</f>
        <v>SAMN13747609</v>
      </c>
      <c r="F87" s="26" t="str">
        <f>HYPERLINK("https://trace.ncbi.nlm.nih.gov/Traces/sra/?run=SRR10870105", "SRR10870105")</f>
        <v>SRR10870105</v>
      </c>
      <c r="G87" t="s">
        <v>1670</v>
      </c>
      <c r="H87" t="s">
        <v>1996</v>
      </c>
    </row>
    <row r="88" spans="1:8" x14ac:dyDescent="0.2">
      <c r="A88" t="s">
        <v>816</v>
      </c>
      <c r="B88" t="s">
        <v>133</v>
      </c>
      <c r="C88" t="s">
        <v>1138</v>
      </c>
      <c r="D88" s="26" t="str">
        <f t="shared" si="1"/>
        <v>PRJNA599388</v>
      </c>
      <c r="E88" s="26" t="str">
        <f>HYPERLINK("https://www.ncbi.nlm.nih.gov/biosample/13747564", "SAMN13747564")</f>
        <v>SAMN13747564</v>
      </c>
      <c r="F88" s="26" t="str">
        <f>HYPERLINK("https://trace.ncbi.nlm.nih.gov/Traces/sra/?run=SRR10870106", "SRR10870106")</f>
        <v>SRR10870106</v>
      </c>
      <c r="G88" t="s">
        <v>1718</v>
      </c>
      <c r="H88" t="s">
        <v>1865</v>
      </c>
    </row>
    <row r="89" spans="1:8" x14ac:dyDescent="0.2">
      <c r="A89" t="s">
        <v>534</v>
      </c>
      <c r="B89" t="s">
        <v>116</v>
      </c>
      <c r="C89" t="s">
        <v>1138</v>
      </c>
      <c r="D89" s="26" t="str">
        <f t="shared" si="1"/>
        <v>PRJNA599388</v>
      </c>
      <c r="E89" s="26" t="str">
        <f>HYPERLINK("https://www.ncbi.nlm.nih.gov/biosample/13747608", "SAMN13747608")</f>
        <v>SAMN13747608</v>
      </c>
      <c r="F89" s="26" t="str">
        <f>HYPERLINK("https://trace.ncbi.nlm.nih.gov/Traces/sra/?run=SRR10870107", "SRR10870107")</f>
        <v>SRR10870107</v>
      </c>
      <c r="G89" t="s">
        <v>1754</v>
      </c>
      <c r="H89" t="s">
        <v>1866</v>
      </c>
    </row>
    <row r="90" spans="1:8" x14ac:dyDescent="0.2">
      <c r="A90" t="s">
        <v>535</v>
      </c>
      <c r="B90" t="s">
        <v>117</v>
      </c>
      <c r="C90" t="s">
        <v>1138</v>
      </c>
      <c r="D90" s="26" t="str">
        <f t="shared" si="1"/>
        <v>PRJNA599388</v>
      </c>
      <c r="E90" s="26" t="str">
        <f>HYPERLINK("https://www.ncbi.nlm.nih.gov/biosample/13747607", "SAMN13747607")</f>
        <v>SAMN13747607</v>
      </c>
      <c r="F90" s="26" t="str">
        <f>HYPERLINK("https://trace.ncbi.nlm.nih.gov/Traces/sra/?run=SRR10870108", "SRR10870108")</f>
        <v>SRR10870108</v>
      </c>
      <c r="G90" t="s">
        <v>1697</v>
      </c>
      <c r="H90" t="s">
        <v>1867</v>
      </c>
    </row>
    <row r="91" spans="1:8" x14ac:dyDescent="0.2">
      <c r="A91" t="s">
        <v>537</v>
      </c>
      <c r="B91" t="s">
        <v>118</v>
      </c>
      <c r="C91" t="s">
        <v>1138</v>
      </c>
      <c r="D91" s="26" t="str">
        <f t="shared" si="1"/>
        <v>PRJNA599388</v>
      </c>
      <c r="E91" s="26" t="str">
        <f>HYPERLINK("https://www.ncbi.nlm.nih.gov/biosample/13747606", "SAMN13747606")</f>
        <v>SAMN13747606</v>
      </c>
      <c r="F91" s="26" t="str">
        <f>HYPERLINK("https://trace.ncbi.nlm.nih.gov/Traces/sra/?run=SRR10870109", "SRR10870109")</f>
        <v>SRR10870109</v>
      </c>
      <c r="G91" t="s">
        <v>1676</v>
      </c>
      <c r="H91" t="s">
        <v>1868</v>
      </c>
    </row>
    <row r="92" spans="1:8" x14ac:dyDescent="0.2">
      <c r="A92" t="s">
        <v>543</v>
      </c>
      <c r="B92" t="s">
        <v>119</v>
      </c>
      <c r="C92" t="s">
        <v>1138</v>
      </c>
      <c r="D92" s="26" t="str">
        <f t="shared" si="1"/>
        <v>PRJNA599388</v>
      </c>
      <c r="E92" s="26" t="str">
        <f>HYPERLINK("https://www.ncbi.nlm.nih.gov/biosample/13747605", "SAMN13747605")</f>
        <v>SAMN13747605</v>
      </c>
      <c r="F92" s="26" t="str">
        <f>HYPERLINK("https://trace.ncbi.nlm.nih.gov/Traces/sra/?run=SRR10870110", "SRR10870110")</f>
        <v>SRR10870110</v>
      </c>
      <c r="G92" t="s">
        <v>1659</v>
      </c>
      <c r="H92" t="s">
        <v>1869</v>
      </c>
    </row>
    <row r="93" spans="1:8" x14ac:dyDescent="0.2">
      <c r="A93" t="s">
        <v>554</v>
      </c>
      <c r="B93" t="s">
        <v>120</v>
      </c>
      <c r="C93" t="s">
        <v>1138</v>
      </c>
      <c r="D93" s="26" t="str">
        <f t="shared" si="1"/>
        <v>PRJNA599388</v>
      </c>
      <c r="E93" s="26" t="str">
        <f>HYPERLINK("https://www.ncbi.nlm.nih.gov/biosample/13747604", "SAMN13747604")</f>
        <v>SAMN13747604</v>
      </c>
      <c r="F93" s="26" t="str">
        <f>HYPERLINK("https://trace.ncbi.nlm.nih.gov/Traces/sra/?run=SRR10870111", "SRR10870111")</f>
        <v>SRR10870111</v>
      </c>
      <c r="G93" t="s">
        <v>1707</v>
      </c>
      <c r="H93" t="s">
        <v>1870</v>
      </c>
    </row>
    <row r="94" spans="1:8" x14ac:dyDescent="0.2">
      <c r="A94" t="s">
        <v>556</v>
      </c>
      <c r="B94" t="s">
        <v>121</v>
      </c>
      <c r="C94" t="s">
        <v>1138</v>
      </c>
      <c r="D94" s="26" t="str">
        <f t="shared" si="1"/>
        <v>PRJNA599388</v>
      </c>
      <c r="E94" s="26" t="str">
        <f>HYPERLINK("https://www.ncbi.nlm.nih.gov/biosample/13747603", "SAMN13747603")</f>
        <v>SAMN13747603</v>
      </c>
      <c r="F94" s="26" t="str">
        <f>HYPERLINK("https://trace.ncbi.nlm.nih.gov/Traces/sra/?run=SRR10870112", "SRR10870112")</f>
        <v>SRR10870112</v>
      </c>
      <c r="G94" t="s">
        <v>1748</v>
      </c>
      <c r="H94" t="s">
        <v>1871</v>
      </c>
    </row>
    <row r="95" spans="1:8" x14ac:dyDescent="0.2">
      <c r="A95" t="s">
        <v>573</v>
      </c>
      <c r="B95" t="s">
        <v>122</v>
      </c>
      <c r="C95" t="s">
        <v>1138</v>
      </c>
      <c r="D95" s="26" t="str">
        <f t="shared" si="1"/>
        <v>PRJNA599388</v>
      </c>
      <c r="E95" s="26" t="str">
        <f>HYPERLINK("https://www.ncbi.nlm.nih.gov/biosample/13747602", "SAMN13747602")</f>
        <v>SAMN13747602</v>
      </c>
      <c r="F95" s="26" t="str">
        <f>HYPERLINK("https://trace.ncbi.nlm.nih.gov/Traces/sra/?run=SRR10870113", "SRR10870113")</f>
        <v>SRR10870113</v>
      </c>
      <c r="G95" t="s">
        <v>1680</v>
      </c>
      <c r="H95" t="s">
        <v>1872</v>
      </c>
    </row>
    <row r="96" spans="1:8" x14ac:dyDescent="0.2">
      <c r="A96" t="s">
        <v>574</v>
      </c>
      <c r="B96" t="s">
        <v>123</v>
      </c>
      <c r="C96" t="s">
        <v>1138</v>
      </c>
      <c r="D96" s="26" t="str">
        <f t="shared" si="1"/>
        <v>PRJNA599388</v>
      </c>
      <c r="E96" s="26" t="str">
        <f>HYPERLINK("https://www.ncbi.nlm.nih.gov/biosample/13747601", "SAMN13747601")</f>
        <v>SAMN13747601</v>
      </c>
      <c r="F96" s="26" t="str">
        <f>HYPERLINK("https://trace.ncbi.nlm.nih.gov/Traces/sra/?run=SRR10870114", "SRR10870114")</f>
        <v>SRR10870114</v>
      </c>
      <c r="G96" t="s">
        <v>1737</v>
      </c>
      <c r="H96" t="s">
        <v>1873</v>
      </c>
    </row>
    <row r="97" spans="1:8" x14ac:dyDescent="0.2">
      <c r="A97" t="s">
        <v>576</v>
      </c>
      <c r="B97" t="s">
        <v>124</v>
      </c>
      <c r="C97" t="s">
        <v>1138</v>
      </c>
      <c r="D97" s="26" t="str">
        <f t="shared" si="1"/>
        <v>PRJNA599388</v>
      </c>
      <c r="E97" s="26" t="str">
        <f>HYPERLINK("https://www.ncbi.nlm.nih.gov/biosample/13747600", "SAMN13747600")</f>
        <v>SAMN13747600</v>
      </c>
      <c r="F97" s="26" t="str">
        <f>HYPERLINK("https://trace.ncbi.nlm.nih.gov/Traces/sra/?run=SRR10870115", "SRR10870115")</f>
        <v>SRR10870115</v>
      </c>
      <c r="G97" t="s">
        <v>1637</v>
      </c>
      <c r="H97" t="s">
        <v>1874</v>
      </c>
    </row>
    <row r="98" spans="1:8" x14ac:dyDescent="0.2">
      <c r="A98" t="s">
        <v>584</v>
      </c>
      <c r="B98" t="s">
        <v>125</v>
      </c>
      <c r="C98" t="s">
        <v>1138</v>
      </c>
      <c r="D98" s="26" t="str">
        <f t="shared" si="1"/>
        <v>PRJNA599388</v>
      </c>
      <c r="E98" s="26" t="str">
        <f>HYPERLINK("https://www.ncbi.nlm.nih.gov/biosample/13747599", "SAMN13747599")</f>
        <v>SAMN13747599</v>
      </c>
      <c r="F98" s="26" t="str">
        <f>HYPERLINK("https://trace.ncbi.nlm.nih.gov/Traces/sra/?run=SRR10870116", "SRR10870116")</f>
        <v>SRR10870116</v>
      </c>
      <c r="G98" t="s">
        <v>1714</v>
      </c>
      <c r="H98" t="s">
        <v>1875</v>
      </c>
    </row>
    <row r="99" spans="1:8" x14ac:dyDescent="0.2">
      <c r="A99" t="s">
        <v>824</v>
      </c>
      <c r="B99" t="s">
        <v>132</v>
      </c>
      <c r="C99" t="s">
        <v>1138</v>
      </c>
      <c r="D99" s="26" t="str">
        <f t="shared" si="1"/>
        <v>PRJNA599388</v>
      </c>
      <c r="E99" s="26" t="str">
        <f>HYPERLINK("https://www.ncbi.nlm.nih.gov/biosample/13747563", "SAMN13747563")</f>
        <v>SAMN13747563</v>
      </c>
      <c r="F99" s="26" t="str">
        <f>HYPERLINK("https://trace.ncbi.nlm.nih.gov/Traces/sra/?run=SRR10870117", "SRR10870117")</f>
        <v>SRR10870117</v>
      </c>
      <c r="G99" t="s">
        <v>1710</v>
      </c>
      <c r="H99" t="s">
        <v>1876</v>
      </c>
    </row>
    <row r="100" spans="1:8" x14ac:dyDescent="0.2">
      <c r="A100" t="s">
        <v>594</v>
      </c>
      <c r="B100" t="s">
        <v>126</v>
      </c>
      <c r="C100" t="s">
        <v>1138</v>
      </c>
      <c r="D100" s="26" t="str">
        <f t="shared" si="1"/>
        <v>PRJNA599388</v>
      </c>
      <c r="E100" s="26" t="str">
        <f>HYPERLINK("https://www.ncbi.nlm.nih.gov/biosample/13747598", "SAMN13747598")</f>
        <v>SAMN13747598</v>
      </c>
      <c r="F100" s="26" t="str">
        <f>HYPERLINK("https://trace.ncbi.nlm.nih.gov/Traces/sra/?run=SRR10870118", "SRR10870118")</f>
        <v>SRR10870118</v>
      </c>
      <c r="G100" t="s">
        <v>1753</v>
      </c>
      <c r="H100" t="s">
        <v>1877</v>
      </c>
    </row>
    <row r="101" spans="1:8" x14ac:dyDescent="0.2">
      <c r="A101" t="s">
        <v>595</v>
      </c>
      <c r="B101" t="s">
        <v>127</v>
      </c>
      <c r="C101" t="s">
        <v>1138</v>
      </c>
      <c r="D101" s="26" t="str">
        <f t="shared" si="1"/>
        <v>PRJNA599388</v>
      </c>
      <c r="E101" s="26" t="str">
        <f>HYPERLINK("https://www.ncbi.nlm.nih.gov/biosample/13747597", "SAMN13747597")</f>
        <v>SAMN13747597</v>
      </c>
      <c r="F101" s="26" t="str">
        <f>HYPERLINK("https://trace.ncbi.nlm.nih.gov/Traces/sra/?run=SRR10870119", "SRR10870119")</f>
        <v>SRR10870119</v>
      </c>
      <c r="G101" t="s">
        <v>1571</v>
      </c>
      <c r="H101" t="s">
        <v>1878</v>
      </c>
    </row>
    <row r="102" spans="1:8" x14ac:dyDescent="0.2">
      <c r="A102" t="s">
        <v>614</v>
      </c>
      <c r="B102" t="s">
        <v>165</v>
      </c>
      <c r="C102" t="s">
        <v>1138</v>
      </c>
      <c r="D102" s="26" t="str">
        <f t="shared" si="1"/>
        <v>PRJNA599388</v>
      </c>
      <c r="E102" s="26" t="str">
        <f>HYPERLINK("https://www.ncbi.nlm.nih.gov/biosample/13747596", "SAMN13747596")</f>
        <v>SAMN13747596</v>
      </c>
      <c r="F102" s="26" t="str">
        <f>HYPERLINK("https://trace.ncbi.nlm.nih.gov/Traces/sra/?run=SRR10870120", "SRR10870120")</f>
        <v>SRR10870120</v>
      </c>
      <c r="G102" t="s">
        <v>1645</v>
      </c>
      <c r="H102" t="s">
        <v>1879</v>
      </c>
    </row>
    <row r="103" spans="1:8" x14ac:dyDescent="0.2">
      <c r="A103" t="s">
        <v>615</v>
      </c>
      <c r="B103" t="s">
        <v>164</v>
      </c>
      <c r="C103" t="s">
        <v>1138</v>
      </c>
      <c r="D103" s="26" t="str">
        <f t="shared" si="1"/>
        <v>PRJNA599388</v>
      </c>
      <c r="E103" s="26" t="str">
        <f>HYPERLINK("https://www.ncbi.nlm.nih.gov/biosample/13747595", "SAMN13747595")</f>
        <v>SAMN13747595</v>
      </c>
      <c r="F103" s="26" t="str">
        <f>HYPERLINK("https://trace.ncbi.nlm.nih.gov/Traces/sra/?run=SRR10870121", "SRR10870121")</f>
        <v>SRR10870121</v>
      </c>
      <c r="G103" t="s">
        <v>1712</v>
      </c>
      <c r="H103" t="s">
        <v>1880</v>
      </c>
    </row>
    <row r="104" spans="1:8" x14ac:dyDescent="0.2">
      <c r="A104" t="s">
        <v>617</v>
      </c>
      <c r="B104" t="s">
        <v>163</v>
      </c>
      <c r="C104" t="s">
        <v>1138</v>
      </c>
      <c r="D104" s="26" t="str">
        <f t="shared" si="1"/>
        <v>PRJNA599388</v>
      </c>
      <c r="E104" s="26" t="str">
        <f>HYPERLINK("https://www.ncbi.nlm.nih.gov/biosample/13747594", "SAMN13747594")</f>
        <v>SAMN13747594</v>
      </c>
      <c r="F104" s="26" t="str">
        <f>HYPERLINK("https://trace.ncbi.nlm.nih.gov/Traces/sra/?run=SRR10870122", "SRR10870122")</f>
        <v>SRR10870122</v>
      </c>
      <c r="G104" t="s">
        <v>1666</v>
      </c>
      <c r="H104" t="s">
        <v>1881</v>
      </c>
    </row>
    <row r="105" spans="1:8" x14ac:dyDescent="0.2">
      <c r="A105" t="s">
        <v>623</v>
      </c>
      <c r="B105" t="s">
        <v>162</v>
      </c>
      <c r="C105" t="s">
        <v>1138</v>
      </c>
      <c r="D105" s="26" t="str">
        <f t="shared" si="1"/>
        <v>PRJNA599388</v>
      </c>
      <c r="E105" s="26" t="str">
        <f>HYPERLINK("https://www.ncbi.nlm.nih.gov/biosample/13747593", "SAMN13747593")</f>
        <v>SAMN13747593</v>
      </c>
      <c r="F105" s="26" t="str">
        <f>HYPERLINK("https://trace.ncbi.nlm.nih.gov/Traces/sra/?run=SRR10870123", "SRR10870123")</f>
        <v>SRR10870123</v>
      </c>
      <c r="G105" t="s">
        <v>1584</v>
      </c>
      <c r="H105" t="s">
        <v>1882</v>
      </c>
    </row>
    <row r="106" spans="1:8" x14ac:dyDescent="0.2">
      <c r="A106" t="s">
        <v>634</v>
      </c>
      <c r="B106" t="s">
        <v>161</v>
      </c>
      <c r="C106" t="s">
        <v>1138</v>
      </c>
      <c r="D106" s="26" t="str">
        <f t="shared" si="1"/>
        <v>PRJNA599388</v>
      </c>
      <c r="E106" s="26" t="str">
        <f>HYPERLINK("https://www.ncbi.nlm.nih.gov/biosample/13747592", "SAMN13747592")</f>
        <v>SAMN13747592</v>
      </c>
      <c r="F106" s="26" t="str">
        <f>HYPERLINK("https://trace.ncbi.nlm.nih.gov/Traces/sra/?run=SRR10870124", "SRR10870124")</f>
        <v>SRR10870124</v>
      </c>
      <c r="G106" t="s">
        <v>1592</v>
      </c>
      <c r="H106" t="s">
        <v>1883</v>
      </c>
    </row>
    <row r="107" spans="1:8" x14ac:dyDescent="0.2">
      <c r="A107" t="s">
        <v>636</v>
      </c>
      <c r="B107" t="s">
        <v>160</v>
      </c>
      <c r="C107" t="s">
        <v>1138</v>
      </c>
      <c r="D107" s="26" t="str">
        <f t="shared" si="1"/>
        <v>PRJNA599388</v>
      </c>
      <c r="E107" s="26" t="str">
        <f>HYPERLINK("https://www.ncbi.nlm.nih.gov/biosample/13747591", "SAMN13747591")</f>
        <v>SAMN13747591</v>
      </c>
      <c r="F107" s="26" t="str">
        <f>HYPERLINK("https://trace.ncbi.nlm.nih.gov/Traces/sra/?run=SRR10870125", "SRR10870125")</f>
        <v>SRR10870125</v>
      </c>
      <c r="G107" t="s">
        <v>1749</v>
      </c>
      <c r="H107" t="s">
        <v>1884</v>
      </c>
    </row>
    <row r="108" spans="1:8" x14ac:dyDescent="0.2">
      <c r="A108" t="s">
        <v>653</v>
      </c>
      <c r="B108" t="s">
        <v>159</v>
      </c>
      <c r="C108" t="s">
        <v>1138</v>
      </c>
      <c r="D108" s="26" t="str">
        <f t="shared" si="1"/>
        <v>PRJNA599388</v>
      </c>
      <c r="E108" s="26" t="str">
        <f>HYPERLINK("https://www.ncbi.nlm.nih.gov/biosample/13747590", "SAMN13747590")</f>
        <v>SAMN13747590</v>
      </c>
      <c r="F108" s="26" t="str">
        <f>HYPERLINK("https://trace.ncbi.nlm.nih.gov/Traces/sra/?run=SRR10870126", "SRR10870126")</f>
        <v>SRR10870126</v>
      </c>
      <c r="G108" t="s">
        <v>1700</v>
      </c>
      <c r="H108" t="s">
        <v>1885</v>
      </c>
    </row>
    <row r="109" spans="1:8" x14ac:dyDescent="0.2">
      <c r="A109" t="s">
        <v>654</v>
      </c>
      <c r="B109" t="s">
        <v>158</v>
      </c>
      <c r="C109" t="s">
        <v>1138</v>
      </c>
      <c r="D109" s="26" t="str">
        <f t="shared" si="1"/>
        <v>PRJNA599388</v>
      </c>
      <c r="E109" s="26" t="str">
        <f>HYPERLINK("https://www.ncbi.nlm.nih.gov/biosample/13747589", "SAMN13747589")</f>
        <v>SAMN13747589</v>
      </c>
      <c r="F109" s="26" t="str">
        <f>HYPERLINK("https://trace.ncbi.nlm.nih.gov/Traces/sra/?run=SRR10870127", "SRR10870127")</f>
        <v>SRR10870127</v>
      </c>
      <c r="G109" t="s">
        <v>1741</v>
      </c>
      <c r="H109" t="s">
        <v>1886</v>
      </c>
    </row>
    <row r="110" spans="1:8" x14ac:dyDescent="0.2">
      <c r="A110" t="s">
        <v>834</v>
      </c>
      <c r="B110" t="s">
        <v>131</v>
      </c>
      <c r="C110" t="s">
        <v>1138</v>
      </c>
      <c r="D110" s="26" t="str">
        <f t="shared" si="1"/>
        <v>PRJNA599388</v>
      </c>
      <c r="E110" s="26" t="str">
        <f>HYPERLINK("https://www.ncbi.nlm.nih.gov/biosample/13747562", "SAMN13747562")</f>
        <v>SAMN13747562</v>
      </c>
      <c r="F110" s="26" t="str">
        <f>HYPERLINK("https://trace.ncbi.nlm.nih.gov/Traces/sra/?run=SRR10870128", "SRR10870128")</f>
        <v>SRR10870128</v>
      </c>
      <c r="G110" t="s">
        <v>1612</v>
      </c>
      <c r="H110" t="s">
        <v>1887</v>
      </c>
    </row>
    <row r="111" spans="1:8" x14ac:dyDescent="0.2">
      <c r="A111" t="s">
        <v>656</v>
      </c>
      <c r="B111" t="s">
        <v>157</v>
      </c>
      <c r="C111" t="s">
        <v>1138</v>
      </c>
      <c r="D111" s="26" t="str">
        <f t="shared" si="1"/>
        <v>PRJNA599388</v>
      </c>
      <c r="E111" s="26" t="str">
        <f>HYPERLINK("https://www.ncbi.nlm.nih.gov/biosample/13747588", "SAMN13747588")</f>
        <v>SAMN13747588</v>
      </c>
      <c r="F111" s="26" t="str">
        <f>HYPERLINK("https://trace.ncbi.nlm.nih.gov/Traces/sra/?run=SRR10870129", "SRR10870129")</f>
        <v>SRR10870129</v>
      </c>
      <c r="G111" t="s">
        <v>1702</v>
      </c>
      <c r="H111" t="s">
        <v>1888</v>
      </c>
    </row>
    <row r="112" spans="1:8" x14ac:dyDescent="0.2">
      <c r="A112" t="s">
        <v>664</v>
      </c>
      <c r="B112" t="s">
        <v>156</v>
      </c>
      <c r="C112" t="s">
        <v>1138</v>
      </c>
      <c r="D112" s="26" t="str">
        <f t="shared" si="1"/>
        <v>PRJNA599388</v>
      </c>
      <c r="E112" s="26" t="str">
        <f>HYPERLINK("https://www.ncbi.nlm.nih.gov/biosample/13747587", "SAMN13747587")</f>
        <v>SAMN13747587</v>
      </c>
      <c r="F112" s="26" t="str">
        <f>HYPERLINK("https://trace.ncbi.nlm.nih.gov/Traces/sra/?run=SRR10870130", "SRR10870130")</f>
        <v>SRR10870130</v>
      </c>
      <c r="G112" t="s">
        <v>1614</v>
      </c>
      <c r="H112" t="s">
        <v>1889</v>
      </c>
    </row>
    <row r="113" spans="1:8" x14ac:dyDescent="0.2">
      <c r="A113" t="s">
        <v>674</v>
      </c>
      <c r="B113" t="s">
        <v>155</v>
      </c>
      <c r="C113" t="s">
        <v>1138</v>
      </c>
      <c r="D113" s="26" t="str">
        <f t="shared" si="1"/>
        <v>PRJNA599388</v>
      </c>
      <c r="E113" s="26" t="str">
        <f>HYPERLINK("https://www.ncbi.nlm.nih.gov/biosample/13747586", "SAMN13747586")</f>
        <v>SAMN13747586</v>
      </c>
      <c r="F113" s="26" t="str">
        <f>HYPERLINK("https://trace.ncbi.nlm.nih.gov/Traces/sra/?run=SRR10870131", "SRR10870131")</f>
        <v>SRR10870131</v>
      </c>
      <c r="G113" t="s">
        <v>1644</v>
      </c>
      <c r="H113" t="s">
        <v>1890</v>
      </c>
    </row>
    <row r="114" spans="1:8" x14ac:dyDescent="0.2">
      <c r="A114" t="s">
        <v>675</v>
      </c>
      <c r="B114" t="s">
        <v>154</v>
      </c>
      <c r="C114" t="s">
        <v>1138</v>
      </c>
      <c r="D114" s="26" t="str">
        <f t="shared" si="1"/>
        <v>PRJNA599388</v>
      </c>
      <c r="E114" s="26" t="str">
        <f>HYPERLINK("https://www.ncbi.nlm.nih.gov/biosample/13747585", "SAMN13747585")</f>
        <v>SAMN13747585</v>
      </c>
      <c r="F114" s="26" t="str">
        <f>HYPERLINK("https://trace.ncbi.nlm.nih.gov/Traces/sra/?run=SRR10870132", "SRR10870132")</f>
        <v>SRR10870132</v>
      </c>
      <c r="G114" t="s">
        <v>1774</v>
      </c>
      <c r="H114" t="s">
        <v>1891</v>
      </c>
    </row>
    <row r="115" spans="1:8" x14ac:dyDescent="0.2">
      <c r="A115" t="s">
        <v>694</v>
      </c>
      <c r="B115" t="s">
        <v>153</v>
      </c>
      <c r="C115" t="s">
        <v>1138</v>
      </c>
      <c r="D115" s="26" t="str">
        <f t="shared" si="1"/>
        <v>PRJNA599388</v>
      </c>
      <c r="E115" s="26" t="str">
        <f>HYPERLINK("https://www.ncbi.nlm.nih.gov/biosample/13747584", "SAMN13747584")</f>
        <v>SAMN13747584</v>
      </c>
      <c r="F115" s="26" t="str">
        <f>HYPERLINK("https://trace.ncbi.nlm.nih.gov/Traces/sra/?run=SRR10870133", "SRR10870133")</f>
        <v>SRR10870133</v>
      </c>
      <c r="G115" t="s">
        <v>1698</v>
      </c>
      <c r="H115" t="s">
        <v>1892</v>
      </c>
    </row>
    <row r="116" spans="1:8" x14ac:dyDescent="0.2">
      <c r="A116" t="s">
        <v>695</v>
      </c>
      <c r="B116" t="s">
        <v>152</v>
      </c>
      <c r="C116" t="s">
        <v>1138</v>
      </c>
      <c r="D116" s="26" t="str">
        <f t="shared" si="1"/>
        <v>PRJNA599388</v>
      </c>
      <c r="E116" s="26" t="str">
        <f>HYPERLINK("https://www.ncbi.nlm.nih.gov/biosample/13747583", "SAMN13747583")</f>
        <v>SAMN13747583</v>
      </c>
      <c r="F116" s="26" t="str">
        <f>HYPERLINK("https://trace.ncbi.nlm.nih.gov/Traces/sra/?run=SRR10870134", "SRR10870134")</f>
        <v>SRR10870134</v>
      </c>
      <c r="G116" t="s">
        <v>1716</v>
      </c>
      <c r="H116" t="s">
        <v>1893</v>
      </c>
    </row>
    <row r="117" spans="1:8" x14ac:dyDescent="0.2">
      <c r="A117" t="s">
        <v>697</v>
      </c>
      <c r="B117" t="s">
        <v>151</v>
      </c>
      <c r="C117" t="s">
        <v>1138</v>
      </c>
      <c r="D117" s="26" t="str">
        <f t="shared" si="1"/>
        <v>PRJNA599388</v>
      </c>
      <c r="E117" s="26" t="str">
        <f>HYPERLINK("https://www.ncbi.nlm.nih.gov/biosample/13747582", "SAMN13747582")</f>
        <v>SAMN13747582</v>
      </c>
      <c r="F117" s="26" t="str">
        <f>HYPERLINK("https://trace.ncbi.nlm.nih.gov/Traces/sra/?run=SRR10870135", "SRR10870135")</f>
        <v>SRR10870135</v>
      </c>
      <c r="G117" t="s">
        <v>1641</v>
      </c>
      <c r="H117" t="s">
        <v>1894</v>
      </c>
    </row>
    <row r="118" spans="1:8" x14ac:dyDescent="0.2">
      <c r="A118" t="s">
        <v>703</v>
      </c>
      <c r="B118" t="s">
        <v>150</v>
      </c>
      <c r="C118" t="s">
        <v>1138</v>
      </c>
      <c r="D118" s="26" t="str">
        <f t="shared" si="1"/>
        <v>PRJNA599388</v>
      </c>
      <c r="E118" s="26" t="str">
        <f>HYPERLINK("https://www.ncbi.nlm.nih.gov/biosample/13747581", "SAMN13747581")</f>
        <v>SAMN13747581</v>
      </c>
      <c r="F118" s="26" t="str">
        <f>HYPERLINK("https://trace.ncbi.nlm.nih.gov/Traces/sra/?run=SRR10870136", "SRR10870136")</f>
        <v>SRR10870136</v>
      </c>
      <c r="G118" t="s">
        <v>1635</v>
      </c>
      <c r="H118" t="s">
        <v>1895</v>
      </c>
    </row>
    <row r="119" spans="1:8" x14ac:dyDescent="0.2">
      <c r="A119" s="12" t="s">
        <v>11</v>
      </c>
      <c r="B119" t="s">
        <v>1137</v>
      </c>
      <c r="C119" t="s">
        <v>1138</v>
      </c>
      <c r="D119" s="26" t="str">
        <f t="shared" si="1"/>
        <v>PRJNA599388</v>
      </c>
      <c r="E119" s="26" t="str">
        <f>HYPERLINK("https://www.ncbi.nlm.nih.gov/biosample/13747775", "SAMN13747775")</f>
        <v>SAMN13747775</v>
      </c>
      <c r="F119" s="26" t="str">
        <f>HYPERLINK("https://trace.ncbi.nlm.nih.gov/Traces/sra/?run=SRR10870137", "SRR10870137")</f>
        <v>SRR10870137</v>
      </c>
      <c r="G119" t="s">
        <v>1632</v>
      </c>
      <c r="H119" t="s">
        <v>1896</v>
      </c>
    </row>
    <row r="120" spans="1:8" x14ac:dyDescent="0.2">
      <c r="A120" s="12" t="s">
        <v>11</v>
      </c>
      <c r="B120" t="s">
        <v>1136</v>
      </c>
      <c r="C120" t="s">
        <v>1138</v>
      </c>
      <c r="D120" s="26" t="str">
        <f t="shared" si="1"/>
        <v>PRJNA599388</v>
      </c>
      <c r="E120" s="26" t="str">
        <f>HYPERLINK("https://www.ncbi.nlm.nih.gov/biosample/13747774", "SAMN13747774")</f>
        <v>SAMN13747774</v>
      </c>
      <c r="F120" s="26" t="str">
        <f>HYPERLINK("https://trace.ncbi.nlm.nih.gov/Traces/sra/?run=SRR10870138", "SRR10870138")</f>
        <v>SRR10870138</v>
      </c>
      <c r="G120" t="s">
        <v>1683</v>
      </c>
      <c r="H120" t="s">
        <v>1897</v>
      </c>
    </row>
    <row r="121" spans="1:8" x14ac:dyDescent="0.2">
      <c r="A121" s="12" t="s">
        <v>11</v>
      </c>
      <c r="B121" t="s">
        <v>1135</v>
      </c>
      <c r="C121" t="s">
        <v>1138</v>
      </c>
      <c r="D121" s="26" t="str">
        <f t="shared" si="1"/>
        <v>PRJNA599388</v>
      </c>
      <c r="E121" s="26" t="str">
        <f>HYPERLINK("https://www.ncbi.nlm.nih.gov/biosample/13747773", "SAMN13747773")</f>
        <v>SAMN13747773</v>
      </c>
      <c r="F121" s="26" t="str">
        <f>HYPERLINK("https://trace.ncbi.nlm.nih.gov/Traces/sra/?run=SRR10870139", "SRR10870139")</f>
        <v>SRR10870139</v>
      </c>
      <c r="G121" t="s">
        <v>1709</v>
      </c>
      <c r="H121" t="s">
        <v>1898</v>
      </c>
    </row>
    <row r="122" spans="1:8" x14ac:dyDescent="0.2">
      <c r="A122" s="12" t="s">
        <v>11</v>
      </c>
      <c r="B122" t="s">
        <v>1134</v>
      </c>
      <c r="C122" t="s">
        <v>1138</v>
      </c>
      <c r="D122" s="26" t="str">
        <f t="shared" si="1"/>
        <v>PRJNA599388</v>
      </c>
      <c r="E122" s="26" t="str">
        <f>HYPERLINK("https://www.ncbi.nlm.nih.gov/biosample/13747772", "SAMN13747772")</f>
        <v>SAMN13747772</v>
      </c>
      <c r="F122" s="26" t="str">
        <f>HYPERLINK("https://trace.ncbi.nlm.nih.gov/Traces/sra/?run=SRR10870140", "SRR10870140")</f>
        <v>SRR10870140</v>
      </c>
      <c r="G122" t="s">
        <v>1578</v>
      </c>
      <c r="H122" t="s">
        <v>1899</v>
      </c>
    </row>
    <row r="123" spans="1:8" x14ac:dyDescent="0.2">
      <c r="A123" s="12" t="s">
        <v>11</v>
      </c>
      <c r="B123" t="s">
        <v>1133</v>
      </c>
      <c r="C123" t="s">
        <v>1138</v>
      </c>
      <c r="D123" s="26" t="str">
        <f t="shared" si="1"/>
        <v>PRJNA599388</v>
      </c>
      <c r="E123" s="26" t="str">
        <f>HYPERLINK("https://www.ncbi.nlm.nih.gov/biosample/13747771", "SAMN13747771")</f>
        <v>SAMN13747771</v>
      </c>
      <c r="F123" s="26" t="str">
        <f>HYPERLINK("https://trace.ncbi.nlm.nih.gov/Traces/sra/?run=SRR10870141", "SRR10870141")</f>
        <v>SRR10870141</v>
      </c>
      <c r="G123" t="s">
        <v>1642</v>
      </c>
      <c r="H123" t="s">
        <v>1900</v>
      </c>
    </row>
    <row r="124" spans="1:8" x14ac:dyDescent="0.2">
      <c r="A124" t="s">
        <v>315</v>
      </c>
      <c r="B124" t="s">
        <v>315</v>
      </c>
      <c r="C124" t="s">
        <v>1138</v>
      </c>
      <c r="D124" s="26" t="str">
        <f t="shared" si="1"/>
        <v>PRJNA599388</v>
      </c>
      <c r="E124" s="26" t="str">
        <f>HYPERLINK("https://www.ncbi.nlm.nih.gov/biosample/13747770", "SAMN13747770")</f>
        <v>SAMN13747770</v>
      </c>
      <c r="F124" s="26" t="str">
        <f>HYPERLINK("https://trace.ncbi.nlm.nih.gov/Traces/sra/?run=SRR10870142", "SRR10870142")</f>
        <v>SRR10870142</v>
      </c>
      <c r="G124" t="s">
        <v>1579</v>
      </c>
      <c r="H124" t="s">
        <v>1901</v>
      </c>
    </row>
    <row r="125" spans="1:8" x14ac:dyDescent="0.2">
      <c r="A125" t="s">
        <v>314</v>
      </c>
      <c r="B125" t="s">
        <v>314</v>
      </c>
      <c r="C125" t="s">
        <v>1138</v>
      </c>
      <c r="D125" s="26" t="str">
        <f t="shared" si="1"/>
        <v>PRJNA599388</v>
      </c>
      <c r="E125" s="26" t="str">
        <f>HYPERLINK("https://www.ncbi.nlm.nih.gov/biosample/13747769", "SAMN13747769")</f>
        <v>SAMN13747769</v>
      </c>
      <c r="F125" s="26" t="str">
        <f>HYPERLINK("https://trace.ncbi.nlm.nih.gov/Traces/sra/?run=SRR10870143", "SRR10870143")</f>
        <v>SRR10870143</v>
      </c>
      <c r="G125" t="s">
        <v>1693</v>
      </c>
      <c r="H125" t="s">
        <v>1902</v>
      </c>
    </row>
    <row r="126" spans="1:8" x14ac:dyDescent="0.2">
      <c r="A126" t="s">
        <v>714</v>
      </c>
      <c r="B126" t="s">
        <v>149</v>
      </c>
      <c r="C126" t="s">
        <v>1138</v>
      </c>
      <c r="D126" s="26" t="str">
        <f t="shared" si="1"/>
        <v>PRJNA599388</v>
      </c>
      <c r="E126" s="26" t="str">
        <f>HYPERLINK("https://www.ncbi.nlm.nih.gov/biosample/13747580", "SAMN13747580")</f>
        <v>SAMN13747580</v>
      </c>
      <c r="F126" s="26" t="str">
        <f>HYPERLINK("https://trace.ncbi.nlm.nih.gov/Traces/sra/?run=SRR10870144", "SRR10870144")</f>
        <v>SRR10870144</v>
      </c>
      <c r="G126" t="s">
        <v>1705</v>
      </c>
      <c r="H126" t="s">
        <v>1903</v>
      </c>
    </row>
    <row r="127" spans="1:8" x14ac:dyDescent="0.2">
      <c r="A127" t="s">
        <v>313</v>
      </c>
      <c r="B127" t="s">
        <v>313</v>
      </c>
      <c r="C127" t="s">
        <v>1138</v>
      </c>
      <c r="D127" s="26" t="str">
        <f t="shared" si="1"/>
        <v>PRJNA599388</v>
      </c>
      <c r="E127" s="26" t="str">
        <f>HYPERLINK("https://www.ncbi.nlm.nih.gov/biosample/13747768", "SAMN13747768")</f>
        <v>SAMN13747768</v>
      </c>
      <c r="F127" s="26" t="str">
        <f>HYPERLINK("https://trace.ncbi.nlm.nih.gov/Traces/sra/?run=SRR10870145", "SRR10870145")</f>
        <v>SRR10870145</v>
      </c>
      <c r="G127" t="s">
        <v>1599</v>
      </c>
      <c r="H127" t="s">
        <v>1904</v>
      </c>
    </row>
    <row r="128" spans="1:8" x14ac:dyDescent="0.2">
      <c r="A128" t="s">
        <v>312</v>
      </c>
      <c r="B128" t="s">
        <v>312</v>
      </c>
      <c r="C128" t="s">
        <v>1138</v>
      </c>
      <c r="D128" s="26" t="str">
        <f t="shared" si="1"/>
        <v>PRJNA599388</v>
      </c>
      <c r="E128" s="26" t="str">
        <f>HYPERLINK("https://www.ncbi.nlm.nih.gov/biosample/13747767", "SAMN13747767")</f>
        <v>SAMN13747767</v>
      </c>
      <c r="F128" s="26" t="str">
        <f>HYPERLINK("https://trace.ncbi.nlm.nih.gov/Traces/sra/?run=SRR10870146", "SRR10870146")</f>
        <v>SRR10870146</v>
      </c>
      <c r="G128" t="s">
        <v>1660</v>
      </c>
      <c r="H128" t="s">
        <v>1905</v>
      </c>
    </row>
    <row r="129" spans="1:8" x14ac:dyDescent="0.2">
      <c r="A129" t="s">
        <v>311</v>
      </c>
      <c r="B129" t="s">
        <v>311</v>
      </c>
      <c r="C129" t="s">
        <v>1138</v>
      </c>
      <c r="D129" s="26" t="str">
        <f t="shared" si="1"/>
        <v>PRJNA599388</v>
      </c>
      <c r="E129" s="26" t="str">
        <f>HYPERLINK("https://www.ncbi.nlm.nih.gov/biosample/13747766", "SAMN13747766")</f>
        <v>SAMN13747766</v>
      </c>
      <c r="F129" s="26" t="str">
        <f>HYPERLINK("https://trace.ncbi.nlm.nih.gov/Traces/sra/?run=SRR10870147", "SRR10870147")</f>
        <v>SRR10870147</v>
      </c>
      <c r="G129" t="s">
        <v>1639</v>
      </c>
      <c r="H129" t="s">
        <v>1906</v>
      </c>
    </row>
    <row r="130" spans="1:8" x14ac:dyDescent="0.2">
      <c r="A130" t="s">
        <v>310</v>
      </c>
      <c r="B130" t="s">
        <v>310</v>
      </c>
      <c r="C130" t="s">
        <v>1138</v>
      </c>
      <c r="D130" s="26" t="str">
        <f t="shared" ref="D130:D193" si="2">HYPERLINK("https://www.ncbi.nlm.nih.gov/bioproject/PRJNA599388", "PRJNA599388")</f>
        <v>PRJNA599388</v>
      </c>
      <c r="E130" s="26" t="str">
        <f>HYPERLINK("https://www.ncbi.nlm.nih.gov/biosample/13747765", "SAMN13747765")</f>
        <v>SAMN13747765</v>
      </c>
      <c r="F130" s="26" t="str">
        <f>HYPERLINK("https://trace.ncbi.nlm.nih.gov/Traces/sra/?run=SRR10870148", "SRR10870148")</f>
        <v>SRR10870148</v>
      </c>
      <c r="G130" t="s">
        <v>1585</v>
      </c>
      <c r="H130" t="s">
        <v>1907</v>
      </c>
    </row>
    <row r="131" spans="1:8" x14ac:dyDescent="0.2">
      <c r="A131" t="s">
        <v>309</v>
      </c>
      <c r="B131" t="s">
        <v>309</v>
      </c>
      <c r="C131" t="s">
        <v>1138</v>
      </c>
      <c r="D131" s="26" t="str">
        <f t="shared" si="2"/>
        <v>PRJNA599388</v>
      </c>
      <c r="E131" s="26" t="str">
        <f>HYPERLINK("https://www.ncbi.nlm.nih.gov/biosample/13747764", "SAMN13747764")</f>
        <v>SAMN13747764</v>
      </c>
      <c r="F131" s="26" t="str">
        <f>HYPERLINK("https://trace.ncbi.nlm.nih.gov/Traces/sra/?run=SRR10870149", "SRR10870149")</f>
        <v>SRR10870149</v>
      </c>
      <c r="G131" t="s">
        <v>1723</v>
      </c>
      <c r="H131" t="s">
        <v>1908</v>
      </c>
    </row>
    <row r="132" spans="1:8" x14ac:dyDescent="0.2">
      <c r="A132" t="s">
        <v>308</v>
      </c>
      <c r="B132" t="s">
        <v>308</v>
      </c>
      <c r="C132" t="s">
        <v>1138</v>
      </c>
      <c r="D132" s="26" t="str">
        <f t="shared" si="2"/>
        <v>PRJNA599388</v>
      </c>
      <c r="E132" s="26" t="str">
        <f>HYPERLINK("https://www.ncbi.nlm.nih.gov/biosample/13747763", "SAMN13747763")</f>
        <v>SAMN13747763</v>
      </c>
      <c r="F132" s="26" t="str">
        <f>HYPERLINK("https://trace.ncbi.nlm.nih.gov/Traces/sra/?run=SRR10870150", "SRR10870150")</f>
        <v>SRR10870150</v>
      </c>
      <c r="G132" t="s">
        <v>1602</v>
      </c>
      <c r="H132" t="s">
        <v>1909</v>
      </c>
    </row>
    <row r="133" spans="1:8" x14ac:dyDescent="0.2">
      <c r="A133" t="s">
        <v>307</v>
      </c>
      <c r="B133" t="s">
        <v>307</v>
      </c>
      <c r="C133" t="s">
        <v>1138</v>
      </c>
      <c r="D133" s="26" t="str">
        <f t="shared" si="2"/>
        <v>PRJNA599388</v>
      </c>
      <c r="E133" s="26" t="str">
        <f>HYPERLINK("https://www.ncbi.nlm.nih.gov/biosample/13747762", "SAMN13747762")</f>
        <v>SAMN13747762</v>
      </c>
      <c r="F133" s="26" t="str">
        <f>HYPERLINK("https://trace.ncbi.nlm.nih.gov/Traces/sra/?run=SRR10870151", "SRR10870151")</f>
        <v>SRR10870151</v>
      </c>
      <c r="G133" t="s">
        <v>1648</v>
      </c>
      <c r="H133" t="s">
        <v>1910</v>
      </c>
    </row>
    <row r="134" spans="1:8" x14ac:dyDescent="0.2">
      <c r="A134" t="s">
        <v>306</v>
      </c>
      <c r="B134" t="s">
        <v>306</v>
      </c>
      <c r="C134" t="s">
        <v>1138</v>
      </c>
      <c r="D134" s="26" t="str">
        <f t="shared" si="2"/>
        <v>PRJNA599388</v>
      </c>
      <c r="E134" s="26" t="str">
        <f>HYPERLINK("https://www.ncbi.nlm.nih.gov/biosample/13747761", "SAMN13747761")</f>
        <v>SAMN13747761</v>
      </c>
      <c r="F134" s="26" t="str">
        <f>HYPERLINK("https://trace.ncbi.nlm.nih.gov/Traces/sra/?run=SRR10870152", "SRR10870152")</f>
        <v>SRR10870152</v>
      </c>
      <c r="G134" t="s">
        <v>1778</v>
      </c>
      <c r="H134" t="s">
        <v>1911</v>
      </c>
    </row>
    <row r="135" spans="1:8" x14ac:dyDescent="0.2">
      <c r="A135" t="s">
        <v>305</v>
      </c>
      <c r="B135" t="s">
        <v>305</v>
      </c>
      <c r="C135" t="s">
        <v>1138</v>
      </c>
      <c r="D135" s="26" t="str">
        <f t="shared" si="2"/>
        <v>PRJNA599388</v>
      </c>
      <c r="E135" s="26" t="str">
        <f>HYPERLINK("https://www.ncbi.nlm.nih.gov/biosample/13747760", "SAMN13747760")</f>
        <v>SAMN13747760</v>
      </c>
      <c r="F135" s="26" t="str">
        <f>HYPERLINK("https://trace.ncbi.nlm.nih.gov/Traces/sra/?run=SRR10870153", "SRR10870153")</f>
        <v>SRR10870153</v>
      </c>
      <c r="G135" t="s">
        <v>1651</v>
      </c>
      <c r="H135" t="s">
        <v>1912</v>
      </c>
    </row>
    <row r="136" spans="1:8" x14ac:dyDescent="0.2">
      <c r="A136" t="s">
        <v>304</v>
      </c>
      <c r="B136" t="s">
        <v>304</v>
      </c>
      <c r="C136" t="s">
        <v>1138</v>
      </c>
      <c r="D136" s="26" t="str">
        <f t="shared" si="2"/>
        <v>PRJNA599388</v>
      </c>
      <c r="E136" s="26" t="str">
        <f>HYPERLINK("https://www.ncbi.nlm.nih.gov/biosample/13747759", "SAMN13747759")</f>
        <v>SAMN13747759</v>
      </c>
      <c r="F136" s="26" t="str">
        <f>HYPERLINK("https://trace.ncbi.nlm.nih.gov/Traces/sra/?run=SRR10870154", "SRR10870154")</f>
        <v>SRR10870154</v>
      </c>
      <c r="G136" t="s">
        <v>1722</v>
      </c>
      <c r="H136" t="s">
        <v>1913</v>
      </c>
    </row>
    <row r="137" spans="1:8" x14ac:dyDescent="0.2">
      <c r="A137" t="s">
        <v>716</v>
      </c>
      <c r="B137" t="s">
        <v>148</v>
      </c>
      <c r="C137" t="s">
        <v>1138</v>
      </c>
      <c r="D137" s="26" t="str">
        <f t="shared" si="2"/>
        <v>PRJNA599388</v>
      </c>
      <c r="E137" s="26" t="str">
        <f>HYPERLINK("https://www.ncbi.nlm.nih.gov/biosample/13747579", "SAMN13747579")</f>
        <v>SAMN13747579</v>
      </c>
      <c r="F137" s="26" t="str">
        <f>HYPERLINK("https://trace.ncbi.nlm.nih.gov/Traces/sra/?run=SRR10870155", "SRR10870155")</f>
        <v>SRR10870155</v>
      </c>
      <c r="G137" t="s">
        <v>1605</v>
      </c>
      <c r="H137" t="s">
        <v>1914</v>
      </c>
    </row>
    <row r="138" spans="1:8" x14ac:dyDescent="0.2">
      <c r="A138" t="s">
        <v>835</v>
      </c>
      <c r="B138" t="s">
        <v>130</v>
      </c>
      <c r="C138" t="s">
        <v>1138</v>
      </c>
      <c r="D138" s="26" t="str">
        <f t="shared" si="2"/>
        <v>PRJNA599388</v>
      </c>
      <c r="E138" s="26" t="str">
        <f>HYPERLINK("https://www.ncbi.nlm.nih.gov/biosample/13747561", "SAMN13747561")</f>
        <v>SAMN13747561</v>
      </c>
      <c r="F138" s="26" t="str">
        <f>HYPERLINK("https://trace.ncbi.nlm.nih.gov/Traces/sra/?run=SRR10870156", "SRR10870156")</f>
        <v>SRR10870156</v>
      </c>
      <c r="G138" t="s">
        <v>1717</v>
      </c>
      <c r="H138" t="s">
        <v>1915</v>
      </c>
    </row>
    <row r="139" spans="1:8" x14ac:dyDescent="0.2">
      <c r="A139" t="s">
        <v>303</v>
      </c>
      <c r="B139" t="s">
        <v>303</v>
      </c>
      <c r="C139" t="s">
        <v>1138</v>
      </c>
      <c r="D139" s="26" t="str">
        <f t="shared" si="2"/>
        <v>PRJNA599388</v>
      </c>
      <c r="E139" s="26" t="str">
        <f>HYPERLINK("https://www.ncbi.nlm.nih.gov/biosample/13747758", "SAMN13747758")</f>
        <v>SAMN13747758</v>
      </c>
      <c r="F139" s="26" t="str">
        <f>HYPERLINK("https://trace.ncbi.nlm.nih.gov/Traces/sra/?run=SRR10870157", "SRR10870157")</f>
        <v>SRR10870157</v>
      </c>
      <c r="G139" t="s">
        <v>1613</v>
      </c>
      <c r="H139" t="s">
        <v>1916</v>
      </c>
    </row>
    <row r="140" spans="1:8" x14ac:dyDescent="0.2">
      <c r="A140" t="s">
        <v>302</v>
      </c>
      <c r="B140" t="s">
        <v>302</v>
      </c>
      <c r="C140" t="s">
        <v>1138</v>
      </c>
      <c r="D140" s="26" t="str">
        <f t="shared" si="2"/>
        <v>PRJNA599388</v>
      </c>
      <c r="E140" s="26" t="str">
        <f>HYPERLINK("https://www.ncbi.nlm.nih.gov/biosample/13747757", "SAMN13747757")</f>
        <v>SAMN13747757</v>
      </c>
      <c r="F140" s="26" t="str">
        <f>HYPERLINK("https://trace.ncbi.nlm.nih.gov/Traces/sra/?run=SRR10870158", "SRR10870158")</f>
        <v>SRR10870158</v>
      </c>
      <c r="G140" t="s">
        <v>1574</v>
      </c>
      <c r="H140" t="s">
        <v>1917</v>
      </c>
    </row>
    <row r="141" spans="1:8" x14ac:dyDescent="0.2">
      <c r="A141" t="s">
        <v>301</v>
      </c>
      <c r="B141" t="s">
        <v>301</v>
      </c>
      <c r="C141" t="s">
        <v>1138</v>
      </c>
      <c r="D141" s="26" t="str">
        <f t="shared" si="2"/>
        <v>PRJNA599388</v>
      </c>
      <c r="E141" s="26" t="str">
        <f>HYPERLINK("https://www.ncbi.nlm.nih.gov/biosample/13747756", "SAMN13747756")</f>
        <v>SAMN13747756</v>
      </c>
      <c r="F141" s="26" t="str">
        <f>HYPERLINK("https://trace.ncbi.nlm.nih.gov/Traces/sra/?run=SRR10870159", "SRR10870159")</f>
        <v>SRR10870159</v>
      </c>
      <c r="G141" t="s">
        <v>1711</v>
      </c>
      <c r="H141" t="s">
        <v>1918</v>
      </c>
    </row>
    <row r="142" spans="1:8" x14ac:dyDescent="0.2">
      <c r="A142" t="s">
        <v>300</v>
      </c>
      <c r="B142" t="s">
        <v>300</v>
      </c>
      <c r="C142" t="s">
        <v>1138</v>
      </c>
      <c r="D142" s="26" t="str">
        <f t="shared" si="2"/>
        <v>PRJNA599388</v>
      </c>
      <c r="E142" s="26" t="str">
        <f>HYPERLINK("https://www.ncbi.nlm.nih.gov/biosample/13747755", "SAMN13747755")</f>
        <v>SAMN13747755</v>
      </c>
      <c r="F142" s="26" t="str">
        <f>HYPERLINK("https://trace.ncbi.nlm.nih.gov/Traces/sra/?run=SRR10870160", "SRR10870160")</f>
        <v>SRR10870160</v>
      </c>
      <c r="G142" t="s">
        <v>1708</v>
      </c>
      <c r="H142" t="s">
        <v>1919</v>
      </c>
    </row>
    <row r="143" spans="1:8" x14ac:dyDescent="0.2">
      <c r="A143" t="s">
        <v>534</v>
      </c>
      <c r="B143" t="s">
        <v>299</v>
      </c>
      <c r="C143" t="s">
        <v>1138</v>
      </c>
      <c r="D143" s="26" t="str">
        <f t="shared" si="2"/>
        <v>PRJNA599388</v>
      </c>
      <c r="E143" s="26" t="str">
        <f>HYPERLINK("https://www.ncbi.nlm.nih.gov/biosample/13747754", "SAMN13747754")</f>
        <v>SAMN13747754</v>
      </c>
      <c r="F143" s="26" t="str">
        <f>HYPERLINK("https://trace.ncbi.nlm.nih.gov/Traces/sra/?run=SRR10870161", "SRR10870161")</f>
        <v>SRR10870161</v>
      </c>
      <c r="G143" t="s">
        <v>1596</v>
      </c>
      <c r="H143" t="s">
        <v>1920</v>
      </c>
    </row>
    <row r="144" spans="1:8" x14ac:dyDescent="0.2">
      <c r="A144" t="s">
        <v>535</v>
      </c>
      <c r="B144" t="s">
        <v>298</v>
      </c>
      <c r="C144" t="s">
        <v>1138</v>
      </c>
      <c r="D144" s="26" t="str">
        <f t="shared" si="2"/>
        <v>PRJNA599388</v>
      </c>
      <c r="E144" s="26" t="str">
        <f>HYPERLINK("https://www.ncbi.nlm.nih.gov/biosample/13747753", "SAMN13747753")</f>
        <v>SAMN13747753</v>
      </c>
      <c r="F144" s="26" t="str">
        <f>HYPERLINK("https://trace.ncbi.nlm.nih.gov/Traces/sra/?run=SRR10870162", "SRR10870162")</f>
        <v>SRR10870162</v>
      </c>
      <c r="G144" t="s">
        <v>1686</v>
      </c>
      <c r="H144" t="s">
        <v>1921</v>
      </c>
    </row>
    <row r="145" spans="1:8" x14ac:dyDescent="0.2">
      <c r="A145" t="s">
        <v>537</v>
      </c>
      <c r="B145" t="s">
        <v>297</v>
      </c>
      <c r="C145" t="s">
        <v>1138</v>
      </c>
      <c r="D145" s="26" t="str">
        <f t="shared" si="2"/>
        <v>PRJNA599388</v>
      </c>
      <c r="E145" s="26" t="str">
        <f>HYPERLINK("https://www.ncbi.nlm.nih.gov/biosample/13747752", "SAMN13747752")</f>
        <v>SAMN13747752</v>
      </c>
      <c r="F145" s="26" t="str">
        <f>HYPERLINK("https://trace.ncbi.nlm.nih.gov/Traces/sra/?run=SRR10870163", "SRR10870163")</f>
        <v>SRR10870163</v>
      </c>
      <c r="G145" t="s">
        <v>1657</v>
      </c>
      <c r="H145" t="s">
        <v>1922</v>
      </c>
    </row>
    <row r="146" spans="1:8" x14ac:dyDescent="0.2">
      <c r="A146" t="s">
        <v>538</v>
      </c>
      <c r="B146" t="s">
        <v>296</v>
      </c>
      <c r="C146" t="s">
        <v>1138</v>
      </c>
      <c r="D146" s="26" t="str">
        <f t="shared" si="2"/>
        <v>PRJNA599388</v>
      </c>
      <c r="E146" s="26" t="str">
        <f>HYPERLINK("https://www.ncbi.nlm.nih.gov/biosample/13747751", "SAMN13747751")</f>
        <v>SAMN13747751</v>
      </c>
      <c r="F146" s="26" t="str">
        <f>HYPERLINK("https://trace.ncbi.nlm.nih.gov/Traces/sra/?run=SRR10870164", "SRR10870164")</f>
        <v>SRR10870164</v>
      </c>
      <c r="G146" t="s">
        <v>1768</v>
      </c>
      <c r="H146" t="s">
        <v>1923</v>
      </c>
    </row>
    <row r="147" spans="1:8" x14ac:dyDescent="0.2">
      <c r="A147" t="s">
        <v>540</v>
      </c>
      <c r="B147" t="s">
        <v>295</v>
      </c>
      <c r="C147" t="s">
        <v>1138</v>
      </c>
      <c r="D147" s="26" t="str">
        <f t="shared" si="2"/>
        <v>PRJNA599388</v>
      </c>
      <c r="E147" s="26" t="str">
        <f>HYPERLINK("https://www.ncbi.nlm.nih.gov/biosample/13747750", "SAMN13747750")</f>
        <v>SAMN13747750</v>
      </c>
      <c r="F147" s="26" t="str">
        <f>HYPERLINK("https://trace.ncbi.nlm.nih.gov/Traces/sra/?run=SRR10870165", "SRR10870165")</f>
        <v>SRR10870165</v>
      </c>
      <c r="G147" t="s">
        <v>1761</v>
      </c>
      <c r="H147" t="s">
        <v>1924</v>
      </c>
    </row>
    <row r="148" spans="1:8" x14ac:dyDescent="0.2">
      <c r="A148" t="s">
        <v>541</v>
      </c>
      <c r="B148" t="s">
        <v>294</v>
      </c>
      <c r="C148" t="s">
        <v>1138</v>
      </c>
      <c r="D148" s="26" t="str">
        <f t="shared" si="2"/>
        <v>PRJNA599388</v>
      </c>
      <c r="E148" s="26" t="str">
        <f>HYPERLINK("https://www.ncbi.nlm.nih.gov/biosample/13747749", "SAMN13747749")</f>
        <v>SAMN13747749</v>
      </c>
      <c r="F148" s="26" t="str">
        <f>HYPERLINK("https://trace.ncbi.nlm.nih.gov/Traces/sra/?run=SRR10870166", "SRR10870166")</f>
        <v>SRR10870166</v>
      </c>
      <c r="G148" t="s">
        <v>1735</v>
      </c>
      <c r="H148" t="s">
        <v>1925</v>
      </c>
    </row>
    <row r="149" spans="1:8" x14ac:dyDescent="0.2">
      <c r="A149" t="s">
        <v>733</v>
      </c>
      <c r="B149" t="s">
        <v>147</v>
      </c>
      <c r="C149" t="s">
        <v>1138</v>
      </c>
      <c r="D149" s="26" t="str">
        <f t="shared" si="2"/>
        <v>PRJNA599388</v>
      </c>
      <c r="E149" s="26" t="str">
        <f>HYPERLINK("https://www.ncbi.nlm.nih.gov/biosample/13747578", "SAMN13747578")</f>
        <v>SAMN13747578</v>
      </c>
      <c r="F149" s="26" t="str">
        <f>HYPERLINK("https://trace.ncbi.nlm.nih.gov/Traces/sra/?run=SRR10870167", "SRR10870167")</f>
        <v>SRR10870167</v>
      </c>
      <c r="G149" t="s">
        <v>1667</v>
      </c>
      <c r="H149" t="s">
        <v>1926</v>
      </c>
    </row>
    <row r="150" spans="1:8" x14ac:dyDescent="0.2">
      <c r="A150" t="s">
        <v>542</v>
      </c>
      <c r="B150" t="s">
        <v>293</v>
      </c>
      <c r="C150" t="s">
        <v>1138</v>
      </c>
      <c r="D150" s="26" t="str">
        <f t="shared" si="2"/>
        <v>PRJNA599388</v>
      </c>
      <c r="E150" s="26" t="str">
        <f>HYPERLINK("https://www.ncbi.nlm.nih.gov/biosample/13747748", "SAMN13747748")</f>
        <v>SAMN13747748</v>
      </c>
      <c r="F150" s="26" t="str">
        <f>HYPERLINK("https://trace.ncbi.nlm.nih.gov/Traces/sra/?run=SRR10870168", "SRR10870168")</f>
        <v>SRR10870168</v>
      </c>
      <c r="G150" t="s">
        <v>1647</v>
      </c>
      <c r="H150" t="s">
        <v>1927</v>
      </c>
    </row>
    <row r="151" spans="1:8" x14ac:dyDescent="0.2">
      <c r="A151" t="s">
        <v>543</v>
      </c>
      <c r="B151" t="s">
        <v>292</v>
      </c>
      <c r="C151" t="s">
        <v>1138</v>
      </c>
      <c r="D151" s="26" t="str">
        <f t="shared" si="2"/>
        <v>PRJNA599388</v>
      </c>
      <c r="E151" s="26" t="str">
        <f>HYPERLINK("https://www.ncbi.nlm.nih.gov/biosample/13747747", "SAMN13747747")</f>
        <v>SAMN13747747</v>
      </c>
      <c r="F151" s="26" t="str">
        <f>HYPERLINK("https://trace.ncbi.nlm.nih.gov/Traces/sra/?run=SRR10870169", "SRR10870169")</f>
        <v>SRR10870169</v>
      </c>
      <c r="G151" t="s">
        <v>1672</v>
      </c>
      <c r="H151" t="s">
        <v>1928</v>
      </c>
    </row>
    <row r="152" spans="1:8" x14ac:dyDescent="0.2">
      <c r="A152" t="s">
        <v>554</v>
      </c>
      <c r="B152" t="s">
        <v>291</v>
      </c>
      <c r="C152" t="s">
        <v>1138</v>
      </c>
      <c r="D152" s="26" t="str">
        <f t="shared" si="2"/>
        <v>PRJNA599388</v>
      </c>
      <c r="E152" s="26" t="str">
        <f>HYPERLINK("https://www.ncbi.nlm.nih.gov/biosample/13747746", "SAMN13747746")</f>
        <v>SAMN13747746</v>
      </c>
      <c r="F152" s="26" t="str">
        <f>HYPERLINK("https://trace.ncbi.nlm.nih.gov/Traces/sra/?run=SRR10870170", "SRR10870170")</f>
        <v>SRR10870170</v>
      </c>
      <c r="G152" t="s">
        <v>1622</v>
      </c>
      <c r="H152" t="s">
        <v>1929</v>
      </c>
    </row>
    <row r="153" spans="1:8" x14ac:dyDescent="0.2">
      <c r="A153" t="s">
        <v>556</v>
      </c>
      <c r="B153" t="s">
        <v>290</v>
      </c>
      <c r="C153" t="s">
        <v>1138</v>
      </c>
      <c r="D153" s="26" t="str">
        <f t="shared" si="2"/>
        <v>PRJNA599388</v>
      </c>
      <c r="E153" s="26" t="str">
        <f>HYPERLINK("https://www.ncbi.nlm.nih.gov/biosample/13747745", "SAMN13747745")</f>
        <v>SAMN13747745</v>
      </c>
      <c r="F153" s="26" t="str">
        <f>HYPERLINK("https://trace.ncbi.nlm.nih.gov/Traces/sra/?run=SRR10870171", "SRR10870171")</f>
        <v>SRR10870171</v>
      </c>
      <c r="G153" t="s">
        <v>1598</v>
      </c>
      <c r="H153" t="s">
        <v>1930</v>
      </c>
    </row>
    <row r="154" spans="1:8" x14ac:dyDescent="0.2">
      <c r="A154" t="s">
        <v>559</v>
      </c>
      <c r="B154" t="s">
        <v>289</v>
      </c>
      <c r="C154" t="s">
        <v>1138</v>
      </c>
      <c r="D154" s="26" t="str">
        <f t="shared" si="2"/>
        <v>PRJNA599388</v>
      </c>
      <c r="E154" s="26" t="str">
        <f>HYPERLINK("https://www.ncbi.nlm.nih.gov/biosample/13747744", "SAMN13747744")</f>
        <v>SAMN13747744</v>
      </c>
      <c r="F154" s="26" t="str">
        <f>HYPERLINK("https://trace.ncbi.nlm.nih.gov/Traces/sra/?run=SRR10870172", "SRR10870172")</f>
        <v>SRR10870172</v>
      </c>
      <c r="G154" t="s">
        <v>1568</v>
      </c>
      <c r="H154" t="s">
        <v>1931</v>
      </c>
    </row>
    <row r="155" spans="1:8" x14ac:dyDescent="0.2">
      <c r="A155" t="s">
        <v>561</v>
      </c>
      <c r="B155" t="s">
        <v>288</v>
      </c>
      <c r="C155" t="s">
        <v>1138</v>
      </c>
      <c r="D155" s="26" t="str">
        <f t="shared" si="2"/>
        <v>PRJNA599388</v>
      </c>
      <c r="E155" s="26" t="str">
        <f>HYPERLINK("https://www.ncbi.nlm.nih.gov/biosample/13747743", "SAMN13747743")</f>
        <v>SAMN13747743</v>
      </c>
      <c r="F155" s="26" t="str">
        <f>HYPERLINK("https://trace.ncbi.nlm.nih.gov/Traces/sra/?run=SRR10870173", "SRR10870173")</f>
        <v>SRR10870173</v>
      </c>
      <c r="G155" t="s">
        <v>1576</v>
      </c>
      <c r="H155" t="s">
        <v>1932</v>
      </c>
    </row>
    <row r="156" spans="1:8" x14ac:dyDescent="0.2">
      <c r="A156" t="s">
        <v>572</v>
      </c>
      <c r="B156" t="s">
        <v>287</v>
      </c>
      <c r="C156" t="s">
        <v>1138</v>
      </c>
      <c r="D156" s="26" t="str">
        <f t="shared" si="2"/>
        <v>PRJNA599388</v>
      </c>
      <c r="E156" s="26" t="str">
        <f>HYPERLINK("https://www.ncbi.nlm.nih.gov/biosample/13747742", "SAMN13747742")</f>
        <v>SAMN13747742</v>
      </c>
      <c r="F156" s="26" t="str">
        <f>HYPERLINK("https://trace.ncbi.nlm.nih.gov/Traces/sra/?run=SRR10870174", "SRR10870174")</f>
        <v>SRR10870174</v>
      </c>
      <c r="G156" t="s">
        <v>1755</v>
      </c>
      <c r="H156" t="s">
        <v>1933</v>
      </c>
    </row>
    <row r="157" spans="1:8" x14ac:dyDescent="0.2">
      <c r="A157" t="s">
        <v>573</v>
      </c>
      <c r="B157" t="s">
        <v>286</v>
      </c>
      <c r="C157" t="s">
        <v>1138</v>
      </c>
      <c r="D157" s="26" t="str">
        <f t="shared" si="2"/>
        <v>PRJNA599388</v>
      </c>
      <c r="E157" s="26" t="str">
        <f>HYPERLINK("https://www.ncbi.nlm.nih.gov/biosample/13747741", "SAMN13747741")</f>
        <v>SAMN13747741</v>
      </c>
      <c r="F157" s="26" t="str">
        <f>HYPERLINK("https://trace.ncbi.nlm.nih.gov/Traces/sra/?run=SRR10870175", "SRR10870175")</f>
        <v>SRR10870175</v>
      </c>
      <c r="G157" t="s">
        <v>1685</v>
      </c>
      <c r="H157" t="s">
        <v>1934</v>
      </c>
    </row>
    <row r="158" spans="1:8" x14ac:dyDescent="0.2">
      <c r="A158" t="s">
        <v>574</v>
      </c>
      <c r="B158" t="s">
        <v>285</v>
      </c>
      <c r="C158" t="s">
        <v>1138</v>
      </c>
      <c r="D158" s="26" t="str">
        <f t="shared" si="2"/>
        <v>PRJNA599388</v>
      </c>
      <c r="E158" s="26" t="str">
        <f>HYPERLINK("https://www.ncbi.nlm.nih.gov/biosample/13747740", "SAMN13747740")</f>
        <v>SAMN13747740</v>
      </c>
      <c r="F158" s="26" t="str">
        <f>HYPERLINK("https://trace.ncbi.nlm.nih.gov/Traces/sra/?run=SRR10870176", "SRR10870176")</f>
        <v>SRR10870176</v>
      </c>
      <c r="G158" t="s">
        <v>1646</v>
      </c>
      <c r="H158" t="s">
        <v>1935</v>
      </c>
    </row>
    <row r="159" spans="1:8" x14ac:dyDescent="0.2">
      <c r="A159" t="s">
        <v>576</v>
      </c>
      <c r="B159" t="s">
        <v>284</v>
      </c>
      <c r="C159" t="s">
        <v>1138</v>
      </c>
      <c r="D159" s="26" t="str">
        <f t="shared" si="2"/>
        <v>PRJNA599388</v>
      </c>
      <c r="E159" s="26" t="str">
        <f>HYPERLINK("https://www.ncbi.nlm.nih.gov/biosample/13747739", "SAMN13747739")</f>
        <v>SAMN13747739</v>
      </c>
      <c r="F159" s="26" t="str">
        <f>HYPERLINK("https://trace.ncbi.nlm.nih.gov/Traces/sra/?run=SRR10870177", "SRR10870177")</f>
        <v>SRR10870177</v>
      </c>
      <c r="G159" t="s">
        <v>1611</v>
      </c>
      <c r="H159" t="s">
        <v>1936</v>
      </c>
    </row>
    <row r="160" spans="1:8" x14ac:dyDescent="0.2">
      <c r="A160" t="s">
        <v>734</v>
      </c>
      <c r="B160" t="s">
        <v>146</v>
      </c>
      <c r="C160" t="s">
        <v>1138</v>
      </c>
      <c r="D160" s="26" t="str">
        <f t="shared" si="2"/>
        <v>PRJNA599388</v>
      </c>
      <c r="E160" s="26" t="str">
        <f>HYPERLINK("https://www.ncbi.nlm.nih.gov/biosample/13747577", "SAMN13747577")</f>
        <v>SAMN13747577</v>
      </c>
      <c r="F160" s="26" t="str">
        <f>HYPERLINK("https://trace.ncbi.nlm.nih.gov/Traces/sra/?run=SRR10870178", "SRR10870178")</f>
        <v>SRR10870178</v>
      </c>
      <c r="G160" t="s">
        <v>1638</v>
      </c>
      <c r="H160" t="s">
        <v>1937</v>
      </c>
    </row>
    <row r="161" spans="1:8" x14ac:dyDescent="0.2">
      <c r="A161" t="s">
        <v>580</v>
      </c>
      <c r="B161" t="s">
        <v>283</v>
      </c>
      <c r="C161" t="s">
        <v>1138</v>
      </c>
      <c r="D161" s="26" t="str">
        <f t="shared" si="2"/>
        <v>PRJNA599388</v>
      </c>
      <c r="E161" s="26" t="str">
        <f>HYPERLINK("https://www.ncbi.nlm.nih.gov/biosample/13747738", "SAMN13747738")</f>
        <v>SAMN13747738</v>
      </c>
      <c r="F161" s="26" t="str">
        <f>HYPERLINK("https://trace.ncbi.nlm.nih.gov/Traces/sra/?run=SRR10870179", "SRR10870179")</f>
        <v>SRR10870179</v>
      </c>
      <c r="G161" t="s">
        <v>1779</v>
      </c>
      <c r="H161" t="s">
        <v>1938</v>
      </c>
    </row>
    <row r="162" spans="1:8" x14ac:dyDescent="0.2">
      <c r="A162" t="s">
        <v>581</v>
      </c>
      <c r="B162" t="s">
        <v>282</v>
      </c>
      <c r="C162" t="s">
        <v>1138</v>
      </c>
      <c r="D162" s="26" t="str">
        <f t="shared" si="2"/>
        <v>PRJNA599388</v>
      </c>
      <c r="E162" s="26" t="str">
        <f>HYPERLINK("https://www.ncbi.nlm.nih.gov/biosample/13747737", "SAMN13747737")</f>
        <v>SAMN13747737</v>
      </c>
      <c r="F162" s="26" t="str">
        <f>HYPERLINK("https://trace.ncbi.nlm.nih.gov/Traces/sra/?run=SRR10870180", "SRR10870180")</f>
        <v>SRR10870180</v>
      </c>
      <c r="G162" t="s">
        <v>1623</v>
      </c>
      <c r="H162" t="s">
        <v>1939</v>
      </c>
    </row>
    <row r="163" spans="1:8" x14ac:dyDescent="0.2">
      <c r="A163" t="s">
        <v>582</v>
      </c>
      <c r="B163" t="s">
        <v>281</v>
      </c>
      <c r="C163" t="s">
        <v>1138</v>
      </c>
      <c r="D163" s="26" t="str">
        <f t="shared" si="2"/>
        <v>PRJNA599388</v>
      </c>
      <c r="E163" s="26" t="str">
        <f>HYPERLINK("https://www.ncbi.nlm.nih.gov/biosample/13747736", "SAMN13747736")</f>
        <v>SAMN13747736</v>
      </c>
      <c r="F163" s="26" t="str">
        <f>HYPERLINK("https://trace.ncbi.nlm.nih.gov/Traces/sra/?run=SRR10870181", "SRR10870181")</f>
        <v>SRR10870181</v>
      </c>
      <c r="G163" t="s">
        <v>1594</v>
      </c>
      <c r="H163" t="s">
        <v>1940</v>
      </c>
    </row>
    <row r="164" spans="1:8" x14ac:dyDescent="0.2">
      <c r="A164" t="s">
        <v>584</v>
      </c>
      <c r="B164" t="s">
        <v>280</v>
      </c>
      <c r="C164" t="s">
        <v>1138</v>
      </c>
      <c r="D164" s="26" t="str">
        <f t="shared" si="2"/>
        <v>PRJNA599388</v>
      </c>
      <c r="E164" s="26" t="str">
        <f>HYPERLINK("https://www.ncbi.nlm.nih.gov/biosample/13747735", "SAMN13747735")</f>
        <v>SAMN13747735</v>
      </c>
      <c r="F164" s="26" t="str">
        <f>HYPERLINK("https://trace.ncbi.nlm.nih.gov/Traces/sra/?run=SRR10870182", "SRR10870182")</f>
        <v>SRR10870182</v>
      </c>
      <c r="G164" t="s">
        <v>1729</v>
      </c>
      <c r="H164" t="s">
        <v>1941</v>
      </c>
    </row>
    <row r="165" spans="1:8" x14ac:dyDescent="0.2">
      <c r="A165" t="s">
        <v>594</v>
      </c>
      <c r="B165" t="s">
        <v>279</v>
      </c>
      <c r="C165" t="s">
        <v>1138</v>
      </c>
      <c r="D165" s="26" t="str">
        <f t="shared" si="2"/>
        <v>PRJNA599388</v>
      </c>
      <c r="E165" s="26" t="str">
        <f>HYPERLINK("https://www.ncbi.nlm.nih.gov/biosample/13747734", "SAMN13747734")</f>
        <v>SAMN13747734</v>
      </c>
      <c r="F165" s="26" t="str">
        <f>HYPERLINK("https://trace.ncbi.nlm.nih.gov/Traces/sra/?run=SRR10870183", "SRR10870183")</f>
        <v>SRR10870183</v>
      </c>
      <c r="G165" t="s">
        <v>1745</v>
      </c>
      <c r="H165" t="s">
        <v>1942</v>
      </c>
    </row>
    <row r="166" spans="1:8" x14ac:dyDescent="0.2">
      <c r="A166" t="s">
        <v>595</v>
      </c>
      <c r="B166" t="s">
        <v>278</v>
      </c>
      <c r="C166" t="s">
        <v>1138</v>
      </c>
      <c r="D166" s="26" t="str">
        <f t="shared" si="2"/>
        <v>PRJNA599388</v>
      </c>
      <c r="E166" s="26" t="str">
        <f>HYPERLINK("https://www.ncbi.nlm.nih.gov/biosample/13747733", "SAMN13747733")</f>
        <v>SAMN13747733</v>
      </c>
      <c r="F166" s="26" t="str">
        <f>HYPERLINK("https://trace.ncbi.nlm.nih.gov/Traces/sra/?run=SRR10870184", "SRR10870184")</f>
        <v>SRR10870184</v>
      </c>
      <c r="G166" t="s">
        <v>1706</v>
      </c>
      <c r="H166" t="s">
        <v>1943</v>
      </c>
    </row>
    <row r="167" spans="1:8" x14ac:dyDescent="0.2">
      <c r="A167" t="s">
        <v>599</v>
      </c>
      <c r="B167" t="s">
        <v>277</v>
      </c>
      <c r="C167" t="s">
        <v>1138</v>
      </c>
      <c r="D167" s="26" t="str">
        <f t="shared" si="2"/>
        <v>PRJNA599388</v>
      </c>
      <c r="E167" s="26" t="str">
        <f>HYPERLINK("https://www.ncbi.nlm.nih.gov/biosample/13747732", "SAMN13747732")</f>
        <v>SAMN13747732</v>
      </c>
      <c r="F167" s="26" t="str">
        <f>HYPERLINK("https://trace.ncbi.nlm.nih.gov/Traces/sra/?run=SRR10870185", "SRR10870185")</f>
        <v>SRR10870185</v>
      </c>
      <c r="G167" t="s">
        <v>1588</v>
      </c>
      <c r="H167" t="s">
        <v>1944</v>
      </c>
    </row>
    <row r="168" spans="1:8" x14ac:dyDescent="0.2">
      <c r="A168" t="s">
        <v>600</v>
      </c>
      <c r="B168" t="s">
        <v>276</v>
      </c>
      <c r="C168" t="s">
        <v>1138</v>
      </c>
      <c r="D168" s="26" t="str">
        <f t="shared" si="2"/>
        <v>PRJNA599388</v>
      </c>
      <c r="E168" s="26" t="str">
        <f>HYPERLINK("https://www.ncbi.nlm.nih.gov/biosample/13747731", "SAMN13747731")</f>
        <v>SAMN13747731</v>
      </c>
      <c r="F168" s="26" t="str">
        <f>HYPERLINK("https://trace.ncbi.nlm.nih.gov/Traces/sra/?run=SRR10870186", "SRR10870186")</f>
        <v>SRR10870186</v>
      </c>
      <c r="G168" t="s">
        <v>1593</v>
      </c>
      <c r="H168" t="s">
        <v>1945</v>
      </c>
    </row>
    <row r="169" spans="1:8" x14ac:dyDescent="0.2">
      <c r="A169" t="s">
        <v>614</v>
      </c>
      <c r="B169" t="s">
        <v>275</v>
      </c>
      <c r="C169" t="s">
        <v>1138</v>
      </c>
      <c r="D169" s="26" t="str">
        <f t="shared" si="2"/>
        <v>PRJNA599388</v>
      </c>
      <c r="E169" s="26" t="str">
        <f>HYPERLINK("https://www.ncbi.nlm.nih.gov/biosample/13747730", "SAMN13747730")</f>
        <v>SAMN13747730</v>
      </c>
      <c r="F169" s="26" t="str">
        <f>HYPERLINK("https://trace.ncbi.nlm.nih.gov/Traces/sra/?run=SRR10870187", "SRR10870187")</f>
        <v>SRR10870187</v>
      </c>
      <c r="G169" t="s">
        <v>1634</v>
      </c>
      <c r="H169" t="s">
        <v>1946</v>
      </c>
    </row>
    <row r="170" spans="1:8" x14ac:dyDescent="0.2">
      <c r="A170" t="s">
        <v>615</v>
      </c>
      <c r="B170" t="s">
        <v>274</v>
      </c>
      <c r="C170" t="s">
        <v>1138</v>
      </c>
      <c r="D170" s="26" t="str">
        <f t="shared" si="2"/>
        <v>PRJNA599388</v>
      </c>
      <c r="E170" s="26" t="str">
        <f>HYPERLINK("https://www.ncbi.nlm.nih.gov/biosample/13747729", "SAMN13747729")</f>
        <v>SAMN13747729</v>
      </c>
      <c r="F170" s="26" t="str">
        <f>HYPERLINK("https://trace.ncbi.nlm.nih.gov/Traces/sra/?run=SRR10870188", "SRR10870188")</f>
        <v>SRR10870188</v>
      </c>
      <c r="G170" t="s">
        <v>1725</v>
      </c>
      <c r="H170" t="s">
        <v>1947</v>
      </c>
    </row>
    <row r="171" spans="1:8" x14ac:dyDescent="0.2">
      <c r="A171" t="s">
        <v>736</v>
      </c>
      <c r="B171" t="s">
        <v>145</v>
      </c>
      <c r="C171" t="s">
        <v>1138</v>
      </c>
      <c r="D171" s="26" t="str">
        <f t="shared" si="2"/>
        <v>PRJNA599388</v>
      </c>
      <c r="E171" s="26" t="str">
        <f>HYPERLINK("https://www.ncbi.nlm.nih.gov/biosample/13747576", "SAMN13747576")</f>
        <v>SAMN13747576</v>
      </c>
      <c r="F171" s="26" t="str">
        <f>HYPERLINK("https://trace.ncbi.nlm.nih.gov/Traces/sra/?run=SRR10870189", "SRR10870189")</f>
        <v>SRR10870189</v>
      </c>
      <c r="G171" t="s">
        <v>1640</v>
      </c>
      <c r="H171" t="s">
        <v>1948</v>
      </c>
    </row>
    <row r="172" spans="1:8" x14ac:dyDescent="0.2">
      <c r="A172" t="s">
        <v>617</v>
      </c>
      <c r="B172" t="s">
        <v>273</v>
      </c>
      <c r="C172" t="s">
        <v>1138</v>
      </c>
      <c r="D172" s="26" t="str">
        <f t="shared" si="2"/>
        <v>PRJNA599388</v>
      </c>
      <c r="E172" s="26" t="str">
        <f>HYPERLINK("https://www.ncbi.nlm.nih.gov/biosample/13747728", "SAMN13747728")</f>
        <v>SAMN13747728</v>
      </c>
      <c r="F172" s="26" t="str">
        <f>HYPERLINK("https://trace.ncbi.nlm.nih.gov/Traces/sra/?run=SRR10870190", "SRR10870190")</f>
        <v>SRR10870190</v>
      </c>
      <c r="G172" t="s">
        <v>1728</v>
      </c>
      <c r="H172" t="s">
        <v>1949</v>
      </c>
    </row>
    <row r="173" spans="1:8" x14ac:dyDescent="0.2">
      <c r="A173" t="s">
        <v>618</v>
      </c>
      <c r="B173" t="s">
        <v>272</v>
      </c>
      <c r="C173" t="s">
        <v>1138</v>
      </c>
      <c r="D173" s="26" t="str">
        <f t="shared" si="2"/>
        <v>PRJNA599388</v>
      </c>
      <c r="E173" s="26" t="str">
        <f>HYPERLINK("https://www.ncbi.nlm.nih.gov/biosample/13747727", "SAMN13747727")</f>
        <v>SAMN13747727</v>
      </c>
      <c r="F173" s="26" t="str">
        <f>HYPERLINK("https://trace.ncbi.nlm.nih.gov/Traces/sra/?run=SRR10870191", "SRR10870191")</f>
        <v>SRR10870191</v>
      </c>
      <c r="G173" t="s">
        <v>1772</v>
      </c>
      <c r="H173" t="s">
        <v>1950</v>
      </c>
    </row>
    <row r="174" spans="1:8" x14ac:dyDescent="0.2">
      <c r="A174" t="s">
        <v>620</v>
      </c>
      <c r="B174" t="s">
        <v>271</v>
      </c>
      <c r="C174" t="s">
        <v>1138</v>
      </c>
      <c r="D174" s="26" t="str">
        <f t="shared" si="2"/>
        <v>PRJNA599388</v>
      </c>
      <c r="E174" s="26" t="str">
        <f>HYPERLINK("https://www.ncbi.nlm.nih.gov/biosample/13747726", "SAMN13747726")</f>
        <v>SAMN13747726</v>
      </c>
      <c r="F174" s="26" t="str">
        <f>HYPERLINK("https://trace.ncbi.nlm.nih.gov/Traces/sra/?run=SRR10870192", "SRR10870192")</f>
        <v>SRR10870192</v>
      </c>
      <c r="G174" t="s">
        <v>1575</v>
      </c>
      <c r="H174" t="s">
        <v>1951</v>
      </c>
    </row>
    <row r="175" spans="1:8" x14ac:dyDescent="0.2">
      <c r="A175" t="s">
        <v>621</v>
      </c>
      <c r="B175" t="s">
        <v>270</v>
      </c>
      <c r="C175" t="s">
        <v>1138</v>
      </c>
      <c r="D175" s="26" t="str">
        <f t="shared" si="2"/>
        <v>PRJNA599388</v>
      </c>
      <c r="E175" s="26" t="str">
        <f>HYPERLINK("https://www.ncbi.nlm.nih.gov/biosample/13747725", "SAMN13747725")</f>
        <v>SAMN13747725</v>
      </c>
      <c r="F175" s="26" t="str">
        <f>HYPERLINK("https://trace.ncbi.nlm.nih.gov/Traces/sra/?run=SRR10870193", "SRR10870193")</f>
        <v>SRR10870193</v>
      </c>
      <c r="G175" t="s">
        <v>1654</v>
      </c>
      <c r="H175" t="s">
        <v>1952</v>
      </c>
    </row>
    <row r="176" spans="1:8" x14ac:dyDescent="0.2">
      <c r="A176" t="s">
        <v>622</v>
      </c>
      <c r="B176" t="s">
        <v>269</v>
      </c>
      <c r="C176" t="s">
        <v>1138</v>
      </c>
      <c r="D176" s="26" t="str">
        <f t="shared" si="2"/>
        <v>PRJNA599388</v>
      </c>
      <c r="E176" s="26" t="str">
        <f>HYPERLINK("https://www.ncbi.nlm.nih.gov/biosample/13747724", "SAMN13747724")</f>
        <v>SAMN13747724</v>
      </c>
      <c r="F176" s="26" t="str">
        <f>HYPERLINK("https://trace.ncbi.nlm.nih.gov/Traces/sra/?run=SRR10870194", "SRR10870194")</f>
        <v>SRR10870194</v>
      </c>
      <c r="G176" t="s">
        <v>1636</v>
      </c>
      <c r="H176" t="s">
        <v>1953</v>
      </c>
    </row>
    <row r="177" spans="1:8" x14ac:dyDescent="0.2">
      <c r="A177" t="s">
        <v>623</v>
      </c>
      <c r="B177" t="s">
        <v>268</v>
      </c>
      <c r="C177" t="s">
        <v>1138</v>
      </c>
      <c r="D177" s="26" t="str">
        <f t="shared" si="2"/>
        <v>PRJNA599388</v>
      </c>
      <c r="E177" s="26" t="str">
        <f>HYPERLINK("https://www.ncbi.nlm.nih.gov/biosample/13747723", "SAMN13747723")</f>
        <v>SAMN13747723</v>
      </c>
      <c r="F177" s="26" t="str">
        <f>HYPERLINK("https://trace.ncbi.nlm.nih.gov/Traces/sra/?run=SRR10870195", "SRR10870195")</f>
        <v>SRR10870195</v>
      </c>
      <c r="G177" t="s">
        <v>1619</v>
      </c>
      <c r="H177" t="s">
        <v>1954</v>
      </c>
    </row>
    <row r="178" spans="1:8" x14ac:dyDescent="0.2">
      <c r="A178" t="s">
        <v>634</v>
      </c>
      <c r="B178" t="s">
        <v>267</v>
      </c>
      <c r="C178" t="s">
        <v>1138</v>
      </c>
      <c r="D178" s="26" t="str">
        <f t="shared" si="2"/>
        <v>PRJNA599388</v>
      </c>
      <c r="E178" s="26" t="str">
        <f>HYPERLINK("https://www.ncbi.nlm.nih.gov/biosample/13747722", "SAMN13747722")</f>
        <v>SAMN13747722</v>
      </c>
      <c r="F178" s="26" t="str">
        <f>HYPERLINK("https://trace.ncbi.nlm.nih.gov/Traces/sra/?run=SRR10870196", "SRR10870196")</f>
        <v>SRR10870196</v>
      </c>
      <c r="G178" t="s">
        <v>1569</v>
      </c>
      <c r="H178" t="s">
        <v>1955</v>
      </c>
    </row>
    <row r="179" spans="1:8" x14ac:dyDescent="0.2">
      <c r="A179" t="s">
        <v>636</v>
      </c>
      <c r="B179" t="s">
        <v>266</v>
      </c>
      <c r="C179" t="s">
        <v>1138</v>
      </c>
      <c r="D179" s="26" t="str">
        <f t="shared" si="2"/>
        <v>PRJNA599388</v>
      </c>
      <c r="E179" s="26" t="str">
        <f>HYPERLINK("https://www.ncbi.nlm.nih.gov/biosample/13747721", "SAMN13747721")</f>
        <v>SAMN13747721</v>
      </c>
      <c r="F179" s="26" t="str">
        <f>HYPERLINK("https://trace.ncbi.nlm.nih.gov/Traces/sra/?run=SRR10870197", "SRR10870197")</f>
        <v>SRR10870197</v>
      </c>
      <c r="G179" t="s">
        <v>1587</v>
      </c>
      <c r="H179" t="s">
        <v>1956</v>
      </c>
    </row>
    <row r="180" spans="1:8" x14ac:dyDescent="0.2">
      <c r="A180" t="s">
        <v>639</v>
      </c>
      <c r="B180" t="s">
        <v>265</v>
      </c>
      <c r="C180" t="s">
        <v>1138</v>
      </c>
      <c r="D180" s="26" t="str">
        <f t="shared" si="2"/>
        <v>PRJNA599388</v>
      </c>
      <c r="E180" s="26" t="str">
        <f>HYPERLINK("https://www.ncbi.nlm.nih.gov/biosample/13747720", "SAMN13747720")</f>
        <v>SAMN13747720</v>
      </c>
      <c r="F180" s="26" t="str">
        <f>HYPERLINK("https://trace.ncbi.nlm.nih.gov/Traces/sra/?run=SRR10870198", "SRR10870198")</f>
        <v>SRR10870198</v>
      </c>
      <c r="G180" t="s">
        <v>1747</v>
      </c>
      <c r="H180" t="s">
        <v>1957</v>
      </c>
    </row>
    <row r="181" spans="1:8" x14ac:dyDescent="0.2">
      <c r="A181" t="s">
        <v>641</v>
      </c>
      <c r="B181" t="s">
        <v>264</v>
      </c>
      <c r="C181" t="s">
        <v>1138</v>
      </c>
      <c r="D181" s="26" t="str">
        <f t="shared" si="2"/>
        <v>PRJNA599388</v>
      </c>
      <c r="E181" s="26" t="str">
        <f>HYPERLINK("https://www.ncbi.nlm.nih.gov/biosample/13747719", "SAMN13747719")</f>
        <v>SAMN13747719</v>
      </c>
      <c r="F181" s="26" t="str">
        <f>HYPERLINK("https://trace.ncbi.nlm.nih.gov/Traces/sra/?run=SRR10870199", "SRR10870199")</f>
        <v>SRR10870199</v>
      </c>
      <c r="G181" t="s">
        <v>1775</v>
      </c>
      <c r="H181" t="s">
        <v>1958</v>
      </c>
    </row>
    <row r="182" spans="1:8" x14ac:dyDescent="0.2">
      <c r="A182" t="s">
        <v>744</v>
      </c>
      <c r="B182" t="s">
        <v>144</v>
      </c>
      <c r="C182" t="s">
        <v>1138</v>
      </c>
      <c r="D182" s="26" t="str">
        <f t="shared" si="2"/>
        <v>PRJNA599388</v>
      </c>
      <c r="E182" s="26" t="str">
        <f>HYPERLINK("https://www.ncbi.nlm.nih.gov/biosample/13747575", "SAMN13747575")</f>
        <v>SAMN13747575</v>
      </c>
      <c r="F182" s="26" t="str">
        <f>HYPERLINK("https://trace.ncbi.nlm.nih.gov/Traces/sra/?run=SRR10870200", "SRR10870200")</f>
        <v>SRR10870200</v>
      </c>
      <c r="G182" t="s">
        <v>1580</v>
      </c>
      <c r="H182" t="s">
        <v>1959</v>
      </c>
    </row>
    <row r="183" spans="1:8" x14ac:dyDescent="0.2">
      <c r="A183" t="s">
        <v>652</v>
      </c>
      <c r="B183" t="s">
        <v>263</v>
      </c>
      <c r="C183" t="s">
        <v>1138</v>
      </c>
      <c r="D183" s="26" t="str">
        <f t="shared" si="2"/>
        <v>PRJNA599388</v>
      </c>
      <c r="E183" s="26" t="str">
        <f>HYPERLINK("https://www.ncbi.nlm.nih.gov/biosample/13747718", "SAMN13747718")</f>
        <v>SAMN13747718</v>
      </c>
      <c r="F183" s="26" t="str">
        <f>HYPERLINK("https://trace.ncbi.nlm.nih.gov/Traces/sra/?run=SRR10870201", "SRR10870201")</f>
        <v>SRR10870201</v>
      </c>
      <c r="G183" t="s">
        <v>1671</v>
      </c>
      <c r="H183" t="s">
        <v>1960</v>
      </c>
    </row>
    <row r="184" spans="1:8" x14ac:dyDescent="0.2">
      <c r="A184" t="s">
        <v>653</v>
      </c>
      <c r="B184" t="s">
        <v>262</v>
      </c>
      <c r="C184" t="s">
        <v>1138</v>
      </c>
      <c r="D184" s="26" t="str">
        <f t="shared" si="2"/>
        <v>PRJNA599388</v>
      </c>
      <c r="E184" s="26" t="str">
        <f>HYPERLINK("https://www.ncbi.nlm.nih.gov/biosample/13747717", "SAMN13747717")</f>
        <v>SAMN13747717</v>
      </c>
      <c r="F184" s="26" t="str">
        <f>HYPERLINK("https://trace.ncbi.nlm.nih.gov/Traces/sra/?run=SRR10870202", "SRR10870202")</f>
        <v>SRR10870202</v>
      </c>
      <c r="G184" t="s">
        <v>1652</v>
      </c>
      <c r="H184" t="s">
        <v>1961</v>
      </c>
    </row>
    <row r="185" spans="1:8" x14ac:dyDescent="0.2">
      <c r="A185" t="s">
        <v>654</v>
      </c>
      <c r="B185" t="s">
        <v>261</v>
      </c>
      <c r="C185" t="s">
        <v>1138</v>
      </c>
      <c r="D185" s="26" t="str">
        <f t="shared" si="2"/>
        <v>PRJNA599388</v>
      </c>
      <c r="E185" s="26" t="str">
        <f>HYPERLINK("https://www.ncbi.nlm.nih.gov/biosample/13747716", "SAMN13747716")</f>
        <v>SAMN13747716</v>
      </c>
      <c r="F185" s="26" t="str">
        <f>HYPERLINK("https://trace.ncbi.nlm.nih.gov/Traces/sra/?run=SRR10870203", "SRR10870203")</f>
        <v>SRR10870203</v>
      </c>
      <c r="G185" t="s">
        <v>1609</v>
      </c>
      <c r="H185" t="s">
        <v>1962</v>
      </c>
    </row>
    <row r="186" spans="1:8" x14ac:dyDescent="0.2">
      <c r="A186" t="s">
        <v>656</v>
      </c>
      <c r="B186" t="s">
        <v>260</v>
      </c>
      <c r="C186" t="s">
        <v>1138</v>
      </c>
      <c r="D186" s="26" t="str">
        <f t="shared" si="2"/>
        <v>PRJNA599388</v>
      </c>
      <c r="E186" s="26" t="str">
        <f>HYPERLINK("https://www.ncbi.nlm.nih.gov/biosample/13747715", "SAMN13747715")</f>
        <v>SAMN13747715</v>
      </c>
      <c r="F186" s="26" t="str">
        <f>HYPERLINK("https://trace.ncbi.nlm.nih.gov/Traces/sra/?run=SRR10870204", "SRR10870204")</f>
        <v>SRR10870204</v>
      </c>
      <c r="G186" t="s">
        <v>1567</v>
      </c>
      <c r="H186" t="s">
        <v>1963</v>
      </c>
    </row>
    <row r="187" spans="1:8" x14ac:dyDescent="0.2">
      <c r="A187" t="s">
        <v>755</v>
      </c>
      <c r="B187" t="s">
        <v>230</v>
      </c>
      <c r="C187" t="s">
        <v>1138</v>
      </c>
      <c r="D187" s="26" t="str">
        <f t="shared" si="2"/>
        <v>PRJNA599388</v>
      </c>
      <c r="E187" s="26" t="str">
        <f>HYPERLINK("https://www.ncbi.nlm.nih.gov/biosample/13747685", "SAMN13747685")</f>
        <v>SAMN13747685</v>
      </c>
      <c r="F187" s="26" t="str">
        <f>HYPERLINK("https://trace.ncbi.nlm.nih.gov/Traces/sra/?run=SRR10870205", "SRR10870205")</f>
        <v>SRR10870205</v>
      </c>
      <c r="G187" t="s">
        <v>1626</v>
      </c>
      <c r="H187" t="s">
        <v>1964</v>
      </c>
    </row>
    <row r="188" spans="1:8" x14ac:dyDescent="0.2">
      <c r="A188" t="s">
        <v>759</v>
      </c>
      <c r="B188" t="s">
        <v>229</v>
      </c>
      <c r="C188" t="s">
        <v>1138</v>
      </c>
      <c r="D188" s="26" t="str">
        <f t="shared" si="2"/>
        <v>PRJNA599388</v>
      </c>
      <c r="E188" s="26" t="str">
        <f>HYPERLINK("https://www.ncbi.nlm.nih.gov/biosample/13747684", "SAMN13747684")</f>
        <v>SAMN13747684</v>
      </c>
      <c r="F188" s="26" t="str">
        <f>HYPERLINK("https://trace.ncbi.nlm.nih.gov/Traces/sra/?run=SRR10870206", "SRR10870206")</f>
        <v>SRR10870206</v>
      </c>
      <c r="G188" t="s">
        <v>1620</v>
      </c>
      <c r="H188" t="s">
        <v>1965</v>
      </c>
    </row>
    <row r="189" spans="1:8" x14ac:dyDescent="0.2">
      <c r="A189" t="s">
        <v>760</v>
      </c>
      <c r="B189" t="s">
        <v>228</v>
      </c>
      <c r="C189" t="s">
        <v>1138</v>
      </c>
      <c r="D189" s="26" t="str">
        <f t="shared" si="2"/>
        <v>PRJNA599388</v>
      </c>
      <c r="E189" s="26" t="str">
        <f>HYPERLINK("https://www.ncbi.nlm.nih.gov/biosample/13747683", "SAMN13747683")</f>
        <v>SAMN13747683</v>
      </c>
      <c r="F189" s="26" t="str">
        <f>HYPERLINK("https://trace.ncbi.nlm.nih.gov/Traces/sra/?run=SRR10870207", "SRR10870207")</f>
        <v>SRR10870207</v>
      </c>
      <c r="G189" t="s">
        <v>1690</v>
      </c>
      <c r="H189" t="s">
        <v>1966</v>
      </c>
    </row>
    <row r="190" spans="1:8" x14ac:dyDescent="0.2">
      <c r="A190" t="s">
        <v>774</v>
      </c>
      <c r="B190" t="s">
        <v>227</v>
      </c>
      <c r="C190" t="s">
        <v>1138</v>
      </c>
      <c r="D190" s="26" t="str">
        <f t="shared" si="2"/>
        <v>PRJNA599388</v>
      </c>
      <c r="E190" s="26" t="str">
        <f>HYPERLINK("https://www.ncbi.nlm.nih.gov/biosample/13747682", "SAMN13747682")</f>
        <v>SAMN13747682</v>
      </c>
      <c r="F190" s="26" t="str">
        <f>HYPERLINK("https://trace.ncbi.nlm.nih.gov/Traces/sra/?run=SRR10870208", "SRR10870208")</f>
        <v>SRR10870208</v>
      </c>
      <c r="G190" t="s">
        <v>1760</v>
      </c>
      <c r="H190" t="s">
        <v>1967</v>
      </c>
    </row>
    <row r="191" spans="1:8" x14ac:dyDescent="0.2">
      <c r="A191" t="s">
        <v>775</v>
      </c>
      <c r="B191" t="s">
        <v>226</v>
      </c>
      <c r="C191" t="s">
        <v>1138</v>
      </c>
      <c r="D191" s="26" t="str">
        <f t="shared" si="2"/>
        <v>PRJNA599388</v>
      </c>
      <c r="E191" s="26" t="str">
        <f>HYPERLINK("https://www.ncbi.nlm.nih.gov/biosample/13747681", "SAMN13747681")</f>
        <v>SAMN13747681</v>
      </c>
      <c r="F191" s="26" t="str">
        <f>HYPERLINK("https://trace.ncbi.nlm.nih.gov/Traces/sra/?run=SRR10870209", "SRR10870209")</f>
        <v>SRR10870209</v>
      </c>
      <c r="G191" t="s">
        <v>1742</v>
      </c>
      <c r="H191" t="s">
        <v>1968</v>
      </c>
    </row>
    <row r="192" spans="1:8" x14ac:dyDescent="0.2">
      <c r="A192" t="s">
        <v>777</v>
      </c>
      <c r="B192" t="s">
        <v>225</v>
      </c>
      <c r="C192" t="s">
        <v>1138</v>
      </c>
      <c r="D192" s="26" t="str">
        <f t="shared" si="2"/>
        <v>PRJNA599388</v>
      </c>
      <c r="E192" s="26" t="str">
        <f>HYPERLINK("https://www.ncbi.nlm.nih.gov/biosample/13747680", "SAMN13747680")</f>
        <v>SAMN13747680</v>
      </c>
      <c r="F192" s="26" t="str">
        <f>HYPERLINK("https://trace.ncbi.nlm.nih.gov/Traces/sra/?run=SRR10870210", "SRR10870210")</f>
        <v>SRR10870210</v>
      </c>
      <c r="G192" t="s">
        <v>1668</v>
      </c>
      <c r="H192" t="s">
        <v>1969</v>
      </c>
    </row>
    <row r="193" spans="1:8" x14ac:dyDescent="0.2">
      <c r="A193" t="s">
        <v>778</v>
      </c>
      <c r="B193" t="s">
        <v>224</v>
      </c>
      <c r="C193" t="s">
        <v>1138</v>
      </c>
      <c r="D193" s="26" t="str">
        <f t="shared" si="2"/>
        <v>PRJNA599388</v>
      </c>
      <c r="E193" s="26" t="str">
        <f>HYPERLINK("https://www.ncbi.nlm.nih.gov/biosample/13747679", "SAMN13747679")</f>
        <v>SAMN13747679</v>
      </c>
      <c r="F193" s="26" t="str">
        <f>HYPERLINK("https://trace.ncbi.nlm.nih.gov/Traces/sra/?run=SRR10870211", "SRR10870211")</f>
        <v>SRR10870211</v>
      </c>
      <c r="G193" t="s">
        <v>1719</v>
      </c>
      <c r="H193" t="s">
        <v>1970</v>
      </c>
    </row>
    <row r="194" spans="1:8" x14ac:dyDescent="0.2">
      <c r="A194" t="s">
        <v>775</v>
      </c>
      <c r="B194" t="s">
        <v>140</v>
      </c>
      <c r="C194" t="s">
        <v>1138</v>
      </c>
      <c r="D194" s="26" t="str">
        <f t="shared" ref="D194:D218" si="3">HYPERLINK("https://www.ncbi.nlm.nih.gov/bioproject/PRJNA599388", "PRJNA599388")</f>
        <v>PRJNA599388</v>
      </c>
      <c r="E194" s="26" t="str">
        <f>HYPERLINK("https://www.ncbi.nlm.nih.gov/biosample/13747571", "SAMN13747571")</f>
        <v>SAMN13747571</v>
      </c>
      <c r="F194" s="26" t="str">
        <f>HYPERLINK("https://trace.ncbi.nlm.nih.gov/Traces/sra/?run=SRR10870212", "SRR10870212")</f>
        <v>SRR10870212</v>
      </c>
      <c r="G194" t="s">
        <v>1600</v>
      </c>
      <c r="H194" t="s">
        <v>1971</v>
      </c>
    </row>
    <row r="195" spans="1:8" x14ac:dyDescent="0.2">
      <c r="A195" t="s">
        <v>780</v>
      </c>
      <c r="B195" t="s">
        <v>223</v>
      </c>
      <c r="C195" t="s">
        <v>1138</v>
      </c>
      <c r="D195" s="26" t="str">
        <f t="shared" si="3"/>
        <v>PRJNA599388</v>
      </c>
      <c r="E195" s="26" t="str">
        <f>HYPERLINK("https://www.ncbi.nlm.nih.gov/biosample/13747678", "SAMN13747678")</f>
        <v>SAMN13747678</v>
      </c>
      <c r="F195" s="26" t="str">
        <f>HYPERLINK("https://trace.ncbi.nlm.nih.gov/Traces/sra/?run=SRR10870213", "SRR10870213")</f>
        <v>SRR10870213</v>
      </c>
      <c r="G195" t="s">
        <v>1731</v>
      </c>
      <c r="H195" t="s">
        <v>1972</v>
      </c>
    </row>
    <row r="196" spans="1:8" x14ac:dyDescent="0.2">
      <c r="A196" t="s">
        <v>781</v>
      </c>
      <c r="B196" t="s">
        <v>222</v>
      </c>
      <c r="C196" t="s">
        <v>1138</v>
      </c>
      <c r="D196" s="26" t="str">
        <f t="shared" si="3"/>
        <v>PRJNA599388</v>
      </c>
      <c r="E196" s="26" t="str">
        <f>HYPERLINK("https://www.ncbi.nlm.nih.gov/biosample/13747677", "SAMN13747677")</f>
        <v>SAMN13747677</v>
      </c>
      <c r="F196" s="26" t="str">
        <f>HYPERLINK("https://trace.ncbi.nlm.nih.gov/Traces/sra/?run=SRR10870214", "SRR10870214")</f>
        <v>SRR10870214</v>
      </c>
      <c r="G196" t="s">
        <v>1766</v>
      </c>
      <c r="H196" t="s">
        <v>1973</v>
      </c>
    </row>
    <row r="197" spans="1:8" x14ac:dyDescent="0.2">
      <c r="A197" t="s">
        <v>782</v>
      </c>
      <c r="B197" t="s">
        <v>221</v>
      </c>
      <c r="C197" t="s">
        <v>1138</v>
      </c>
      <c r="D197" s="26" t="str">
        <f t="shared" si="3"/>
        <v>PRJNA599388</v>
      </c>
      <c r="E197" s="26" t="str">
        <f>HYPERLINK("https://www.ncbi.nlm.nih.gov/biosample/13747676", "SAMN13747676")</f>
        <v>SAMN13747676</v>
      </c>
      <c r="F197" s="26" t="str">
        <f>HYPERLINK("https://trace.ncbi.nlm.nih.gov/Traces/sra/?run=SRR10870215", "SRR10870215")</f>
        <v>SRR10870215</v>
      </c>
      <c r="G197" t="s">
        <v>1724</v>
      </c>
      <c r="H197" t="s">
        <v>1974</v>
      </c>
    </row>
    <row r="198" spans="1:8" x14ac:dyDescent="0.2">
      <c r="A198" t="s">
        <v>783</v>
      </c>
      <c r="B198" t="s">
        <v>220</v>
      </c>
      <c r="C198" t="s">
        <v>1138</v>
      </c>
      <c r="D198" s="26" t="str">
        <f t="shared" si="3"/>
        <v>PRJNA599388</v>
      </c>
      <c r="E198" s="26" t="str">
        <f>HYPERLINK("https://www.ncbi.nlm.nih.gov/biosample/13747675", "SAMN13747675")</f>
        <v>SAMN13747675</v>
      </c>
      <c r="F198" s="26" t="str">
        <f>HYPERLINK("https://trace.ncbi.nlm.nih.gov/Traces/sra/?run=SRR10870216", "SRR10870216")</f>
        <v>SRR10870216</v>
      </c>
      <c r="G198" t="s">
        <v>1678</v>
      </c>
      <c r="H198" t="s">
        <v>1975</v>
      </c>
    </row>
    <row r="199" spans="1:8" x14ac:dyDescent="0.2">
      <c r="A199" t="s">
        <v>794</v>
      </c>
      <c r="B199" t="s">
        <v>219</v>
      </c>
      <c r="C199" t="s">
        <v>1138</v>
      </c>
      <c r="D199" s="26" t="str">
        <f t="shared" si="3"/>
        <v>PRJNA599388</v>
      </c>
      <c r="E199" s="26" t="str">
        <f>HYPERLINK("https://www.ncbi.nlm.nih.gov/biosample/13747674", "SAMN13747674")</f>
        <v>SAMN13747674</v>
      </c>
      <c r="F199" s="26" t="str">
        <f>HYPERLINK("https://trace.ncbi.nlm.nih.gov/Traces/sra/?run=SRR10870217", "SRR10870217")</f>
        <v>SRR10870217</v>
      </c>
      <c r="G199" t="s">
        <v>1703</v>
      </c>
      <c r="H199" t="s">
        <v>1976</v>
      </c>
    </row>
    <row r="200" spans="1:8" x14ac:dyDescent="0.2">
      <c r="A200" t="s">
        <v>796</v>
      </c>
      <c r="B200" t="s">
        <v>218</v>
      </c>
      <c r="C200" t="s">
        <v>1138</v>
      </c>
      <c r="D200" s="26" t="str">
        <f t="shared" si="3"/>
        <v>PRJNA599388</v>
      </c>
      <c r="E200" s="26" t="str">
        <f>HYPERLINK("https://www.ncbi.nlm.nih.gov/biosample/13747673", "SAMN13747673")</f>
        <v>SAMN13747673</v>
      </c>
      <c r="F200" s="26" t="str">
        <f>HYPERLINK("https://trace.ncbi.nlm.nih.gov/Traces/sra/?run=SRR10870218", "SRR10870218")</f>
        <v>SRR10870218</v>
      </c>
      <c r="G200" t="s">
        <v>1564</v>
      </c>
      <c r="H200" t="s">
        <v>1977</v>
      </c>
    </row>
    <row r="201" spans="1:8" x14ac:dyDescent="0.2">
      <c r="A201" t="s">
        <v>799</v>
      </c>
      <c r="B201" t="s">
        <v>217</v>
      </c>
      <c r="C201" t="s">
        <v>1138</v>
      </c>
      <c r="D201" s="26" t="str">
        <f t="shared" si="3"/>
        <v>PRJNA599388</v>
      </c>
      <c r="E201" s="26" t="str">
        <f>HYPERLINK("https://www.ncbi.nlm.nih.gov/biosample/13747672", "SAMN13747672")</f>
        <v>SAMN13747672</v>
      </c>
      <c r="F201" s="26" t="str">
        <f>HYPERLINK("https://trace.ncbi.nlm.nih.gov/Traces/sra/?run=SRR10870219", "SRR10870219")</f>
        <v>SRR10870219</v>
      </c>
      <c r="G201" t="s">
        <v>1617</v>
      </c>
      <c r="H201" t="s">
        <v>1978</v>
      </c>
    </row>
    <row r="202" spans="1:8" x14ac:dyDescent="0.2">
      <c r="A202" t="s">
        <v>801</v>
      </c>
      <c r="B202" t="s">
        <v>216</v>
      </c>
      <c r="C202" t="s">
        <v>1138</v>
      </c>
      <c r="D202" s="26" t="str">
        <f t="shared" si="3"/>
        <v>PRJNA599388</v>
      </c>
      <c r="E202" s="26" t="str">
        <f>HYPERLINK("https://www.ncbi.nlm.nih.gov/biosample/13747671", "SAMN13747671")</f>
        <v>SAMN13747671</v>
      </c>
      <c r="F202" s="26" t="str">
        <f>HYPERLINK("https://trace.ncbi.nlm.nih.gov/Traces/sra/?run=SRR10870220", "SRR10870220")</f>
        <v>SRR10870220</v>
      </c>
      <c r="G202" t="s">
        <v>1590</v>
      </c>
      <c r="H202" t="s">
        <v>1979</v>
      </c>
    </row>
    <row r="203" spans="1:8" x14ac:dyDescent="0.2">
      <c r="A203" t="s">
        <v>812</v>
      </c>
      <c r="B203" t="s">
        <v>215</v>
      </c>
      <c r="C203" t="s">
        <v>1138</v>
      </c>
      <c r="D203" s="26" t="str">
        <f t="shared" si="3"/>
        <v>PRJNA599388</v>
      </c>
      <c r="E203" s="26" t="str">
        <f>HYPERLINK("https://www.ncbi.nlm.nih.gov/biosample/13747670", "SAMN13747670")</f>
        <v>SAMN13747670</v>
      </c>
      <c r="F203" s="26" t="str">
        <f>HYPERLINK("https://trace.ncbi.nlm.nih.gov/Traces/sra/?run=SRR10870221", "SRR10870221")</f>
        <v>SRR10870221</v>
      </c>
      <c r="G203" t="s">
        <v>1734</v>
      </c>
      <c r="H203" t="s">
        <v>1980</v>
      </c>
    </row>
    <row r="204" spans="1:8" x14ac:dyDescent="0.2">
      <c r="A204" t="s">
        <v>813</v>
      </c>
      <c r="B204" t="s">
        <v>214</v>
      </c>
      <c r="C204" t="s">
        <v>1138</v>
      </c>
      <c r="D204" s="26" t="str">
        <f t="shared" si="3"/>
        <v>PRJNA599388</v>
      </c>
      <c r="E204" s="26" t="str">
        <f>HYPERLINK("https://www.ncbi.nlm.nih.gov/biosample/13747669", "SAMN13747669")</f>
        <v>SAMN13747669</v>
      </c>
      <c r="F204" s="26" t="str">
        <f>HYPERLINK("https://trace.ncbi.nlm.nih.gov/Traces/sra/?run=SRR10870222", "SRR10870222")</f>
        <v>SRR10870222</v>
      </c>
      <c r="G204" t="s">
        <v>1682</v>
      </c>
      <c r="H204" t="s">
        <v>1981</v>
      </c>
    </row>
    <row r="205" spans="1:8" x14ac:dyDescent="0.2">
      <c r="A205" t="s">
        <v>777</v>
      </c>
      <c r="B205" t="s">
        <v>139</v>
      </c>
      <c r="C205" t="s">
        <v>1138</v>
      </c>
      <c r="D205" s="26" t="str">
        <f t="shared" si="3"/>
        <v>PRJNA599388</v>
      </c>
      <c r="E205" s="26" t="str">
        <f>HYPERLINK("https://www.ncbi.nlm.nih.gov/biosample/13747570", "SAMN13747570")</f>
        <v>SAMN13747570</v>
      </c>
      <c r="F205" s="26" t="str">
        <f>HYPERLINK("https://trace.ncbi.nlm.nih.gov/Traces/sra/?run=SRR10870223", "SRR10870223")</f>
        <v>SRR10870223</v>
      </c>
      <c r="G205" t="s">
        <v>1715</v>
      </c>
      <c r="H205" t="s">
        <v>1982</v>
      </c>
    </row>
    <row r="206" spans="1:8" x14ac:dyDescent="0.2">
      <c r="A206" t="s">
        <v>814</v>
      </c>
      <c r="B206" t="s">
        <v>213</v>
      </c>
      <c r="C206" t="s">
        <v>1138</v>
      </c>
      <c r="D206" s="26" t="str">
        <f t="shared" si="3"/>
        <v>PRJNA599388</v>
      </c>
      <c r="E206" s="26" t="str">
        <f>HYPERLINK("https://www.ncbi.nlm.nih.gov/biosample/13747668", "SAMN13747668")</f>
        <v>SAMN13747668</v>
      </c>
      <c r="F206" s="26" t="str">
        <f>HYPERLINK("https://trace.ncbi.nlm.nih.gov/Traces/sra/?run=SRR10870224", "SRR10870224")</f>
        <v>SRR10870224</v>
      </c>
      <c r="G206" t="s">
        <v>1733</v>
      </c>
      <c r="H206" t="s">
        <v>1983</v>
      </c>
    </row>
    <row r="207" spans="1:8" x14ac:dyDescent="0.2">
      <c r="A207" t="s">
        <v>816</v>
      </c>
      <c r="B207" t="s">
        <v>212</v>
      </c>
      <c r="C207" t="s">
        <v>1138</v>
      </c>
      <c r="D207" s="26" t="str">
        <f t="shared" si="3"/>
        <v>PRJNA599388</v>
      </c>
      <c r="E207" s="26" t="str">
        <f>HYPERLINK("https://www.ncbi.nlm.nih.gov/biosample/13747667", "SAMN13747667")</f>
        <v>SAMN13747667</v>
      </c>
      <c r="F207" s="26" t="str">
        <f>HYPERLINK("https://trace.ncbi.nlm.nih.gov/Traces/sra/?run=SRR10870225", "SRR10870225")</f>
        <v>SRR10870225</v>
      </c>
      <c r="G207" t="s">
        <v>1643</v>
      </c>
      <c r="H207" t="s">
        <v>1984</v>
      </c>
    </row>
    <row r="208" spans="1:8" x14ac:dyDescent="0.2">
      <c r="A208" t="s">
        <v>820</v>
      </c>
      <c r="B208" t="s">
        <v>211</v>
      </c>
      <c r="C208" t="s">
        <v>1138</v>
      </c>
      <c r="D208" s="26" t="str">
        <f t="shared" si="3"/>
        <v>PRJNA599388</v>
      </c>
      <c r="E208" s="26" t="str">
        <f>HYPERLINK("https://www.ncbi.nlm.nih.gov/biosample/13747666", "SAMN13747666")</f>
        <v>SAMN13747666</v>
      </c>
      <c r="F208" s="26" t="str">
        <f>HYPERLINK("https://trace.ncbi.nlm.nih.gov/Traces/sra/?run=SRR10870226", "SRR10870226")</f>
        <v>SRR10870226</v>
      </c>
      <c r="G208" t="s">
        <v>1713</v>
      </c>
      <c r="H208" t="s">
        <v>1985</v>
      </c>
    </row>
    <row r="209" spans="1:8" x14ac:dyDescent="0.2">
      <c r="A209" t="s">
        <v>821</v>
      </c>
      <c r="B209" t="s">
        <v>210</v>
      </c>
      <c r="C209" t="s">
        <v>1138</v>
      </c>
      <c r="D209" s="26" t="str">
        <f t="shared" si="3"/>
        <v>PRJNA599388</v>
      </c>
      <c r="E209" s="26" t="str">
        <f>HYPERLINK("https://www.ncbi.nlm.nih.gov/biosample/13747665", "SAMN13747665")</f>
        <v>SAMN13747665</v>
      </c>
      <c r="F209" s="26" t="str">
        <f>HYPERLINK("https://trace.ncbi.nlm.nih.gov/Traces/sra/?run=SRR10870227", "SRR10870227")</f>
        <v>SRR10870227</v>
      </c>
      <c r="G209" t="s">
        <v>1616</v>
      </c>
      <c r="H209" t="s">
        <v>1986</v>
      </c>
    </row>
    <row r="210" spans="1:8" x14ac:dyDescent="0.2">
      <c r="A210" t="s">
        <v>822</v>
      </c>
      <c r="B210" t="s">
        <v>209</v>
      </c>
      <c r="C210" t="s">
        <v>1138</v>
      </c>
      <c r="D210" s="26" t="str">
        <f t="shared" si="3"/>
        <v>PRJNA599388</v>
      </c>
      <c r="E210" s="26" t="str">
        <f>HYPERLINK("https://www.ncbi.nlm.nih.gov/biosample/13747664", "SAMN13747664")</f>
        <v>SAMN13747664</v>
      </c>
      <c r="F210" s="26" t="str">
        <f>HYPERLINK("https://trace.ncbi.nlm.nih.gov/Traces/sra/?run=SRR10870228", "SRR10870228")</f>
        <v>SRR10870228</v>
      </c>
      <c r="G210" t="s">
        <v>1730</v>
      </c>
      <c r="H210" t="s">
        <v>1987</v>
      </c>
    </row>
    <row r="211" spans="1:8" x14ac:dyDescent="0.2">
      <c r="A211" t="s">
        <v>824</v>
      </c>
      <c r="B211" t="s">
        <v>208</v>
      </c>
      <c r="C211" t="s">
        <v>1138</v>
      </c>
      <c r="D211" s="26" t="str">
        <f t="shared" si="3"/>
        <v>PRJNA599388</v>
      </c>
      <c r="E211" s="26" t="str">
        <f>HYPERLINK("https://www.ncbi.nlm.nih.gov/biosample/13747663", "SAMN13747663")</f>
        <v>SAMN13747663</v>
      </c>
      <c r="F211" s="26" t="str">
        <f>HYPERLINK("https://trace.ncbi.nlm.nih.gov/Traces/sra/?run=SRR10870229", "SRR10870229")</f>
        <v>SRR10870229</v>
      </c>
      <c r="G211" t="s">
        <v>1633</v>
      </c>
      <c r="H211" t="s">
        <v>1988</v>
      </c>
    </row>
    <row r="212" spans="1:8" x14ac:dyDescent="0.2">
      <c r="A212" t="s">
        <v>834</v>
      </c>
      <c r="B212" t="s">
        <v>207</v>
      </c>
      <c r="C212" t="s">
        <v>1138</v>
      </c>
      <c r="D212" s="26" t="str">
        <f t="shared" si="3"/>
        <v>PRJNA599388</v>
      </c>
      <c r="E212" s="26" t="str">
        <f>HYPERLINK("https://www.ncbi.nlm.nih.gov/biosample/13747662", "SAMN13747662")</f>
        <v>SAMN13747662</v>
      </c>
      <c r="F212" s="26" t="str">
        <f>HYPERLINK("https://trace.ncbi.nlm.nih.gov/Traces/sra/?run=SRR10870230", "SRR10870230")</f>
        <v>SRR10870230</v>
      </c>
      <c r="G212" t="s">
        <v>1630</v>
      </c>
      <c r="H212" t="s">
        <v>1989</v>
      </c>
    </row>
    <row r="213" spans="1:8" x14ac:dyDescent="0.2">
      <c r="A213" t="s">
        <v>835</v>
      </c>
      <c r="B213" t="s">
        <v>206</v>
      </c>
      <c r="C213" t="s">
        <v>1138</v>
      </c>
      <c r="D213" s="26" t="str">
        <f t="shared" si="3"/>
        <v>PRJNA599388</v>
      </c>
      <c r="E213" s="26" t="str">
        <f>HYPERLINK("https://www.ncbi.nlm.nih.gov/biosample/13747661", "SAMN13747661")</f>
        <v>SAMN13747661</v>
      </c>
      <c r="F213" s="26" t="str">
        <f>HYPERLINK("https://trace.ncbi.nlm.nih.gov/Traces/sra/?run=SRR10870231", "SRR10870231")</f>
        <v>SRR10870231</v>
      </c>
      <c r="G213" t="s">
        <v>1625</v>
      </c>
      <c r="H213" t="s">
        <v>1990</v>
      </c>
    </row>
    <row r="214" spans="1:8" x14ac:dyDescent="0.2">
      <c r="A214" t="s">
        <v>839</v>
      </c>
      <c r="B214" t="s">
        <v>205</v>
      </c>
      <c r="C214" t="s">
        <v>1138</v>
      </c>
      <c r="D214" s="26" t="str">
        <f t="shared" si="3"/>
        <v>PRJNA599388</v>
      </c>
      <c r="E214" s="26" t="str">
        <f>HYPERLINK("https://www.ncbi.nlm.nih.gov/biosample/13747660", "SAMN13747660")</f>
        <v>SAMN13747660</v>
      </c>
      <c r="F214" s="26" t="str">
        <f>HYPERLINK("https://trace.ncbi.nlm.nih.gov/Traces/sra/?run=SRR10870232", "SRR10870232")</f>
        <v>SRR10870232</v>
      </c>
      <c r="G214" t="s">
        <v>1628</v>
      </c>
      <c r="H214" t="s">
        <v>1991</v>
      </c>
    </row>
    <row r="215" spans="1:8" x14ac:dyDescent="0.2">
      <c r="A215" t="s">
        <v>840</v>
      </c>
      <c r="B215" t="s">
        <v>204</v>
      </c>
      <c r="C215" t="s">
        <v>1138</v>
      </c>
      <c r="D215" s="26" t="str">
        <f t="shared" si="3"/>
        <v>PRJNA599388</v>
      </c>
      <c r="E215" s="26" t="str">
        <f>HYPERLINK("https://www.ncbi.nlm.nih.gov/biosample/13747659", "SAMN13747659")</f>
        <v>SAMN13747659</v>
      </c>
      <c r="F215" s="26" t="str">
        <f>HYPERLINK("https://trace.ncbi.nlm.nih.gov/Traces/sra/?run=SRR10870233", "SRR10870233")</f>
        <v>SRR10870233</v>
      </c>
      <c r="G215" t="s">
        <v>1687</v>
      </c>
      <c r="H215" t="s">
        <v>1992</v>
      </c>
    </row>
    <row r="216" spans="1:8" x14ac:dyDescent="0.2">
      <c r="A216" t="s">
        <v>783</v>
      </c>
      <c r="B216" t="s">
        <v>138</v>
      </c>
      <c r="C216" t="s">
        <v>1138</v>
      </c>
      <c r="D216" s="26" t="str">
        <f t="shared" si="3"/>
        <v>PRJNA599388</v>
      </c>
      <c r="E216" s="26" t="str">
        <f>HYPERLINK("https://www.ncbi.nlm.nih.gov/biosample/13747569", "SAMN13747569")</f>
        <v>SAMN13747569</v>
      </c>
      <c r="F216" s="26" t="str">
        <f>HYPERLINK("https://trace.ncbi.nlm.nih.gov/Traces/sra/?run=SRR10870234", "SRR10870234")</f>
        <v>SRR10870234</v>
      </c>
      <c r="G216" t="s">
        <v>1699</v>
      </c>
      <c r="H216" t="s">
        <v>1993</v>
      </c>
    </row>
    <row r="217" spans="1:8" x14ac:dyDescent="0.2">
      <c r="A217" t="s">
        <v>129</v>
      </c>
      <c r="B217" t="s">
        <v>129</v>
      </c>
      <c r="C217" t="s">
        <v>1138</v>
      </c>
      <c r="D217" s="26" t="str">
        <f t="shared" si="3"/>
        <v>PRJNA599388</v>
      </c>
      <c r="E217" s="26" t="str">
        <f>HYPERLINK("https://www.ncbi.nlm.nih.gov/biosample/13747560", "SAMN13747560")</f>
        <v>SAMN13747560</v>
      </c>
      <c r="F217" s="26" t="str">
        <f>HYPERLINK("https://trace.ncbi.nlm.nih.gov/Traces/sra/?run=SRR10870235", "SRR10870235")</f>
        <v>SRR10870235</v>
      </c>
      <c r="G217" t="s">
        <v>1677</v>
      </c>
      <c r="H217" t="s">
        <v>1994</v>
      </c>
    </row>
    <row r="218" spans="1:8" x14ac:dyDescent="0.2">
      <c r="A218" t="s">
        <v>128</v>
      </c>
      <c r="B218" t="s">
        <v>128</v>
      </c>
      <c r="C218" t="s">
        <v>1138</v>
      </c>
      <c r="D218" s="26" t="str">
        <f t="shared" si="3"/>
        <v>PRJNA599388</v>
      </c>
      <c r="E218" s="26" t="str">
        <f>HYPERLINK("https://www.ncbi.nlm.nih.gov/biosample/13747559", "SAMN13747559")</f>
        <v>SAMN13747559</v>
      </c>
      <c r="F218" s="26" t="str">
        <f>HYPERLINK("https://trace.ncbi.nlm.nih.gov/Traces/sra/?run=SRR10870236", "SRR10870236")</f>
        <v>SRR10870236</v>
      </c>
      <c r="G218" t="s">
        <v>1573</v>
      </c>
      <c r="H218" t="s">
        <v>1995</v>
      </c>
    </row>
    <row r="219" spans="1:8" x14ac:dyDescent="0.2">
      <c r="A219" t="s">
        <v>744</v>
      </c>
      <c r="B219" t="s">
        <v>330</v>
      </c>
      <c r="C219" t="s">
        <v>1139</v>
      </c>
      <c r="D219" s="26" t="str">
        <f t="shared" ref="D219:D250" si="4">HYPERLINK("https://www.ncbi.nlm.nih.gov/bioproject/PRJNA597162", "PRJNA597162")</f>
        <v>PRJNA597162</v>
      </c>
      <c r="E219" s="26" t="str">
        <f>HYPERLINK("https://www.ncbi.nlm.nih.gov/biosample/13668206", "SAMN13668206")</f>
        <v>SAMN13668206</v>
      </c>
      <c r="F219" s="26" t="str">
        <f>HYPERLINK("https://trace.ncbi.nlm.nih.gov/Traces/sra/?run=SRR10755354", "SRR10755354")</f>
        <v>SRR10755354</v>
      </c>
      <c r="G219" s="26" t="s">
        <v>1146</v>
      </c>
      <c r="H219" t="s">
        <v>1147</v>
      </c>
    </row>
    <row r="220" spans="1:8" x14ac:dyDescent="0.2">
      <c r="A220" t="s">
        <v>584</v>
      </c>
      <c r="B220" t="s">
        <v>331</v>
      </c>
      <c r="C220" t="s">
        <v>1139</v>
      </c>
      <c r="D220" s="26" t="str">
        <f t="shared" si="4"/>
        <v>PRJNA597162</v>
      </c>
      <c r="E220" s="26" t="str">
        <f>HYPERLINK("https://www.ncbi.nlm.nih.gov/biosample/13668208", "SAMN13668208")</f>
        <v>SAMN13668208</v>
      </c>
      <c r="F220" s="26" t="str">
        <f>HYPERLINK("https://trace.ncbi.nlm.nih.gov/Traces/sra/?run=SRR10755332", "SRR10755332")</f>
        <v>SRR10755332</v>
      </c>
      <c r="G220" t="s">
        <v>1149</v>
      </c>
      <c r="H220" t="s">
        <v>1150</v>
      </c>
    </row>
    <row r="221" spans="1:8" x14ac:dyDescent="0.2">
      <c r="A221" t="s">
        <v>824</v>
      </c>
      <c r="B221" t="s">
        <v>332</v>
      </c>
      <c r="C221" t="s">
        <v>1139</v>
      </c>
      <c r="D221" s="26" t="str">
        <f t="shared" si="4"/>
        <v>PRJNA597162</v>
      </c>
      <c r="E221" s="26" t="str">
        <f>HYPERLINK("https://www.ncbi.nlm.nih.gov/biosample/13668205", "SAMN13668205")</f>
        <v>SAMN13668205</v>
      </c>
      <c r="F221" s="26" t="str">
        <f>HYPERLINK("https://trace.ncbi.nlm.nih.gov/Traces/sra/?run=SRR10755355", "SRR10755355")</f>
        <v>SRR10755355</v>
      </c>
      <c r="G221" t="s">
        <v>1152</v>
      </c>
      <c r="H221" t="s">
        <v>1153</v>
      </c>
    </row>
    <row r="222" spans="1:8" x14ac:dyDescent="0.2">
      <c r="A222" t="s">
        <v>664</v>
      </c>
      <c r="B222" t="s">
        <v>333</v>
      </c>
      <c r="C222" t="s">
        <v>1139</v>
      </c>
      <c r="D222" s="26" t="str">
        <f t="shared" si="4"/>
        <v>PRJNA597162</v>
      </c>
      <c r="E222" s="26" t="str">
        <f>HYPERLINK("https://www.ncbi.nlm.nih.gov/biosample/13668207", "SAMN13668207")</f>
        <v>SAMN13668207</v>
      </c>
      <c r="F222" s="26" t="str">
        <f>HYPERLINK("https://trace.ncbi.nlm.nih.gov/Traces/sra/?run=SRR10755343", "SRR10755343")</f>
        <v>SRR10755343</v>
      </c>
      <c r="G222" t="s">
        <v>1154</v>
      </c>
      <c r="H222" t="s">
        <v>1155</v>
      </c>
    </row>
    <row r="223" spans="1:8" x14ac:dyDescent="0.2">
      <c r="A223" t="s">
        <v>736</v>
      </c>
      <c r="B223" t="s">
        <v>334</v>
      </c>
      <c r="C223" t="s">
        <v>1139</v>
      </c>
      <c r="D223" s="26" t="str">
        <f t="shared" si="4"/>
        <v>PRJNA597162</v>
      </c>
      <c r="E223" s="26" t="str">
        <f>HYPERLINK("https://www.ncbi.nlm.nih.gov/biosample/13668210", "SAMN13668210")</f>
        <v>SAMN13668210</v>
      </c>
      <c r="F223" s="26" t="str">
        <f>HYPERLINK("https://trace.ncbi.nlm.nih.gov/Traces/sra/?run=SRR10755310", "SRR10755310")</f>
        <v>SRR10755310</v>
      </c>
      <c r="G223" t="s">
        <v>1156</v>
      </c>
      <c r="H223" t="s">
        <v>1157</v>
      </c>
    </row>
    <row r="224" spans="1:8" x14ac:dyDescent="0.2">
      <c r="A224" t="s">
        <v>576</v>
      </c>
      <c r="B224" t="s">
        <v>335</v>
      </c>
      <c r="C224" t="s">
        <v>1139</v>
      </c>
      <c r="D224" s="26" t="str">
        <f t="shared" si="4"/>
        <v>PRJNA597162</v>
      </c>
      <c r="E224" s="26" t="str">
        <f>HYPERLINK("https://www.ncbi.nlm.nih.gov/biosample/13668212", "SAMN13668212")</f>
        <v>SAMN13668212</v>
      </c>
      <c r="F224" s="26" t="str">
        <f>HYPERLINK("https://trace.ncbi.nlm.nih.gov/Traces/sra/?run=SRR10755294", "SRR10755294")</f>
        <v>SRR10755294</v>
      </c>
      <c r="G224" t="s">
        <v>1159</v>
      </c>
      <c r="H224" t="s">
        <v>1160</v>
      </c>
    </row>
    <row r="225" spans="1:8" x14ac:dyDescent="0.2">
      <c r="A225" t="s">
        <v>816</v>
      </c>
      <c r="B225" t="s">
        <v>336</v>
      </c>
      <c r="C225" t="s">
        <v>1139</v>
      </c>
      <c r="D225" s="26" t="str">
        <f t="shared" si="4"/>
        <v>PRJNA597162</v>
      </c>
      <c r="E225" s="26" t="str">
        <f>HYPERLINK("https://www.ncbi.nlm.nih.gov/biosample/13668209", "SAMN13668209")</f>
        <v>SAMN13668209</v>
      </c>
      <c r="F225" s="26" t="str">
        <f>HYPERLINK("https://trace.ncbi.nlm.nih.gov/Traces/sra/?run=SRR10755321", "SRR10755321")</f>
        <v>SRR10755321</v>
      </c>
      <c r="G225" t="s">
        <v>1162</v>
      </c>
      <c r="H225" t="s">
        <v>1163</v>
      </c>
    </row>
    <row r="226" spans="1:8" x14ac:dyDescent="0.2">
      <c r="A226" t="s">
        <v>656</v>
      </c>
      <c r="B226" t="s">
        <v>337</v>
      </c>
      <c r="C226" t="s">
        <v>1139</v>
      </c>
      <c r="D226" s="26" t="str">
        <f t="shared" si="4"/>
        <v>PRJNA597162</v>
      </c>
      <c r="E226" s="26" t="str">
        <f>HYPERLINK("https://www.ncbi.nlm.nih.gov/biosample/13668211", "SAMN13668211")</f>
        <v>SAMN13668211</v>
      </c>
      <c r="F226" s="26" t="str">
        <f>HYPERLINK("https://trace.ncbi.nlm.nih.gov/Traces/sra/?run=SRR10755299", "SRR10755299")</f>
        <v>SRR10755299</v>
      </c>
      <c r="G226" t="s">
        <v>1164</v>
      </c>
      <c r="H226" t="s">
        <v>1165</v>
      </c>
    </row>
    <row r="227" spans="1:8" x14ac:dyDescent="0.2">
      <c r="A227" t="s">
        <v>734</v>
      </c>
      <c r="B227" t="s">
        <v>338</v>
      </c>
      <c r="C227" t="s">
        <v>1139</v>
      </c>
      <c r="D227" s="26" t="str">
        <f t="shared" si="4"/>
        <v>PRJNA597162</v>
      </c>
      <c r="E227" s="26" t="str">
        <f>HYPERLINK("https://www.ncbi.nlm.nih.gov/biosample/13668206", "SAMN13668210")</f>
        <v>SAMN13668210</v>
      </c>
      <c r="F227" s="26" t="str">
        <f>HYPERLINK("https://trace.ncbi.nlm.nih.gov/Traces/sra/?run=SRR10755310", "SRR10755310")</f>
        <v>SRR10755310</v>
      </c>
      <c r="G227" t="s">
        <v>1175</v>
      </c>
      <c r="H227" t="s">
        <v>1176</v>
      </c>
    </row>
    <row r="228" spans="1:8" x14ac:dyDescent="0.2">
      <c r="A228" t="s">
        <v>574</v>
      </c>
      <c r="B228" t="s">
        <v>339</v>
      </c>
      <c r="C228" t="s">
        <v>1139</v>
      </c>
      <c r="D228" s="26" t="str">
        <f t="shared" si="4"/>
        <v>PRJNA597162</v>
      </c>
      <c r="E228" s="26" t="str">
        <f>HYPERLINK("https://www.ncbi.nlm.nih.gov/biosample/13668208", "SAMN13668212")</f>
        <v>SAMN13668212</v>
      </c>
      <c r="F228" s="26" t="str">
        <f>HYPERLINK("https://trace.ncbi.nlm.nih.gov/Traces/sra/?run=SRR10755294", "SRR10755294")</f>
        <v>SRR10755294</v>
      </c>
      <c r="G228" t="s">
        <v>1178</v>
      </c>
      <c r="H228" t="s">
        <v>1179</v>
      </c>
    </row>
    <row r="229" spans="1:8" x14ac:dyDescent="0.2">
      <c r="A229" t="s">
        <v>814</v>
      </c>
      <c r="B229" t="s">
        <v>340</v>
      </c>
      <c r="C229" t="s">
        <v>1139</v>
      </c>
      <c r="D229" s="26" t="str">
        <f t="shared" si="4"/>
        <v>PRJNA597162</v>
      </c>
      <c r="E229" s="26" t="str">
        <f>HYPERLINK("https://www.ncbi.nlm.nih.gov/biosample/13668205", "SAMN13668209")</f>
        <v>SAMN13668209</v>
      </c>
      <c r="F229" s="26" t="str">
        <f>HYPERLINK("https://trace.ncbi.nlm.nih.gov/Traces/sra/?run=SRR10755321", "SRR10755321")</f>
        <v>SRR10755321</v>
      </c>
      <c r="G229" t="s">
        <v>1180</v>
      </c>
      <c r="H229" t="s">
        <v>1181</v>
      </c>
    </row>
    <row r="230" spans="1:8" x14ac:dyDescent="0.2">
      <c r="A230" t="s">
        <v>654</v>
      </c>
      <c r="B230" t="s">
        <v>341</v>
      </c>
      <c r="C230" t="s">
        <v>1139</v>
      </c>
      <c r="D230" s="26" t="str">
        <f t="shared" si="4"/>
        <v>PRJNA597162</v>
      </c>
      <c r="E230" s="26" t="str">
        <f>HYPERLINK("https://www.ncbi.nlm.nih.gov/biosample/13668207", "SAMN13668211")</f>
        <v>SAMN13668211</v>
      </c>
      <c r="F230" s="26" t="str">
        <f>HYPERLINK("https://trace.ncbi.nlm.nih.gov/Traces/sra/?run=SRR10755299", "SRR10755299")</f>
        <v>SRR10755299</v>
      </c>
      <c r="G230" t="s">
        <v>1182</v>
      </c>
      <c r="H230" t="s">
        <v>1183</v>
      </c>
    </row>
    <row r="231" spans="1:8" x14ac:dyDescent="0.2">
      <c r="A231" t="s">
        <v>733</v>
      </c>
      <c r="B231" t="s">
        <v>342</v>
      </c>
      <c r="C231" t="s">
        <v>1139</v>
      </c>
      <c r="D231" s="26" t="str">
        <f t="shared" si="4"/>
        <v>PRJNA597162</v>
      </c>
      <c r="E231" s="26" t="str">
        <f>HYPERLINK("https://www.ncbi.nlm.nih.gov/biosample/13668210", "SAMN13668206")</f>
        <v>SAMN13668206</v>
      </c>
      <c r="F231" s="26" t="str">
        <f>HYPERLINK("https://trace.ncbi.nlm.nih.gov/Traces/sra/?run=SRR10755354", "SRR10755354")</f>
        <v>SRR10755354</v>
      </c>
      <c r="G231" t="s">
        <v>1166</v>
      </c>
      <c r="H231" t="s">
        <v>1167</v>
      </c>
    </row>
    <row r="232" spans="1:8" x14ac:dyDescent="0.2">
      <c r="A232" t="s">
        <v>573</v>
      </c>
      <c r="B232" t="s">
        <v>343</v>
      </c>
      <c r="C232" t="s">
        <v>1139</v>
      </c>
      <c r="D232" s="26" t="str">
        <f t="shared" si="4"/>
        <v>PRJNA597162</v>
      </c>
      <c r="E232" s="26" t="str">
        <f>HYPERLINK("https://www.ncbi.nlm.nih.gov/biosample/13668212", "SAMN13668208")</f>
        <v>SAMN13668208</v>
      </c>
      <c r="F232" s="26" t="str">
        <f>HYPERLINK("https://trace.ncbi.nlm.nih.gov/Traces/sra/?run=SRR10755332", "SRR10755332")</f>
        <v>SRR10755332</v>
      </c>
      <c r="G232" t="s">
        <v>1169</v>
      </c>
      <c r="H232" t="s">
        <v>1170</v>
      </c>
    </row>
    <row r="233" spans="1:8" x14ac:dyDescent="0.2">
      <c r="A233" t="s">
        <v>813</v>
      </c>
      <c r="B233" t="s">
        <v>344</v>
      </c>
      <c r="C233" t="s">
        <v>1139</v>
      </c>
      <c r="D233" s="26" t="str">
        <f t="shared" si="4"/>
        <v>PRJNA597162</v>
      </c>
      <c r="E233" s="26" t="str">
        <f>HYPERLINK("https://www.ncbi.nlm.nih.gov/biosample/13668209", "SAMN13668205")</f>
        <v>SAMN13668205</v>
      </c>
      <c r="F233" s="26" t="str">
        <f>HYPERLINK("https://trace.ncbi.nlm.nih.gov/Traces/sra/?run=SRR10755355", "SRR10755355")</f>
        <v>SRR10755355</v>
      </c>
      <c r="G233" t="s">
        <v>1171</v>
      </c>
      <c r="H233" t="s">
        <v>1172</v>
      </c>
    </row>
    <row r="234" spans="1:8" x14ac:dyDescent="0.2">
      <c r="A234" t="s">
        <v>653</v>
      </c>
      <c r="B234" t="s">
        <v>345</v>
      </c>
      <c r="C234" t="s">
        <v>1139</v>
      </c>
      <c r="D234" s="26" t="str">
        <f t="shared" si="4"/>
        <v>PRJNA597162</v>
      </c>
      <c r="E234" s="26" t="str">
        <f>HYPERLINK("https://www.ncbi.nlm.nih.gov/biosample/13668211", "SAMN13668207")</f>
        <v>SAMN13668207</v>
      </c>
      <c r="F234" s="26" t="str">
        <f>HYPERLINK("https://trace.ncbi.nlm.nih.gov/Traces/sra/?run=SRR10755343", "SRR10755343")</f>
        <v>SRR10755343</v>
      </c>
      <c r="G234" t="s">
        <v>1173</v>
      </c>
      <c r="H234" t="s">
        <v>1174</v>
      </c>
    </row>
    <row r="235" spans="1:8" x14ac:dyDescent="0.2">
      <c r="A235" t="s">
        <v>716</v>
      </c>
      <c r="B235" t="s">
        <v>346</v>
      </c>
      <c r="C235" t="s">
        <v>1139</v>
      </c>
      <c r="D235" s="26" t="str">
        <f t="shared" si="4"/>
        <v>PRJNA597162</v>
      </c>
      <c r="E235" s="26" t="str">
        <f>HYPERLINK("https://www.ncbi.nlm.nih.gov/biosample/13668218", "SAMN13668218")</f>
        <v>SAMN13668218</v>
      </c>
      <c r="F235" s="26" t="str">
        <f>HYPERLINK("https://trace.ncbi.nlm.nih.gov/Traces/sra/?run=SRR10755350", "SRR10755350")</f>
        <v>SRR10755350</v>
      </c>
      <c r="G235" t="s">
        <v>1202</v>
      </c>
      <c r="H235" t="s">
        <v>1203</v>
      </c>
    </row>
    <row r="236" spans="1:8" x14ac:dyDescent="0.2">
      <c r="A236" t="s">
        <v>556</v>
      </c>
      <c r="B236" t="s">
        <v>347</v>
      </c>
      <c r="C236" t="s">
        <v>1139</v>
      </c>
      <c r="D236" s="26" t="str">
        <f t="shared" si="4"/>
        <v>PRJNA597162</v>
      </c>
      <c r="E236" s="26" t="str">
        <f>HYPERLINK("https://www.ncbi.nlm.nih.gov/biosample/13668220", "SAMN13668220")</f>
        <v>SAMN13668220</v>
      </c>
      <c r="F236" s="26" t="str">
        <f>HYPERLINK("https://trace.ncbi.nlm.nih.gov/Traces/sra/?run=SRR10755348", "SRR10755348")</f>
        <v>SRR10755348</v>
      </c>
      <c r="G236" t="s">
        <v>1205</v>
      </c>
      <c r="H236" t="s">
        <v>1206</v>
      </c>
    </row>
    <row r="237" spans="1:8" x14ac:dyDescent="0.2">
      <c r="A237" t="s">
        <v>796</v>
      </c>
      <c r="B237" t="s">
        <v>348</v>
      </c>
      <c r="C237" t="s">
        <v>1139</v>
      </c>
      <c r="D237" s="26" t="str">
        <f t="shared" si="4"/>
        <v>PRJNA597162</v>
      </c>
      <c r="E237" s="26" t="str">
        <f>HYPERLINK("https://www.ncbi.nlm.nih.gov/biosample/13668217", "SAMN13668217")</f>
        <v>SAMN13668217</v>
      </c>
      <c r="F237" s="26" t="str">
        <f>HYPERLINK("https://trace.ncbi.nlm.nih.gov/Traces/sra/?run=SRR10755351", "SRR10755351")</f>
        <v>SRR10755351</v>
      </c>
      <c r="G237" t="s">
        <v>1208</v>
      </c>
      <c r="H237" t="s">
        <v>1209</v>
      </c>
    </row>
    <row r="238" spans="1:8" x14ac:dyDescent="0.2">
      <c r="A238" t="s">
        <v>636</v>
      </c>
      <c r="B238" t="s">
        <v>349</v>
      </c>
      <c r="C238" t="s">
        <v>1139</v>
      </c>
      <c r="D238" s="26" t="str">
        <f t="shared" si="4"/>
        <v>PRJNA597162</v>
      </c>
      <c r="E238" s="26" t="str">
        <f>HYPERLINK("https://www.ncbi.nlm.nih.gov/biosample/13668219", "SAMN13668219")</f>
        <v>SAMN13668219</v>
      </c>
      <c r="F238" s="26" t="str">
        <f>HYPERLINK("https://trace.ncbi.nlm.nih.gov/Traces/sra/?run=SRR10755349", "SRR10755349")</f>
        <v>SRR10755349</v>
      </c>
      <c r="G238" t="s">
        <v>1210</v>
      </c>
      <c r="H238" t="s">
        <v>1211</v>
      </c>
    </row>
    <row r="239" spans="1:8" x14ac:dyDescent="0.2">
      <c r="A239" t="s">
        <v>714</v>
      </c>
      <c r="B239" t="s">
        <v>350</v>
      </c>
      <c r="C239" t="s">
        <v>1139</v>
      </c>
      <c r="D239" s="26" t="str">
        <f t="shared" si="4"/>
        <v>PRJNA597162</v>
      </c>
      <c r="E239" s="26" t="str">
        <f>HYPERLINK("https://www.ncbi.nlm.nih.gov/biosample/13668214", "SAMN13668214")</f>
        <v>SAMN13668214</v>
      </c>
      <c r="F239" s="26" t="str">
        <f>HYPERLINK("https://trace.ncbi.nlm.nih.gov/Traces/sra/?run=SRR10755292", "SRR10755292")</f>
        <v>SRR10755292</v>
      </c>
      <c r="G239" t="s">
        <v>1212</v>
      </c>
      <c r="H239" t="s">
        <v>1213</v>
      </c>
    </row>
    <row r="240" spans="1:8" x14ac:dyDescent="0.2">
      <c r="A240" t="s">
        <v>554</v>
      </c>
      <c r="B240" t="s">
        <v>351</v>
      </c>
      <c r="C240" t="s">
        <v>1139</v>
      </c>
      <c r="D240" s="26" t="str">
        <f t="shared" si="4"/>
        <v>PRJNA597162</v>
      </c>
      <c r="E240" s="26" t="str">
        <f>HYPERLINK("https://www.ncbi.nlm.nih.gov/biosample/13668216", "SAMN13668216")</f>
        <v>SAMN13668216</v>
      </c>
      <c r="F240" s="26" t="str">
        <f>HYPERLINK("https://trace.ncbi.nlm.nih.gov/Traces/sra/?run=SRR10755352", "SRR10755352")</f>
        <v>SRR10755352</v>
      </c>
      <c r="G240" t="s">
        <v>1215</v>
      </c>
      <c r="H240" t="s">
        <v>1216</v>
      </c>
    </row>
    <row r="241" spans="1:8" x14ac:dyDescent="0.2">
      <c r="A241" t="s">
        <v>794</v>
      </c>
      <c r="B241" t="s">
        <v>352</v>
      </c>
      <c r="C241" t="s">
        <v>1139</v>
      </c>
      <c r="D241" s="26" t="str">
        <f t="shared" si="4"/>
        <v>PRJNA597162</v>
      </c>
      <c r="E241" s="26" t="str">
        <f>HYPERLINK("https://www.ncbi.nlm.nih.gov/biosample/13668213", "SAMN13668213")</f>
        <v>SAMN13668213</v>
      </c>
      <c r="F241" s="26" t="str">
        <f>HYPERLINK("https://trace.ncbi.nlm.nih.gov/Traces/sra/?run=SRR10755293", "SRR10755293")</f>
        <v>SRR10755293</v>
      </c>
      <c r="G241" t="s">
        <v>1218</v>
      </c>
      <c r="H241" t="s">
        <v>1219</v>
      </c>
    </row>
    <row r="242" spans="1:8" x14ac:dyDescent="0.2">
      <c r="A242" t="s">
        <v>634</v>
      </c>
      <c r="B242" t="s">
        <v>353</v>
      </c>
      <c r="C242" t="s">
        <v>1139</v>
      </c>
      <c r="D242" s="26" t="str">
        <f t="shared" si="4"/>
        <v>PRJNA597162</v>
      </c>
      <c r="E242" s="26" t="str">
        <f>HYPERLINK("https://www.ncbi.nlm.nih.gov/biosample/13668215", "SAMN13668215")</f>
        <v>SAMN13668215</v>
      </c>
      <c r="F242" s="26" t="str">
        <f>HYPERLINK("https://trace.ncbi.nlm.nih.gov/Traces/sra/?run=SRR10755353", "SRR10755353")</f>
        <v>SRR10755353</v>
      </c>
      <c r="G242" t="s">
        <v>1220</v>
      </c>
      <c r="H242" t="s">
        <v>1221</v>
      </c>
    </row>
    <row r="243" spans="1:8" x14ac:dyDescent="0.2">
      <c r="A243" t="s">
        <v>703</v>
      </c>
      <c r="B243" t="s">
        <v>354</v>
      </c>
      <c r="C243" t="s">
        <v>1139</v>
      </c>
      <c r="D243" s="26" t="str">
        <f t="shared" si="4"/>
        <v>PRJNA597162</v>
      </c>
      <c r="E243" s="26" t="str">
        <f>HYPERLINK("https://www.ncbi.nlm.nih.gov/biosample/13668218", "SAMN13668218")</f>
        <v>SAMN13668218</v>
      </c>
      <c r="F243" s="26" t="str">
        <f>HYPERLINK("https://trace.ncbi.nlm.nih.gov/Traces/sra/?run=SRR10755350", "SRR10755350")</f>
        <v>SRR10755350</v>
      </c>
      <c r="G243" t="s">
        <v>1222</v>
      </c>
      <c r="H243" t="s">
        <v>1223</v>
      </c>
    </row>
    <row r="244" spans="1:8" x14ac:dyDescent="0.2">
      <c r="A244" t="s">
        <v>543</v>
      </c>
      <c r="B244" t="s">
        <v>355</v>
      </c>
      <c r="C244" t="s">
        <v>1139</v>
      </c>
      <c r="D244" s="26" t="str">
        <f t="shared" si="4"/>
        <v>PRJNA597162</v>
      </c>
      <c r="E244" s="26" t="str">
        <f>HYPERLINK("https://www.ncbi.nlm.nih.gov/biosample/13668220", "SAMN13668220")</f>
        <v>SAMN13668220</v>
      </c>
      <c r="F244" s="26" t="str">
        <f>HYPERLINK("https://trace.ncbi.nlm.nih.gov/Traces/sra/?run=SRR10755348", "SRR10755348")</f>
        <v>SRR10755348</v>
      </c>
      <c r="G244" t="s">
        <v>1225</v>
      </c>
      <c r="H244" t="s">
        <v>1226</v>
      </c>
    </row>
    <row r="245" spans="1:8" x14ac:dyDescent="0.2">
      <c r="A245" t="s">
        <v>783</v>
      </c>
      <c r="B245" t="s">
        <v>356</v>
      </c>
      <c r="C245" t="s">
        <v>1139</v>
      </c>
      <c r="D245" s="26" t="str">
        <f t="shared" si="4"/>
        <v>PRJNA597162</v>
      </c>
      <c r="E245" s="26" t="str">
        <f>HYPERLINK("https://www.ncbi.nlm.nih.gov/biosample/13668217", "SAMN13668217")</f>
        <v>SAMN13668217</v>
      </c>
      <c r="F245" s="26" t="str">
        <f>HYPERLINK("https://trace.ncbi.nlm.nih.gov/Traces/sra/?run=SRR10755351", "SRR10755351")</f>
        <v>SRR10755351</v>
      </c>
      <c r="G245" t="s">
        <v>1227</v>
      </c>
      <c r="H245" t="s">
        <v>1228</v>
      </c>
    </row>
    <row r="246" spans="1:8" x14ac:dyDescent="0.2">
      <c r="A246" t="s">
        <v>623</v>
      </c>
      <c r="B246" t="s">
        <v>357</v>
      </c>
      <c r="C246" t="s">
        <v>1139</v>
      </c>
      <c r="D246" s="26" t="str">
        <f t="shared" si="4"/>
        <v>PRJNA597162</v>
      </c>
      <c r="E246" s="26" t="str">
        <f>HYPERLINK("https://www.ncbi.nlm.nih.gov/biosample/13668219", "SAMN13668219")</f>
        <v>SAMN13668219</v>
      </c>
      <c r="F246" s="26" t="str">
        <f>HYPERLINK("https://trace.ncbi.nlm.nih.gov/Traces/sra/?run=SRR10755349", "SRR10755349")</f>
        <v>SRR10755349</v>
      </c>
      <c r="G246" t="s">
        <v>1229</v>
      </c>
      <c r="H246" t="s">
        <v>1230</v>
      </c>
    </row>
    <row r="247" spans="1:8" x14ac:dyDescent="0.2">
      <c r="A247" t="s">
        <v>697</v>
      </c>
      <c r="B247" t="s">
        <v>358</v>
      </c>
      <c r="C247" t="s">
        <v>1139</v>
      </c>
      <c r="D247" s="26" t="str">
        <f t="shared" si="4"/>
        <v>PRJNA597162</v>
      </c>
      <c r="E247" s="26" t="str">
        <f>HYPERLINK("https://www.ncbi.nlm.nih.gov/biosample/13668214", "SAMN13668214")</f>
        <v>SAMN13668214</v>
      </c>
      <c r="F247" s="26" t="str">
        <f>HYPERLINK("https://trace.ncbi.nlm.nih.gov/Traces/sra/?run=SRR10755292", "SRR10755292")</f>
        <v>SRR10755292</v>
      </c>
      <c r="G247" t="s">
        <v>1231</v>
      </c>
      <c r="H247" t="s">
        <v>1232</v>
      </c>
    </row>
    <row r="248" spans="1:8" x14ac:dyDescent="0.2">
      <c r="A248" t="s">
        <v>537</v>
      </c>
      <c r="B248" t="s">
        <v>359</v>
      </c>
      <c r="C248" t="s">
        <v>1139</v>
      </c>
      <c r="D248" s="26" t="str">
        <f t="shared" si="4"/>
        <v>PRJNA597162</v>
      </c>
      <c r="E248" s="26" t="str">
        <f>HYPERLINK("https://www.ncbi.nlm.nih.gov/biosample/13668216", "SAMN13668216")</f>
        <v>SAMN13668216</v>
      </c>
      <c r="F248" s="26" t="str">
        <f>HYPERLINK("https://trace.ncbi.nlm.nih.gov/Traces/sra/?run=SRR10755352", "SRR10755352")</f>
        <v>SRR10755352</v>
      </c>
      <c r="G248" t="s">
        <v>1234</v>
      </c>
      <c r="H248" t="s">
        <v>1235</v>
      </c>
    </row>
    <row r="249" spans="1:8" x14ac:dyDescent="0.2">
      <c r="A249" t="s">
        <v>777</v>
      </c>
      <c r="B249" t="s">
        <v>360</v>
      </c>
      <c r="C249" t="s">
        <v>1139</v>
      </c>
      <c r="D249" s="26" t="str">
        <f t="shared" si="4"/>
        <v>PRJNA597162</v>
      </c>
      <c r="E249" s="26" t="str">
        <f>HYPERLINK("https://www.ncbi.nlm.nih.gov/biosample/13668213", "SAMN13668213")</f>
        <v>SAMN13668213</v>
      </c>
      <c r="F249" s="26" t="str">
        <f>HYPERLINK("https://trace.ncbi.nlm.nih.gov/Traces/sra/?run=SRR10755293", "SRR10755293")</f>
        <v>SRR10755293</v>
      </c>
      <c r="G249" t="s">
        <v>1236</v>
      </c>
      <c r="H249" t="s">
        <v>1237</v>
      </c>
    </row>
    <row r="250" spans="1:8" x14ac:dyDescent="0.2">
      <c r="A250" t="s">
        <v>617</v>
      </c>
      <c r="B250" t="s">
        <v>361</v>
      </c>
      <c r="C250" t="s">
        <v>1139</v>
      </c>
      <c r="D250" s="26" t="str">
        <f t="shared" si="4"/>
        <v>PRJNA597162</v>
      </c>
      <c r="E250" s="26" t="str">
        <f>HYPERLINK("https://www.ncbi.nlm.nih.gov/biosample/13668215", "SAMN13668215")</f>
        <v>SAMN13668215</v>
      </c>
      <c r="F250" s="26" t="str">
        <f>HYPERLINK("https://trace.ncbi.nlm.nih.gov/Traces/sra/?run=SRR10755353", "SRR10755353")</f>
        <v>SRR10755353</v>
      </c>
      <c r="G250" t="s">
        <v>1238</v>
      </c>
      <c r="H250" t="s">
        <v>1239</v>
      </c>
    </row>
    <row r="251" spans="1:8" x14ac:dyDescent="0.2">
      <c r="A251" t="s">
        <v>695</v>
      </c>
      <c r="B251" t="s">
        <v>362</v>
      </c>
      <c r="C251" t="s">
        <v>1139</v>
      </c>
      <c r="D251" s="26" t="str">
        <f t="shared" ref="D251:D282" si="5">HYPERLINK("https://www.ncbi.nlm.nih.gov/bioproject/PRJNA597162", "PRJNA597162")</f>
        <v>PRJNA597162</v>
      </c>
      <c r="E251" s="26" t="str">
        <f>HYPERLINK("https://www.ncbi.nlm.nih.gov/biosample/13668214", "SAMN13668214")</f>
        <v>SAMN13668214</v>
      </c>
      <c r="F251" s="26" t="str">
        <f>HYPERLINK("https://trace.ncbi.nlm.nih.gov/Traces/sra/?run=SRR10755292", "SRR10755292")</f>
        <v>SRR10755292</v>
      </c>
      <c r="G251" t="s">
        <v>1240</v>
      </c>
      <c r="H251" t="s">
        <v>1241</v>
      </c>
    </row>
    <row r="252" spans="1:8" x14ac:dyDescent="0.2">
      <c r="A252" t="s">
        <v>535</v>
      </c>
      <c r="B252" t="s">
        <v>363</v>
      </c>
      <c r="C252" t="s">
        <v>1139</v>
      </c>
      <c r="D252" s="26" t="str">
        <f t="shared" si="5"/>
        <v>PRJNA597162</v>
      </c>
      <c r="E252" s="26" t="str">
        <f>HYPERLINK("https://www.ncbi.nlm.nih.gov/biosample/13668216", "SAMN13668216")</f>
        <v>SAMN13668216</v>
      </c>
      <c r="F252" s="26" t="str">
        <f>HYPERLINK("https://trace.ncbi.nlm.nih.gov/Traces/sra/?run=SRR10755352", "SRR10755352")</f>
        <v>SRR10755352</v>
      </c>
      <c r="G252" t="s">
        <v>1243</v>
      </c>
      <c r="H252" t="s">
        <v>1244</v>
      </c>
    </row>
    <row r="253" spans="1:8" x14ac:dyDescent="0.2">
      <c r="A253" t="s">
        <v>775</v>
      </c>
      <c r="B253" t="s">
        <v>364</v>
      </c>
      <c r="C253" t="s">
        <v>1139</v>
      </c>
      <c r="D253" s="26" t="str">
        <f t="shared" si="5"/>
        <v>PRJNA597162</v>
      </c>
      <c r="E253" s="26" t="str">
        <f>HYPERLINK("https://www.ncbi.nlm.nih.gov/biosample/13668213", "SAMN13668213")</f>
        <v>SAMN13668213</v>
      </c>
      <c r="F253" s="26" t="str">
        <f>HYPERLINK("https://trace.ncbi.nlm.nih.gov/Traces/sra/?run=SRR10755293", "SRR10755293")</f>
        <v>SRR10755293</v>
      </c>
      <c r="G253" t="s">
        <v>1245</v>
      </c>
      <c r="H253" t="s">
        <v>1246</v>
      </c>
    </row>
    <row r="254" spans="1:8" x14ac:dyDescent="0.2">
      <c r="A254" t="s">
        <v>615</v>
      </c>
      <c r="B254" t="s">
        <v>365</v>
      </c>
      <c r="C254" t="s">
        <v>1139</v>
      </c>
      <c r="D254" s="26" t="str">
        <f t="shared" si="5"/>
        <v>PRJNA597162</v>
      </c>
      <c r="E254" s="26" t="str">
        <f>HYPERLINK("https://www.ncbi.nlm.nih.gov/biosample/13668215", "SAMN13668215")</f>
        <v>SAMN13668215</v>
      </c>
      <c r="F254" s="26" t="str">
        <f>HYPERLINK("https://trace.ncbi.nlm.nih.gov/Traces/sra/?run=SRR10755353", "SRR10755353")</f>
        <v>SRR10755353</v>
      </c>
      <c r="G254" t="s">
        <v>1247</v>
      </c>
      <c r="H254" t="s">
        <v>1248</v>
      </c>
    </row>
    <row r="255" spans="1:8" x14ac:dyDescent="0.2">
      <c r="A255" t="s">
        <v>694</v>
      </c>
      <c r="B255" t="s">
        <v>366</v>
      </c>
      <c r="C255" t="s">
        <v>1139</v>
      </c>
      <c r="D255" s="26" t="str">
        <f t="shared" si="5"/>
        <v>PRJNA597162</v>
      </c>
      <c r="E255" s="26" t="str">
        <f>HYPERLINK("https://www.ncbi.nlm.nih.gov/biosample/13668218", "SAMN13668218")</f>
        <v>SAMN13668218</v>
      </c>
      <c r="F255" s="26" t="str">
        <f>HYPERLINK("https://trace.ncbi.nlm.nih.gov/Traces/sra/?run=SRR10755350", "SRR10755350")</f>
        <v>SRR10755350</v>
      </c>
      <c r="G255" t="s">
        <v>1249</v>
      </c>
      <c r="H255" t="s">
        <v>1250</v>
      </c>
    </row>
    <row r="256" spans="1:8" x14ac:dyDescent="0.2">
      <c r="A256" t="s">
        <v>534</v>
      </c>
      <c r="B256" t="s">
        <v>367</v>
      </c>
      <c r="C256" t="s">
        <v>1139</v>
      </c>
      <c r="D256" s="26" t="str">
        <f t="shared" si="5"/>
        <v>PRJNA597162</v>
      </c>
      <c r="E256" s="26" t="str">
        <f>HYPERLINK("https://www.ncbi.nlm.nih.gov/biosample/13668220", "SAMN13668220")</f>
        <v>SAMN13668220</v>
      </c>
      <c r="F256" s="26" t="str">
        <f>HYPERLINK("https://trace.ncbi.nlm.nih.gov/Traces/sra/?run=SRR10755348", "SRR10755348")</f>
        <v>SRR10755348</v>
      </c>
      <c r="G256" t="s">
        <v>1252</v>
      </c>
      <c r="H256" t="s">
        <v>1253</v>
      </c>
    </row>
    <row r="257" spans="1:8" x14ac:dyDescent="0.2">
      <c r="A257" t="s">
        <v>774</v>
      </c>
      <c r="B257" t="s">
        <v>368</v>
      </c>
      <c r="C257" t="s">
        <v>1139</v>
      </c>
      <c r="D257" s="26" t="str">
        <f t="shared" si="5"/>
        <v>PRJNA597162</v>
      </c>
      <c r="E257" s="26" t="str">
        <f>HYPERLINK("https://www.ncbi.nlm.nih.gov/biosample/13668217", "SAMN13668217")</f>
        <v>SAMN13668217</v>
      </c>
      <c r="F257" s="26" t="str">
        <f>HYPERLINK("https://trace.ncbi.nlm.nih.gov/Traces/sra/?run=SRR10755351", "SRR10755351")</f>
        <v>SRR10755351</v>
      </c>
      <c r="G257" t="s">
        <v>1254</v>
      </c>
      <c r="H257" t="s">
        <v>1255</v>
      </c>
    </row>
    <row r="258" spans="1:8" x14ac:dyDescent="0.2">
      <c r="A258" t="s">
        <v>614</v>
      </c>
      <c r="B258" t="s">
        <v>369</v>
      </c>
      <c r="C258" t="s">
        <v>1139</v>
      </c>
      <c r="D258" s="26" t="str">
        <f t="shared" si="5"/>
        <v>PRJNA597162</v>
      </c>
      <c r="E258" s="26" t="str">
        <f>HYPERLINK("https://www.ncbi.nlm.nih.gov/biosample/13668219", "SAMN13668219")</f>
        <v>SAMN13668219</v>
      </c>
      <c r="F258" s="26" t="str">
        <f>HYPERLINK("https://trace.ncbi.nlm.nih.gov/Traces/sra/?run=SRR10755349", "SRR10755349")</f>
        <v>SRR10755349</v>
      </c>
      <c r="G258" t="s">
        <v>1256</v>
      </c>
      <c r="H258" t="s">
        <v>1257</v>
      </c>
    </row>
    <row r="259" spans="1:8" x14ac:dyDescent="0.2">
      <c r="A259" t="s">
        <v>755</v>
      </c>
      <c r="B259" t="s">
        <v>370</v>
      </c>
      <c r="C259" t="s">
        <v>1139</v>
      </c>
      <c r="D259" s="26" t="str">
        <f t="shared" si="5"/>
        <v>PRJNA597162</v>
      </c>
      <c r="E259" s="26" t="str">
        <f>HYPERLINK("https://www.ncbi.nlm.nih.gov/biosample/13668206", "SAMN13668206")</f>
        <v>SAMN13668206</v>
      </c>
      <c r="F259" s="26" t="str">
        <f>HYPERLINK("https://trace.ncbi.nlm.nih.gov/Traces/sra/?run=SRR10755354", "SRR10755354")</f>
        <v>SRR10755354</v>
      </c>
      <c r="G259" t="s">
        <v>1193</v>
      </c>
      <c r="H259" t="s">
        <v>1194</v>
      </c>
    </row>
    <row r="260" spans="1:8" x14ac:dyDescent="0.2">
      <c r="A260" t="s">
        <v>595</v>
      </c>
      <c r="B260" t="s">
        <v>371</v>
      </c>
      <c r="C260" t="s">
        <v>1139</v>
      </c>
      <c r="D260" s="26" t="str">
        <f t="shared" si="5"/>
        <v>PRJNA597162</v>
      </c>
      <c r="E260" s="26" t="str">
        <f>HYPERLINK("https://www.ncbi.nlm.nih.gov/biosample/13668208", "SAMN13668208")</f>
        <v>SAMN13668208</v>
      </c>
      <c r="F260" s="26" t="str">
        <f>HYPERLINK("https://trace.ncbi.nlm.nih.gov/Traces/sra/?run=SRR10755332", "SRR10755332")</f>
        <v>SRR10755332</v>
      </c>
      <c r="G260" t="s">
        <v>1196</v>
      </c>
      <c r="H260" t="s">
        <v>1197</v>
      </c>
    </row>
    <row r="261" spans="1:8" x14ac:dyDescent="0.2">
      <c r="A261" t="s">
        <v>835</v>
      </c>
      <c r="B261" t="s">
        <v>372</v>
      </c>
      <c r="C261" t="s">
        <v>1139</v>
      </c>
      <c r="D261" s="26" t="str">
        <f t="shared" si="5"/>
        <v>PRJNA597162</v>
      </c>
      <c r="E261" s="26" t="str">
        <f>HYPERLINK("https://www.ncbi.nlm.nih.gov/biosample/13668205", "SAMN13668205")</f>
        <v>SAMN13668205</v>
      </c>
      <c r="F261" s="26" t="str">
        <f>HYPERLINK("https://trace.ncbi.nlm.nih.gov/Traces/sra/?run=SRR10755355", "SRR10755355")</f>
        <v>SRR10755355</v>
      </c>
      <c r="G261" t="s">
        <v>1198</v>
      </c>
      <c r="H261" t="s">
        <v>1199</v>
      </c>
    </row>
    <row r="262" spans="1:8" x14ac:dyDescent="0.2">
      <c r="A262" t="s">
        <v>675</v>
      </c>
      <c r="B262" t="s">
        <v>373</v>
      </c>
      <c r="C262" t="s">
        <v>1139</v>
      </c>
      <c r="D262" s="26" t="str">
        <f t="shared" si="5"/>
        <v>PRJNA597162</v>
      </c>
      <c r="E262" s="26" t="str">
        <f>HYPERLINK("https://www.ncbi.nlm.nih.gov/biosample/13668207", "SAMN13668207")</f>
        <v>SAMN13668207</v>
      </c>
      <c r="F262" s="26" t="str">
        <f>HYPERLINK("https://trace.ncbi.nlm.nih.gov/Traces/sra/?run=SRR10755343", "SRR10755343")</f>
        <v>SRR10755343</v>
      </c>
      <c r="G262" t="s">
        <v>1200</v>
      </c>
      <c r="H262" t="s">
        <v>1201</v>
      </c>
    </row>
    <row r="263" spans="1:8" x14ac:dyDescent="0.2">
      <c r="A263" t="s">
        <v>754</v>
      </c>
      <c r="B263" t="s">
        <v>374</v>
      </c>
      <c r="C263" t="s">
        <v>1139</v>
      </c>
      <c r="D263" s="26" t="str">
        <f t="shared" si="5"/>
        <v>PRJNA597162</v>
      </c>
      <c r="E263" s="26" t="str">
        <f>HYPERLINK("https://www.ncbi.nlm.nih.gov/biosample/13668210", "SAMN13668210")</f>
        <v>SAMN13668210</v>
      </c>
      <c r="F263" s="26" t="str">
        <f>HYPERLINK("https://trace.ncbi.nlm.nih.gov/Traces/sra/?run=SRR10755310", "SRR10755310")</f>
        <v>SRR10755310</v>
      </c>
      <c r="G263" t="s">
        <v>1184</v>
      </c>
      <c r="H263" t="s">
        <v>1185</v>
      </c>
    </row>
    <row r="264" spans="1:8" x14ac:dyDescent="0.2">
      <c r="A264" t="s">
        <v>594</v>
      </c>
      <c r="B264" t="s">
        <v>375</v>
      </c>
      <c r="C264" t="s">
        <v>1139</v>
      </c>
      <c r="D264" s="26" t="str">
        <f t="shared" si="5"/>
        <v>PRJNA597162</v>
      </c>
      <c r="E264" s="26" t="str">
        <f>HYPERLINK("https://www.ncbi.nlm.nih.gov/biosample/13668212", "SAMN13668212")</f>
        <v>SAMN13668212</v>
      </c>
      <c r="F264" s="26" t="str">
        <f>HYPERLINK("https://trace.ncbi.nlm.nih.gov/Traces/sra/?run=SRR10755294", "SRR10755294")</f>
        <v>SRR10755294</v>
      </c>
      <c r="G264" t="s">
        <v>1187</v>
      </c>
      <c r="H264" t="s">
        <v>1188</v>
      </c>
    </row>
    <row r="265" spans="1:8" x14ac:dyDescent="0.2">
      <c r="A265" t="s">
        <v>834</v>
      </c>
      <c r="B265" t="s">
        <v>376</v>
      </c>
      <c r="C265" t="s">
        <v>1139</v>
      </c>
      <c r="D265" s="26" t="str">
        <f t="shared" si="5"/>
        <v>PRJNA597162</v>
      </c>
      <c r="E265" s="26" t="str">
        <f>HYPERLINK("https://www.ncbi.nlm.nih.gov/biosample/13668209", "SAMN13668209")</f>
        <v>SAMN13668209</v>
      </c>
      <c r="F265" s="26" t="str">
        <f>HYPERLINK("https://trace.ncbi.nlm.nih.gov/Traces/sra/?run=SRR10755321", "SRR10755321")</f>
        <v>SRR10755321</v>
      </c>
      <c r="G265" t="s">
        <v>1189</v>
      </c>
      <c r="H265" t="s">
        <v>1190</v>
      </c>
    </row>
    <row r="266" spans="1:8" x14ac:dyDescent="0.2">
      <c r="A266" t="s">
        <v>674</v>
      </c>
      <c r="B266" t="s">
        <v>377</v>
      </c>
      <c r="C266" t="s">
        <v>1139</v>
      </c>
      <c r="D266" s="26" t="str">
        <f t="shared" si="5"/>
        <v>PRJNA597162</v>
      </c>
      <c r="E266" s="26" t="str">
        <f>HYPERLINK("https://www.ncbi.nlm.nih.gov/biosample/13668211", "SAMN13668211")</f>
        <v>SAMN13668211</v>
      </c>
      <c r="F266" s="26" t="str">
        <f>HYPERLINK("https://trace.ncbi.nlm.nih.gov/Traces/sra/?run=SRR10755299", "SRR10755299")</f>
        <v>SRR10755299</v>
      </c>
      <c r="G266" t="s">
        <v>1191</v>
      </c>
      <c r="H266" t="s">
        <v>1192</v>
      </c>
    </row>
    <row r="267" spans="1:8" x14ac:dyDescent="0.2">
      <c r="A267" t="s">
        <v>744</v>
      </c>
      <c r="B267" t="s">
        <v>378</v>
      </c>
      <c r="C267" t="s">
        <v>1139</v>
      </c>
      <c r="D267" s="26" t="str">
        <f t="shared" si="5"/>
        <v>PRJNA597162</v>
      </c>
      <c r="E267" s="26" t="str">
        <f>HYPERLINK("https://www.ncbi.nlm.nih.gov/biosample/13668222", "SAMN13668222")</f>
        <v>SAMN13668222</v>
      </c>
      <c r="F267" s="26" t="str">
        <f>HYPERLINK("https://trace.ncbi.nlm.nih.gov/Traces/sra/?run=SRR10755346", "SRR10755346")</f>
        <v>SRR10755346</v>
      </c>
      <c r="G267" t="s">
        <v>1258</v>
      </c>
      <c r="H267" t="s">
        <v>1259</v>
      </c>
    </row>
    <row r="268" spans="1:8" x14ac:dyDescent="0.2">
      <c r="A268" t="s">
        <v>584</v>
      </c>
      <c r="B268" t="s">
        <v>379</v>
      </c>
      <c r="C268" t="s">
        <v>1139</v>
      </c>
      <c r="D268" s="26" t="str">
        <f t="shared" si="5"/>
        <v>PRJNA597162</v>
      </c>
      <c r="E268" s="26" t="str">
        <f>HYPERLINK("https://www.ncbi.nlm.nih.gov/biosample/13668224", "SAMN13668224")</f>
        <v>SAMN13668224</v>
      </c>
      <c r="F268" s="26" t="str">
        <f>HYPERLINK("https://trace.ncbi.nlm.nih.gov/Traces/sra/?run=SRR10755344", "SRR10755344")</f>
        <v>SRR10755344</v>
      </c>
      <c r="G268" t="s">
        <v>1261</v>
      </c>
      <c r="H268" t="s">
        <v>1262</v>
      </c>
    </row>
    <row r="269" spans="1:8" x14ac:dyDescent="0.2">
      <c r="A269" t="s">
        <v>824</v>
      </c>
      <c r="B269" t="s">
        <v>380</v>
      </c>
      <c r="C269" t="s">
        <v>1139</v>
      </c>
      <c r="D269" s="26" t="str">
        <f t="shared" si="5"/>
        <v>PRJNA597162</v>
      </c>
      <c r="E269" s="26" t="str">
        <f>HYPERLINK("https://www.ncbi.nlm.nih.gov/biosample/13668221", "SAMN13668221")</f>
        <v>SAMN13668221</v>
      </c>
      <c r="F269" s="26" t="str">
        <f>HYPERLINK("https://trace.ncbi.nlm.nih.gov/Traces/sra/?run=SRR10755347", "SRR10755347")</f>
        <v>SRR10755347</v>
      </c>
      <c r="G269" t="s">
        <v>1264</v>
      </c>
      <c r="H269" t="s">
        <v>1265</v>
      </c>
    </row>
    <row r="270" spans="1:8" x14ac:dyDescent="0.2">
      <c r="A270" t="s">
        <v>664</v>
      </c>
      <c r="B270" t="s">
        <v>381</v>
      </c>
      <c r="C270" t="s">
        <v>1139</v>
      </c>
      <c r="D270" s="26" t="str">
        <f t="shared" si="5"/>
        <v>PRJNA597162</v>
      </c>
      <c r="E270" s="26" t="str">
        <f>HYPERLINK("https://www.ncbi.nlm.nih.gov/biosample/13668223", "SAMN13668223")</f>
        <v>SAMN13668223</v>
      </c>
      <c r="F270" s="26" t="str">
        <f>HYPERLINK("https://trace.ncbi.nlm.nih.gov/Traces/sra/?run=SRR10755345", "SRR10755345")</f>
        <v>SRR10755345</v>
      </c>
      <c r="G270" t="s">
        <v>1266</v>
      </c>
      <c r="H270" t="s">
        <v>1267</v>
      </c>
    </row>
    <row r="271" spans="1:8" x14ac:dyDescent="0.2">
      <c r="A271" t="s">
        <v>736</v>
      </c>
      <c r="B271" t="s">
        <v>382</v>
      </c>
      <c r="C271" t="s">
        <v>1139</v>
      </c>
      <c r="D271" s="26" t="str">
        <f t="shared" si="5"/>
        <v>PRJNA597162</v>
      </c>
      <c r="E271" s="26" t="str">
        <f>HYPERLINK("https://www.ncbi.nlm.nih.gov/biosample/13668226", "SAMN13668226")</f>
        <v>SAMN13668226</v>
      </c>
      <c r="F271" s="26" t="str">
        <f>HYPERLINK("https://trace.ncbi.nlm.nih.gov/Traces/sra/?run=SRR10755341", "SRR10755341")</f>
        <v>SRR10755341</v>
      </c>
      <c r="G271" t="s">
        <v>1268</v>
      </c>
      <c r="H271" t="s">
        <v>1269</v>
      </c>
    </row>
    <row r="272" spans="1:8" x14ac:dyDescent="0.2">
      <c r="A272" t="s">
        <v>576</v>
      </c>
      <c r="B272" t="s">
        <v>383</v>
      </c>
      <c r="C272" t="s">
        <v>1139</v>
      </c>
      <c r="D272" s="26" t="str">
        <f t="shared" si="5"/>
        <v>PRJNA597162</v>
      </c>
      <c r="E272" s="26" t="str">
        <f>HYPERLINK("https://www.ncbi.nlm.nih.gov/biosample/13668228", "SAMN13668228")</f>
        <v>SAMN13668228</v>
      </c>
      <c r="F272" s="26" t="str">
        <f>HYPERLINK("https://trace.ncbi.nlm.nih.gov/Traces/sra/?run=SRR10755339", "SRR10755339")</f>
        <v>SRR10755339</v>
      </c>
      <c r="G272" t="s">
        <v>1271</v>
      </c>
      <c r="H272" t="s">
        <v>1272</v>
      </c>
    </row>
    <row r="273" spans="1:8" x14ac:dyDescent="0.2">
      <c r="A273" t="s">
        <v>816</v>
      </c>
      <c r="B273" t="s">
        <v>384</v>
      </c>
      <c r="C273" t="s">
        <v>1139</v>
      </c>
      <c r="D273" s="26" t="str">
        <f t="shared" si="5"/>
        <v>PRJNA597162</v>
      </c>
      <c r="E273" s="26" t="str">
        <f>HYPERLINK("https://www.ncbi.nlm.nih.gov/biosample/13668225", "SAMN13668225")</f>
        <v>SAMN13668225</v>
      </c>
      <c r="F273" s="26" t="str">
        <f>HYPERLINK("https://trace.ncbi.nlm.nih.gov/Traces/sra/?run=SRR10755342", "SRR10755342")</f>
        <v>SRR10755342</v>
      </c>
      <c r="G273" t="s">
        <v>1274</v>
      </c>
      <c r="H273" t="s">
        <v>1275</v>
      </c>
    </row>
    <row r="274" spans="1:8" x14ac:dyDescent="0.2">
      <c r="A274" t="s">
        <v>656</v>
      </c>
      <c r="B274" t="s">
        <v>385</v>
      </c>
      <c r="C274" t="s">
        <v>1139</v>
      </c>
      <c r="D274" s="26" t="str">
        <f t="shared" si="5"/>
        <v>PRJNA597162</v>
      </c>
      <c r="E274" s="26" t="str">
        <f>HYPERLINK("https://www.ncbi.nlm.nih.gov/biosample/13668227", "SAMN13668227")</f>
        <v>SAMN13668227</v>
      </c>
      <c r="F274" s="26" t="str">
        <f>HYPERLINK("https://trace.ncbi.nlm.nih.gov/Traces/sra/?run=SRR10755340", "SRR10755340")</f>
        <v>SRR10755340</v>
      </c>
      <c r="G274" t="s">
        <v>1276</v>
      </c>
      <c r="H274" t="s">
        <v>1277</v>
      </c>
    </row>
    <row r="275" spans="1:8" x14ac:dyDescent="0.2">
      <c r="A275" t="s">
        <v>734</v>
      </c>
      <c r="B275" t="s">
        <v>386</v>
      </c>
      <c r="C275" t="s">
        <v>1139</v>
      </c>
      <c r="D275" s="26" t="str">
        <f t="shared" si="5"/>
        <v>PRJNA597162</v>
      </c>
      <c r="E275" s="26" t="str">
        <f>HYPERLINK("https://www.ncbi.nlm.nih.gov/biosample/13668226", "SAMN13668226")</f>
        <v>SAMN13668226</v>
      </c>
      <c r="F275" s="26" t="str">
        <f>HYPERLINK("https://trace.ncbi.nlm.nih.gov/Traces/sra/?run=SRR10755341", "SRR10755341")</f>
        <v>SRR10755341</v>
      </c>
      <c r="G275" t="s">
        <v>1287</v>
      </c>
      <c r="H275" t="s">
        <v>1288</v>
      </c>
    </row>
    <row r="276" spans="1:8" x14ac:dyDescent="0.2">
      <c r="A276" t="s">
        <v>574</v>
      </c>
      <c r="B276" t="s">
        <v>387</v>
      </c>
      <c r="C276" t="s">
        <v>1139</v>
      </c>
      <c r="D276" s="26" t="str">
        <f t="shared" si="5"/>
        <v>PRJNA597162</v>
      </c>
      <c r="E276" s="26" t="str">
        <f>HYPERLINK("https://www.ncbi.nlm.nih.gov/biosample/13668228", "SAMN13668228")</f>
        <v>SAMN13668228</v>
      </c>
      <c r="F276" s="26" t="str">
        <f>HYPERLINK("https://trace.ncbi.nlm.nih.gov/Traces/sra/?run=SRR10755339", "SRR10755339")</f>
        <v>SRR10755339</v>
      </c>
      <c r="G276" t="s">
        <v>1290</v>
      </c>
      <c r="H276" t="s">
        <v>1291</v>
      </c>
    </row>
    <row r="277" spans="1:8" x14ac:dyDescent="0.2">
      <c r="A277" t="s">
        <v>814</v>
      </c>
      <c r="B277" t="s">
        <v>388</v>
      </c>
      <c r="C277" t="s">
        <v>1139</v>
      </c>
      <c r="D277" s="26" t="str">
        <f t="shared" si="5"/>
        <v>PRJNA597162</v>
      </c>
      <c r="E277" s="26" t="str">
        <f>HYPERLINK("https://www.ncbi.nlm.nih.gov/biosample/13668225", "SAMN13668225")</f>
        <v>SAMN13668225</v>
      </c>
      <c r="F277" s="26" t="str">
        <f>HYPERLINK("https://trace.ncbi.nlm.nih.gov/Traces/sra/?run=SRR10755342", "SRR10755342")</f>
        <v>SRR10755342</v>
      </c>
      <c r="G277" t="s">
        <v>1292</v>
      </c>
      <c r="H277" t="s">
        <v>1293</v>
      </c>
    </row>
    <row r="278" spans="1:8" x14ac:dyDescent="0.2">
      <c r="A278" t="s">
        <v>654</v>
      </c>
      <c r="B278" t="s">
        <v>389</v>
      </c>
      <c r="C278" t="s">
        <v>1139</v>
      </c>
      <c r="D278" s="26" t="str">
        <f t="shared" si="5"/>
        <v>PRJNA597162</v>
      </c>
      <c r="E278" s="26" t="str">
        <f>HYPERLINK("https://www.ncbi.nlm.nih.gov/biosample/13668227", "SAMN13668227")</f>
        <v>SAMN13668227</v>
      </c>
      <c r="F278" s="26" t="str">
        <f>HYPERLINK("https://trace.ncbi.nlm.nih.gov/Traces/sra/?run=SRR10755340", "SRR10755340")</f>
        <v>SRR10755340</v>
      </c>
      <c r="G278" t="s">
        <v>1294</v>
      </c>
      <c r="H278" t="s">
        <v>1295</v>
      </c>
    </row>
    <row r="279" spans="1:8" x14ac:dyDescent="0.2">
      <c r="A279" t="s">
        <v>733</v>
      </c>
      <c r="B279" t="s">
        <v>390</v>
      </c>
      <c r="C279" t="s">
        <v>1139</v>
      </c>
      <c r="D279" s="26" t="str">
        <f t="shared" si="5"/>
        <v>PRJNA597162</v>
      </c>
      <c r="E279" s="26" t="str">
        <f>HYPERLINK("https://www.ncbi.nlm.nih.gov/biosample/13668222", "SAMN13668222")</f>
        <v>SAMN13668222</v>
      </c>
      <c r="F279" s="26" t="str">
        <f>HYPERLINK("https://trace.ncbi.nlm.nih.gov/Traces/sra/?run=SRR10755346", "SRR10755346")</f>
        <v>SRR10755346</v>
      </c>
      <c r="G279" t="s">
        <v>1278</v>
      </c>
      <c r="H279" t="s">
        <v>1279</v>
      </c>
    </row>
    <row r="280" spans="1:8" x14ac:dyDescent="0.2">
      <c r="A280" t="s">
        <v>573</v>
      </c>
      <c r="B280" t="s">
        <v>391</v>
      </c>
      <c r="C280" t="s">
        <v>1139</v>
      </c>
      <c r="D280" s="26" t="str">
        <f t="shared" si="5"/>
        <v>PRJNA597162</v>
      </c>
      <c r="E280" s="26" t="str">
        <f>HYPERLINK("https://www.ncbi.nlm.nih.gov/biosample/13668224", "SAMN13668224")</f>
        <v>SAMN13668224</v>
      </c>
      <c r="F280" s="26" t="str">
        <f>HYPERLINK("https://trace.ncbi.nlm.nih.gov/Traces/sra/?run=SRR10755344", "SRR10755344")</f>
        <v>SRR10755344</v>
      </c>
      <c r="G280" t="s">
        <v>1281</v>
      </c>
      <c r="H280" t="s">
        <v>1282</v>
      </c>
    </row>
    <row r="281" spans="1:8" x14ac:dyDescent="0.2">
      <c r="A281" t="s">
        <v>813</v>
      </c>
      <c r="B281" t="s">
        <v>392</v>
      </c>
      <c r="C281" t="s">
        <v>1139</v>
      </c>
      <c r="D281" s="26" t="str">
        <f t="shared" si="5"/>
        <v>PRJNA597162</v>
      </c>
      <c r="E281" s="26" t="str">
        <f>HYPERLINK("https://www.ncbi.nlm.nih.gov/biosample/13668221", "SAMN13668221")</f>
        <v>SAMN13668221</v>
      </c>
      <c r="F281" s="26" t="str">
        <f>HYPERLINK("https://trace.ncbi.nlm.nih.gov/Traces/sra/?run=SRR10755347", "SRR10755347")</f>
        <v>SRR10755347</v>
      </c>
      <c r="G281" t="s">
        <v>1283</v>
      </c>
      <c r="H281" t="s">
        <v>1284</v>
      </c>
    </row>
    <row r="282" spans="1:8" x14ac:dyDescent="0.2">
      <c r="A282" t="s">
        <v>653</v>
      </c>
      <c r="B282" t="s">
        <v>393</v>
      </c>
      <c r="C282" t="s">
        <v>1139</v>
      </c>
      <c r="D282" s="26" t="str">
        <f t="shared" si="5"/>
        <v>PRJNA597162</v>
      </c>
      <c r="E282" s="26" t="str">
        <f>HYPERLINK("https://www.ncbi.nlm.nih.gov/biosample/13668223", "SAMN13668223")</f>
        <v>SAMN13668223</v>
      </c>
      <c r="F282" s="26" t="str">
        <f>HYPERLINK("https://trace.ncbi.nlm.nih.gov/Traces/sra/?run=SRR10755345", "SRR10755345")</f>
        <v>SRR10755345</v>
      </c>
      <c r="G282" t="s">
        <v>1285</v>
      </c>
      <c r="H282" t="s">
        <v>1286</v>
      </c>
    </row>
    <row r="283" spans="1:8" x14ac:dyDescent="0.2">
      <c r="A283" t="s">
        <v>716</v>
      </c>
      <c r="B283" t="s">
        <v>394</v>
      </c>
      <c r="C283" t="s">
        <v>1139</v>
      </c>
      <c r="D283" s="26" t="str">
        <f t="shared" ref="D283:D314" si="6">HYPERLINK("https://www.ncbi.nlm.nih.gov/bioproject/PRJNA597162", "PRJNA597162")</f>
        <v>PRJNA597162</v>
      </c>
      <c r="E283" s="26" t="str">
        <f>HYPERLINK("https://www.ncbi.nlm.nih.gov/biosample/13668234", "SAMN13668234")</f>
        <v>SAMN13668234</v>
      </c>
      <c r="F283" s="26" t="str">
        <f>HYPERLINK("https://trace.ncbi.nlm.nih.gov/Traces/sra/?run=SRR10755333", "SRR10755333")</f>
        <v>SRR10755333</v>
      </c>
      <c r="G283" t="s">
        <v>1314</v>
      </c>
      <c r="H283" t="s">
        <v>1315</v>
      </c>
    </row>
    <row r="284" spans="1:8" x14ac:dyDescent="0.2">
      <c r="A284" t="s">
        <v>556</v>
      </c>
      <c r="B284" t="s">
        <v>395</v>
      </c>
      <c r="C284" t="s">
        <v>1139</v>
      </c>
      <c r="D284" s="26" t="str">
        <f t="shared" si="6"/>
        <v>PRJNA597162</v>
      </c>
      <c r="E284" s="26" t="str">
        <f>HYPERLINK("https://www.ncbi.nlm.nih.gov/biosample/13668236", "SAMN13668236")</f>
        <v>SAMN13668236</v>
      </c>
      <c r="F284" s="26" t="str">
        <f>HYPERLINK("https://trace.ncbi.nlm.nih.gov/Traces/sra/?run=SRR10755330", "SRR10755330")</f>
        <v>SRR10755330</v>
      </c>
      <c r="G284" t="s">
        <v>1317</v>
      </c>
      <c r="H284" t="s">
        <v>1318</v>
      </c>
    </row>
    <row r="285" spans="1:8" x14ac:dyDescent="0.2">
      <c r="A285" t="s">
        <v>796</v>
      </c>
      <c r="B285" t="s">
        <v>396</v>
      </c>
      <c r="C285" t="s">
        <v>1139</v>
      </c>
      <c r="D285" s="26" t="str">
        <f t="shared" si="6"/>
        <v>PRJNA597162</v>
      </c>
      <c r="E285" s="26" t="str">
        <f>HYPERLINK("https://www.ncbi.nlm.nih.gov/biosample/13668233", "SAMN13668233")</f>
        <v>SAMN13668233</v>
      </c>
      <c r="F285" s="26" t="str">
        <f>HYPERLINK("https://trace.ncbi.nlm.nih.gov/Traces/sra/?run=SRR10755334", "SRR10755334")</f>
        <v>SRR10755334</v>
      </c>
      <c r="G285" t="s">
        <v>1320</v>
      </c>
      <c r="H285" t="s">
        <v>1321</v>
      </c>
    </row>
    <row r="286" spans="1:8" x14ac:dyDescent="0.2">
      <c r="A286" t="s">
        <v>636</v>
      </c>
      <c r="B286" t="s">
        <v>397</v>
      </c>
      <c r="C286" t="s">
        <v>1139</v>
      </c>
      <c r="D286" s="26" t="str">
        <f t="shared" si="6"/>
        <v>PRJNA597162</v>
      </c>
      <c r="E286" s="26" t="str">
        <f>HYPERLINK("https://www.ncbi.nlm.nih.gov/biosample/13668235", "SAMN13668235")</f>
        <v>SAMN13668235</v>
      </c>
      <c r="F286" s="26" t="str">
        <f>HYPERLINK("https://trace.ncbi.nlm.nih.gov/Traces/sra/?run=SRR10755331", "SRR10755331")</f>
        <v>SRR10755331</v>
      </c>
      <c r="G286" t="s">
        <v>1322</v>
      </c>
      <c r="H286" t="s">
        <v>1323</v>
      </c>
    </row>
    <row r="287" spans="1:8" x14ac:dyDescent="0.2">
      <c r="A287" t="s">
        <v>714</v>
      </c>
      <c r="B287" t="s">
        <v>398</v>
      </c>
      <c r="C287" t="s">
        <v>1139</v>
      </c>
      <c r="D287" s="26" t="str">
        <f t="shared" si="6"/>
        <v>PRJNA597162</v>
      </c>
      <c r="E287" s="26" t="str">
        <f>HYPERLINK("https://www.ncbi.nlm.nih.gov/biosample/13668230", "SAMN13668230")</f>
        <v>SAMN13668230</v>
      </c>
      <c r="F287" s="26" t="str">
        <f>HYPERLINK("https://trace.ncbi.nlm.nih.gov/Traces/sra/?run=SRR10755337", "SRR10755337")</f>
        <v>SRR10755337</v>
      </c>
      <c r="G287" t="s">
        <v>1324</v>
      </c>
      <c r="H287" t="s">
        <v>1325</v>
      </c>
    </row>
    <row r="288" spans="1:8" x14ac:dyDescent="0.2">
      <c r="A288" t="s">
        <v>554</v>
      </c>
      <c r="B288" t="s">
        <v>399</v>
      </c>
      <c r="C288" t="s">
        <v>1139</v>
      </c>
      <c r="D288" s="26" t="str">
        <f t="shared" si="6"/>
        <v>PRJNA597162</v>
      </c>
      <c r="E288" s="26" t="str">
        <f>HYPERLINK("https://www.ncbi.nlm.nih.gov/biosample/13668232", "SAMN13668232")</f>
        <v>SAMN13668232</v>
      </c>
      <c r="F288" s="26" t="str">
        <f>HYPERLINK("https://trace.ncbi.nlm.nih.gov/Traces/sra/?run=SRR10755335", "SRR10755335")</f>
        <v>SRR10755335</v>
      </c>
      <c r="G288" t="s">
        <v>1327</v>
      </c>
      <c r="H288" t="s">
        <v>1328</v>
      </c>
    </row>
    <row r="289" spans="1:8" x14ac:dyDescent="0.2">
      <c r="A289" t="s">
        <v>794</v>
      </c>
      <c r="B289" t="s">
        <v>400</v>
      </c>
      <c r="C289" t="s">
        <v>1139</v>
      </c>
      <c r="D289" s="26" t="str">
        <f t="shared" si="6"/>
        <v>PRJNA597162</v>
      </c>
      <c r="E289" s="26" t="str">
        <f>HYPERLINK("https://www.ncbi.nlm.nih.gov/biosample/13668229", "SAMN13668229")</f>
        <v>SAMN13668229</v>
      </c>
      <c r="F289" s="26" t="str">
        <f>HYPERLINK("https://trace.ncbi.nlm.nih.gov/Traces/sra/?run=SRR10755338", "SRR10755338")</f>
        <v>SRR10755338</v>
      </c>
      <c r="G289" t="s">
        <v>1330</v>
      </c>
      <c r="H289" t="s">
        <v>1331</v>
      </c>
    </row>
    <row r="290" spans="1:8" x14ac:dyDescent="0.2">
      <c r="A290" t="s">
        <v>634</v>
      </c>
      <c r="B290" t="s">
        <v>401</v>
      </c>
      <c r="C290" t="s">
        <v>1139</v>
      </c>
      <c r="D290" s="26" t="str">
        <f t="shared" si="6"/>
        <v>PRJNA597162</v>
      </c>
      <c r="E290" s="26" t="str">
        <f>HYPERLINK("https://www.ncbi.nlm.nih.gov/biosample/13668231", "SAMN13668231")</f>
        <v>SAMN13668231</v>
      </c>
      <c r="F290" s="26" t="str">
        <f>HYPERLINK("https://trace.ncbi.nlm.nih.gov/Traces/sra/?run=SRR10755336", "SRR10755336")</f>
        <v>SRR10755336</v>
      </c>
      <c r="G290" t="s">
        <v>1332</v>
      </c>
      <c r="H290" t="s">
        <v>1333</v>
      </c>
    </row>
    <row r="291" spans="1:8" x14ac:dyDescent="0.2">
      <c r="A291" t="s">
        <v>703</v>
      </c>
      <c r="B291" t="s">
        <v>402</v>
      </c>
      <c r="C291" t="s">
        <v>1139</v>
      </c>
      <c r="D291" s="26" t="str">
        <f t="shared" si="6"/>
        <v>PRJNA597162</v>
      </c>
      <c r="E291" s="26" t="str">
        <f>HYPERLINK("https://www.ncbi.nlm.nih.gov/biosample/13668234", "SAMN13668234")</f>
        <v>SAMN13668234</v>
      </c>
      <c r="F291" s="26" t="str">
        <f>HYPERLINK("https://trace.ncbi.nlm.nih.gov/Traces/sra/?run=SRR10755333", "SRR10755333")</f>
        <v>SRR10755333</v>
      </c>
      <c r="G291" t="s">
        <v>1334</v>
      </c>
      <c r="H291" t="s">
        <v>1335</v>
      </c>
    </row>
    <row r="292" spans="1:8" x14ac:dyDescent="0.2">
      <c r="A292" t="s">
        <v>543</v>
      </c>
      <c r="B292" t="s">
        <v>403</v>
      </c>
      <c r="C292" t="s">
        <v>1139</v>
      </c>
      <c r="D292" s="26" t="str">
        <f t="shared" si="6"/>
        <v>PRJNA597162</v>
      </c>
      <c r="E292" s="26" t="str">
        <f>HYPERLINK("https://www.ncbi.nlm.nih.gov/biosample/13668236", "SAMN13668236")</f>
        <v>SAMN13668236</v>
      </c>
      <c r="F292" s="26" t="str">
        <f>HYPERLINK("https://trace.ncbi.nlm.nih.gov/Traces/sra/?run=SRR10755330", "SRR10755330")</f>
        <v>SRR10755330</v>
      </c>
      <c r="G292" t="s">
        <v>1337</v>
      </c>
      <c r="H292" t="s">
        <v>1338</v>
      </c>
    </row>
    <row r="293" spans="1:8" x14ac:dyDescent="0.2">
      <c r="A293" t="s">
        <v>783</v>
      </c>
      <c r="B293" t="s">
        <v>404</v>
      </c>
      <c r="C293" t="s">
        <v>1139</v>
      </c>
      <c r="D293" s="26" t="str">
        <f t="shared" si="6"/>
        <v>PRJNA597162</v>
      </c>
      <c r="E293" s="26" t="str">
        <f>HYPERLINK("https://www.ncbi.nlm.nih.gov/biosample/13668233", "SAMN13668233")</f>
        <v>SAMN13668233</v>
      </c>
      <c r="F293" s="26" t="str">
        <f>HYPERLINK("https://trace.ncbi.nlm.nih.gov/Traces/sra/?run=SRR10755334", "SRR10755334")</f>
        <v>SRR10755334</v>
      </c>
      <c r="G293" t="s">
        <v>1339</v>
      </c>
      <c r="H293" t="s">
        <v>1340</v>
      </c>
    </row>
    <row r="294" spans="1:8" x14ac:dyDescent="0.2">
      <c r="A294" t="s">
        <v>623</v>
      </c>
      <c r="B294" t="s">
        <v>405</v>
      </c>
      <c r="C294" t="s">
        <v>1139</v>
      </c>
      <c r="D294" s="26" t="str">
        <f t="shared" si="6"/>
        <v>PRJNA597162</v>
      </c>
      <c r="E294" s="26" t="str">
        <f>HYPERLINK("https://www.ncbi.nlm.nih.gov/biosample/13668235", "SAMN13668235")</f>
        <v>SAMN13668235</v>
      </c>
      <c r="F294" s="26" t="str">
        <f>HYPERLINK("https://trace.ncbi.nlm.nih.gov/Traces/sra/?run=SRR10755331", "SRR10755331")</f>
        <v>SRR10755331</v>
      </c>
      <c r="G294" t="s">
        <v>1341</v>
      </c>
      <c r="H294" t="s">
        <v>1342</v>
      </c>
    </row>
    <row r="295" spans="1:8" x14ac:dyDescent="0.2">
      <c r="A295" t="s">
        <v>697</v>
      </c>
      <c r="B295" t="s">
        <v>406</v>
      </c>
      <c r="C295" t="s">
        <v>1139</v>
      </c>
      <c r="D295" s="26" t="str">
        <f t="shared" si="6"/>
        <v>PRJNA597162</v>
      </c>
      <c r="E295" s="26" t="str">
        <f>HYPERLINK("https://www.ncbi.nlm.nih.gov/biosample/13668230", "SAMN13668230")</f>
        <v>SAMN13668230</v>
      </c>
      <c r="F295" s="26" t="str">
        <f>HYPERLINK("https://trace.ncbi.nlm.nih.gov/Traces/sra/?run=SRR10755337", "SRR10755337")</f>
        <v>SRR10755337</v>
      </c>
      <c r="G295" t="s">
        <v>1343</v>
      </c>
      <c r="H295" t="s">
        <v>1344</v>
      </c>
    </row>
    <row r="296" spans="1:8" x14ac:dyDescent="0.2">
      <c r="A296" t="s">
        <v>537</v>
      </c>
      <c r="B296" t="s">
        <v>407</v>
      </c>
      <c r="C296" t="s">
        <v>1139</v>
      </c>
      <c r="D296" s="26" t="str">
        <f t="shared" si="6"/>
        <v>PRJNA597162</v>
      </c>
      <c r="E296" s="26" t="str">
        <f>HYPERLINK("https://www.ncbi.nlm.nih.gov/biosample/13668232", "SAMN13668232")</f>
        <v>SAMN13668232</v>
      </c>
      <c r="F296" s="26" t="str">
        <f>HYPERLINK("https://trace.ncbi.nlm.nih.gov/Traces/sra/?run=SRR10755335", "SRR10755335")</f>
        <v>SRR10755335</v>
      </c>
      <c r="G296" t="s">
        <v>1346</v>
      </c>
      <c r="H296" t="s">
        <v>1347</v>
      </c>
    </row>
    <row r="297" spans="1:8" x14ac:dyDescent="0.2">
      <c r="A297" t="s">
        <v>777</v>
      </c>
      <c r="B297" t="s">
        <v>408</v>
      </c>
      <c r="C297" t="s">
        <v>1139</v>
      </c>
      <c r="D297" s="26" t="str">
        <f t="shared" si="6"/>
        <v>PRJNA597162</v>
      </c>
      <c r="E297" s="26" t="str">
        <f>HYPERLINK("https://www.ncbi.nlm.nih.gov/biosample/13668229", "SAMN13668229")</f>
        <v>SAMN13668229</v>
      </c>
      <c r="F297" s="26" t="str">
        <f>HYPERLINK("https://trace.ncbi.nlm.nih.gov/Traces/sra/?run=SRR10755338", "SRR10755338")</f>
        <v>SRR10755338</v>
      </c>
      <c r="G297" t="s">
        <v>1348</v>
      </c>
      <c r="H297" t="s">
        <v>1349</v>
      </c>
    </row>
    <row r="298" spans="1:8" x14ac:dyDescent="0.2">
      <c r="A298" t="s">
        <v>617</v>
      </c>
      <c r="B298" t="s">
        <v>409</v>
      </c>
      <c r="C298" t="s">
        <v>1139</v>
      </c>
      <c r="D298" s="26" t="str">
        <f t="shared" si="6"/>
        <v>PRJNA597162</v>
      </c>
      <c r="E298" s="26" t="str">
        <f>HYPERLINK("https://www.ncbi.nlm.nih.gov/biosample/13668231", "SAMN13668231")</f>
        <v>SAMN13668231</v>
      </c>
      <c r="F298" s="26" t="str">
        <f>HYPERLINK("https://trace.ncbi.nlm.nih.gov/Traces/sra/?run=SRR10755336", "SRR10755336")</f>
        <v>SRR10755336</v>
      </c>
      <c r="G298" t="s">
        <v>1350</v>
      </c>
      <c r="H298" t="s">
        <v>1351</v>
      </c>
    </row>
    <row r="299" spans="1:8" x14ac:dyDescent="0.2">
      <c r="A299" t="s">
        <v>695</v>
      </c>
      <c r="B299" t="s">
        <v>410</v>
      </c>
      <c r="C299" t="s">
        <v>1139</v>
      </c>
      <c r="D299" s="26" t="str">
        <f t="shared" si="6"/>
        <v>PRJNA597162</v>
      </c>
      <c r="E299" s="26" t="str">
        <f>HYPERLINK("https://www.ncbi.nlm.nih.gov/biosample/13668230", "SAMN13668230")</f>
        <v>SAMN13668230</v>
      </c>
      <c r="F299" s="26" t="str">
        <f>HYPERLINK("https://trace.ncbi.nlm.nih.gov/Traces/sra/?run=SRR10755337", "SRR10755337")</f>
        <v>SRR10755337</v>
      </c>
      <c r="G299" t="s">
        <v>1352</v>
      </c>
      <c r="H299" t="s">
        <v>1353</v>
      </c>
    </row>
    <row r="300" spans="1:8" x14ac:dyDescent="0.2">
      <c r="A300" t="s">
        <v>535</v>
      </c>
      <c r="B300" t="s">
        <v>411</v>
      </c>
      <c r="C300" t="s">
        <v>1139</v>
      </c>
      <c r="D300" s="26" t="str">
        <f t="shared" si="6"/>
        <v>PRJNA597162</v>
      </c>
      <c r="E300" s="26" t="str">
        <f>HYPERLINK("https://www.ncbi.nlm.nih.gov/biosample/13668232", "SAMN13668232")</f>
        <v>SAMN13668232</v>
      </c>
      <c r="F300" s="26" t="str">
        <f>HYPERLINK("https://trace.ncbi.nlm.nih.gov/Traces/sra/?run=SRR10755335", "SRR10755335")</f>
        <v>SRR10755335</v>
      </c>
      <c r="G300" t="s">
        <v>1355</v>
      </c>
      <c r="H300" t="s">
        <v>1356</v>
      </c>
    </row>
    <row r="301" spans="1:8" x14ac:dyDescent="0.2">
      <c r="A301" t="s">
        <v>775</v>
      </c>
      <c r="B301" t="s">
        <v>412</v>
      </c>
      <c r="C301" t="s">
        <v>1139</v>
      </c>
      <c r="D301" s="26" t="str">
        <f t="shared" si="6"/>
        <v>PRJNA597162</v>
      </c>
      <c r="E301" s="26" t="str">
        <f>HYPERLINK("https://www.ncbi.nlm.nih.gov/biosample/13668229", "SAMN13668229")</f>
        <v>SAMN13668229</v>
      </c>
      <c r="F301" s="26" t="str">
        <f>HYPERLINK("https://trace.ncbi.nlm.nih.gov/Traces/sra/?run=SRR10755338", "SRR10755338")</f>
        <v>SRR10755338</v>
      </c>
      <c r="G301" t="s">
        <v>1357</v>
      </c>
      <c r="H301" t="s">
        <v>1358</v>
      </c>
    </row>
    <row r="302" spans="1:8" x14ac:dyDescent="0.2">
      <c r="A302" t="s">
        <v>615</v>
      </c>
      <c r="B302" t="s">
        <v>413</v>
      </c>
      <c r="C302" t="s">
        <v>1139</v>
      </c>
      <c r="D302" s="26" t="str">
        <f t="shared" si="6"/>
        <v>PRJNA597162</v>
      </c>
      <c r="E302" s="26" t="str">
        <f>HYPERLINK("https://www.ncbi.nlm.nih.gov/biosample/13668231", "SAMN13668231")</f>
        <v>SAMN13668231</v>
      </c>
      <c r="F302" s="26" t="str">
        <f>HYPERLINK("https://trace.ncbi.nlm.nih.gov/Traces/sra/?run=SRR10755336", "SRR10755336")</f>
        <v>SRR10755336</v>
      </c>
      <c r="G302" t="s">
        <v>1359</v>
      </c>
      <c r="H302" t="s">
        <v>1360</v>
      </c>
    </row>
    <row r="303" spans="1:8" x14ac:dyDescent="0.2">
      <c r="A303" t="s">
        <v>694</v>
      </c>
      <c r="B303" t="s">
        <v>414</v>
      </c>
      <c r="C303" t="s">
        <v>1139</v>
      </c>
      <c r="D303" s="26" t="str">
        <f t="shared" si="6"/>
        <v>PRJNA597162</v>
      </c>
      <c r="E303" s="26" t="str">
        <f>HYPERLINK("https://www.ncbi.nlm.nih.gov/biosample/13668234", "SAMN13668234")</f>
        <v>SAMN13668234</v>
      </c>
      <c r="F303" s="26" t="str">
        <f>HYPERLINK("https://trace.ncbi.nlm.nih.gov/Traces/sra/?run=SRR10755333", "SRR10755333")</f>
        <v>SRR10755333</v>
      </c>
      <c r="G303" t="s">
        <v>1361</v>
      </c>
      <c r="H303" t="s">
        <v>1362</v>
      </c>
    </row>
    <row r="304" spans="1:8" x14ac:dyDescent="0.2">
      <c r="A304" t="s">
        <v>534</v>
      </c>
      <c r="B304" t="s">
        <v>415</v>
      </c>
      <c r="C304" t="s">
        <v>1139</v>
      </c>
      <c r="D304" s="26" t="str">
        <f t="shared" si="6"/>
        <v>PRJNA597162</v>
      </c>
      <c r="E304" s="26" t="str">
        <f>HYPERLINK("https://www.ncbi.nlm.nih.gov/biosample/13668236", "SAMN13668236")</f>
        <v>SAMN13668236</v>
      </c>
      <c r="F304" s="26" t="str">
        <f>HYPERLINK("https://trace.ncbi.nlm.nih.gov/Traces/sra/?run=SRR10755330", "SRR10755330")</f>
        <v>SRR10755330</v>
      </c>
      <c r="G304" t="s">
        <v>1364</v>
      </c>
      <c r="H304" t="s">
        <v>1365</v>
      </c>
    </row>
    <row r="305" spans="1:8" x14ac:dyDescent="0.2">
      <c r="A305" t="s">
        <v>774</v>
      </c>
      <c r="B305" t="s">
        <v>416</v>
      </c>
      <c r="C305" t="s">
        <v>1139</v>
      </c>
      <c r="D305" s="26" t="str">
        <f t="shared" si="6"/>
        <v>PRJNA597162</v>
      </c>
      <c r="E305" s="26" t="str">
        <f>HYPERLINK("https://www.ncbi.nlm.nih.gov/biosample/13668233", "SAMN13668233")</f>
        <v>SAMN13668233</v>
      </c>
      <c r="F305" s="26" t="str">
        <f>HYPERLINK("https://trace.ncbi.nlm.nih.gov/Traces/sra/?run=SRR10755334", "SRR10755334")</f>
        <v>SRR10755334</v>
      </c>
      <c r="G305" t="s">
        <v>1366</v>
      </c>
      <c r="H305" t="s">
        <v>1367</v>
      </c>
    </row>
    <row r="306" spans="1:8" x14ac:dyDescent="0.2">
      <c r="A306" t="s">
        <v>614</v>
      </c>
      <c r="B306" t="s">
        <v>417</v>
      </c>
      <c r="C306" t="s">
        <v>1139</v>
      </c>
      <c r="D306" s="26" t="str">
        <f t="shared" si="6"/>
        <v>PRJNA597162</v>
      </c>
      <c r="E306" s="26" t="str">
        <f>HYPERLINK("https://www.ncbi.nlm.nih.gov/biosample/13668235", "SAMN13668235")</f>
        <v>SAMN13668235</v>
      </c>
      <c r="F306" s="26" t="str">
        <f>HYPERLINK("https://trace.ncbi.nlm.nih.gov/Traces/sra/?run=SRR10755331", "SRR10755331")</f>
        <v>SRR10755331</v>
      </c>
      <c r="G306" t="s">
        <v>1368</v>
      </c>
      <c r="H306" t="s">
        <v>1369</v>
      </c>
    </row>
    <row r="307" spans="1:8" x14ac:dyDescent="0.2">
      <c r="A307" t="s">
        <v>755</v>
      </c>
      <c r="B307" t="s">
        <v>418</v>
      </c>
      <c r="C307" t="s">
        <v>1139</v>
      </c>
      <c r="D307" s="26" t="str">
        <f t="shared" si="6"/>
        <v>PRJNA597162</v>
      </c>
      <c r="E307" s="26" t="str">
        <f>HYPERLINK("https://www.ncbi.nlm.nih.gov/biosample/13668222", "SAMN13668222")</f>
        <v>SAMN13668222</v>
      </c>
      <c r="F307" s="26" t="str">
        <f>HYPERLINK("https://trace.ncbi.nlm.nih.gov/Traces/sra/?run=SRR10755346", "SRR10755346")</f>
        <v>SRR10755346</v>
      </c>
      <c r="G307" t="s">
        <v>1305</v>
      </c>
      <c r="H307" t="s">
        <v>1306</v>
      </c>
    </row>
    <row r="308" spans="1:8" x14ac:dyDescent="0.2">
      <c r="A308" t="s">
        <v>595</v>
      </c>
      <c r="B308" t="s">
        <v>419</v>
      </c>
      <c r="C308" t="s">
        <v>1139</v>
      </c>
      <c r="D308" s="26" t="str">
        <f t="shared" si="6"/>
        <v>PRJNA597162</v>
      </c>
      <c r="E308" s="26" t="str">
        <f>HYPERLINK("https://www.ncbi.nlm.nih.gov/biosample/13668224", "SAMN13668224")</f>
        <v>SAMN13668224</v>
      </c>
      <c r="F308" s="26" t="str">
        <f>HYPERLINK("https://trace.ncbi.nlm.nih.gov/Traces/sra/?run=SRR10755344", "SRR10755344")</f>
        <v>SRR10755344</v>
      </c>
      <c r="G308" t="s">
        <v>1308</v>
      </c>
      <c r="H308" t="s">
        <v>1309</v>
      </c>
    </row>
    <row r="309" spans="1:8" x14ac:dyDescent="0.2">
      <c r="A309" t="s">
        <v>835</v>
      </c>
      <c r="B309" t="s">
        <v>420</v>
      </c>
      <c r="C309" t="s">
        <v>1139</v>
      </c>
      <c r="D309" s="26" t="str">
        <f t="shared" si="6"/>
        <v>PRJNA597162</v>
      </c>
      <c r="E309" s="26" t="str">
        <f>HYPERLINK("https://www.ncbi.nlm.nih.gov/biosample/13668221", "SAMN13668221")</f>
        <v>SAMN13668221</v>
      </c>
      <c r="F309" s="26" t="str">
        <f>HYPERLINK("https://trace.ncbi.nlm.nih.gov/Traces/sra/?run=SRR10755347", "SRR10755347")</f>
        <v>SRR10755347</v>
      </c>
      <c r="G309" t="s">
        <v>1310</v>
      </c>
      <c r="H309" t="s">
        <v>1311</v>
      </c>
    </row>
    <row r="310" spans="1:8" x14ac:dyDescent="0.2">
      <c r="A310" t="s">
        <v>675</v>
      </c>
      <c r="B310" t="s">
        <v>421</v>
      </c>
      <c r="C310" t="s">
        <v>1139</v>
      </c>
      <c r="D310" s="26" t="str">
        <f t="shared" si="6"/>
        <v>PRJNA597162</v>
      </c>
      <c r="E310" s="26" t="str">
        <f>HYPERLINK("https://www.ncbi.nlm.nih.gov/biosample/13668223", "SAMN13668223")</f>
        <v>SAMN13668223</v>
      </c>
      <c r="F310" s="26" t="str">
        <f>HYPERLINK("https://trace.ncbi.nlm.nih.gov/Traces/sra/?run=SRR10755345", "SRR10755345")</f>
        <v>SRR10755345</v>
      </c>
      <c r="G310" t="s">
        <v>1312</v>
      </c>
      <c r="H310" t="s">
        <v>1313</v>
      </c>
    </row>
    <row r="311" spans="1:8" x14ac:dyDescent="0.2">
      <c r="A311" t="s">
        <v>754</v>
      </c>
      <c r="B311" t="s">
        <v>422</v>
      </c>
      <c r="C311" t="s">
        <v>1139</v>
      </c>
      <c r="D311" s="26" t="str">
        <f t="shared" si="6"/>
        <v>PRJNA597162</v>
      </c>
      <c r="E311" s="26" t="str">
        <f>HYPERLINK("https://www.ncbi.nlm.nih.gov/biosample/13668226", "SAMN13668226")</f>
        <v>SAMN13668226</v>
      </c>
      <c r="F311" s="26" t="str">
        <f>HYPERLINK("https://trace.ncbi.nlm.nih.gov/Traces/sra/?run=SRR10755341", "SRR10755341")</f>
        <v>SRR10755341</v>
      </c>
      <c r="G311" t="s">
        <v>1296</v>
      </c>
      <c r="H311" t="s">
        <v>1297</v>
      </c>
    </row>
    <row r="312" spans="1:8" x14ac:dyDescent="0.2">
      <c r="A312" t="s">
        <v>594</v>
      </c>
      <c r="B312" t="s">
        <v>423</v>
      </c>
      <c r="C312" t="s">
        <v>1139</v>
      </c>
      <c r="D312" s="26" t="str">
        <f t="shared" si="6"/>
        <v>PRJNA597162</v>
      </c>
      <c r="E312" s="26" t="str">
        <f>HYPERLINK("https://www.ncbi.nlm.nih.gov/biosample/13668228", "SAMN13668228")</f>
        <v>SAMN13668228</v>
      </c>
      <c r="F312" s="26" t="str">
        <f>HYPERLINK("https://trace.ncbi.nlm.nih.gov/Traces/sra/?run=SRR10755339", "SRR10755339")</f>
        <v>SRR10755339</v>
      </c>
      <c r="G312" t="s">
        <v>1299</v>
      </c>
      <c r="H312" t="s">
        <v>1300</v>
      </c>
    </row>
    <row r="313" spans="1:8" x14ac:dyDescent="0.2">
      <c r="A313" t="s">
        <v>834</v>
      </c>
      <c r="B313" t="s">
        <v>424</v>
      </c>
      <c r="C313" t="s">
        <v>1139</v>
      </c>
      <c r="D313" s="26" t="str">
        <f t="shared" si="6"/>
        <v>PRJNA597162</v>
      </c>
      <c r="E313" s="26" t="str">
        <f>HYPERLINK("https://www.ncbi.nlm.nih.gov/biosample/13668225", "SAMN13668225")</f>
        <v>SAMN13668225</v>
      </c>
      <c r="F313" s="26" t="str">
        <f>HYPERLINK("https://trace.ncbi.nlm.nih.gov/Traces/sra/?run=SRR10755342", "SRR10755342")</f>
        <v>SRR10755342</v>
      </c>
      <c r="G313" t="s">
        <v>1301</v>
      </c>
      <c r="H313" t="s">
        <v>1302</v>
      </c>
    </row>
    <row r="314" spans="1:8" x14ac:dyDescent="0.2">
      <c r="A314" t="s">
        <v>674</v>
      </c>
      <c r="B314" t="s">
        <v>425</v>
      </c>
      <c r="C314" t="s">
        <v>1139</v>
      </c>
      <c r="D314" s="26" t="str">
        <f t="shared" si="6"/>
        <v>PRJNA597162</v>
      </c>
      <c r="E314" s="26" t="str">
        <f>HYPERLINK("https://www.ncbi.nlm.nih.gov/biosample/13668227", "SAMN13668227")</f>
        <v>SAMN13668227</v>
      </c>
      <c r="F314" s="26" t="str">
        <f>HYPERLINK("https://trace.ncbi.nlm.nih.gov/Traces/sra/?run=SRR10755340", "SRR10755340")</f>
        <v>SRR10755340</v>
      </c>
      <c r="G314" t="s">
        <v>1303</v>
      </c>
      <c r="H314" t="s">
        <v>1304</v>
      </c>
    </row>
    <row r="315" spans="1:8" x14ac:dyDescent="0.2">
      <c r="A315" t="s">
        <v>744</v>
      </c>
      <c r="B315" t="s">
        <v>426</v>
      </c>
      <c r="C315" t="s">
        <v>1139</v>
      </c>
      <c r="D315" s="26" t="str">
        <f t="shared" ref="D315:D346" si="7">HYPERLINK("https://www.ncbi.nlm.nih.gov/bioproject/PRJNA597162", "PRJNA597162")</f>
        <v>PRJNA597162</v>
      </c>
      <c r="E315" s="26" t="str">
        <f>HYPERLINK("https://www.ncbi.nlm.nih.gov/biosample/13668254", "SAMN13668254")</f>
        <v>SAMN13668254</v>
      </c>
      <c r="F315" s="26" t="str">
        <f>HYPERLINK("https://trace.ncbi.nlm.nih.gov/Traces/sra/?run=SRR10755311", "SRR10755311")</f>
        <v>SRR10755311</v>
      </c>
      <c r="G315" t="s">
        <v>1386</v>
      </c>
      <c r="H315" t="s">
        <v>1387</v>
      </c>
    </row>
    <row r="316" spans="1:8" x14ac:dyDescent="0.2">
      <c r="A316" t="s">
        <v>584</v>
      </c>
      <c r="B316" t="s">
        <v>427</v>
      </c>
      <c r="C316" t="s">
        <v>1139</v>
      </c>
      <c r="D316" s="26" t="str">
        <f t="shared" si="7"/>
        <v>PRJNA597162</v>
      </c>
      <c r="E316" s="26" t="str">
        <f>HYPERLINK("https://www.ncbi.nlm.nih.gov/biosample/13668256", "SAMN13668256")</f>
        <v>SAMN13668256</v>
      </c>
      <c r="F316" s="26" t="str">
        <f>HYPERLINK("https://trace.ncbi.nlm.nih.gov/Traces/sra/?run=SRR10755308", "SRR10755308")</f>
        <v>SRR10755308</v>
      </c>
      <c r="G316" t="s">
        <v>1388</v>
      </c>
      <c r="H316" t="s">
        <v>1389</v>
      </c>
    </row>
    <row r="317" spans="1:8" x14ac:dyDescent="0.2">
      <c r="A317" t="s">
        <v>824</v>
      </c>
      <c r="B317" t="s">
        <v>428</v>
      </c>
      <c r="C317" t="s">
        <v>1139</v>
      </c>
      <c r="D317" s="26" t="str">
        <f t="shared" si="7"/>
        <v>PRJNA597162</v>
      </c>
      <c r="E317" s="26" t="str">
        <f>HYPERLINK("https://www.ncbi.nlm.nih.gov/biosample/13668253", "SAMN13668253")</f>
        <v>SAMN13668253</v>
      </c>
      <c r="F317" s="26" t="str">
        <f>HYPERLINK("https://trace.ncbi.nlm.nih.gov/Traces/sra/?run=SRR10755312", "SRR10755312")</f>
        <v>SRR10755312</v>
      </c>
      <c r="G317" t="s">
        <v>1390</v>
      </c>
      <c r="H317" t="s">
        <v>1391</v>
      </c>
    </row>
    <row r="318" spans="1:8" x14ac:dyDescent="0.2">
      <c r="A318" t="s">
        <v>664</v>
      </c>
      <c r="B318" t="s">
        <v>429</v>
      </c>
      <c r="C318" t="s">
        <v>1139</v>
      </c>
      <c r="D318" s="26" t="str">
        <f t="shared" si="7"/>
        <v>PRJNA597162</v>
      </c>
      <c r="E318" s="26" t="str">
        <f>HYPERLINK("https://www.ncbi.nlm.nih.gov/biosample/13668255", "SAMN13668255")</f>
        <v>SAMN13668255</v>
      </c>
      <c r="F318" s="26" t="str">
        <f>HYPERLINK("https://trace.ncbi.nlm.nih.gov/Traces/sra/?run=SRR10755309", "SRR10755309")</f>
        <v>SRR10755309</v>
      </c>
      <c r="G318" t="s">
        <v>1392</v>
      </c>
      <c r="H318" t="s">
        <v>1393</v>
      </c>
    </row>
    <row r="319" spans="1:8" x14ac:dyDescent="0.2">
      <c r="A319" t="s">
        <v>742</v>
      </c>
      <c r="B319" t="s">
        <v>430</v>
      </c>
      <c r="C319" t="s">
        <v>1139</v>
      </c>
      <c r="D319" s="26" t="str">
        <f t="shared" si="7"/>
        <v>PRJNA597162</v>
      </c>
      <c r="E319" s="26" t="str">
        <f>HYPERLINK("https://www.ncbi.nlm.nih.gov/biosample/13668238", "SAMN13668238")</f>
        <v>SAMN13668238</v>
      </c>
      <c r="F319" s="26" t="str">
        <f>HYPERLINK("https://trace.ncbi.nlm.nih.gov/Traces/sra/?run=SRR10755328", "SRR10755328")</f>
        <v>SRR10755328</v>
      </c>
      <c r="G319" t="s">
        <v>1370</v>
      </c>
      <c r="H319" t="s">
        <v>1371</v>
      </c>
    </row>
    <row r="320" spans="1:8" x14ac:dyDescent="0.2">
      <c r="A320" t="s">
        <v>582</v>
      </c>
      <c r="B320" t="s">
        <v>431</v>
      </c>
      <c r="C320" t="s">
        <v>1139</v>
      </c>
      <c r="D320" s="26" t="str">
        <f t="shared" si="7"/>
        <v>PRJNA597162</v>
      </c>
      <c r="E320" s="26" t="str">
        <f>HYPERLINK("https://www.ncbi.nlm.nih.gov/biosample/13668240", "SAMN13668240")</f>
        <v>SAMN13668240</v>
      </c>
      <c r="F320" s="26" t="str">
        <f>HYPERLINK("https://trace.ncbi.nlm.nih.gov/Traces/sra/?run=SRR10755326", "SRR10755326")</f>
        <v>SRR10755326</v>
      </c>
      <c r="G320" t="s">
        <v>1372</v>
      </c>
      <c r="H320" t="s">
        <v>1373</v>
      </c>
    </row>
    <row r="321" spans="1:8" x14ac:dyDescent="0.2">
      <c r="A321" t="s">
        <v>822</v>
      </c>
      <c r="B321" t="s">
        <v>432</v>
      </c>
      <c r="C321" t="s">
        <v>1139</v>
      </c>
      <c r="D321" s="26" t="str">
        <f t="shared" si="7"/>
        <v>PRJNA597162</v>
      </c>
      <c r="E321" s="26" t="str">
        <f>HYPERLINK("https://www.ncbi.nlm.nih.gov/biosample/13668237", "SAMN13668237")</f>
        <v>SAMN13668237</v>
      </c>
      <c r="F321" s="26" t="str">
        <f>HYPERLINK("https://trace.ncbi.nlm.nih.gov/Traces/sra/?run=SRR10755329", "SRR10755329")</f>
        <v>SRR10755329</v>
      </c>
      <c r="G321" t="s">
        <v>1374</v>
      </c>
      <c r="H321" t="s">
        <v>1375</v>
      </c>
    </row>
    <row r="322" spans="1:8" x14ac:dyDescent="0.2">
      <c r="A322" t="s">
        <v>662</v>
      </c>
      <c r="B322" t="s">
        <v>433</v>
      </c>
      <c r="C322" t="s">
        <v>1139</v>
      </c>
      <c r="D322" s="26" t="str">
        <f t="shared" si="7"/>
        <v>PRJNA597162</v>
      </c>
      <c r="E322" s="26" t="str">
        <f>HYPERLINK("https://www.ncbi.nlm.nih.gov/biosample/13668239", "SAMN13668239")</f>
        <v>SAMN13668239</v>
      </c>
      <c r="F322" s="26" t="str">
        <f>HYPERLINK("https://trace.ncbi.nlm.nih.gov/Traces/sra/?run=SRR10755327", "SRR10755327")</f>
        <v>SRR10755327</v>
      </c>
      <c r="G322" t="s">
        <v>1376</v>
      </c>
      <c r="H322" t="s">
        <v>1377</v>
      </c>
    </row>
    <row r="323" spans="1:8" x14ac:dyDescent="0.2">
      <c r="A323" t="s">
        <v>741</v>
      </c>
      <c r="B323" t="s">
        <v>434</v>
      </c>
      <c r="C323" t="s">
        <v>1139</v>
      </c>
      <c r="D323" s="26" t="str">
        <f t="shared" si="7"/>
        <v>PRJNA597162</v>
      </c>
      <c r="E323" s="26" t="str">
        <f>HYPERLINK("https://www.ncbi.nlm.nih.gov/biosample/13668242", "SAMN13668242")</f>
        <v>SAMN13668242</v>
      </c>
      <c r="F323" s="26" t="str">
        <f>HYPERLINK("https://trace.ncbi.nlm.nih.gov/Traces/sra/?run=SRR10755324", "SRR10755324")</f>
        <v>SRR10755324</v>
      </c>
      <c r="G323" t="s">
        <v>1378</v>
      </c>
      <c r="H323" t="s">
        <v>1379</v>
      </c>
    </row>
    <row r="324" spans="1:8" x14ac:dyDescent="0.2">
      <c r="A324" t="s">
        <v>581</v>
      </c>
      <c r="B324" t="s">
        <v>435</v>
      </c>
      <c r="C324" t="s">
        <v>1139</v>
      </c>
      <c r="D324" s="26" t="str">
        <f t="shared" si="7"/>
        <v>PRJNA597162</v>
      </c>
      <c r="E324" s="26" t="str">
        <f>HYPERLINK("https://www.ncbi.nlm.nih.gov/biosample/13668244", "SAMN13668244")</f>
        <v>SAMN13668244</v>
      </c>
      <c r="F324" s="26" t="str">
        <f>HYPERLINK("https://trace.ncbi.nlm.nih.gov/Traces/sra/?run=SRR10755322", "SRR10755322")</f>
        <v>SRR10755322</v>
      </c>
      <c r="G324" t="s">
        <v>1380</v>
      </c>
      <c r="H324" t="s">
        <v>1381</v>
      </c>
    </row>
    <row r="325" spans="1:8" x14ac:dyDescent="0.2">
      <c r="A325" t="s">
        <v>821</v>
      </c>
      <c r="B325" t="s">
        <v>436</v>
      </c>
      <c r="C325" t="s">
        <v>1139</v>
      </c>
      <c r="D325" s="26" t="str">
        <f t="shared" si="7"/>
        <v>PRJNA597162</v>
      </c>
      <c r="E325" s="26" t="str">
        <f>HYPERLINK("https://www.ncbi.nlm.nih.gov/biosample/13668241", "SAMN13668241")</f>
        <v>SAMN13668241</v>
      </c>
      <c r="F325" s="26" t="str">
        <f>HYPERLINK("https://trace.ncbi.nlm.nih.gov/Traces/sra/?run=SRR10755325", "SRR10755325")</f>
        <v>SRR10755325</v>
      </c>
      <c r="G325" t="s">
        <v>1382</v>
      </c>
      <c r="H325" t="s">
        <v>1383</v>
      </c>
    </row>
    <row r="326" spans="1:8" x14ac:dyDescent="0.2">
      <c r="A326" t="s">
        <v>661</v>
      </c>
      <c r="B326" t="s">
        <v>437</v>
      </c>
      <c r="C326" t="s">
        <v>1139</v>
      </c>
      <c r="D326" s="26" t="str">
        <f t="shared" si="7"/>
        <v>PRJNA597162</v>
      </c>
      <c r="E326" s="26" t="str">
        <f>HYPERLINK("https://www.ncbi.nlm.nih.gov/biosample/13668243", "SAMN13668243")</f>
        <v>SAMN13668243</v>
      </c>
      <c r="F326" s="26" t="str">
        <f>HYPERLINK("https://trace.ncbi.nlm.nih.gov/Traces/sra/?run=SRR10755323", "SRR10755323")</f>
        <v>SRR10755323</v>
      </c>
      <c r="G326" t="s">
        <v>1384</v>
      </c>
      <c r="H326" t="s">
        <v>1385</v>
      </c>
    </row>
    <row r="327" spans="1:8" x14ac:dyDescent="0.2">
      <c r="A327" t="s">
        <v>740</v>
      </c>
      <c r="B327" t="s">
        <v>438</v>
      </c>
      <c r="C327" t="s">
        <v>1139</v>
      </c>
      <c r="D327" s="26" t="str">
        <f t="shared" si="7"/>
        <v>PRJNA597162</v>
      </c>
      <c r="E327" s="26" t="str">
        <f>HYPERLINK("https://www.ncbi.nlm.nih.gov/biosample/13668242", "SAMN13668242")</f>
        <v>SAMN13668242</v>
      </c>
      <c r="F327" s="26" t="str">
        <f>HYPERLINK("https://trace.ncbi.nlm.nih.gov/Traces/sra/?run=SRR10755324", "SRR10755324")</f>
        <v>SRR10755324</v>
      </c>
      <c r="G327" t="s">
        <v>1450</v>
      </c>
      <c r="H327" t="s">
        <v>1451</v>
      </c>
    </row>
    <row r="328" spans="1:8" x14ac:dyDescent="0.2">
      <c r="A328" t="s">
        <v>580</v>
      </c>
      <c r="B328" t="s">
        <v>439</v>
      </c>
      <c r="C328" t="s">
        <v>1139</v>
      </c>
      <c r="D328" s="26" t="str">
        <f t="shared" si="7"/>
        <v>PRJNA597162</v>
      </c>
      <c r="E328" s="26" t="str">
        <f>HYPERLINK("https://www.ncbi.nlm.nih.gov/biosample/13668244", "SAMN13668244")</f>
        <v>SAMN13668244</v>
      </c>
      <c r="F328" s="26" t="str">
        <f>HYPERLINK("https://trace.ncbi.nlm.nih.gov/Traces/sra/?run=SRR10755322", "SRR10755322")</f>
        <v>SRR10755322</v>
      </c>
      <c r="G328" t="s">
        <v>1452</v>
      </c>
      <c r="H328" t="s">
        <v>1453</v>
      </c>
    </row>
    <row r="329" spans="1:8" x14ac:dyDescent="0.2">
      <c r="A329" t="s">
        <v>820</v>
      </c>
      <c r="B329" t="s">
        <v>440</v>
      </c>
      <c r="C329" t="s">
        <v>1139</v>
      </c>
      <c r="D329" s="26" t="str">
        <f t="shared" si="7"/>
        <v>PRJNA597162</v>
      </c>
      <c r="E329" s="26" t="str">
        <f>HYPERLINK("https://www.ncbi.nlm.nih.gov/biosample/13668241", "SAMN13668241")</f>
        <v>SAMN13668241</v>
      </c>
      <c r="F329" s="26" t="str">
        <f>HYPERLINK("https://trace.ncbi.nlm.nih.gov/Traces/sra/?run=SRR10755325", "SRR10755325")</f>
        <v>SRR10755325</v>
      </c>
      <c r="G329" t="s">
        <v>1454</v>
      </c>
      <c r="H329" t="s">
        <v>1455</v>
      </c>
    </row>
    <row r="330" spans="1:8" x14ac:dyDescent="0.2">
      <c r="A330" t="s">
        <v>660</v>
      </c>
      <c r="B330" t="s">
        <v>441</v>
      </c>
      <c r="C330" t="s">
        <v>1139</v>
      </c>
      <c r="D330" s="26" t="str">
        <f t="shared" si="7"/>
        <v>PRJNA597162</v>
      </c>
      <c r="E330" s="26" t="str">
        <f>HYPERLINK("https://www.ncbi.nlm.nih.gov/biosample/13668243", "SAMN13668243")</f>
        <v>SAMN13668243</v>
      </c>
      <c r="F330" s="26" t="str">
        <f>HYPERLINK("https://trace.ncbi.nlm.nih.gov/Traces/sra/?run=SRR10755323", "SRR10755323")</f>
        <v>SRR10755323</v>
      </c>
      <c r="G330" t="s">
        <v>1456</v>
      </c>
      <c r="H330" t="s">
        <v>1457</v>
      </c>
    </row>
    <row r="331" spans="1:8" x14ac:dyDescent="0.2">
      <c r="A331" t="s">
        <v>736</v>
      </c>
      <c r="B331" t="s">
        <v>442</v>
      </c>
      <c r="C331" t="s">
        <v>1139</v>
      </c>
      <c r="D331" s="26" t="str">
        <f t="shared" si="7"/>
        <v>PRJNA597162</v>
      </c>
      <c r="E331" s="26" t="str">
        <f>HYPERLINK("https://www.ncbi.nlm.nih.gov/biosample/13668258", "SAMN13668258")</f>
        <v>SAMN13668258</v>
      </c>
      <c r="F331" s="26" t="str">
        <f>HYPERLINK("https://trace.ncbi.nlm.nih.gov/Traces/sra/?run=SRR10755306", "SRR10755306")</f>
        <v>SRR10755306</v>
      </c>
      <c r="G331" t="s">
        <v>1394</v>
      </c>
      <c r="H331" t="s">
        <v>1395</v>
      </c>
    </row>
    <row r="332" spans="1:8" x14ac:dyDescent="0.2">
      <c r="A332" t="s">
        <v>576</v>
      </c>
      <c r="B332" t="s">
        <v>443</v>
      </c>
      <c r="C332" t="s">
        <v>1139</v>
      </c>
      <c r="D332" s="26" t="str">
        <f t="shared" si="7"/>
        <v>PRJNA597162</v>
      </c>
      <c r="E332" s="26" t="str">
        <f>HYPERLINK("https://www.ncbi.nlm.nih.gov/biosample/13668260", "SAMN13668260")</f>
        <v>SAMN13668260</v>
      </c>
      <c r="F332" s="26" t="str">
        <f>HYPERLINK("https://trace.ncbi.nlm.nih.gov/Traces/sra/?run=SRR10755304", "SRR10755304")</f>
        <v>SRR10755304</v>
      </c>
      <c r="G332" t="s">
        <v>1396</v>
      </c>
      <c r="H332" t="s">
        <v>1397</v>
      </c>
    </row>
    <row r="333" spans="1:8" x14ac:dyDescent="0.2">
      <c r="A333" t="s">
        <v>816</v>
      </c>
      <c r="B333" t="s">
        <v>444</v>
      </c>
      <c r="C333" t="s">
        <v>1139</v>
      </c>
      <c r="D333" s="26" t="str">
        <f t="shared" si="7"/>
        <v>PRJNA597162</v>
      </c>
      <c r="E333" s="26" t="str">
        <f>HYPERLINK("https://www.ncbi.nlm.nih.gov/biosample/13668257", "SAMN13668257")</f>
        <v>SAMN13668257</v>
      </c>
      <c r="F333" s="26" t="str">
        <f>HYPERLINK("https://trace.ncbi.nlm.nih.gov/Traces/sra/?run=SRR10755307", "SRR10755307")</f>
        <v>SRR10755307</v>
      </c>
      <c r="G333" t="s">
        <v>1478</v>
      </c>
      <c r="H333" t="s">
        <v>1479</v>
      </c>
    </row>
    <row r="334" spans="1:8" x14ac:dyDescent="0.2">
      <c r="A334" t="s">
        <v>656</v>
      </c>
      <c r="B334" t="s">
        <v>445</v>
      </c>
      <c r="C334" t="s">
        <v>1139</v>
      </c>
      <c r="D334" s="26" t="str">
        <f t="shared" si="7"/>
        <v>PRJNA597162</v>
      </c>
      <c r="E334" s="26" t="str">
        <f>HYPERLINK("https://www.ncbi.nlm.nih.gov/biosample/13668259", "SAMN13668259")</f>
        <v>SAMN13668259</v>
      </c>
      <c r="F334" s="26" t="str">
        <f>HYPERLINK("https://trace.ncbi.nlm.nih.gov/Traces/sra/?run=SRR10755305", "SRR10755305")</f>
        <v>SRR10755305</v>
      </c>
      <c r="G334" t="s">
        <v>1400</v>
      </c>
      <c r="H334" t="s">
        <v>1401</v>
      </c>
    </row>
    <row r="335" spans="1:8" x14ac:dyDescent="0.2">
      <c r="A335" t="s">
        <v>734</v>
      </c>
      <c r="B335" t="s">
        <v>446</v>
      </c>
      <c r="C335" t="s">
        <v>1139</v>
      </c>
      <c r="D335" s="26" t="str">
        <f t="shared" si="7"/>
        <v>PRJNA597162</v>
      </c>
      <c r="E335" s="26" t="str">
        <f>HYPERLINK("https://www.ncbi.nlm.nih.gov/biosample/13668258", "SAMN13668258")</f>
        <v>SAMN13668258</v>
      </c>
      <c r="F335" s="26" t="str">
        <f>HYPERLINK("https://trace.ncbi.nlm.nih.gov/Traces/sra/?run=SRR10755306", "SRR10755306")</f>
        <v>SRR10755306</v>
      </c>
      <c r="G335" t="s">
        <v>1466</v>
      </c>
      <c r="H335" t="s">
        <v>1467</v>
      </c>
    </row>
    <row r="336" spans="1:8" x14ac:dyDescent="0.2">
      <c r="A336" t="s">
        <v>574</v>
      </c>
      <c r="B336" t="s">
        <v>447</v>
      </c>
      <c r="C336" t="s">
        <v>1139</v>
      </c>
      <c r="D336" s="26" t="str">
        <f t="shared" si="7"/>
        <v>PRJNA597162</v>
      </c>
      <c r="E336" s="26" t="str">
        <f>HYPERLINK("https://www.ncbi.nlm.nih.gov/biosample/13668260", "SAMN13668260")</f>
        <v>SAMN13668260</v>
      </c>
      <c r="F336" s="26" t="str">
        <f>HYPERLINK("https://trace.ncbi.nlm.nih.gov/Traces/sra/?run=SRR10755304", "SRR10755304")</f>
        <v>SRR10755304</v>
      </c>
      <c r="G336" t="s">
        <v>1468</v>
      </c>
      <c r="H336" t="s">
        <v>1469</v>
      </c>
    </row>
    <row r="337" spans="1:8" x14ac:dyDescent="0.2">
      <c r="A337" t="s">
        <v>814</v>
      </c>
      <c r="B337" t="s">
        <v>448</v>
      </c>
      <c r="C337" t="s">
        <v>1139</v>
      </c>
      <c r="D337" s="26" t="str">
        <f t="shared" si="7"/>
        <v>PRJNA597162</v>
      </c>
      <c r="E337" s="26" t="str">
        <f>HYPERLINK("https://www.ncbi.nlm.nih.gov/biosample/13668257", "SAMN13668257")</f>
        <v>SAMN13668257</v>
      </c>
      <c r="F337" s="26" t="str">
        <f>HYPERLINK("https://trace.ncbi.nlm.nih.gov/Traces/sra/?run=SRR10755307", "SRR10755307")</f>
        <v>SRR10755307</v>
      </c>
      <c r="G337" t="s">
        <v>1470</v>
      </c>
      <c r="H337" t="s">
        <v>1471</v>
      </c>
    </row>
    <row r="338" spans="1:8" x14ac:dyDescent="0.2">
      <c r="A338" t="s">
        <v>654</v>
      </c>
      <c r="B338" t="s">
        <v>449</v>
      </c>
      <c r="C338" t="s">
        <v>1139</v>
      </c>
      <c r="D338" s="26" t="str">
        <f t="shared" si="7"/>
        <v>PRJNA597162</v>
      </c>
      <c r="E338" s="26" t="str">
        <f>HYPERLINK("https://www.ncbi.nlm.nih.gov/biosample/13668259", "SAMN13668259")</f>
        <v>SAMN13668259</v>
      </c>
      <c r="F338" s="26" t="str">
        <f>HYPERLINK("https://trace.ncbi.nlm.nih.gov/Traces/sra/?run=SRR10755305", "SRR10755305")</f>
        <v>SRR10755305</v>
      </c>
      <c r="G338" t="s">
        <v>1472</v>
      </c>
      <c r="H338" t="s">
        <v>1473</v>
      </c>
    </row>
    <row r="339" spans="1:8" x14ac:dyDescent="0.2">
      <c r="A339" t="s">
        <v>733</v>
      </c>
      <c r="B339" t="s">
        <v>450</v>
      </c>
      <c r="C339" t="s">
        <v>1139</v>
      </c>
      <c r="D339" s="26" t="str">
        <f t="shared" si="7"/>
        <v>PRJNA597162</v>
      </c>
      <c r="E339" s="26" t="str">
        <f>HYPERLINK("https://www.ncbi.nlm.nih.gov/biosample/13668254", "SAMN13668254")</f>
        <v>SAMN13668254</v>
      </c>
      <c r="F339" s="26" t="str">
        <f>HYPERLINK("https://trace.ncbi.nlm.nih.gov/Traces/sra/?run=SRR10755311", "SRR10755311")</f>
        <v>SRR10755311</v>
      </c>
      <c r="G339" t="s">
        <v>1434</v>
      </c>
      <c r="H339" t="s">
        <v>1435</v>
      </c>
    </row>
    <row r="340" spans="1:8" x14ac:dyDescent="0.2">
      <c r="A340" t="s">
        <v>573</v>
      </c>
      <c r="B340" t="s">
        <v>451</v>
      </c>
      <c r="C340" t="s">
        <v>1139</v>
      </c>
      <c r="D340" s="26" t="str">
        <f t="shared" si="7"/>
        <v>PRJNA597162</v>
      </c>
      <c r="E340" s="26" t="str">
        <f>HYPERLINK("https://www.ncbi.nlm.nih.gov/biosample/13668256", "SAMN13668256")</f>
        <v>SAMN13668256</v>
      </c>
      <c r="F340" s="26" t="str">
        <f>HYPERLINK("https://trace.ncbi.nlm.nih.gov/Traces/sra/?run=SRR10755308", "SRR10755308")</f>
        <v>SRR10755308</v>
      </c>
      <c r="G340" t="s">
        <v>1436</v>
      </c>
      <c r="H340" t="s">
        <v>1437</v>
      </c>
    </row>
    <row r="341" spans="1:8" x14ac:dyDescent="0.2">
      <c r="A341" t="s">
        <v>813</v>
      </c>
      <c r="B341" t="s">
        <v>452</v>
      </c>
      <c r="C341" t="s">
        <v>1139</v>
      </c>
      <c r="D341" s="26" t="str">
        <f t="shared" si="7"/>
        <v>PRJNA597162</v>
      </c>
      <c r="E341" s="26" t="str">
        <f>HYPERLINK("https://www.ncbi.nlm.nih.gov/biosample/13668253", "SAMN13668253")</f>
        <v>SAMN13668253</v>
      </c>
      <c r="F341" s="26" t="str">
        <f>HYPERLINK("https://trace.ncbi.nlm.nih.gov/Traces/sra/?run=SRR10755312", "SRR10755312")</f>
        <v>SRR10755312</v>
      </c>
      <c r="G341" t="s">
        <v>1438</v>
      </c>
      <c r="H341" t="s">
        <v>1439</v>
      </c>
    </row>
    <row r="342" spans="1:8" x14ac:dyDescent="0.2">
      <c r="A342" t="s">
        <v>653</v>
      </c>
      <c r="B342" t="s">
        <v>453</v>
      </c>
      <c r="C342" t="s">
        <v>1139</v>
      </c>
      <c r="D342" s="26" t="str">
        <f t="shared" si="7"/>
        <v>PRJNA597162</v>
      </c>
      <c r="E342" s="26" t="str">
        <f>HYPERLINK("https://www.ncbi.nlm.nih.gov/biosample/13668255", "SAMN13668255")</f>
        <v>SAMN13668255</v>
      </c>
      <c r="F342" s="26" t="str">
        <f>HYPERLINK("https://trace.ncbi.nlm.nih.gov/Traces/sra/?run=SRR10755309", "SRR10755309")</f>
        <v>SRR10755309</v>
      </c>
      <c r="G342" t="s">
        <v>1440</v>
      </c>
      <c r="H342" t="s">
        <v>1441</v>
      </c>
    </row>
    <row r="343" spans="1:8" x14ac:dyDescent="0.2">
      <c r="A343" t="s">
        <v>732</v>
      </c>
      <c r="B343" t="s">
        <v>454</v>
      </c>
      <c r="C343" t="s">
        <v>1139</v>
      </c>
      <c r="D343" s="26" t="str">
        <f t="shared" si="7"/>
        <v>PRJNA597162</v>
      </c>
      <c r="E343" s="26" t="str">
        <f>HYPERLINK("https://www.ncbi.nlm.nih.gov/biosample/13668238", "SAMN13668238")</f>
        <v>SAMN13668238</v>
      </c>
      <c r="F343" s="26" t="str">
        <f>HYPERLINK("https://trace.ncbi.nlm.nih.gov/Traces/sra/?run=SRR10755328", "SRR10755328")</f>
        <v>SRR10755328</v>
      </c>
      <c r="G343" t="s">
        <v>1490</v>
      </c>
      <c r="H343" t="s">
        <v>1491</v>
      </c>
    </row>
    <row r="344" spans="1:8" x14ac:dyDescent="0.2">
      <c r="A344" t="s">
        <v>572</v>
      </c>
      <c r="B344" t="s">
        <v>455</v>
      </c>
      <c r="C344" t="s">
        <v>1139</v>
      </c>
      <c r="D344" s="26" t="str">
        <f t="shared" si="7"/>
        <v>PRJNA597162</v>
      </c>
      <c r="E344" s="26" t="str">
        <f>HYPERLINK("https://www.ncbi.nlm.nih.gov/biosample/13668240", "SAMN13668240")</f>
        <v>SAMN13668240</v>
      </c>
      <c r="F344" s="26" t="str">
        <f>HYPERLINK("https://trace.ncbi.nlm.nih.gov/Traces/sra/?run=SRR10755326", "SRR10755326")</f>
        <v>SRR10755326</v>
      </c>
      <c r="G344" t="s">
        <v>1492</v>
      </c>
      <c r="H344" t="s">
        <v>1493</v>
      </c>
    </row>
    <row r="345" spans="1:8" x14ac:dyDescent="0.2">
      <c r="A345" t="s">
        <v>812</v>
      </c>
      <c r="B345" t="s">
        <v>456</v>
      </c>
      <c r="C345" t="s">
        <v>1139</v>
      </c>
      <c r="D345" s="26" t="str">
        <f t="shared" si="7"/>
        <v>PRJNA597162</v>
      </c>
      <c r="E345" s="26" t="str">
        <f>HYPERLINK("https://www.ncbi.nlm.nih.gov/biosample/13668237", "SAMN13668237")</f>
        <v>SAMN13668237</v>
      </c>
      <c r="F345" s="26" t="str">
        <f>HYPERLINK("https://trace.ncbi.nlm.nih.gov/Traces/sra/?run=SRR10755329", "SRR10755329")</f>
        <v>SRR10755329</v>
      </c>
      <c r="G345" t="s">
        <v>1494</v>
      </c>
      <c r="H345" t="s">
        <v>1495</v>
      </c>
    </row>
    <row r="346" spans="1:8" x14ac:dyDescent="0.2">
      <c r="A346" t="s">
        <v>652</v>
      </c>
      <c r="B346" t="s">
        <v>457</v>
      </c>
      <c r="C346" t="s">
        <v>1139</v>
      </c>
      <c r="D346" s="26" t="str">
        <f t="shared" si="7"/>
        <v>PRJNA597162</v>
      </c>
      <c r="E346" s="26" t="str">
        <f>HYPERLINK("https://www.ncbi.nlm.nih.gov/biosample/13668239", "SAMN13668239")</f>
        <v>SAMN13668239</v>
      </c>
      <c r="F346" s="26" t="str">
        <f>HYPERLINK("https://trace.ncbi.nlm.nih.gov/Traces/sra/?run=SRR10755327", "SRR10755327")</f>
        <v>SRR10755327</v>
      </c>
      <c r="G346" t="s">
        <v>1496</v>
      </c>
      <c r="H346" t="s">
        <v>1497</v>
      </c>
    </row>
    <row r="347" spans="1:8" x14ac:dyDescent="0.2">
      <c r="A347" t="s">
        <v>760</v>
      </c>
      <c r="B347" t="s">
        <v>458</v>
      </c>
      <c r="C347" t="s">
        <v>1139</v>
      </c>
      <c r="D347" s="26" t="str">
        <f t="shared" ref="D347:D378" si="8">HYPERLINK("https://www.ncbi.nlm.nih.gov/bioproject/PRJNA597162", "PRJNA597162")</f>
        <v>PRJNA597162</v>
      </c>
      <c r="E347" s="26" t="str">
        <f>HYPERLINK("https://www.ncbi.nlm.nih.gov/biosample/13668238", "SAMN13668238")</f>
        <v>SAMN13668238</v>
      </c>
      <c r="F347" s="26" t="str">
        <f>HYPERLINK("https://trace.ncbi.nlm.nih.gov/Traces/sra/?run=SRR10755328", "SRR10755328")</f>
        <v>SRR10755328</v>
      </c>
      <c r="G347" t="s">
        <v>1442</v>
      </c>
      <c r="H347" t="s">
        <v>1443</v>
      </c>
    </row>
    <row r="348" spans="1:8" x14ac:dyDescent="0.2">
      <c r="A348" t="s">
        <v>600</v>
      </c>
      <c r="B348" t="s">
        <v>459</v>
      </c>
      <c r="C348" t="s">
        <v>1139</v>
      </c>
      <c r="D348" s="26" t="str">
        <f t="shared" si="8"/>
        <v>PRJNA597162</v>
      </c>
      <c r="E348" s="26" t="str">
        <f>HYPERLINK("https://www.ncbi.nlm.nih.gov/biosample/13668240", "SAMN13668240")</f>
        <v>SAMN13668240</v>
      </c>
      <c r="F348" s="26" t="str">
        <f>HYPERLINK("https://trace.ncbi.nlm.nih.gov/Traces/sra/?run=SRR10755326", "SRR10755326")</f>
        <v>SRR10755326</v>
      </c>
      <c r="G348" t="s">
        <v>1444</v>
      </c>
      <c r="H348" t="s">
        <v>1445</v>
      </c>
    </row>
    <row r="349" spans="1:8" x14ac:dyDescent="0.2">
      <c r="A349" t="s">
        <v>840</v>
      </c>
      <c r="B349" t="s">
        <v>460</v>
      </c>
      <c r="C349" t="s">
        <v>1139</v>
      </c>
      <c r="D349" s="26" t="str">
        <f t="shared" si="8"/>
        <v>PRJNA597162</v>
      </c>
      <c r="E349" s="26" t="str">
        <f>HYPERLINK("https://www.ncbi.nlm.nih.gov/biosample/13668237", "SAMN13668237")</f>
        <v>SAMN13668237</v>
      </c>
      <c r="F349" s="26" t="str">
        <f>HYPERLINK("https://trace.ncbi.nlm.nih.gov/Traces/sra/?run=SRR10755329", "SRR10755329")</f>
        <v>SRR10755329</v>
      </c>
      <c r="G349" t="s">
        <v>1446</v>
      </c>
      <c r="H349" t="s">
        <v>1447</v>
      </c>
    </row>
    <row r="350" spans="1:8" x14ac:dyDescent="0.2">
      <c r="A350" t="s">
        <v>680</v>
      </c>
      <c r="B350" t="s">
        <v>461</v>
      </c>
      <c r="C350" t="s">
        <v>1139</v>
      </c>
      <c r="D350" s="26" t="str">
        <f t="shared" si="8"/>
        <v>PRJNA597162</v>
      </c>
      <c r="E350" s="26" t="str">
        <f>HYPERLINK("https://www.ncbi.nlm.nih.gov/biosample/13668239", "SAMN13668239")</f>
        <v>SAMN13668239</v>
      </c>
      <c r="F350" s="26" t="str">
        <f>HYPERLINK("https://trace.ncbi.nlm.nih.gov/Traces/sra/?run=SRR10755327", "SRR10755327")</f>
        <v>SRR10755327</v>
      </c>
      <c r="G350" t="s">
        <v>1448</v>
      </c>
      <c r="H350" t="s">
        <v>1449</v>
      </c>
    </row>
    <row r="351" spans="1:8" x14ac:dyDescent="0.2">
      <c r="A351" t="s">
        <v>721</v>
      </c>
      <c r="B351" t="s">
        <v>462</v>
      </c>
      <c r="C351" t="s">
        <v>1139</v>
      </c>
      <c r="D351" s="26" t="str">
        <f t="shared" si="8"/>
        <v>PRJNA597162</v>
      </c>
      <c r="E351" s="26" t="str">
        <f>HYPERLINK("https://www.ncbi.nlm.nih.gov/biosample/13668250", "SAMN13668250")</f>
        <v>SAMN13668250</v>
      </c>
      <c r="F351" s="26" t="str">
        <f>HYPERLINK("https://trace.ncbi.nlm.nih.gov/Traces/sra/?run=SRR10755315", "SRR10755315")</f>
        <v>SRR10755315</v>
      </c>
      <c r="G351" t="s">
        <v>1402</v>
      </c>
      <c r="H351" t="s">
        <v>1403</v>
      </c>
    </row>
    <row r="352" spans="1:8" x14ac:dyDescent="0.2">
      <c r="A352" t="s">
        <v>561</v>
      </c>
      <c r="B352" t="s">
        <v>463</v>
      </c>
      <c r="C352" t="s">
        <v>1139</v>
      </c>
      <c r="D352" s="26" t="str">
        <f t="shared" si="8"/>
        <v>PRJNA597162</v>
      </c>
      <c r="E352" s="26" t="str">
        <f>HYPERLINK("https://www.ncbi.nlm.nih.gov/biosample/13668252", "SAMN13668252")</f>
        <v>SAMN13668252</v>
      </c>
      <c r="F352" s="26" t="str">
        <f>HYPERLINK("https://trace.ncbi.nlm.nih.gov/Traces/sra/?run=SRR10755313", "SRR10755313")</f>
        <v>SRR10755313</v>
      </c>
      <c r="G352" t="s">
        <v>1404</v>
      </c>
      <c r="H352" t="s">
        <v>1405</v>
      </c>
    </row>
    <row r="353" spans="1:8" x14ac:dyDescent="0.2">
      <c r="A353" t="s">
        <v>801</v>
      </c>
      <c r="B353" t="s">
        <v>464</v>
      </c>
      <c r="C353" t="s">
        <v>1139</v>
      </c>
      <c r="D353" s="26" t="str">
        <f t="shared" si="8"/>
        <v>PRJNA597162</v>
      </c>
      <c r="E353" s="26" t="str">
        <f>HYPERLINK("https://www.ncbi.nlm.nih.gov/biosample/13668249", "SAMN13668249")</f>
        <v>SAMN13668249</v>
      </c>
      <c r="F353" s="26" t="str">
        <f>HYPERLINK("https://trace.ncbi.nlm.nih.gov/Traces/sra/?run=SRR10755316", "SRR10755316")</f>
        <v>SRR10755316</v>
      </c>
      <c r="G353" t="s">
        <v>1406</v>
      </c>
      <c r="H353" t="s">
        <v>1407</v>
      </c>
    </row>
    <row r="354" spans="1:8" x14ac:dyDescent="0.2">
      <c r="A354" t="s">
        <v>641</v>
      </c>
      <c r="B354" t="s">
        <v>465</v>
      </c>
      <c r="C354" t="s">
        <v>1139</v>
      </c>
      <c r="D354" s="26" t="str">
        <f t="shared" si="8"/>
        <v>PRJNA597162</v>
      </c>
      <c r="E354" s="26" t="str">
        <f>HYPERLINK("https://www.ncbi.nlm.nih.gov/biosample/13668251", "SAMN13668251")</f>
        <v>SAMN13668251</v>
      </c>
      <c r="F354" s="26" t="str">
        <f>HYPERLINK("https://trace.ncbi.nlm.nih.gov/Traces/sra/?run=SRR10755314", "SRR10755314")</f>
        <v>SRR10755314</v>
      </c>
      <c r="G354" t="s">
        <v>1408</v>
      </c>
      <c r="H354" t="s">
        <v>1409</v>
      </c>
    </row>
    <row r="355" spans="1:8" x14ac:dyDescent="0.2">
      <c r="A355" t="s">
        <v>719</v>
      </c>
      <c r="B355" t="s">
        <v>466</v>
      </c>
      <c r="C355" t="s">
        <v>1139</v>
      </c>
      <c r="D355" s="26" t="str">
        <f t="shared" si="8"/>
        <v>PRJNA597162</v>
      </c>
      <c r="E355" s="26" t="str">
        <f>HYPERLINK("https://www.ncbi.nlm.nih.gov/biosample/13668246", "SAMN13668246")</f>
        <v>SAMN13668246</v>
      </c>
      <c r="F355" s="26" t="str">
        <f>HYPERLINK("https://trace.ncbi.nlm.nih.gov/Traces/sra/?run=SRR10755319", "SRR10755319")</f>
        <v>SRR10755319</v>
      </c>
      <c r="G355" t="s">
        <v>1410</v>
      </c>
      <c r="H355" t="s">
        <v>1411</v>
      </c>
    </row>
    <row r="356" spans="1:8" x14ac:dyDescent="0.2">
      <c r="A356" t="s">
        <v>559</v>
      </c>
      <c r="B356" t="s">
        <v>467</v>
      </c>
      <c r="C356" t="s">
        <v>1139</v>
      </c>
      <c r="D356" s="26" t="str">
        <f t="shared" si="8"/>
        <v>PRJNA597162</v>
      </c>
      <c r="E356" s="26" t="str">
        <f>HYPERLINK("https://www.ncbi.nlm.nih.gov/biosample/13668248", "SAMN13668248")</f>
        <v>SAMN13668248</v>
      </c>
      <c r="F356" s="26" t="str">
        <f>HYPERLINK("https://trace.ncbi.nlm.nih.gov/Traces/sra/?run=SRR10755317", "SRR10755317")</f>
        <v>SRR10755317</v>
      </c>
      <c r="G356" t="s">
        <v>1412</v>
      </c>
      <c r="H356" t="s">
        <v>1413</v>
      </c>
    </row>
    <row r="357" spans="1:8" x14ac:dyDescent="0.2">
      <c r="A357" t="s">
        <v>799</v>
      </c>
      <c r="B357" t="s">
        <v>468</v>
      </c>
      <c r="C357" t="s">
        <v>1139</v>
      </c>
      <c r="D357" s="26" t="str">
        <f t="shared" si="8"/>
        <v>PRJNA597162</v>
      </c>
      <c r="E357" s="26" t="str">
        <f>HYPERLINK("https://www.ncbi.nlm.nih.gov/biosample/13668245", "SAMN13668245")</f>
        <v>SAMN13668245</v>
      </c>
      <c r="F357" s="26" t="str">
        <f>HYPERLINK("https://trace.ncbi.nlm.nih.gov/Traces/sra/?run=SRR10755320", "SRR10755320")</f>
        <v>SRR10755320</v>
      </c>
      <c r="G357" t="s">
        <v>1414</v>
      </c>
      <c r="H357" t="s">
        <v>1415</v>
      </c>
    </row>
    <row r="358" spans="1:8" x14ac:dyDescent="0.2">
      <c r="A358" t="s">
        <v>639</v>
      </c>
      <c r="B358" t="s">
        <v>469</v>
      </c>
      <c r="C358" t="s">
        <v>1139</v>
      </c>
      <c r="D358" s="26" t="str">
        <f t="shared" si="8"/>
        <v>PRJNA597162</v>
      </c>
      <c r="E358" s="26" t="str">
        <f>HYPERLINK("https://www.ncbi.nlm.nih.gov/biosample/13668247", "SAMN13668247")</f>
        <v>SAMN13668247</v>
      </c>
      <c r="F358" s="26" t="str">
        <f>HYPERLINK("https://trace.ncbi.nlm.nih.gov/Traces/sra/?run=SRR10755318", "SRR10755318")</f>
        <v>SRR10755318</v>
      </c>
      <c r="G358" t="s">
        <v>1416</v>
      </c>
      <c r="H358" t="s">
        <v>1417</v>
      </c>
    </row>
    <row r="359" spans="1:8" x14ac:dyDescent="0.2">
      <c r="A359" t="s">
        <v>716</v>
      </c>
      <c r="B359" t="s">
        <v>470</v>
      </c>
      <c r="C359" t="s">
        <v>1139</v>
      </c>
      <c r="D359" s="26" t="str">
        <f t="shared" si="8"/>
        <v>PRJNA597162</v>
      </c>
      <c r="E359" s="26" t="str">
        <f>HYPERLINK("https://www.ncbi.nlm.nih.gov/biosample/13668266", "SAMN13668266")</f>
        <v>SAMN13668266</v>
      </c>
      <c r="F359" s="26" t="str">
        <f>HYPERLINK("https://trace.ncbi.nlm.nih.gov/Traces/sra/?run=SRR10755297", "SRR10755297")</f>
        <v>SRR10755297</v>
      </c>
      <c r="G359" t="s">
        <v>1418</v>
      </c>
      <c r="H359" t="s">
        <v>1419</v>
      </c>
    </row>
    <row r="360" spans="1:8" x14ac:dyDescent="0.2">
      <c r="A360" t="s">
        <v>556</v>
      </c>
      <c r="B360" t="s">
        <v>471</v>
      </c>
      <c r="C360" t="s">
        <v>1139</v>
      </c>
      <c r="D360" s="26" t="str">
        <f t="shared" si="8"/>
        <v>PRJNA597162</v>
      </c>
      <c r="E360" s="26" t="str">
        <f>HYPERLINK("https://www.ncbi.nlm.nih.gov/biosample/13668268", "SAMN13668268")</f>
        <v>SAMN13668268</v>
      </c>
      <c r="F360" s="26" t="str">
        <f>HYPERLINK("https://trace.ncbi.nlm.nih.gov/Traces/sra/?run=SRR10755295", "SRR10755295")</f>
        <v>SRR10755295</v>
      </c>
      <c r="G360" t="s">
        <v>1420</v>
      </c>
      <c r="H360" t="s">
        <v>1421</v>
      </c>
    </row>
    <row r="361" spans="1:8" x14ac:dyDescent="0.2">
      <c r="A361" t="s">
        <v>796</v>
      </c>
      <c r="B361" t="s">
        <v>472</v>
      </c>
      <c r="C361" t="s">
        <v>1139</v>
      </c>
      <c r="D361" s="26" t="str">
        <f t="shared" si="8"/>
        <v>PRJNA597162</v>
      </c>
      <c r="E361" s="26" t="str">
        <f>HYPERLINK("https://www.ncbi.nlm.nih.gov/biosample/13668265", "SAMN13668265")</f>
        <v>SAMN13668265</v>
      </c>
      <c r="F361" s="26" t="str">
        <f>HYPERLINK("https://trace.ncbi.nlm.nih.gov/Traces/sra/?run=SRR10755298", "SRR10755298")</f>
        <v>SRR10755298</v>
      </c>
      <c r="G361" t="s">
        <v>1422</v>
      </c>
      <c r="H361" t="s">
        <v>1423</v>
      </c>
    </row>
    <row r="362" spans="1:8" x14ac:dyDescent="0.2">
      <c r="A362" t="s">
        <v>636</v>
      </c>
      <c r="B362" t="s">
        <v>473</v>
      </c>
      <c r="C362" t="s">
        <v>1139</v>
      </c>
      <c r="D362" s="26" t="str">
        <f t="shared" si="8"/>
        <v>PRJNA597162</v>
      </c>
      <c r="E362" s="26" t="str">
        <f>HYPERLINK("https://www.ncbi.nlm.nih.gov/biosample/13668267", "SAMN13668267")</f>
        <v>SAMN13668267</v>
      </c>
      <c r="F362" s="26" t="str">
        <f>HYPERLINK("https://trace.ncbi.nlm.nih.gov/Traces/sra/?run=SRR10755296", "SRR10755296")</f>
        <v>SRR10755296</v>
      </c>
      <c r="G362" t="s">
        <v>1424</v>
      </c>
      <c r="H362" t="s">
        <v>1425</v>
      </c>
    </row>
    <row r="363" spans="1:8" x14ac:dyDescent="0.2">
      <c r="A363" t="s">
        <v>714</v>
      </c>
      <c r="B363" t="s">
        <v>474</v>
      </c>
      <c r="C363" t="s">
        <v>1139</v>
      </c>
      <c r="D363" s="26" t="str">
        <f t="shared" si="8"/>
        <v>PRJNA597162</v>
      </c>
      <c r="E363" s="26" t="str">
        <f>HYPERLINK("https://www.ncbi.nlm.nih.gov/biosample/13668262", "SAMN13668262")</f>
        <v>SAMN13668262</v>
      </c>
      <c r="F363" s="26" t="str">
        <f>HYPERLINK("https://trace.ncbi.nlm.nih.gov/Traces/sra/?run=SRR10755302", "SRR10755302")</f>
        <v>SRR10755302</v>
      </c>
      <c r="G363" t="s">
        <v>1426</v>
      </c>
      <c r="H363" t="s">
        <v>1427</v>
      </c>
    </row>
    <row r="364" spans="1:8" x14ac:dyDescent="0.2">
      <c r="A364" t="s">
        <v>554</v>
      </c>
      <c r="B364" t="s">
        <v>475</v>
      </c>
      <c r="C364" t="s">
        <v>1139</v>
      </c>
      <c r="D364" s="26" t="str">
        <f t="shared" si="8"/>
        <v>PRJNA597162</v>
      </c>
      <c r="E364" s="26" t="str">
        <f>HYPERLINK("https://www.ncbi.nlm.nih.gov/biosample/13668264", "SAMN13668264")</f>
        <v>SAMN13668264</v>
      </c>
      <c r="F364" s="26" t="str">
        <f>HYPERLINK("https://trace.ncbi.nlm.nih.gov/Traces/sra/?run=SRR10755300", "SRR10755300")</f>
        <v>SRR10755300</v>
      </c>
      <c r="G364" t="s">
        <v>1428</v>
      </c>
      <c r="H364" t="s">
        <v>1429</v>
      </c>
    </row>
    <row r="365" spans="1:8" x14ac:dyDescent="0.2">
      <c r="A365" t="s">
        <v>794</v>
      </c>
      <c r="B365" t="s">
        <v>476</v>
      </c>
      <c r="C365" t="s">
        <v>1139</v>
      </c>
      <c r="D365" s="26" t="str">
        <f t="shared" si="8"/>
        <v>PRJNA597162</v>
      </c>
      <c r="E365" s="26" t="str">
        <f>HYPERLINK("https://www.ncbi.nlm.nih.gov/biosample/13668261", "SAMN13668261")</f>
        <v>SAMN13668261</v>
      </c>
      <c r="F365" s="26" t="str">
        <f>HYPERLINK("https://trace.ncbi.nlm.nih.gov/Traces/sra/?run=SRR10755303", "SRR10755303")</f>
        <v>SRR10755303</v>
      </c>
      <c r="G365" t="s">
        <v>1430</v>
      </c>
      <c r="H365" t="s">
        <v>1431</v>
      </c>
    </row>
    <row r="366" spans="1:8" x14ac:dyDescent="0.2">
      <c r="A366" t="s">
        <v>634</v>
      </c>
      <c r="B366" t="s">
        <v>477</v>
      </c>
      <c r="C366" t="s">
        <v>1139</v>
      </c>
      <c r="D366" s="26" t="str">
        <f t="shared" si="8"/>
        <v>PRJNA597162</v>
      </c>
      <c r="E366" s="26" t="str">
        <f>HYPERLINK("https://www.ncbi.nlm.nih.gov/biosample/13668263", "SAMN13668263")</f>
        <v>SAMN13668263</v>
      </c>
      <c r="F366" s="26" t="str">
        <f>HYPERLINK("https://trace.ncbi.nlm.nih.gov/Traces/sra/?run=SRR10755301", "SRR10755301")</f>
        <v>SRR10755301</v>
      </c>
      <c r="G366" t="s">
        <v>1432</v>
      </c>
      <c r="H366" t="s">
        <v>1433</v>
      </c>
    </row>
    <row r="367" spans="1:8" x14ac:dyDescent="0.2">
      <c r="A367" t="s">
        <v>759</v>
      </c>
      <c r="B367" t="s">
        <v>478</v>
      </c>
      <c r="C367" t="s">
        <v>1139</v>
      </c>
      <c r="D367" s="26" t="str">
        <f t="shared" si="8"/>
        <v>PRJNA597162</v>
      </c>
      <c r="E367" s="26" t="str">
        <f>HYPERLINK("https://www.ncbi.nlm.nih.gov/biosample/13668242", "SAMN13668242")</f>
        <v>SAMN13668242</v>
      </c>
      <c r="F367" s="26" t="str">
        <f>HYPERLINK("https://trace.ncbi.nlm.nih.gov/Traces/sra/?run=SRR10755324", "SRR10755324")</f>
        <v>SRR10755324</v>
      </c>
      <c r="G367" t="s">
        <v>1458</v>
      </c>
      <c r="H367" t="s">
        <v>1459</v>
      </c>
    </row>
    <row r="368" spans="1:8" x14ac:dyDescent="0.2">
      <c r="A368" t="s">
        <v>599</v>
      </c>
      <c r="B368" t="s">
        <v>479</v>
      </c>
      <c r="C368" t="s">
        <v>1139</v>
      </c>
      <c r="D368" s="26" t="str">
        <f t="shared" si="8"/>
        <v>PRJNA597162</v>
      </c>
      <c r="E368" s="26" t="str">
        <f>HYPERLINK("https://www.ncbi.nlm.nih.gov/biosample/13668244", "SAMN13668244")</f>
        <v>SAMN13668244</v>
      </c>
      <c r="F368" s="26" t="str">
        <f>HYPERLINK("https://trace.ncbi.nlm.nih.gov/Traces/sra/?run=SRR10755322", "SRR10755322")</f>
        <v>SRR10755322</v>
      </c>
      <c r="G368" t="s">
        <v>1460</v>
      </c>
      <c r="H368" t="s">
        <v>1461</v>
      </c>
    </row>
    <row r="369" spans="1:8" x14ac:dyDescent="0.2">
      <c r="A369" t="s">
        <v>839</v>
      </c>
      <c r="B369" t="s">
        <v>480</v>
      </c>
      <c r="C369" t="s">
        <v>1139</v>
      </c>
      <c r="D369" s="26" t="str">
        <f t="shared" si="8"/>
        <v>PRJNA597162</v>
      </c>
      <c r="E369" s="26" t="str">
        <f>HYPERLINK("https://www.ncbi.nlm.nih.gov/biosample/13668241", "SAMN13668241")</f>
        <v>SAMN13668241</v>
      </c>
      <c r="F369" s="26" t="str">
        <f>HYPERLINK("https://trace.ncbi.nlm.nih.gov/Traces/sra/?run=SRR10755325", "SRR10755325")</f>
        <v>SRR10755325</v>
      </c>
      <c r="G369" t="s">
        <v>1462</v>
      </c>
      <c r="H369" t="s">
        <v>1463</v>
      </c>
    </row>
    <row r="370" spans="1:8" x14ac:dyDescent="0.2">
      <c r="A370" t="s">
        <v>679</v>
      </c>
      <c r="B370" t="s">
        <v>481</v>
      </c>
      <c r="C370" t="s">
        <v>1139</v>
      </c>
      <c r="D370" s="26" t="str">
        <f t="shared" si="8"/>
        <v>PRJNA597162</v>
      </c>
      <c r="E370" s="26" t="str">
        <f>HYPERLINK("https://www.ncbi.nlm.nih.gov/biosample/13668243", "SAMN13668243")</f>
        <v>SAMN13668243</v>
      </c>
      <c r="F370" s="26" t="str">
        <f>HYPERLINK("https://trace.ncbi.nlm.nih.gov/Traces/sra/?run=SRR10755323", "SRR10755323")</f>
        <v>SRR10755323</v>
      </c>
      <c r="G370" t="s">
        <v>1464</v>
      </c>
      <c r="H370" t="s">
        <v>1465</v>
      </c>
    </row>
    <row r="371" spans="1:8" x14ac:dyDescent="0.2">
      <c r="A371" t="s">
        <v>703</v>
      </c>
      <c r="B371" t="s">
        <v>482</v>
      </c>
      <c r="C371" t="s">
        <v>1139</v>
      </c>
      <c r="D371" s="26" t="str">
        <f t="shared" si="8"/>
        <v>PRJNA597162</v>
      </c>
      <c r="E371" s="26" t="str">
        <f>HYPERLINK("https://www.ncbi.nlm.nih.gov/biosample/13668266", "SAMN13668266")</f>
        <v>SAMN13668266</v>
      </c>
      <c r="F371" s="26" t="str">
        <f>HYPERLINK("https://trace.ncbi.nlm.nih.gov/Traces/sra/?run=SRR10755297", "SRR10755297")</f>
        <v>SRR10755297</v>
      </c>
      <c r="G371" t="s">
        <v>1498</v>
      </c>
      <c r="H371" t="s">
        <v>1499</v>
      </c>
    </row>
    <row r="372" spans="1:8" x14ac:dyDescent="0.2">
      <c r="A372" t="s">
        <v>543</v>
      </c>
      <c r="B372" t="s">
        <v>483</v>
      </c>
      <c r="C372" t="s">
        <v>1139</v>
      </c>
      <c r="D372" s="26" t="str">
        <f t="shared" si="8"/>
        <v>PRJNA597162</v>
      </c>
      <c r="E372" s="26" t="str">
        <f>HYPERLINK("https://www.ncbi.nlm.nih.gov/biosample/13668268", "SAMN13668268")</f>
        <v>SAMN13668268</v>
      </c>
      <c r="F372" s="26" t="str">
        <f>HYPERLINK("https://trace.ncbi.nlm.nih.gov/Traces/sra/?run=SRR10755295", "SRR10755295")</f>
        <v>SRR10755295</v>
      </c>
      <c r="G372" t="s">
        <v>1500</v>
      </c>
      <c r="H372" t="s">
        <v>1501</v>
      </c>
    </row>
    <row r="373" spans="1:8" x14ac:dyDescent="0.2">
      <c r="A373" t="s">
        <v>783</v>
      </c>
      <c r="B373" t="s">
        <v>484</v>
      </c>
      <c r="C373" t="s">
        <v>1139</v>
      </c>
      <c r="D373" s="26" t="str">
        <f t="shared" si="8"/>
        <v>PRJNA597162</v>
      </c>
      <c r="E373" s="26" t="str">
        <f>HYPERLINK("https://www.ncbi.nlm.nih.gov/biosample/13668265", "SAMN13668265")</f>
        <v>SAMN13668265</v>
      </c>
      <c r="F373" s="26" t="str">
        <f>HYPERLINK("https://trace.ncbi.nlm.nih.gov/Traces/sra/?run=SRR10755298", "SRR10755298")</f>
        <v>SRR10755298</v>
      </c>
      <c r="G373" t="s">
        <v>1502</v>
      </c>
      <c r="H373" t="s">
        <v>1503</v>
      </c>
    </row>
    <row r="374" spans="1:8" x14ac:dyDescent="0.2">
      <c r="A374" t="s">
        <v>623</v>
      </c>
      <c r="B374" t="s">
        <v>485</v>
      </c>
      <c r="C374" t="s">
        <v>1139</v>
      </c>
      <c r="D374" s="26" t="str">
        <f t="shared" si="8"/>
        <v>PRJNA597162</v>
      </c>
      <c r="E374" s="26" t="str">
        <f>HYPERLINK("https://www.ncbi.nlm.nih.gov/biosample/13668267", "SAMN13668267")</f>
        <v>SAMN13668267</v>
      </c>
      <c r="F374" s="26" t="str">
        <f>HYPERLINK("https://trace.ncbi.nlm.nih.gov/Traces/sra/?run=SRR10755296", "SRR10755296")</f>
        <v>SRR10755296</v>
      </c>
      <c r="G374" t="s">
        <v>1504</v>
      </c>
      <c r="H374" t="s">
        <v>1505</v>
      </c>
    </row>
    <row r="375" spans="1:8" x14ac:dyDescent="0.2">
      <c r="A375" t="s">
        <v>702</v>
      </c>
      <c r="B375" t="s">
        <v>486</v>
      </c>
      <c r="C375" t="s">
        <v>1139</v>
      </c>
      <c r="D375" s="26" t="str">
        <f t="shared" si="8"/>
        <v>PRJNA597162</v>
      </c>
      <c r="E375" s="26" t="str">
        <f>HYPERLINK("https://www.ncbi.nlm.nih.gov/biosample/13668250", "SAMN13668250")</f>
        <v>SAMN13668250</v>
      </c>
      <c r="F375" s="26" t="str">
        <f>HYPERLINK("https://trace.ncbi.nlm.nih.gov/Traces/sra/?run=SRR10755315", "SRR10755315")</f>
        <v>SRR10755315</v>
      </c>
      <c r="G375" t="s">
        <v>1506</v>
      </c>
      <c r="H375" t="s">
        <v>1507</v>
      </c>
    </row>
    <row r="376" spans="1:8" x14ac:dyDescent="0.2">
      <c r="A376" t="s">
        <v>542</v>
      </c>
      <c r="B376" t="s">
        <v>487</v>
      </c>
      <c r="C376" t="s">
        <v>1139</v>
      </c>
      <c r="D376" s="26" t="str">
        <f t="shared" si="8"/>
        <v>PRJNA597162</v>
      </c>
      <c r="E376" s="26" t="str">
        <f>HYPERLINK("https://www.ncbi.nlm.nih.gov/biosample/13668252", "SAMN13668252")</f>
        <v>SAMN13668252</v>
      </c>
      <c r="F376" s="26" t="str">
        <f>HYPERLINK("https://trace.ncbi.nlm.nih.gov/Traces/sra/?run=SRR10755313", "SRR10755313")</f>
        <v>SRR10755313</v>
      </c>
      <c r="G376" t="s">
        <v>1508</v>
      </c>
      <c r="H376" t="s">
        <v>1509</v>
      </c>
    </row>
    <row r="377" spans="1:8" x14ac:dyDescent="0.2">
      <c r="A377" t="s">
        <v>782</v>
      </c>
      <c r="B377" t="s">
        <v>488</v>
      </c>
      <c r="C377" t="s">
        <v>1139</v>
      </c>
      <c r="D377" s="26" t="str">
        <f t="shared" si="8"/>
        <v>PRJNA597162</v>
      </c>
      <c r="E377" s="26" t="str">
        <f>HYPERLINK("https://www.ncbi.nlm.nih.gov/biosample/13668249", "SAMN13668249")</f>
        <v>SAMN13668249</v>
      </c>
      <c r="F377" s="26" t="str">
        <f>HYPERLINK("https://trace.ncbi.nlm.nih.gov/Traces/sra/?run=SRR10755316", "SRR10755316")</f>
        <v>SRR10755316</v>
      </c>
      <c r="G377" t="s">
        <v>1510</v>
      </c>
      <c r="H377" t="s">
        <v>1511</v>
      </c>
    </row>
    <row r="378" spans="1:8" x14ac:dyDescent="0.2">
      <c r="A378" t="s">
        <v>622</v>
      </c>
      <c r="B378" t="s">
        <v>489</v>
      </c>
      <c r="C378" t="s">
        <v>1139</v>
      </c>
      <c r="D378" s="26" t="str">
        <f t="shared" si="8"/>
        <v>PRJNA597162</v>
      </c>
      <c r="E378" s="26" t="str">
        <f>HYPERLINK("https://www.ncbi.nlm.nih.gov/biosample/13668251", "SAMN13668251")</f>
        <v>SAMN13668251</v>
      </c>
      <c r="F378" s="26" t="str">
        <f>HYPERLINK("https://trace.ncbi.nlm.nih.gov/Traces/sra/?run=SRR10755314", "SRR10755314")</f>
        <v>SRR10755314</v>
      </c>
      <c r="G378" t="s">
        <v>1512</v>
      </c>
      <c r="H378" t="s">
        <v>1513</v>
      </c>
    </row>
    <row r="379" spans="1:8" x14ac:dyDescent="0.2">
      <c r="A379" t="s">
        <v>701</v>
      </c>
      <c r="B379" t="s">
        <v>490</v>
      </c>
      <c r="C379" t="s">
        <v>1139</v>
      </c>
      <c r="D379" s="26" t="str">
        <f t="shared" ref="D379:D410" si="9">HYPERLINK("https://www.ncbi.nlm.nih.gov/bioproject/PRJNA597162", "PRJNA597162")</f>
        <v>PRJNA597162</v>
      </c>
      <c r="E379" s="26" t="str">
        <f>HYPERLINK("https://www.ncbi.nlm.nih.gov/biosample/13668246", "SAMN13668246")</f>
        <v>SAMN13668246</v>
      </c>
      <c r="F379" s="26" t="str">
        <f>HYPERLINK("https://trace.ncbi.nlm.nih.gov/Traces/sra/?run=SRR10755319", "SRR10755319")</f>
        <v>SRR10755319</v>
      </c>
      <c r="G379" t="s">
        <v>1514</v>
      </c>
      <c r="H379" t="s">
        <v>1515</v>
      </c>
    </row>
    <row r="380" spans="1:8" x14ac:dyDescent="0.2">
      <c r="A380" t="s">
        <v>541</v>
      </c>
      <c r="B380" t="s">
        <v>491</v>
      </c>
      <c r="C380" t="s">
        <v>1139</v>
      </c>
      <c r="D380" s="26" t="str">
        <f t="shared" si="9"/>
        <v>PRJNA597162</v>
      </c>
      <c r="E380" s="26" t="str">
        <f>HYPERLINK("https://www.ncbi.nlm.nih.gov/biosample/13668248", "SAMN13668248")</f>
        <v>SAMN13668248</v>
      </c>
      <c r="F380" s="26" t="str">
        <f>HYPERLINK("https://trace.ncbi.nlm.nih.gov/Traces/sra/?run=SRR10755317", "SRR10755317")</f>
        <v>SRR10755317</v>
      </c>
      <c r="G380" t="s">
        <v>1516</v>
      </c>
      <c r="H380" t="s">
        <v>1517</v>
      </c>
    </row>
    <row r="381" spans="1:8" x14ac:dyDescent="0.2">
      <c r="A381" t="s">
        <v>781</v>
      </c>
      <c r="B381" t="s">
        <v>492</v>
      </c>
      <c r="C381" t="s">
        <v>1139</v>
      </c>
      <c r="D381" s="26" t="str">
        <f t="shared" si="9"/>
        <v>PRJNA597162</v>
      </c>
      <c r="E381" s="26" t="str">
        <f>HYPERLINK("https://www.ncbi.nlm.nih.gov/biosample/13668245", "SAMN13668245")</f>
        <v>SAMN13668245</v>
      </c>
      <c r="F381" s="26" t="str">
        <f>HYPERLINK("https://trace.ncbi.nlm.nih.gov/Traces/sra/?run=SRR10755320", "SRR10755320")</f>
        <v>SRR10755320</v>
      </c>
      <c r="G381" t="s">
        <v>1518</v>
      </c>
      <c r="H381" t="s">
        <v>1519</v>
      </c>
    </row>
    <row r="382" spans="1:8" x14ac:dyDescent="0.2">
      <c r="A382" t="s">
        <v>621</v>
      </c>
      <c r="B382" t="s">
        <v>493</v>
      </c>
      <c r="C382" t="s">
        <v>1139</v>
      </c>
      <c r="D382" s="26" t="str">
        <f t="shared" si="9"/>
        <v>PRJNA597162</v>
      </c>
      <c r="E382" s="26" t="str">
        <f>HYPERLINK("https://www.ncbi.nlm.nih.gov/biosample/13668247", "SAMN13668247")</f>
        <v>SAMN13668247</v>
      </c>
      <c r="F382" s="26" t="str">
        <f>HYPERLINK("https://trace.ncbi.nlm.nih.gov/Traces/sra/?run=SRR10755318", "SRR10755318")</f>
        <v>SRR10755318</v>
      </c>
      <c r="G382" t="s">
        <v>1520</v>
      </c>
      <c r="H382" t="s">
        <v>1521</v>
      </c>
    </row>
    <row r="383" spans="1:8" x14ac:dyDescent="0.2">
      <c r="A383" t="s">
        <v>700</v>
      </c>
      <c r="B383" t="s">
        <v>494</v>
      </c>
      <c r="C383" t="s">
        <v>1139</v>
      </c>
      <c r="D383" s="26" t="str">
        <f t="shared" si="9"/>
        <v>PRJNA597162</v>
      </c>
      <c r="E383" s="26" t="str">
        <f>HYPERLINK("https://www.ncbi.nlm.nih.gov/biosample/13668250", "SAMN13668250")</f>
        <v>SAMN13668250</v>
      </c>
      <c r="F383" s="26" t="str">
        <f>HYPERLINK("https://trace.ncbi.nlm.nih.gov/Traces/sra/?run=SRR10755315", "SRR10755315")</f>
        <v>SRR10755315</v>
      </c>
      <c r="G383" t="s">
        <v>1522</v>
      </c>
      <c r="H383" t="s">
        <v>1523</v>
      </c>
    </row>
    <row r="384" spans="1:8" x14ac:dyDescent="0.2">
      <c r="A384" t="s">
        <v>540</v>
      </c>
      <c r="B384" t="s">
        <v>495</v>
      </c>
      <c r="C384" t="s">
        <v>1139</v>
      </c>
      <c r="D384" s="26" t="str">
        <f t="shared" si="9"/>
        <v>PRJNA597162</v>
      </c>
      <c r="E384" s="26" t="str">
        <f>HYPERLINK("https://www.ncbi.nlm.nih.gov/biosample/13668252", "SAMN13668252")</f>
        <v>SAMN13668252</v>
      </c>
      <c r="F384" s="26" t="str">
        <f>HYPERLINK("https://trace.ncbi.nlm.nih.gov/Traces/sra/?run=SRR10755313", "SRR10755313")</f>
        <v>SRR10755313</v>
      </c>
      <c r="G384" t="s">
        <v>1524</v>
      </c>
      <c r="H384" t="s">
        <v>1525</v>
      </c>
    </row>
    <row r="385" spans="1:8" x14ac:dyDescent="0.2">
      <c r="A385" t="s">
        <v>780</v>
      </c>
      <c r="B385" t="s">
        <v>496</v>
      </c>
      <c r="C385" t="s">
        <v>1139</v>
      </c>
      <c r="D385" s="26" t="str">
        <f t="shared" si="9"/>
        <v>PRJNA597162</v>
      </c>
      <c r="E385" s="26" t="str">
        <f>HYPERLINK("https://www.ncbi.nlm.nih.gov/biosample/13668249", "SAMN13668249")</f>
        <v>SAMN13668249</v>
      </c>
      <c r="F385" s="26" t="str">
        <f>HYPERLINK("https://trace.ncbi.nlm.nih.gov/Traces/sra/?run=SRR10755316", "SRR10755316")</f>
        <v>SRR10755316</v>
      </c>
      <c r="G385" t="s">
        <v>1526</v>
      </c>
      <c r="H385" t="s">
        <v>1527</v>
      </c>
    </row>
    <row r="386" spans="1:8" x14ac:dyDescent="0.2">
      <c r="A386" t="s">
        <v>620</v>
      </c>
      <c r="B386" t="s">
        <v>497</v>
      </c>
      <c r="C386" t="s">
        <v>1139</v>
      </c>
      <c r="D386" s="26" t="str">
        <f t="shared" si="9"/>
        <v>PRJNA597162</v>
      </c>
      <c r="E386" s="26" t="str">
        <f>HYPERLINK("https://www.ncbi.nlm.nih.gov/biosample/13668251", "SAMN13668251")</f>
        <v>SAMN13668251</v>
      </c>
      <c r="F386" s="26" t="str">
        <f>HYPERLINK("https://trace.ncbi.nlm.nih.gov/Traces/sra/?run=SRR10755314", "SRR10755314")</f>
        <v>SRR10755314</v>
      </c>
      <c r="G386" t="s">
        <v>1528</v>
      </c>
      <c r="H386" t="s">
        <v>1529</v>
      </c>
    </row>
    <row r="387" spans="1:8" x14ac:dyDescent="0.2">
      <c r="A387" t="s">
        <v>698</v>
      </c>
      <c r="B387" t="s">
        <v>498</v>
      </c>
      <c r="C387" t="s">
        <v>1139</v>
      </c>
      <c r="D387" s="26" t="str">
        <f t="shared" si="9"/>
        <v>PRJNA597162</v>
      </c>
      <c r="E387" s="26" t="str">
        <f>HYPERLINK("https://www.ncbi.nlm.nih.gov/biosample/13668246", "SAMN13668246")</f>
        <v>SAMN13668246</v>
      </c>
      <c r="F387" s="26" t="str">
        <f>HYPERLINK("https://trace.ncbi.nlm.nih.gov/Traces/sra/?run=SRR10755319", "SRR10755319")</f>
        <v>SRR10755319</v>
      </c>
      <c r="G387" t="s">
        <v>1530</v>
      </c>
      <c r="H387" t="s">
        <v>1531</v>
      </c>
    </row>
    <row r="388" spans="1:8" x14ac:dyDescent="0.2">
      <c r="A388" t="s">
        <v>538</v>
      </c>
      <c r="B388" t="s">
        <v>499</v>
      </c>
      <c r="C388" t="s">
        <v>1139</v>
      </c>
      <c r="D388" s="26" t="str">
        <f t="shared" si="9"/>
        <v>PRJNA597162</v>
      </c>
      <c r="E388" s="26" t="str">
        <f>HYPERLINK("https://www.ncbi.nlm.nih.gov/biosample/13668248", "SAMN13668248")</f>
        <v>SAMN13668248</v>
      </c>
      <c r="F388" s="26" t="str">
        <f>HYPERLINK("https://trace.ncbi.nlm.nih.gov/Traces/sra/?run=SRR10755317", "SRR10755317")</f>
        <v>SRR10755317</v>
      </c>
      <c r="G388" t="s">
        <v>1532</v>
      </c>
      <c r="H388" t="s">
        <v>1533</v>
      </c>
    </row>
    <row r="389" spans="1:8" x14ac:dyDescent="0.2">
      <c r="A389" t="s">
        <v>778</v>
      </c>
      <c r="B389" t="s">
        <v>500</v>
      </c>
      <c r="C389" t="s">
        <v>1139</v>
      </c>
      <c r="D389" s="26" t="str">
        <f t="shared" si="9"/>
        <v>PRJNA597162</v>
      </c>
      <c r="E389" s="26" t="str">
        <f>HYPERLINK("https://www.ncbi.nlm.nih.gov/biosample/13668245", "SAMN13668245")</f>
        <v>SAMN13668245</v>
      </c>
      <c r="F389" s="26" t="str">
        <f>HYPERLINK("https://trace.ncbi.nlm.nih.gov/Traces/sra/?run=SRR10755320", "SRR10755320")</f>
        <v>SRR10755320</v>
      </c>
      <c r="G389" t="s">
        <v>1534</v>
      </c>
      <c r="H389" t="s">
        <v>1535</v>
      </c>
    </row>
    <row r="390" spans="1:8" x14ac:dyDescent="0.2">
      <c r="A390" t="s">
        <v>618</v>
      </c>
      <c r="B390" t="s">
        <v>501</v>
      </c>
      <c r="C390" t="s">
        <v>1139</v>
      </c>
      <c r="D390" s="26" t="str">
        <f t="shared" si="9"/>
        <v>PRJNA597162</v>
      </c>
      <c r="E390" s="26" t="str">
        <f>HYPERLINK("https://www.ncbi.nlm.nih.gov/biosample/13668247", "SAMN13668247")</f>
        <v>SAMN13668247</v>
      </c>
      <c r="F390" s="26" t="str">
        <f>HYPERLINK("https://trace.ncbi.nlm.nih.gov/Traces/sra/?run=SRR10755318", "SRR10755318")</f>
        <v>SRR10755318</v>
      </c>
      <c r="G390" t="s">
        <v>1536</v>
      </c>
      <c r="H390" t="s">
        <v>1537</v>
      </c>
    </row>
    <row r="391" spans="1:8" x14ac:dyDescent="0.2">
      <c r="A391" t="s">
        <v>697</v>
      </c>
      <c r="B391" t="s">
        <v>502</v>
      </c>
      <c r="C391" t="s">
        <v>1139</v>
      </c>
      <c r="D391" s="26" t="str">
        <f t="shared" si="9"/>
        <v>PRJNA597162</v>
      </c>
      <c r="E391" s="26" t="str">
        <f>HYPERLINK("https://www.ncbi.nlm.nih.gov/biosample/13668262", "SAMN13668262")</f>
        <v>SAMN13668262</v>
      </c>
      <c r="F391" s="26" t="str">
        <f>HYPERLINK("https://trace.ncbi.nlm.nih.gov/Traces/sra/?run=SRR10755302", "SRR10755302")</f>
        <v>SRR10755302</v>
      </c>
      <c r="G391" t="s">
        <v>1538</v>
      </c>
      <c r="H391" t="s">
        <v>1539</v>
      </c>
    </row>
    <row r="392" spans="1:8" x14ac:dyDescent="0.2">
      <c r="A392" t="s">
        <v>537</v>
      </c>
      <c r="B392" t="s">
        <v>503</v>
      </c>
      <c r="C392" t="s">
        <v>1139</v>
      </c>
      <c r="D392" s="26" t="str">
        <f t="shared" si="9"/>
        <v>PRJNA597162</v>
      </c>
      <c r="E392" s="26" t="str">
        <f>HYPERLINK("https://www.ncbi.nlm.nih.gov/biosample/13668264", "SAMN13668264")</f>
        <v>SAMN13668264</v>
      </c>
      <c r="F392" s="26" t="str">
        <f>HYPERLINK("https://trace.ncbi.nlm.nih.gov/Traces/sra/?run=SRR10755300", "SRR10755300")</f>
        <v>SRR10755300</v>
      </c>
      <c r="G392" t="s">
        <v>1540</v>
      </c>
      <c r="H392" t="s">
        <v>1541</v>
      </c>
    </row>
    <row r="393" spans="1:8" x14ac:dyDescent="0.2">
      <c r="A393" t="s">
        <v>777</v>
      </c>
      <c r="B393" t="s">
        <v>504</v>
      </c>
      <c r="C393" t="s">
        <v>1139</v>
      </c>
      <c r="D393" s="26" t="str">
        <f t="shared" si="9"/>
        <v>PRJNA597162</v>
      </c>
      <c r="E393" s="26" t="str">
        <f>HYPERLINK("https://www.ncbi.nlm.nih.gov/biosample/13668261", "SAMN13668261")</f>
        <v>SAMN13668261</v>
      </c>
      <c r="F393" s="26" t="str">
        <f>HYPERLINK("https://trace.ncbi.nlm.nih.gov/Traces/sra/?run=SRR10755303", "SRR10755303")</f>
        <v>SRR10755303</v>
      </c>
      <c r="G393" t="s">
        <v>1542</v>
      </c>
      <c r="H393" t="s">
        <v>1543</v>
      </c>
    </row>
    <row r="394" spans="1:8" x14ac:dyDescent="0.2">
      <c r="A394" t="s">
        <v>617</v>
      </c>
      <c r="B394" t="s">
        <v>505</v>
      </c>
      <c r="C394" t="s">
        <v>1139</v>
      </c>
      <c r="D394" s="26" t="str">
        <f t="shared" si="9"/>
        <v>PRJNA597162</v>
      </c>
      <c r="E394" s="26" t="str">
        <f>HYPERLINK("https://www.ncbi.nlm.nih.gov/biosample/13668263", "SAMN13668263")</f>
        <v>SAMN13668263</v>
      </c>
      <c r="F394" s="26" t="str">
        <f>HYPERLINK("https://trace.ncbi.nlm.nih.gov/Traces/sra/?run=SRR10755301", "SRR10755301")</f>
        <v>SRR10755301</v>
      </c>
      <c r="G394" t="s">
        <v>1544</v>
      </c>
      <c r="H394" t="s">
        <v>1545</v>
      </c>
    </row>
    <row r="395" spans="1:8" x14ac:dyDescent="0.2">
      <c r="A395" t="s">
        <v>695</v>
      </c>
      <c r="B395" t="s">
        <v>506</v>
      </c>
      <c r="C395" t="s">
        <v>1139</v>
      </c>
      <c r="D395" s="26" t="str">
        <f t="shared" si="9"/>
        <v>PRJNA597162</v>
      </c>
      <c r="E395" s="26" t="str">
        <f>HYPERLINK("https://www.ncbi.nlm.nih.gov/biosample/13668262", "SAMN13668262")</f>
        <v>SAMN13668262</v>
      </c>
      <c r="F395" s="26" t="str">
        <f>HYPERLINK("https://trace.ncbi.nlm.nih.gov/Traces/sra/?run=SRR10755302", "SRR10755302")</f>
        <v>SRR10755302</v>
      </c>
      <c r="G395" t="s">
        <v>1546</v>
      </c>
      <c r="H395" t="s">
        <v>1547</v>
      </c>
    </row>
    <row r="396" spans="1:8" x14ac:dyDescent="0.2">
      <c r="A396" t="s">
        <v>535</v>
      </c>
      <c r="B396" t="s">
        <v>507</v>
      </c>
      <c r="C396" t="s">
        <v>1139</v>
      </c>
      <c r="D396" s="26" t="str">
        <f t="shared" si="9"/>
        <v>PRJNA597162</v>
      </c>
      <c r="E396" s="26" t="str">
        <f>HYPERLINK("https://www.ncbi.nlm.nih.gov/biosample/13668264", "SAMN13668264")</f>
        <v>SAMN13668264</v>
      </c>
      <c r="F396" s="26" t="str">
        <f>HYPERLINK("https://trace.ncbi.nlm.nih.gov/Traces/sra/?run=SRR10755300", "SRR10755300")</f>
        <v>SRR10755300</v>
      </c>
      <c r="G396" t="s">
        <v>1548</v>
      </c>
      <c r="H396" t="s">
        <v>1549</v>
      </c>
    </row>
    <row r="397" spans="1:8" x14ac:dyDescent="0.2">
      <c r="A397" t="s">
        <v>775</v>
      </c>
      <c r="B397" t="s">
        <v>508</v>
      </c>
      <c r="C397" t="s">
        <v>1139</v>
      </c>
      <c r="D397" s="26" t="str">
        <f t="shared" si="9"/>
        <v>PRJNA597162</v>
      </c>
      <c r="E397" s="26" t="str">
        <f>HYPERLINK("https://www.ncbi.nlm.nih.gov/biosample/13668261", "SAMN13668261")</f>
        <v>SAMN13668261</v>
      </c>
      <c r="F397" s="26" t="str">
        <f>HYPERLINK("https://trace.ncbi.nlm.nih.gov/Traces/sra/?run=SRR10755303", "SRR10755303")</f>
        <v>SRR10755303</v>
      </c>
      <c r="G397" t="s">
        <v>1550</v>
      </c>
      <c r="H397" t="s">
        <v>1551</v>
      </c>
    </row>
    <row r="398" spans="1:8" x14ac:dyDescent="0.2">
      <c r="A398" t="s">
        <v>615</v>
      </c>
      <c r="B398" t="s">
        <v>509</v>
      </c>
      <c r="C398" t="s">
        <v>1139</v>
      </c>
      <c r="D398" s="26" t="str">
        <f t="shared" si="9"/>
        <v>PRJNA597162</v>
      </c>
      <c r="E398" s="26" t="str">
        <f>HYPERLINK("https://www.ncbi.nlm.nih.gov/biosample/13668263", "SAMN13668263")</f>
        <v>SAMN13668263</v>
      </c>
      <c r="F398" s="26" t="str">
        <f>HYPERLINK("https://trace.ncbi.nlm.nih.gov/Traces/sra/?run=SRR10755301", "SRR10755301")</f>
        <v>SRR10755301</v>
      </c>
      <c r="G398" t="s">
        <v>1552</v>
      </c>
      <c r="H398" t="s">
        <v>1553</v>
      </c>
    </row>
    <row r="399" spans="1:8" x14ac:dyDescent="0.2">
      <c r="A399" t="s">
        <v>694</v>
      </c>
      <c r="B399" t="s">
        <v>510</v>
      </c>
      <c r="C399" t="s">
        <v>1139</v>
      </c>
      <c r="D399" s="26" t="str">
        <f t="shared" si="9"/>
        <v>PRJNA597162</v>
      </c>
      <c r="E399" s="26" t="str">
        <f>HYPERLINK("https://www.ncbi.nlm.nih.gov/biosample/13668266", "SAMN13668266")</f>
        <v>SAMN13668266</v>
      </c>
      <c r="F399" s="26" t="str">
        <f>HYPERLINK("https://trace.ncbi.nlm.nih.gov/Traces/sra/?run=SRR10755297", "SRR10755297")</f>
        <v>SRR10755297</v>
      </c>
      <c r="G399" t="s">
        <v>1554</v>
      </c>
      <c r="H399" t="s">
        <v>1555</v>
      </c>
    </row>
    <row r="400" spans="1:8" x14ac:dyDescent="0.2">
      <c r="A400" t="s">
        <v>534</v>
      </c>
      <c r="B400" t="s">
        <v>511</v>
      </c>
      <c r="C400" t="s">
        <v>1139</v>
      </c>
      <c r="D400" s="26" t="str">
        <f t="shared" si="9"/>
        <v>PRJNA597162</v>
      </c>
      <c r="E400" s="26" t="str">
        <f>HYPERLINK("https://www.ncbi.nlm.nih.gov/biosample/13668268", "SAMN13668268")</f>
        <v>SAMN13668268</v>
      </c>
      <c r="F400" s="26" t="str">
        <f>HYPERLINK("https://trace.ncbi.nlm.nih.gov/Traces/sra/?run=SRR10755295", "SRR10755295")</f>
        <v>SRR10755295</v>
      </c>
      <c r="G400" t="s">
        <v>1556</v>
      </c>
      <c r="H400" t="s">
        <v>1557</v>
      </c>
    </row>
    <row r="401" spans="1:8" x14ac:dyDescent="0.2">
      <c r="A401" t="s">
        <v>774</v>
      </c>
      <c r="B401" t="s">
        <v>512</v>
      </c>
      <c r="C401" t="s">
        <v>1139</v>
      </c>
      <c r="D401" s="26" t="str">
        <f t="shared" si="9"/>
        <v>PRJNA597162</v>
      </c>
      <c r="E401" s="26" t="str">
        <f>HYPERLINK("https://www.ncbi.nlm.nih.gov/biosample/13668265", "SAMN13668265")</f>
        <v>SAMN13668265</v>
      </c>
      <c r="F401" s="26" t="str">
        <f>HYPERLINK("https://trace.ncbi.nlm.nih.gov/Traces/sra/?run=SRR10755298", "SRR10755298")</f>
        <v>SRR10755298</v>
      </c>
      <c r="G401" t="s">
        <v>1558</v>
      </c>
      <c r="H401" t="s">
        <v>1559</v>
      </c>
    </row>
    <row r="402" spans="1:8" x14ac:dyDescent="0.2">
      <c r="A402" t="s">
        <v>614</v>
      </c>
      <c r="B402" t="s">
        <v>513</v>
      </c>
      <c r="C402" t="s">
        <v>1139</v>
      </c>
      <c r="D402" s="26" t="str">
        <f t="shared" si="9"/>
        <v>PRJNA597162</v>
      </c>
      <c r="E402" s="26" t="str">
        <f>HYPERLINK("https://www.ncbi.nlm.nih.gov/biosample/13668267", "SAMN13668267")</f>
        <v>SAMN13668267</v>
      </c>
      <c r="F402" s="26" t="str">
        <f>HYPERLINK("https://trace.ncbi.nlm.nih.gov/Traces/sra/?run=SRR10755296", "SRR10755296")</f>
        <v>SRR10755296</v>
      </c>
      <c r="G402" t="s">
        <v>1560</v>
      </c>
      <c r="H402" t="s">
        <v>1561</v>
      </c>
    </row>
    <row r="403" spans="1:8" x14ac:dyDescent="0.2">
      <c r="A403" t="s">
        <v>755</v>
      </c>
      <c r="B403" t="s">
        <v>514</v>
      </c>
      <c r="C403" t="s">
        <v>1139</v>
      </c>
      <c r="D403" s="26" t="str">
        <f t="shared" si="9"/>
        <v>PRJNA597162</v>
      </c>
      <c r="E403" s="26" t="str">
        <f>HYPERLINK("https://www.ncbi.nlm.nih.gov/biosample/13668254", "SAMN13668254")</f>
        <v>SAMN13668254</v>
      </c>
      <c r="F403" s="26" t="str">
        <f>HYPERLINK("https://trace.ncbi.nlm.nih.gov/Traces/sra/?run=SRR10755311", "SRR10755311")</f>
        <v>SRR10755311</v>
      </c>
      <c r="G403" t="s">
        <v>1482</v>
      </c>
      <c r="H403" t="s">
        <v>1483</v>
      </c>
    </row>
    <row r="404" spans="1:8" x14ac:dyDescent="0.2">
      <c r="A404" t="s">
        <v>595</v>
      </c>
      <c r="B404" t="s">
        <v>515</v>
      </c>
      <c r="C404" t="s">
        <v>1139</v>
      </c>
      <c r="D404" s="26" t="str">
        <f t="shared" si="9"/>
        <v>PRJNA597162</v>
      </c>
      <c r="E404" s="26" t="str">
        <f>HYPERLINK("https://www.ncbi.nlm.nih.gov/biosample/13668256", "SAMN13668256")</f>
        <v>SAMN13668256</v>
      </c>
      <c r="F404" s="26" t="str">
        <f>HYPERLINK("https://trace.ncbi.nlm.nih.gov/Traces/sra/?run=SRR10755308", "SRR10755308")</f>
        <v>SRR10755308</v>
      </c>
      <c r="G404" t="s">
        <v>1484</v>
      </c>
      <c r="H404" t="s">
        <v>1485</v>
      </c>
    </row>
    <row r="405" spans="1:8" x14ac:dyDescent="0.2">
      <c r="A405" t="s">
        <v>835</v>
      </c>
      <c r="B405" t="s">
        <v>516</v>
      </c>
      <c r="C405" t="s">
        <v>1139</v>
      </c>
      <c r="D405" s="26" t="str">
        <f t="shared" si="9"/>
        <v>PRJNA597162</v>
      </c>
      <c r="E405" s="26" t="str">
        <f>HYPERLINK("https://www.ncbi.nlm.nih.gov/biosample/13668253", "SAMN13668253")</f>
        <v>SAMN13668253</v>
      </c>
      <c r="F405" s="26" t="str">
        <f>HYPERLINK("https://trace.ncbi.nlm.nih.gov/Traces/sra/?run=SRR10755312", "SRR10755312")</f>
        <v>SRR10755312</v>
      </c>
      <c r="G405" t="s">
        <v>1486</v>
      </c>
      <c r="H405" t="s">
        <v>1487</v>
      </c>
    </row>
    <row r="406" spans="1:8" x14ac:dyDescent="0.2">
      <c r="A406" t="s">
        <v>675</v>
      </c>
      <c r="B406" t="s">
        <v>517</v>
      </c>
      <c r="C406" t="s">
        <v>1139</v>
      </c>
      <c r="D406" s="26" t="str">
        <f t="shared" si="9"/>
        <v>PRJNA597162</v>
      </c>
      <c r="E406" s="26" t="str">
        <f>HYPERLINK("https://www.ncbi.nlm.nih.gov/biosample/13668255", "SAMN13668255")</f>
        <v>SAMN13668255</v>
      </c>
      <c r="F406" s="26" t="str">
        <f>HYPERLINK("https://trace.ncbi.nlm.nih.gov/Traces/sra/?run=SRR10755309", "SRR10755309")</f>
        <v>SRR10755309</v>
      </c>
      <c r="G406" t="s">
        <v>1488</v>
      </c>
      <c r="H406" t="s">
        <v>1489</v>
      </c>
    </row>
    <row r="407" spans="1:8" x14ac:dyDescent="0.2">
      <c r="A407" t="s">
        <v>754</v>
      </c>
      <c r="B407" t="s">
        <v>518</v>
      </c>
      <c r="C407" t="s">
        <v>1139</v>
      </c>
      <c r="D407" s="26" t="str">
        <f t="shared" si="9"/>
        <v>PRJNA597162</v>
      </c>
      <c r="E407" s="26" t="str">
        <f>HYPERLINK("https://www.ncbi.nlm.nih.gov/biosample/13668258", "SAMN13668258")</f>
        <v>SAMN13668258</v>
      </c>
      <c r="F407" s="26" t="str">
        <f>HYPERLINK("https://trace.ncbi.nlm.nih.gov/Traces/sra/?run=SRR10755306", "SRR10755306")</f>
        <v>SRR10755306</v>
      </c>
      <c r="G407" t="s">
        <v>1474</v>
      </c>
      <c r="H407" t="s">
        <v>1475</v>
      </c>
    </row>
    <row r="408" spans="1:8" x14ac:dyDescent="0.2">
      <c r="A408" t="s">
        <v>594</v>
      </c>
      <c r="B408" t="s">
        <v>519</v>
      </c>
      <c r="C408" t="s">
        <v>1139</v>
      </c>
      <c r="D408" s="26" t="str">
        <f t="shared" si="9"/>
        <v>PRJNA597162</v>
      </c>
      <c r="E408" s="26" t="str">
        <f>HYPERLINK("https://www.ncbi.nlm.nih.gov/biosample/13668260", "SAMN13668260")</f>
        <v>SAMN13668260</v>
      </c>
      <c r="F408" s="26" t="str">
        <f>HYPERLINK("https://trace.ncbi.nlm.nih.gov/Traces/sra/?run=SRR10755304", "SRR10755304")</f>
        <v>SRR10755304</v>
      </c>
      <c r="G408" t="s">
        <v>1476</v>
      </c>
      <c r="H408" t="s">
        <v>1477</v>
      </c>
    </row>
    <row r="409" spans="1:8" x14ac:dyDescent="0.2">
      <c r="A409" t="s">
        <v>834</v>
      </c>
      <c r="B409" t="s">
        <v>520</v>
      </c>
      <c r="C409" t="s">
        <v>1139</v>
      </c>
      <c r="D409" s="26" t="str">
        <f t="shared" si="9"/>
        <v>PRJNA597162</v>
      </c>
      <c r="E409" s="26" t="str">
        <f>HYPERLINK("https://www.ncbi.nlm.nih.gov/biosample/13668257", "SAMN13668257")</f>
        <v>SAMN13668257</v>
      </c>
      <c r="F409" s="26" t="str">
        <f>HYPERLINK("https://trace.ncbi.nlm.nih.gov/Traces/sra/?run=SRR10755307", "SRR10755307")</f>
        <v>SRR10755307</v>
      </c>
      <c r="G409" t="s">
        <v>1398</v>
      </c>
      <c r="H409" t="s">
        <v>1399</v>
      </c>
    </row>
    <row r="410" spans="1:8" x14ac:dyDescent="0.2">
      <c r="A410" t="s">
        <v>674</v>
      </c>
      <c r="B410" t="s">
        <v>521</v>
      </c>
      <c r="C410" t="s">
        <v>1139</v>
      </c>
      <c r="D410" s="26" t="str">
        <f t="shared" si="9"/>
        <v>PRJNA597162</v>
      </c>
      <c r="E410" s="26" t="str">
        <f>HYPERLINK("https://www.ncbi.nlm.nih.gov/biosample/13668259", "SAMN13668259")</f>
        <v>SAMN13668259</v>
      </c>
      <c r="F410" s="26" t="str">
        <f>HYPERLINK("https://trace.ncbi.nlm.nih.gov/Traces/sra/?run=SRR10755305", "SRR10755305")</f>
        <v>SRR10755305</v>
      </c>
      <c r="G410" t="s">
        <v>1480</v>
      </c>
      <c r="H410" t="s">
        <v>1481</v>
      </c>
    </row>
    <row r="411" spans="1:8" x14ac:dyDescent="0.2">
      <c r="B411" t="s">
        <v>1140</v>
      </c>
      <c r="C411" t="s">
        <v>1141</v>
      </c>
      <c r="E411" t="str">
        <f>HYPERLINK("")</f>
        <v/>
      </c>
      <c r="F411" s="26" t="str">
        <f>HYPERLINK("")</f>
        <v/>
      </c>
    </row>
    <row r="412" spans="1:8" x14ac:dyDescent="0.2">
      <c r="B412" t="s">
        <v>1148</v>
      </c>
      <c r="C412" t="s">
        <v>1562</v>
      </c>
      <c r="E412" t="s">
        <v>1151</v>
      </c>
    </row>
    <row r="413" spans="1:8" x14ac:dyDescent="0.2">
      <c r="B413" t="s">
        <v>1168</v>
      </c>
      <c r="C413" t="s">
        <v>1562</v>
      </c>
      <c r="E413" t="s">
        <v>1151</v>
      </c>
    </row>
    <row r="414" spans="1:8" x14ac:dyDescent="0.2">
      <c r="B414" t="s">
        <v>1195</v>
      </c>
      <c r="C414" t="s">
        <v>1562</v>
      </c>
      <c r="E414" t="s">
        <v>1151</v>
      </c>
    </row>
    <row r="415" spans="1:8" x14ac:dyDescent="0.2">
      <c r="B415" t="s">
        <v>1158</v>
      </c>
      <c r="C415" t="s">
        <v>1562</v>
      </c>
      <c r="E415" t="s">
        <v>1161</v>
      </c>
    </row>
    <row r="416" spans="1:8" x14ac:dyDescent="0.2">
      <c r="B416" t="s">
        <v>1177</v>
      </c>
      <c r="C416" t="s">
        <v>1562</v>
      </c>
      <c r="E416" t="s">
        <v>1161</v>
      </c>
    </row>
    <row r="417" spans="2:5" x14ac:dyDescent="0.2">
      <c r="B417" t="s">
        <v>1186</v>
      </c>
      <c r="C417" t="s">
        <v>1562</v>
      </c>
      <c r="E417" t="s">
        <v>1161</v>
      </c>
    </row>
    <row r="418" spans="2:5" x14ac:dyDescent="0.2">
      <c r="B418" t="s">
        <v>1214</v>
      </c>
      <c r="C418" t="s">
        <v>1562</v>
      </c>
      <c r="E418" t="s">
        <v>1217</v>
      </c>
    </row>
    <row r="419" spans="2:5" x14ac:dyDescent="0.2">
      <c r="B419" t="s">
        <v>1233</v>
      </c>
      <c r="C419" t="s">
        <v>1562</v>
      </c>
      <c r="E419" t="s">
        <v>1217</v>
      </c>
    </row>
    <row r="420" spans="2:5" x14ac:dyDescent="0.2">
      <c r="B420" t="s">
        <v>1242</v>
      </c>
      <c r="C420" t="s">
        <v>1562</v>
      </c>
      <c r="E420" t="s">
        <v>1217</v>
      </c>
    </row>
    <row r="421" spans="2:5" x14ac:dyDescent="0.2">
      <c r="B421" t="s">
        <v>1204</v>
      </c>
      <c r="C421" t="s">
        <v>1562</v>
      </c>
      <c r="E421" t="s">
        <v>1207</v>
      </c>
    </row>
    <row r="422" spans="2:5" x14ac:dyDescent="0.2">
      <c r="B422" t="s">
        <v>1224</v>
      </c>
      <c r="C422" t="s">
        <v>1562</v>
      </c>
      <c r="E422" t="s">
        <v>1207</v>
      </c>
    </row>
    <row r="423" spans="2:5" x14ac:dyDescent="0.2">
      <c r="B423" t="s">
        <v>1251</v>
      </c>
      <c r="C423" t="s">
        <v>1562</v>
      </c>
      <c r="E423" t="s">
        <v>1207</v>
      </c>
    </row>
    <row r="424" spans="2:5" x14ac:dyDescent="0.2">
      <c r="B424" t="s">
        <v>1260</v>
      </c>
      <c r="C424" t="s">
        <v>1562</v>
      </c>
      <c r="E424" t="s">
        <v>1263</v>
      </c>
    </row>
    <row r="425" spans="2:5" x14ac:dyDescent="0.2">
      <c r="B425" t="s">
        <v>1280</v>
      </c>
      <c r="C425" t="s">
        <v>1562</v>
      </c>
      <c r="E425" t="s">
        <v>1263</v>
      </c>
    </row>
    <row r="426" spans="2:5" x14ac:dyDescent="0.2">
      <c r="B426" t="s">
        <v>1307</v>
      </c>
      <c r="C426" t="s">
        <v>1562</v>
      </c>
      <c r="E426" t="s">
        <v>1263</v>
      </c>
    </row>
    <row r="427" spans="2:5" x14ac:dyDescent="0.2">
      <c r="B427" t="s">
        <v>1270</v>
      </c>
      <c r="C427" t="s">
        <v>1562</v>
      </c>
      <c r="E427" t="s">
        <v>1273</v>
      </c>
    </row>
    <row r="428" spans="2:5" x14ac:dyDescent="0.2">
      <c r="B428" t="s">
        <v>1289</v>
      </c>
      <c r="C428" t="s">
        <v>1562</v>
      </c>
      <c r="E428" t="s">
        <v>1273</v>
      </c>
    </row>
    <row r="429" spans="2:5" x14ac:dyDescent="0.2">
      <c r="B429" t="s">
        <v>1298</v>
      </c>
      <c r="C429" t="s">
        <v>1562</v>
      </c>
      <c r="E429" t="s">
        <v>1273</v>
      </c>
    </row>
    <row r="430" spans="2:5" x14ac:dyDescent="0.2">
      <c r="B430" t="s">
        <v>1326</v>
      </c>
      <c r="C430" t="s">
        <v>1562</v>
      </c>
      <c r="E430" t="s">
        <v>1329</v>
      </c>
    </row>
    <row r="431" spans="2:5" x14ac:dyDescent="0.2">
      <c r="B431" t="s">
        <v>1345</v>
      </c>
      <c r="C431" t="s">
        <v>1562</v>
      </c>
      <c r="E431" t="s">
        <v>1329</v>
      </c>
    </row>
    <row r="432" spans="2:5" x14ac:dyDescent="0.2">
      <c r="B432" t="s">
        <v>1354</v>
      </c>
      <c r="C432" t="s">
        <v>1562</v>
      </c>
      <c r="E432" t="s">
        <v>1329</v>
      </c>
    </row>
    <row r="433" spans="2:5" x14ac:dyDescent="0.2">
      <c r="B433" t="s">
        <v>1316</v>
      </c>
      <c r="C433" t="s">
        <v>1562</v>
      </c>
      <c r="E433" t="s">
        <v>1319</v>
      </c>
    </row>
    <row r="434" spans="2:5" x14ac:dyDescent="0.2">
      <c r="B434" t="s">
        <v>1336</v>
      </c>
      <c r="C434" t="s">
        <v>1562</v>
      </c>
      <c r="E434" t="s">
        <v>1319</v>
      </c>
    </row>
    <row r="435" spans="2:5" x14ac:dyDescent="0.2">
      <c r="B435" t="s">
        <v>1363</v>
      </c>
      <c r="C435" t="s">
        <v>1562</v>
      </c>
      <c r="E435" t="s">
        <v>1319</v>
      </c>
    </row>
  </sheetData>
  <phoneticPr fontId="6" type="noConversion"/>
  <hyperlinks>
    <hyperlink ref="G219" r:id="rId1" xr:uid="{F673D2EE-F661-418D-B86F-6CB1C46C1765}"/>
  </hyperlinks>
  <pageMargins left="0.7" right="0.7" top="0.75" bottom="0.75" header="0.3" footer="0.3"/>
  <pageSetup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A40EE-FD8C-41F9-951A-0D28EB781ED5}">
  <dimension ref="A1:E25"/>
  <sheetViews>
    <sheetView workbookViewId="0">
      <selection activeCell="A3" sqref="A3"/>
    </sheetView>
  </sheetViews>
  <sheetFormatPr baseColWidth="10" defaultColWidth="8.83203125" defaultRowHeight="15" x14ac:dyDescent="0.2"/>
  <cols>
    <col min="1" max="1" width="14.6640625" customWidth="1"/>
    <col min="2" max="2" width="15.33203125" customWidth="1"/>
    <col min="3" max="3" width="17" customWidth="1"/>
    <col min="4" max="4" width="25.5" customWidth="1"/>
    <col min="5" max="5" width="29.6640625" customWidth="1"/>
    <col min="6" max="6" width="18.1640625" customWidth="1"/>
  </cols>
  <sheetData>
    <row r="1" spans="1:5" x14ac:dyDescent="0.2">
      <c r="A1" s="2" t="s">
        <v>923</v>
      </c>
      <c r="B1" s="2" t="s">
        <v>2168</v>
      </c>
      <c r="C1" s="2" t="s">
        <v>71</v>
      </c>
      <c r="D1" s="2" t="s">
        <v>2167</v>
      </c>
      <c r="E1" s="2" t="s">
        <v>2166</v>
      </c>
    </row>
    <row r="2" spans="1:5" x14ac:dyDescent="0.2">
      <c r="A2" t="s">
        <v>595</v>
      </c>
      <c r="B2" t="s">
        <v>1148</v>
      </c>
      <c r="C2" s="1" t="s">
        <v>317</v>
      </c>
      <c r="D2" s="26" t="str">
        <f>HYPERLINK("https://www.ncbi.nlm.nih.gov/geo/query/acc.cgi?acc=GSM4471240", "GSM4471240")</f>
        <v>GSM4471240</v>
      </c>
      <c r="E2" s="26" t="str">
        <f>HYPERLINK("https://www.ncbi.nlm.nih.gov/geo/query/acc.cgi?acc=GSE148431","GSE148431")</f>
        <v>GSE148431</v>
      </c>
    </row>
    <row r="3" spans="1:5" x14ac:dyDescent="0.2">
      <c r="A3" t="s">
        <v>584</v>
      </c>
      <c r="B3" t="s">
        <v>1168</v>
      </c>
      <c r="C3" s="1" t="s">
        <v>317</v>
      </c>
      <c r="D3" s="26" t="str">
        <f>HYPERLINK("https://www.ncbi.nlm.nih.gov/geo/query/acc.cgi?acc=GSM4471241", "GSM4471241")</f>
        <v>GSM4471241</v>
      </c>
      <c r="E3" s="26" t="str">
        <f t="shared" ref="E3:E25" si="0">HYPERLINK("https://www.ncbi.nlm.nih.gov/geo/query/acc.cgi?acc=GSE148431","GSE148431")</f>
        <v>GSE148431</v>
      </c>
    </row>
    <row r="4" spans="1:5" x14ac:dyDescent="0.2">
      <c r="A4" t="s">
        <v>573</v>
      </c>
      <c r="B4" t="s">
        <v>1195</v>
      </c>
      <c r="C4" s="1" t="s">
        <v>317</v>
      </c>
      <c r="D4" s="26" t="str">
        <f>HYPERLINK("https://www.ncbi.nlm.nih.gov/geo/query/acc.cgi?acc=GSM4471242", "GSM4471242")</f>
        <v>GSM4471242</v>
      </c>
      <c r="E4" s="26" t="str">
        <f t="shared" si="0"/>
        <v>GSE148431</v>
      </c>
    </row>
    <row r="5" spans="1:5" x14ac:dyDescent="0.2">
      <c r="A5" t="s">
        <v>594</v>
      </c>
      <c r="B5" t="s">
        <v>1158</v>
      </c>
      <c r="C5" s="1" t="s">
        <v>317</v>
      </c>
      <c r="D5" s="26" t="str">
        <f>HYPERLINK("https://www.ncbi.nlm.nih.gov/geo/query/acc.cgi?acc=GSM4471243", "GSM4471243")</f>
        <v>GSM4471243</v>
      </c>
      <c r="E5" s="26" t="str">
        <f t="shared" si="0"/>
        <v>GSE148431</v>
      </c>
    </row>
    <row r="6" spans="1:5" x14ac:dyDescent="0.2">
      <c r="A6" t="s">
        <v>576</v>
      </c>
      <c r="B6" t="s">
        <v>1177</v>
      </c>
      <c r="C6" s="1" t="s">
        <v>317</v>
      </c>
      <c r="D6" s="26" t="str">
        <f>HYPERLINK("https://www.ncbi.nlm.nih.gov/geo/query/acc.cgi?acc=GSM4471244", "GSM4471244")</f>
        <v>GSM4471244</v>
      </c>
      <c r="E6" s="26" t="str">
        <f t="shared" si="0"/>
        <v>GSE148431</v>
      </c>
    </row>
    <row r="7" spans="1:5" x14ac:dyDescent="0.2">
      <c r="A7" t="s">
        <v>574</v>
      </c>
      <c r="B7" t="s">
        <v>1186</v>
      </c>
      <c r="C7" s="1" t="s">
        <v>317</v>
      </c>
      <c r="D7" s="26" t="str">
        <f>HYPERLINK("https://www.ncbi.nlm.nih.gov/geo/query/acc.cgi?acc=GSM4471245", "GSM4471245")</f>
        <v>GSM4471245</v>
      </c>
      <c r="E7" s="26" t="str">
        <f t="shared" si="0"/>
        <v>GSE148431</v>
      </c>
    </row>
    <row r="8" spans="1:5" x14ac:dyDescent="0.2">
      <c r="A8" t="s">
        <v>554</v>
      </c>
      <c r="B8" t="s">
        <v>1214</v>
      </c>
      <c r="C8" s="1" t="s">
        <v>317</v>
      </c>
      <c r="D8" s="26" t="str">
        <f>HYPERLINK("https://www.ncbi.nlm.nih.gov/geo/query/acc.cgi?acc=GSM4471246", "GSM4471246")</f>
        <v>GSM4471246</v>
      </c>
      <c r="E8" s="26" t="str">
        <f t="shared" si="0"/>
        <v>GSE148431</v>
      </c>
    </row>
    <row r="9" spans="1:5" x14ac:dyDescent="0.2">
      <c r="A9" t="s">
        <v>537</v>
      </c>
      <c r="B9" t="s">
        <v>1233</v>
      </c>
      <c r="C9" s="1" t="s">
        <v>317</v>
      </c>
      <c r="D9" s="26" t="str">
        <f>HYPERLINK("https://www.ncbi.nlm.nih.gov/geo/query/acc.cgi?acc=GSM4471247", "GSM4471247")</f>
        <v>GSM4471247</v>
      </c>
      <c r="E9" s="26" t="str">
        <f t="shared" si="0"/>
        <v>GSE148431</v>
      </c>
    </row>
    <row r="10" spans="1:5" x14ac:dyDescent="0.2">
      <c r="A10" t="s">
        <v>535</v>
      </c>
      <c r="B10" t="s">
        <v>1242</v>
      </c>
      <c r="C10" s="1" t="s">
        <v>317</v>
      </c>
      <c r="D10" s="26" t="str">
        <f>HYPERLINK("https://www.ncbi.nlm.nih.gov/geo/query/acc.cgi?acc=GSM4471248", "GSM4471248")</f>
        <v>GSM4471248</v>
      </c>
      <c r="E10" s="26" t="str">
        <f t="shared" si="0"/>
        <v>GSE148431</v>
      </c>
    </row>
    <row r="11" spans="1:5" x14ac:dyDescent="0.2">
      <c r="A11" t="s">
        <v>556</v>
      </c>
      <c r="B11" t="s">
        <v>1204</v>
      </c>
      <c r="C11" s="1" t="s">
        <v>317</v>
      </c>
      <c r="D11" s="26" t="str">
        <f>HYPERLINK("https://www.ncbi.nlm.nih.gov/geo/query/acc.cgi?acc=GSM4471249", "GSM4471249")</f>
        <v>GSM4471249</v>
      </c>
      <c r="E11" s="26" t="str">
        <f t="shared" si="0"/>
        <v>GSE148431</v>
      </c>
    </row>
    <row r="12" spans="1:5" x14ac:dyDescent="0.2">
      <c r="A12" t="s">
        <v>543</v>
      </c>
      <c r="B12" t="s">
        <v>1224</v>
      </c>
      <c r="C12" s="1" t="s">
        <v>317</v>
      </c>
      <c r="D12" s="26" t="str">
        <f>HYPERLINK("https://www.ncbi.nlm.nih.gov/geo/query/acc.cgi?acc=GSM4471250", "GSM4471250")</f>
        <v>GSM4471250</v>
      </c>
      <c r="E12" s="26" t="str">
        <f t="shared" si="0"/>
        <v>GSE148431</v>
      </c>
    </row>
    <row r="13" spans="1:5" x14ac:dyDescent="0.2">
      <c r="A13" t="s">
        <v>534</v>
      </c>
      <c r="B13" t="s">
        <v>1251</v>
      </c>
      <c r="C13" s="1" t="s">
        <v>317</v>
      </c>
      <c r="D13" s="26" t="str">
        <f>HYPERLINK("https://www.ncbi.nlm.nih.gov/geo/query/acc.cgi?acc=GSM4471251", "GSM4471251")</f>
        <v>GSM4471251</v>
      </c>
      <c r="E13" s="26" t="str">
        <f t="shared" si="0"/>
        <v>GSE148431</v>
      </c>
    </row>
    <row r="14" spans="1:5" x14ac:dyDescent="0.2">
      <c r="A14" t="s">
        <v>595</v>
      </c>
      <c r="B14" t="s">
        <v>1260</v>
      </c>
      <c r="C14" s="1" t="s">
        <v>318</v>
      </c>
      <c r="D14" s="26" t="str">
        <f>HYPERLINK("https://www.ncbi.nlm.nih.gov/geo/query/acc.cgi?acc=GSM4471252", "GSM4471252")</f>
        <v>GSM4471252</v>
      </c>
      <c r="E14" s="26" t="str">
        <f t="shared" si="0"/>
        <v>GSE148431</v>
      </c>
    </row>
    <row r="15" spans="1:5" x14ac:dyDescent="0.2">
      <c r="A15" t="s">
        <v>584</v>
      </c>
      <c r="B15" t="s">
        <v>1280</v>
      </c>
      <c r="C15" s="1" t="s">
        <v>318</v>
      </c>
      <c r="D15" s="26" t="str">
        <f>HYPERLINK("https://www.ncbi.nlm.nih.gov/geo/query/acc.cgi?acc=GSM4471253", "GSM4471253")</f>
        <v>GSM4471253</v>
      </c>
      <c r="E15" s="26" t="str">
        <f t="shared" si="0"/>
        <v>GSE148431</v>
      </c>
    </row>
    <row r="16" spans="1:5" x14ac:dyDescent="0.2">
      <c r="A16" t="s">
        <v>573</v>
      </c>
      <c r="B16" t="s">
        <v>1307</v>
      </c>
      <c r="C16" s="1" t="s">
        <v>318</v>
      </c>
      <c r="D16" s="26" t="str">
        <f>HYPERLINK("https://www.ncbi.nlm.nih.gov/geo/query/acc.cgi?acc=GSM4471254", "GSM4471254")</f>
        <v>GSM4471254</v>
      </c>
      <c r="E16" s="26" t="str">
        <f t="shared" si="0"/>
        <v>GSE148431</v>
      </c>
    </row>
    <row r="17" spans="1:5" x14ac:dyDescent="0.2">
      <c r="A17" t="s">
        <v>594</v>
      </c>
      <c r="B17" t="s">
        <v>1270</v>
      </c>
      <c r="C17" s="1" t="s">
        <v>318</v>
      </c>
      <c r="D17" s="26" t="str">
        <f>HYPERLINK("https://www.ncbi.nlm.nih.gov/geo/query/acc.cgi?acc=GSM4471255", "GSM4471255")</f>
        <v>GSM4471255</v>
      </c>
      <c r="E17" s="26" t="str">
        <f t="shared" si="0"/>
        <v>GSE148431</v>
      </c>
    </row>
    <row r="18" spans="1:5" x14ac:dyDescent="0.2">
      <c r="A18" t="s">
        <v>576</v>
      </c>
      <c r="B18" t="s">
        <v>1289</v>
      </c>
      <c r="C18" s="1" t="s">
        <v>318</v>
      </c>
      <c r="D18" s="26" t="str">
        <f>HYPERLINK("https://www.ncbi.nlm.nih.gov/geo/query/acc.cgi?acc=GSM4471256", "GSM4471256")</f>
        <v>GSM4471256</v>
      </c>
      <c r="E18" s="26" t="str">
        <f t="shared" si="0"/>
        <v>GSE148431</v>
      </c>
    </row>
    <row r="19" spans="1:5" x14ac:dyDescent="0.2">
      <c r="A19" t="s">
        <v>574</v>
      </c>
      <c r="B19" t="s">
        <v>1298</v>
      </c>
      <c r="C19" s="1" t="s">
        <v>318</v>
      </c>
      <c r="D19" s="26" t="str">
        <f>HYPERLINK("https://www.ncbi.nlm.nih.gov/geo/query/acc.cgi?acc=GSM4471257", "GSM4471257")</f>
        <v>GSM4471257</v>
      </c>
      <c r="E19" s="26" t="str">
        <f t="shared" si="0"/>
        <v>GSE148431</v>
      </c>
    </row>
    <row r="20" spans="1:5" x14ac:dyDescent="0.2">
      <c r="A20" t="s">
        <v>554</v>
      </c>
      <c r="B20" t="s">
        <v>1326</v>
      </c>
      <c r="C20" s="1" t="s">
        <v>318</v>
      </c>
      <c r="D20" s="26" t="str">
        <f>HYPERLINK("https://www.ncbi.nlm.nih.gov/geo/query/acc.cgi?acc=GSM4471258", "GSM4471258")</f>
        <v>GSM4471258</v>
      </c>
      <c r="E20" s="26" t="str">
        <f t="shared" si="0"/>
        <v>GSE148431</v>
      </c>
    </row>
    <row r="21" spans="1:5" x14ac:dyDescent="0.2">
      <c r="A21" t="s">
        <v>537</v>
      </c>
      <c r="B21" t="s">
        <v>1345</v>
      </c>
      <c r="C21" s="1" t="s">
        <v>318</v>
      </c>
      <c r="D21" s="26" t="str">
        <f>HYPERLINK("https://www.ncbi.nlm.nih.gov/geo/query/acc.cgi?acc=GSM4471259", "GSM4471259")</f>
        <v>GSM4471259</v>
      </c>
      <c r="E21" s="26" t="str">
        <f t="shared" si="0"/>
        <v>GSE148431</v>
      </c>
    </row>
    <row r="22" spans="1:5" x14ac:dyDescent="0.2">
      <c r="A22" t="s">
        <v>535</v>
      </c>
      <c r="B22" t="s">
        <v>1354</v>
      </c>
      <c r="C22" s="1" t="s">
        <v>318</v>
      </c>
      <c r="D22" s="26" t="str">
        <f>HYPERLINK("https://www.ncbi.nlm.nih.gov/geo/query/acc.cgi?acc=GSM4471260", "GSM4471260")</f>
        <v>GSM4471260</v>
      </c>
      <c r="E22" s="26" t="str">
        <f t="shared" si="0"/>
        <v>GSE148431</v>
      </c>
    </row>
    <row r="23" spans="1:5" x14ac:dyDescent="0.2">
      <c r="A23" t="s">
        <v>556</v>
      </c>
      <c r="B23" t="s">
        <v>1316</v>
      </c>
      <c r="C23" s="1" t="s">
        <v>318</v>
      </c>
      <c r="D23" s="26" t="str">
        <f>HYPERLINK("https://www.ncbi.nlm.nih.gov/geo/query/acc.cgi?acc=GSM4471261", "GSM4471261")</f>
        <v>GSM4471261</v>
      </c>
      <c r="E23" s="26" t="str">
        <f t="shared" si="0"/>
        <v>GSE148431</v>
      </c>
    </row>
    <row r="24" spans="1:5" x14ac:dyDescent="0.2">
      <c r="A24" t="s">
        <v>543</v>
      </c>
      <c r="B24" t="s">
        <v>1336</v>
      </c>
      <c r="C24" s="1" t="s">
        <v>318</v>
      </c>
      <c r="D24" s="26" t="str">
        <f>HYPERLINK("https://www.ncbi.nlm.nih.gov/geo/query/acc.cgi?acc=GSM4471262", "GSM4471262")</f>
        <v>GSM4471262</v>
      </c>
      <c r="E24" s="26" t="str">
        <f t="shared" si="0"/>
        <v>GSE148431</v>
      </c>
    </row>
    <row r="25" spans="1:5" x14ac:dyDescent="0.2">
      <c r="A25" t="s">
        <v>534</v>
      </c>
      <c r="B25" t="s">
        <v>1363</v>
      </c>
      <c r="C25" s="1" t="s">
        <v>318</v>
      </c>
      <c r="D25" s="26" t="str">
        <f>HYPERLINK("https://www.ncbi.nlm.nih.gov/geo/query/acc.cgi?acc=GSM4471263", "GSM4471263")</f>
        <v>GSM4471263</v>
      </c>
      <c r="E25" s="26" t="str">
        <f t="shared" si="0"/>
        <v>GSE148431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01"/>
  <sheetViews>
    <sheetView workbookViewId="0">
      <pane ySplit="1" topLeftCell="A2" activePane="bottomLeft" state="frozen"/>
      <selection pane="bottomLeft" activeCell="B4" sqref="B4"/>
    </sheetView>
  </sheetViews>
  <sheetFormatPr baseColWidth="10" defaultColWidth="8.6640625" defaultRowHeight="15" x14ac:dyDescent="0.2"/>
  <cols>
    <col min="1" max="1" width="14.83203125" customWidth="1"/>
    <col min="2" max="2" width="15.33203125" style="1" customWidth="1"/>
    <col min="3" max="3" width="26" customWidth="1"/>
    <col min="4" max="4" width="8.6640625" style="8"/>
    <col min="5" max="6" width="10.6640625" style="8" customWidth="1"/>
    <col min="7" max="8" width="15.33203125" style="10" customWidth="1"/>
  </cols>
  <sheetData>
    <row r="1" spans="1:8" x14ac:dyDescent="0.2">
      <c r="A1" s="2" t="s">
        <v>923</v>
      </c>
      <c r="B1" s="16" t="s">
        <v>6</v>
      </c>
      <c r="C1" s="2" t="s">
        <v>7</v>
      </c>
      <c r="D1" s="27" t="s">
        <v>23</v>
      </c>
      <c r="E1" s="27" t="s">
        <v>44</v>
      </c>
      <c r="F1" s="27" t="s">
        <v>45</v>
      </c>
      <c r="G1" s="15" t="s">
        <v>47</v>
      </c>
      <c r="H1" s="15" t="s">
        <v>97</v>
      </c>
    </row>
    <row r="2" spans="1:8" x14ac:dyDescent="0.2">
      <c r="A2" t="s">
        <v>917</v>
      </c>
      <c r="B2" s="1">
        <v>42491</v>
      </c>
      <c r="C2" s="5" t="s">
        <v>10</v>
      </c>
      <c r="D2" s="8" t="s">
        <v>11</v>
      </c>
      <c r="E2" s="8" t="s">
        <v>11</v>
      </c>
      <c r="F2" s="8" t="s">
        <v>11</v>
      </c>
      <c r="G2" s="8">
        <v>1</v>
      </c>
      <c r="H2" s="8" t="s">
        <v>11</v>
      </c>
    </row>
    <row r="3" spans="1:8" x14ac:dyDescent="0.2">
      <c r="A3" t="s">
        <v>916</v>
      </c>
      <c r="B3" s="1">
        <v>42491</v>
      </c>
      <c r="C3" s="5" t="s">
        <v>10</v>
      </c>
      <c r="D3" s="8" t="s">
        <v>11</v>
      </c>
      <c r="E3" s="8" t="s">
        <v>11</v>
      </c>
      <c r="F3" s="8" t="s">
        <v>11</v>
      </c>
      <c r="G3" s="8">
        <v>1</v>
      </c>
      <c r="H3" s="8" t="s">
        <v>11</v>
      </c>
    </row>
    <row r="4" spans="1:8" x14ac:dyDescent="0.2">
      <c r="A4" t="s">
        <v>915</v>
      </c>
      <c r="B4" s="1">
        <v>42491</v>
      </c>
      <c r="C4" s="5" t="s">
        <v>10</v>
      </c>
      <c r="D4" s="8" t="s">
        <v>11</v>
      </c>
      <c r="E4" s="8" t="s">
        <v>11</v>
      </c>
      <c r="F4" s="8" t="s">
        <v>11</v>
      </c>
      <c r="G4" s="8">
        <v>1</v>
      </c>
      <c r="H4" s="8" t="s">
        <v>11</v>
      </c>
    </row>
    <row r="5" spans="1:8" x14ac:dyDescent="0.2">
      <c r="A5" t="s">
        <v>914</v>
      </c>
      <c r="B5" s="1">
        <v>42491</v>
      </c>
      <c r="C5" s="5" t="s">
        <v>10</v>
      </c>
      <c r="D5" s="8" t="s">
        <v>11</v>
      </c>
      <c r="E5" s="8" t="s">
        <v>11</v>
      </c>
      <c r="F5" s="8" t="s">
        <v>11</v>
      </c>
      <c r="G5" s="8">
        <v>1</v>
      </c>
      <c r="H5" s="8" t="s">
        <v>11</v>
      </c>
    </row>
    <row r="6" spans="1:8" x14ac:dyDescent="0.2">
      <c r="A6" t="s">
        <v>913</v>
      </c>
      <c r="B6" s="1">
        <v>42491</v>
      </c>
      <c r="C6" s="5" t="s">
        <v>10</v>
      </c>
      <c r="D6" s="8" t="s">
        <v>11</v>
      </c>
      <c r="E6" s="8" t="s">
        <v>11</v>
      </c>
      <c r="F6" s="8" t="s">
        <v>11</v>
      </c>
      <c r="G6" s="8">
        <v>1</v>
      </c>
      <c r="H6" s="8" t="s">
        <v>11</v>
      </c>
    </row>
    <row r="7" spans="1:8" x14ac:dyDescent="0.2">
      <c r="A7" t="s">
        <v>907</v>
      </c>
      <c r="B7" s="1">
        <v>42491</v>
      </c>
      <c r="C7" s="5" t="s">
        <v>10</v>
      </c>
      <c r="D7" s="8" t="s">
        <v>11</v>
      </c>
      <c r="E7" s="8" t="s">
        <v>11</v>
      </c>
      <c r="F7" s="8" t="s">
        <v>11</v>
      </c>
      <c r="G7" s="8">
        <v>1</v>
      </c>
      <c r="H7" s="8" t="s">
        <v>11</v>
      </c>
    </row>
    <row r="8" spans="1:8" x14ac:dyDescent="0.2">
      <c r="A8" t="s">
        <v>906</v>
      </c>
      <c r="B8" s="1">
        <v>42491</v>
      </c>
      <c r="C8" s="5" t="s">
        <v>10</v>
      </c>
      <c r="D8" s="8" t="s">
        <v>11</v>
      </c>
      <c r="E8" s="8" t="s">
        <v>11</v>
      </c>
      <c r="F8" s="8" t="s">
        <v>11</v>
      </c>
      <c r="G8" s="8">
        <v>1</v>
      </c>
      <c r="H8" s="8" t="s">
        <v>11</v>
      </c>
    </row>
    <row r="9" spans="1:8" x14ac:dyDescent="0.2">
      <c r="A9" t="s">
        <v>905</v>
      </c>
      <c r="B9" s="1">
        <v>42491</v>
      </c>
      <c r="C9" s="5" t="s">
        <v>10</v>
      </c>
      <c r="D9" s="8" t="s">
        <v>11</v>
      </c>
      <c r="E9" s="8" t="s">
        <v>11</v>
      </c>
      <c r="F9" s="8" t="s">
        <v>11</v>
      </c>
      <c r="G9" s="8">
        <v>1</v>
      </c>
      <c r="H9" s="8" t="s">
        <v>11</v>
      </c>
    </row>
    <row r="10" spans="1:8" x14ac:dyDescent="0.2">
      <c r="A10" t="s">
        <v>904</v>
      </c>
      <c r="B10" s="1">
        <v>42491</v>
      </c>
      <c r="C10" s="5" t="s">
        <v>10</v>
      </c>
      <c r="D10" s="8" t="s">
        <v>11</v>
      </c>
      <c r="E10" s="8" t="s">
        <v>11</v>
      </c>
      <c r="F10" s="8" t="s">
        <v>11</v>
      </c>
      <c r="G10" s="8">
        <v>1</v>
      </c>
      <c r="H10" s="8" t="s">
        <v>11</v>
      </c>
    </row>
    <row r="11" spans="1:8" x14ac:dyDescent="0.2">
      <c r="A11" t="s">
        <v>903</v>
      </c>
      <c r="B11" s="1">
        <v>42491</v>
      </c>
      <c r="C11" s="5" t="s">
        <v>10</v>
      </c>
      <c r="D11" s="8" t="s">
        <v>11</v>
      </c>
      <c r="E11" s="8" t="s">
        <v>11</v>
      </c>
      <c r="F11" s="8" t="s">
        <v>11</v>
      </c>
      <c r="G11" s="8">
        <v>1</v>
      </c>
      <c r="H11" s="8" t="s">
        <v>11</v>
      </c>
    </row>
    <row r="12" spans="1:8" x14ac:dyDescent="0.2">
      <c r="A12" t="s">
        <v>897</v>
      </c>
      <c r="B12" s="1">
        <v>42491</v>
      </c>
      <c r="C12" s="5" t="s">
        <v>10</v>
      </c>
      <c r="D12" s="8" t="s">
        <v>11</v>
      </c>
      <c r="E12" s="8" t="s">
        <v>11</v>
      </c>
      <c r="F12" s="8" t="s">
        <v>11</v>
      </c>
      <c r="G12" s="8">
        <v>1</v>
      </c>
      <c r="H12" s="8" t="s">
        <v>11</v>
      </c>
    </row>
    <row r="13" spans="1:8" x14ac:dyDescent="0.2">
      <c r="A13" t="s">
        <v>896</v>
      </c>
      <c r="B13" s="1">
        <v>42491</v>
      </c>
      <c r="C13" s="5" t="s">
        <v>10</v>
      </c>
      <c r="D13" s="8" t="s">
        <v>11</v>
      </c>
      <c r="E13" s="8" t="s">
        <v>11</v>
      </c>
      <c r="F13" s="8" t="s">
        <v>11</v>
      </c>
      <c r="G13" s="8">
        <v>1</v>
      </c>
      <c r="H13" s="8" t="s">
        <v>11</v>
      </c>
    </row>
    <row r="14" spans="1:8" x14ac:dyDescent="0.2">
      <c r="A14" t="s">
        <v>895</v>
      </c>
      <c r="B14" s="1">
        <v>42491</v>
      </c>
      <c r="C14" s="5" t="s">
        <v>10</v>
      </c>
      <c r="D14" s="8" t="s">
        <v>11</v>
      </c>
      <c r="E14" s="8" t="s">
        <v>11</v>
      </c>
      <c r="F14" s="8" t="s">
        <v>11</v>
      </c>
      <c r="G14" s="8">
        <v>1</v>
      </c>
      <c r="H14" s="8" t="s">
        <v>11</v>
      </c>
    </row>
    <row r="15" spans="1:8" x14ac:dyDescent="0.2">
      <c r="A15" t="s">
        <v>894</v>
      </c>
      <c r="B15" s="1">
        <v>42491</v>
      </c>
      <c r="C15" s="5" t="s">
        <v>10</v>
      </c>
      <c r="D15" s="8" t="s">
        <v>11</v>
      </c>
      <c r="E15" s="8" t="s">
        <v>11</v>
      </c>
      <c r="F15" s="8" t="s">
        <v>11</v>
      </c>
      <c r="G15" s="8">
        <v>1</v>
      </c>
      <c r="H15" s="8" t="s">
        <v>11</v>
      </c>
    </row>
    <row r="16" spans="1:8" x14ac:dyDescent="0.2">
      <c r="A16" t="s">
        <v>893</v>
      </c>
      <c r="B16" s="1">
        <v>42491</v>
      </c>
      <c r="C16" s="5" t="s">
        <v>10</v>
      </c>
      <c r="D16" s="8" t="s">
        <v>11</v>
      </c>
      <c r="E16" s="8" t="s">
        <v>11</v>
      </c>
      <c r="F16" s="8" t="s">
        <v>11</v>
      </c>
      <c r="G16" s="8">
        <v>1</v>
      </c>
      <c r="H16" s="8" t="s">
        <v>11</v>
      </c>
    </row>
    <row r="17" spans="1:8" x14ac:dyDescent="0.2">
      <c r="A17" t="s">
        <v>887</v>
      </c>
      <c r="B17" s="1">
        <v>42491</v>
      </c>
      <c r="C17" s="5" t="s">
        <v>10</v>
      </c>
      <c r="D17" s="8" t="s">
        <v>11</v>
      </c>
      <c r="E17" s="8" t="s">
        <v>11</v>
      </c>
      <c r="F17" s="8" t="s">
        <v>11</v>
      </c>
      <c r="G17" s="8">
        <v>1</v>
      </c>
      <c r="H17" s="8" t="s">
        <v>11</v>
      </c>
    </row>
    <row r="18" spans="1:8" x14ac:dyDescent="0.2">
      <c r="A18" t="s">
        <v>886</v>
      </c>
      <c r="B18" s="1">
        <v>42491</v>
      </c>
      <c r="C18" s="5" t="s">
        <v>10</v>
      </c>
      <c r="D18" s="8" t="s">
        <v>11</v>
      </c>
      <c r="E18" s="8" t="s">
        <v>11</v>
      </c>
      <c r="F18" s="8" t="s">
        <v>11</v>
      </c>
      <c r="G18" s="8">
        <v>1</v>
      </c>
      <c r="H18" s="8" t="s">
        <v>11</v>
      </c>
    </row>
    <row r="19" spans="1:8" x14ac:dyDescent="0.2">
      <c r="A19" t="s">
        <v>885</v>
      </c>
      <c r="B19" s="1">
        <v>42491</v>
      </c>
      <c r="C19" s="5" t="s">
        <v>10</v>
      </c>
      <c r="D19" s="8" t="s">
        <v>11</v>
      </c>
      <c r="E19" s="8" t="s">
        <v>11</v>
      </c>
      <c r="F19" s="8" t="s">
        <v>11</v>
      </c>
      <c r="G19" s="8">
        <v>1</v>
      </c>
      <c r="H19" s="8" t="s">
        <v>11</v>
      </c>
    </row>
    <row r="20" spans="1:8" x14ac:dyDescent="0.2">
      <c r="A20" t="s">
        <v>884</v>
      </c>
      <c r="B20" s="1">
        <v>42491</v>
      </c>
      <c r="C20" s="5" t="s">
        <v>10</v>
      </c>
      <c r="D20" s="8" t="s">
        <v>11</v>
      </c>
      <c r="E20" s="8" t="s">
        <v>11</v>
      </c>
      <c r="F20" s="8" t="s">
        <v>11</v>
      </c>
      <c r="G20" s="8">
        <v>1</v>
      </c>
      <c r="H20" s="8" t="s">
        <v>11</v>
      </c>
    </row>
    <row r="21" spans="1:8" x14ac:dyDescent="0.2">
      <c r="A21" t="s">
        <v>883</v>
      </c>
      <c r="B21" s="1">
        <v>42491</v>
      </c>
      <c r="C21" s="5" t="s">
        <v>10</v>
      </c>
      <c r="D21" s="8" t="s">
        <v>11</v>
      </c>
      <c r="E21" s="8" t="s">
        <v>11</v>
      </c>
      <c r="F21" s="8" t="s">
        <v>11</v>
      </c>
      <c r="G21" s="8">
        <v>1</v>
      </c>
      <c r="H21" s="8" t="s">
        <v>11</v>
      </c>
    </row>
    <row r="22" spans="1:8" x14ac:dyDescent="0.2">
      <c r="A22" t="s">
        <v>877</v>
      </c>
      <c r="B22" s="1">
        <v>42491</v>
      </c>
      <c r="C22" s="5" t="s">
        <v>10</v>
      </c>
      <c r="D22" s="8" t="s">
        <v>11</v>
      </c>
      <c r="E22" s="8" t="s">
        <v>11</v>
      </c>
      <c r="F22" s="8" t="s">
        <v>11</v>
      </c>
      <c r="G22" s="8">
        <v>1</v>
      </c>
      <c r="H22" s="8" t="s">
        <v>11</v>
      </c>
    </row>
    <row r="23" spans="1:8" x14ac:dyDescent="0.2">
      <c r="A23" t="s">
        <v>876</v>
      </c>
      <c r="B23" s="1">
        <v>42491</v>
      </c>
      <c r="C23" s="5" t="s">
        <v>10</v>
      </c>
      <c r="D23" s="8" t="s">
        <v>11</v>
      </c>
      <c r="E23" s="8" t="s">
        <v>11</v>
      </c>
      <c r="F23" s="8" t="s">
        <v>11</v>
      </c>
      <c r="G23" s="8">
        <v>1</v>
      </c>
      <c r="H23" s="8" t="s">
        <v>11</v>
      </c>
    </row>
    <row r="24" spans="1:8" x14ac:dyDescent="0.2">
      <c r="A24" t="s">
        <v>875</v>
      </c>
      <c r="B24" s="1">
        <v>42491</v>
      </c>
      <c r="C24" s="5" t="s">
        <v>10</v>
      </c>
      <c r="D24" s="8" t="s">
        <v>11</v>
      </c>
      <c r="E24" s="8" t="s">
        <v>11</v>
      </c>
      <c r="F24" s="8" t="s">
        <v>11</v>
      </c>
      <c r="G24" s="8">
        <v>1</v>
      </c>
      <c r="H24" s="8" t="s">
        <v>11</v>
      </c>
    </row>
    <row r="25" spans="1:8" x14ac:dyDescent="0.2">
      <c r="A25" t="s">
        <v>874</v>
      </c>
      <c r="B25" s="1">
        <v>42491</v>
      </c>
      <c r="C25" s="5" t="s">
        <v>10</v>
      </c>
      <c r="D25" s="8" t="s">
        <v>11</v>
      </c>
      <c r="E25" s="8" t="s">
        <v>11</v>
      </c>
      <c r="F25" s="8" t="s">
        <v>11</v>
      </c>
      <c r="G25" s="8">
        <v>1</v>
      </c>
      <c r="H25" s="8" t="s">
        <v>11</v>
      </c>
    </row>
    <row r="26" spans="1:8" x14ac:dyDescent="0.2">
      <c r="A26" t="s">
        <v>873</v>
      </c>
      <c r="B26" s="1">
        <v>42491</v>
      </c>
      <c r="C26" s="5" t="s">
        <v>10</v>
      </c>
      <c r="D26" s="8" t="s">
        <v>11</v>
      </c>
      <c r="E26" s="8" t="s">
        <v>11</v>
      </c>
      <c r="F26" s="8" t="s">
        <v>11</v>
      </c>
      <c r="G26" s="8">
        <v>1</v>
      </c>
      <c r="H26" s="8" t="s">
        <v>11</v>
      </c>
    </row>
    <row r="27" spans="1:8" x14ac:dyDescent="0.2">
      <c r="A27" t="s">
        <v>867</v>
      </c>
      <c r="B27" s="1">
        <v>42491</v>
      </c>
      <c r="C27" s="5" t="s">
        <v>10</v>
      </c>
      <c r="D27" s="8" t="s">
        <v>11</v>
      </c>
      <c r="E27" s="8" t="s">
        <v>11</v>
      </c>
      <c r="F27" s="8" t="s">
        <v>11</v>
      </c>
      <c r="G27" s="8">
        <v>1</v>
      </c>
      <c r="H27" s="8" t="s">
        <v>11</v>
      </c>
    </row>
    <row r="28" spans="1:8" x14ac:dyDescent="0.2">
      <c r="A28" t="s">
        <v>866</v>
      </c>
      <c r="B28" s="1">
        <v>42491</v>
      </c>
      <c r="C28" s="5" t="s">
        <v>10</v>
      </c>
      <c r="D28" s="8" t="s">
        <v>11</v>
      </c>
      <c r="E28" s="8" t="s">
        <v>11</v>
      </c>
      <c r="F28" s="8" t="s">
        <v>11</v>
      </c>
      <c r="G28" s="8">
        <v>1</v>
      </c>
      <c r="H28" s="8" t="s">
        <v>11</v>
      </c>
    </row>
    <row r="29" spans="1:8" x14ac:dyDescent="0.2">
      <c r="A29" t="s">
        <v>865</v>
      </c>
      <c r="B29" s="1">
        <v>42491</v>
      </c>
      <c r="C29" s="5" t="s">
        <v>10</v>
      </c>
      <c r="D29" s="8" t="s">
        <v>11</v>
      </c>
      <c r="E29" s="8" t="s">
        <v>11</v>
      </c>
      <c r="F29" s="8" t="s">
        <v>11</v>
      </c>
      <c r="G29" s="8">
        <v>1</v>
      </c>
      <c r="H29" s="8" t="s">
        <v>11</v>
      </c>
    </row>
    <row r="30" spans="1:8" x14ac:dyDescent="0.2">
      <c r="A30" t="s">
        <v>864</v>
      </c>
      <c r="B30" s="1">
        <v>42491</v>
      </c>
      <c r="C30" s="5" t="s">
        <v>10</v>
      </c>
      <c r="D30" s="8" t="s">
        <v>11</v>
      </c>
      <c r="E30" s="8" t="s">
        <v>11</v>
      </c>
      <c r="F30" s="8" t="s">
        <v>11</v>
      </c>
      <c r="G30" s="8">
        <v>1</v>
      </c>
      <c r="H30" s="8" t="s">
        <v>11</v>
      </c>
    </row>
    <row r="31" spans="1:8" x14ac:dyDescent="0.2">
      <c r="A31" t="s">
        <v>863</v>
      </c>
      <c r="B31" s="1">
        <v>42491</v>
      </c>
      <c r="C31" s="5" t="s">
        <v>10</v>
      </c>
      <c r="D31" s="8" t="s">
        <v>11</v>
      </c>
      <c r="E31" s="8" t="s">
        <v>11</v>
      </c>
      <c r="F31" s="8" t="s">
        <v>11</v>
      </c>
      <c r="G31" s="8">
        <v>1</v>
      </c>
      <c r="H31" s="8" t="s">
        <v>11</v>
      </c>
    </row>
    <row r="32" spans="1:8" x14ac:dyDescent="0.2">
      <c r="A32" t="s">
        <v>857</v>
      </c>
      <c r="B32" s="1">
        <v>42491</v>
      </c>
      <c r="C32" s="5" t="s">
        <v>10</v>
      </c>
      <c r="D32" s="8" t="s">
        <v>11</v>
      </c>
      <c r="E32" s="8" t="s">
        <v>11</v>
      </c>
      <c r="F32" s="8" t="s">
        <v>11</v>
      </c>
      <c r="G32" s="8">
        <v>1</v>
      </c>
      <c r="H32" s="8" t="s">
        <v>11</v>
      </c>
    </row>
    <row r="33" spans="1:8" x14ac:dyDescent="0.2">
      <c r="A33" t="s">
        <v>856</v>
      </c>
      <c r="B33" s="1">
        <v>42491</v>
      </c>
      <c r="C33" s="5" t="s">
        <v>10</v>
      </c>
      <c r="D33" s="8" t="s">
        <v>11</v>
      </c>
      <c r="E33" s="8" t="s">
        <v>11</v>
      </c>
      <c r="F33" s="8" t="s">
        <v>11</v>
      </c>
      <c r="G33" s="8">
        <v>1</v>
      </c>
      <c r="H33" s="8" t="s">
        <v>11</v>
      </c>
    </row>
    <row r="34" spans="1:8" x14ac:dyDescent="0.2">
      <c r="A34" t="s">
        <v>855</v>
      </c>
      <c r="B34" s="1">
        <v>42491</v>
      </c>
      <c r="C34" s="5" t="s">
        <v>10</v>
      </c>
      <c r="D34" s="8" t="s">
        <v>11</v>
      </c>
      <c r="E34" s="8" t="s">
        <v>11</v>
      </c>
      <c r="F34" s="8" t="s">
        <v>11</v>
      </c>
      <c r="G34" s="8">
        <v>1</v>
      </c>
      <c r="H34" s="8" t="s">
        <v>11</v>
      </c>
    </row>
    <row r="35" spans="1:8" x14ac:dyDescent="0.2">
      <c r="A35" t="s">
        <v>854</v>
      </c>
      <c r="B35" s="1">
        <v>42491</v>
      </c>
      <c r="C35" s="5" t="s">
        <v>10</v>
      </c>
      <c r="D35" s="8" t="s">
        <v>11</v>
      </c>
      <c r="E35" s="8" t="s">
        <v>11</v>
      </c>
      <c r="F35" s="8" t="s">
        <v>11</v>
      </c>
      <c r="G35" s="8">
        <v>1</v>
      </c>
      <c r="H35" s="8" t="s">
        <v>11</v>
      </c>
    </row>
    <row r="36" spans="1:8" x14ac:dyDescent="0.2">
      <c r="A36" t="s">
        <v>853</v>
      </c>
      <c r="B36" s="1">
        <v>42491</v>
      </c>
      <c r="C36" s="5" t="s">
        <v>10</v>
      </c>
      <c r="D36" s="8" t="s">
        <v>11</v>
      </c>
      <c r="E36" s="8" t="s">
        <v>11</v>
      </c>
      <c r="F36" s="8" t="s">
        <v>11</v>
      </c>
      <c r="G36" s="8">
        <v>1</v>
      </c>
      <c r="H36" s="8" t="s">
        <v>11</v>
      </c>
    </row>
    <row r="37" spans="1:8" x14ac:dyDescent="0.2">
      <c r="A37" t="s">
        <v>847</v>
      </c>
      <c r="B37" s="1">
        <v>42491</v>
      </c>
      <c r="C37" s="5" t="s">
        <v>10</v>
      </c>
      <c r="D37" s="8" t="s">
        <v>11</v>
      </c>
      <c r="E37" s="8" t="s">
        <v>11</v>
      </c>
      <c r="F37" s="8" t="s">
        <v>11</v>
      </c>
      <c r="G37" s="8">
        <v>1</v>
      </c>
      <c r="H37" s="8" t="s">
        <v>11</v>
      </c>
    </row>
    <row r="38" spans="1:8" x14ac:dyDescent="0.2">
      <c r="A38" t="s">
        <v>846</v>
      </c>
      <c r="B38" s="1">
        <v>42491</v>
      </c>
      <c r="C38" s="5" t="s">
        <v>10</v>
      </c>
      <c r="D38" s="8" t="s">
        <v>11</v>
      </c>
      <c r="E38" s="8" t="s">
        <v>11</v>
      </c>
      <c r="F38" s="8" t="s">
        <v>11</v>
      </c>
      <c r="G38" s="8">
        <v>1</v>
      </c>
      <c r="H38" s="8" t="s">
        <v>11</v>
      </c>
    </row>
    <row r="39" spans="1:8" x14ac:dyDescent="0.2">
      <c r="A39" t="s">
        <v>845</v>
      </c>
      <c r="B39" s="1">
        <v>42491</v>
      </c>
      <c r="C39" s="5" t="s">
        <v>10</v>
      </c>
      <c r="D39" s="8" t="s">
        <v>11</v>
      </c>
      <c r="E39" s="8" t="s">
        <v>11</v>
      </c>
      <c r="F39" s="8" t="s">
        <v>11</v>
      </c>
      <c r="G39" s="8">
        <v>1</v>
      </c>
      <c r="H39" s="8" t="s">
        <v>11</v>
      </c>
    </row>
    <row r="40" spans="1:8" x14ac:dyDescent="0.2">
      <c r="A40" t="s">
        <v>844</v>
      </c>
      <c r="B40" s="1">
        <v>42491</v>
      </c>
      <c r="C40" s="5" t="s">
        <v>10</v>
      </c>
      <c r="D40" s="8" t="s">
        <v>11</v>
      </c>
      <c r="E40" s="8" t="s">
        <v>11</v>
      </c>
      <c r="F40" s="8" t="s">
        <v>11</v>
      </c>
      <c r="G40" s="8">
        <v>1</v>
      </c>
      <c r="H40" s="8" t="s">
        <v>11</v>
      </c>
    </row>
    <row r="41" spans="1:8" x14ac:dyDescent="0.2">
      <c r="A41" t="s">
        <v>843</v>
      </c>
      <c r="B41" s="1">
        <v>42491</v>
      </c>
      <c r="C41" s="5" t="s">
        <v>10</v>
      </c>
      <c r="D41" s="8" t="s">
        <v>11</v>
      </c>
      <c r="E41" s="8" t="s">
        <v>11</v>
      </c>
      <c r="F41" s="8" t="s">
        <v>11</v>
      </c>
      <c r="G41" s="8">
        <v>1</v>
      </c>
      <c r="H41" s="8" t="s">
        <v>11</v>
      </c>
    </row>
    <row r="42" spans="1:8" x14ac:dyDescent="0.2">
      <c r="A42" t="s">
        <v>837</v>
      </c>
      <c r="B42" s="1">
        <v>42678</v>
      </c>
      <c r="C42" t="s">
        <v>10</v>
      </c>
      <c r="D42" s="8">
        <v>81.534000000000006</v>
      </c>
      <c r="E42" s="8">
        <v>4.8133333333333335</v>
      </c>
      <c r="F42" s="8">
        <v>6.479166666666667</v>
      </c>
      <c r="G42" s="10">
        <v>48</v>
      </c>
      <c r="H42" s="8" t="s">
        <v>11</v>
      </c>
    </row>
    <row r="43" spans="1:8" x14ac:dyDescent="0.2">
      <c r="A43" t="s">
        <v>836</v>
      </c>
      <c r="B43" s="1">
        <v>42678</v>
      </c>
      <c r="C43" t="s">
        <v>10</v>
      </c>
      <c r="D43" s="8">
        <v>99.568000000000012</v>
      </c>
      <c r="E43" s="8">
        <v>5.16</v>
      </c>
      <c r="F43" s="8">
        <v>6.4705882352941178</v>
      </c>
      <c r="G43" s="10">
        <v>34</v>
      </c>
      <c r="H43" s="8" t="s">
        <v>11</v>
      </c>
    </row>
    <row r="44" spans="1:8" x14ac:dyDescent="0.2">
      <c r="A44" t="s">
        <v>835</v>
      </c>
      <c r="B44" s="1" t="s">
        <v>11</v>
      </c>
      <c r="C44" t="s">
        <v>11</v>
      </c>
      <c r="D44" s="8" t="s">
        <v>11</v>
      </c>
      <c r="E44" s="8">
        <v>5.7866666666666662</v>
      </c>
      <c r="F44" s="8">
        <v>8.6666666666666661</v>
      </c>
      <c r="G44" s="10">
        <v>21</v>
      </c>
      <c r="H44" s="8" t="s">
        <v>11</v>
      </c>
    </row>
    <row r="45" spans="1:8" x14ac:dyDescent="0.2">
      <c r="A45" t="s">
        <v>834</v>
      </c>
      <c r="B45" s="1">
        <v>42678</v>
      </c>
      <c r="C45" t="s">
        <v>10</v>
      </c>
      <c r="D45" s="8">
        <v>71.628</v>
      </c>
      <c r="E45" s="8">
        <v>4.3466666666666667</v>
      </c>
      <c r="F45" s="8">
        <v>5.935483870967742</v>
      </c>
      <c r="G45" s="10">
        <v>31</v>
      </c>
      <c r="H45" s="8" t="s">
        <v>11</v>
      </c>
    </row>
    <row r="46" spans="1:8" x14ac:dyDescent="0.2">
      <c r="A46" t="s">
        <v>833</v>
      </c>
      <c r="B46" s="1">
        <v>42678</v>
      </c>
      <c r="C46" t="s">
        <v>10</v>
      </c>
      <c r="D46" s="8">
        <v>121.41199999999999</v>
      </c>
      <c r="E46" s="8">
        <v>5.4133333333333331</v>
      </c>
      <c r="F46" s="8">
        <v>6.583333333333333</v>
      </c>
      <c r="G46" s="10">
        <v>24</v>
      </c>
      <c r="H46" s="8" t="s">
        <v>11</v>
      </c>
    </row>
    <row r="47" spans="1:8" x14ac:dyDescent="0.2">
      <c r="A47" t="s">
        <v>827</v>
      </c>
      <c r="B47" s="1">
        <v>42678</v>
      </c>
      <c r="C47" t="s">
        <v>10</v>
      </c>
      <c r="D47" s="8">
        <v>96.012</v>
      </c>
      <c r="E47" s="8">
        <v>4.753333333333333</v>
      </c>
      <c r="F47" s="8">
        <v>6.59375</v>
      </c>
      <c r="G47" s="10">
        <v>32</v>
      </c>
      <c r="H47" s="8" t="s">
        <v>11</v>
      </c>
    </row>
    <row r="48" spans="1:8" x14ac:dyDescent="0.2">
      <c r="A48" t="s">
        <v>826</v>
      </c>
      <c r="B48" s="1" t="s">
        <v>11</v>
      </c>
      <c r="C48" t="s">
        <v>11</v>
      </c>
      <c r="D48" s="8" t="s">
        <v>11</v>
      </c>
      <c r="E48" s="8">
        <v>5.4399999999999995</v>
      </c>
      <c r="F48" s="8">
        <v>8.4705882352941178</v>
      </c>
      <c r="G48" s="10">
        <v>17</v>
      </c>
      <c r="H48" s="8" t="s">
        <v>11</v>
      </c>
    </row>
    <row r="49" spans="1:8" x14ac:dyDescent="0.2">
      <c r="A49" t="s">
        <v>825</v>
      </c>
      <c r="B49" s="1">
        <v>42678</v>
      </c>
      <c r="C49" t="s">
        <v>39</v>
      </c>
      <c r="D49" s="8">
        <v>100.07599999999999</v>
      </c>
      <c r="E49" s="8">
        <v>5.2666666666666666</v>
      </c>
      <c r="F49" s="8">
        <v>6.9302325581395348</v>
      </c>
      <c r="G49" s="10">
        <v>43</v>
      </c>
      <c r="H49" s="8" t="s">
        <v>11</v>
      </c>
    </row>
    <row r="50" spans="1:8" x14ac:dyDescent="0.2">
      <c r="A50" t="s">
        <v>824</v>
      </c>
      <c r="B50" s="1">
        <v>42678</v>
      </c>
      <c r="C50" t="s">
        <v>10</v>
      </c>
      <c r="D50" s="8">
        <v>42.164000000000001</v>
      </c>
      <c r="E50" s="8">
        <v>3.0133333333333336</v>
      </c>
      <c r="F50" s="8">
        <v>6.2121212121212119</v>
      </c>
      <c r="G50" s="10">
        <v>33</v>
      </c>
      <c r="H50" s="8" t="s">
        <v>11</v>
      </c>
    </row>
    <row r="51" spans="1:8" x14ac:dyDescent="0.2">
      <c r="A51" t="s">
        <v>823</v>
      </c>
      <c r="B51" s="1">
        <v>42678</v>
      </c>
      <c r="C51" t="s">
        <v>10</v>
      </c>
      <c r="D51" s="8">
        <v>106.68</v>
      </c>
      <c r="E51" s="8">
        <v>5.333333333333333</v>
      </c>
      <c r="F51" s="8">
        <v>6.4705882352941178</v>
      </c>
      <c r="G51" s="10">
        <v>34</v>
      </c>
      <c r="H51" s="8" t="s">
        <v>11</v>
      </c>
    </row>
    <row r="52" spans="1:8" x14ac:dyDescent="0.2">
      <c r="A52" t="s">
        <v>817</v>
      </c>
      <c r="B52" s="1">
        <v>42678</v>
      </c>
      <c r="C52" t="s">
        <v>10</v>
      </c>
      <c r="D52" s="8">
        <v>96.012</v>
      </c>
      <c r="E52" s="8">
        <v>5.86</v>
      </c>
      <c r="F52" s="8">
        <v>7.04</v>
      </c>
      <c r="G52" s="10">
        <v>25</v>
      </c>
      <c r="H52" s="8" t="s">
        <v>11</v>
      </c>
    </row>
    <row r="53" spans="1:8" x14ac:dyDescent="0.2">
      <c r="A53" t="s">
        <v>816</v>
      </c>
      <c r="B53" s="1">
        <v>42678</v>
      </c>
      <c r="C53" t="s">
        <v>10</v>
      </c>
      <c r="D53" s="8">
        <v>108.20400000000001</v>
      </c>
      <c r="E53" s="8">
        <v>4.7733333333333325</v>
      </c>
      <c r="F53" s="8">
        <v>6.9666666666666668</v>
      </c>
      <c r="G53" s="10">
        <v>30</v>
      </c>
      <c r="H53" s="8" t="s">
        <v>11</v>
      </c>
    </row>
    <row r="54" spans="1:8" x14ac:dyDescent="0.2">
      <c r="A54" t="s">
        <v>815</v>
      </c>
      <c r="B54" s="1">
        <v>42678</v>
      </c>
      <c r="C54" t="s">
        <v>10</v>
      </c>
      <c r="D54" s="8">
        <v>104.14</v>
      </c>
      <c r="E54" s="8">
        <v>4.8200000000000012</v>
      </c>
      <c r="F54" s="8">
        <v>6.387096774193548</v>
      </c>
      <c r="G54" s="10">
        <v>31</v>
      </c>
      <c r="H54" s="8" t="s">
        <v>11</v>
      </c>
    </row>
    <row r="55" spans="1:8" x14ac:dyDescent="0.2">
      <c r="A55" t="s">
        <v>814</v>
      </c>
      <c r="B55" s="1">
        <v>42678</v>
      </c>
      <c r="C55" t="s">
        <v>10</v>
      </c>
      <c r="D55" s="8">
        <v>88.9</v>
      </c>
      <c r="E55" s="8">
        <v>4.9733333333333336</v>
      </c>
      <c r="F55" s="8">
        <v>6.4242424242424239</v>
      </c>
      <c r="G55" s="10">
        <v>33</v>
      </c>
      <c r="H55" s="8" t="s">
        <v>11</v>
      </c>
    </row>
    <row r="56" spans="1:8" x14ac:dyDescent="0.2">
      <c r="A56" t="s">
        <v>813</v>
      </c>
      <c r="B56" s="1">
        <v>42678</v>
      </c>
      <c r="C56" t="s">
        <v>10</v>
      </c>
      <c r="D56" s="8">
        <v>132.08000000000001</v>
      </c>
      <c r="E56" s="8">
        <v>4.4933333333333341</v>
      </c>
      <c r="F56" s="8">
        <v>7.1875</v>
      </c>
      <c r="G56" s="10">
        <v>48</v>
      </c>
      <c r="H56" s="8" t="s">
        <v>11</v>
      </c>
    </row>
    <row r="57" spans="1:8" x14ac:dyDescent="0.2">
      <c r="A57" t="s">
        <v>807</v>
      </c>
      <c r="B57" s="1">
        <v>42678</v>
      </c>
      <c r="C57" t="s">
        <v>10</v>
      </c>
      <c r="D57" s="8">
        <v>59.436</v>
      </c>
      <c r="E57" s="8">
        <v>3.9733333333333336</v>
      </c>
      <c r="F57" s="8">
        <v>5.0666666666666664</v>
      </c>
      <c r="G57" s="10">
        <v>30</v>
      </c>
      <c r="H57" s="8" t="s">
        <v>11</v>
      </c>
    </row>
    <row r="58" spans="1:8" x14ac:dyDescent="0.2">
      <c r="A58" t="s">
        <v>806</v>
      </c>
      <c r="B58" s="1">
        <v>42678</v>
      </c>
      <c r="C58" t="s">
        <v>10</v>
      </c>
      <c r="D58" s="8">
        <v>107.188</v>
      </c>
      <c r="E58" s="8">
        <v>4.54</v>
      </c>
      <c r="F58" s="8">
        <v>6.4727272727272727</v>
      </c>
      <c r="G58" s="10">
        <v>55</v>
      </c>
      <c r="H58" s="8" t="s">
        <v>11</v>
      </c>
    </row>
    <row r="59" spans="1:8" x14ac:dyDescent="0.2">
      <c r="A59" t="s">
        <v>805</v>
      </c>
      <c r="B59" s="1">
        <v>42678</v>
      </c>
      <c r="C59" t="s">
        <v>10</v>
      </c>
      <c r="D59" s="8">
        <v>68.58</v>
      </c>
      <c r="E59" s="8">
        <v>4.253333333333333</v>
      </c>
      <c r="F59" s="8">
        <v>6.5588235294117645</v>
      </c>
      <c r="G59" s="10">
        <v>34</v>
      </c>
      <c r="H59" s="8" t="s">
        <v>11</v>
      </c>
    </row>
    <row r="60" spans="1:8" x14ac:dyDescent="0.2">
      <c r="A60" t="s">
        <v>804</v>
      </c>
      <c r="B60" s="1">
        <v>42678</v>
      </c>
      <c r="C60" t="s">
        <v>10</v>
      </c>
      <c r="D60" s="8">
        <v>111.252</v>
      </c>
      <c r="E60" s="8">
        <v>4.8533333333333335</v>
      </c>
      <c r="F60" s="8">
        <v>6.75</v>
      </c>
      <c r="G60" s="10">
        <v>36</v>
      </c>
      <c r="H60" s="8" t="s">
        <v>11</v>
      </c>
    </row>
    <row r="61" spans="1:8" x14ac:dyDescent="0.2">
      <c r="A61" t="s">
        <v>803</v>
      </c>
      <c r="B61" s="1">
        <v>42678</v>
      </c>
      <c r="C61" t="s">
        <v>10</v>
      </c>
      <c r="D61" s="8">
        <v>97.028000000000006</v>
      </c>
      <c r="E61" s="8">
        <v>5.2384615384615376</v>
      </c>
      <c r="F61" s="8">
        <v>7.6470588235294121</v>
      </c>
      <c r="G61" s="10">
        <v>17</v>
      </c>
      <c r="H61" s="8" t="s">
        <v>11</v>
      </c>
    </row>
    <row r="62" spans="1:8" x14ac:dyDescent="0.2">
      <c r="A62" t="s">
        <v>797</v>
      </c>
      <c r="B62" s="1">
        <v>42678</v>
      </c>
      <c r="C62" t="s">
        <v>10</v>
      </c>
      <c r="D62" s="8">
        <v>84.328000000000003</v>
      </c>
      <c r="E62" s="8">
        <v>4.5133333333333336</v>
      </c>
      <c r="F62" s="8">
        <v>5.6538461538461542</v>
      </c>
      <c r="G62" s="10">
        <v>52</v>
      </c>
      <c r="H62" s="8" t="s">
        <v>11</v>
      </c>
    </row>
    <row r="63" spans="1:8" x14ac:dyDescent="0.2">
      <c r="A63" t="s">
        <v>796</v>
      </c>
      <c r="B63" s="1">
        <v>42678</v>
      </c>
      <c r="C63" t="s">
        <v>10</v>
      </c>
      <c r="D63" s="8">
        <v>62.992000000000004</v>
      </c>
      <c r="E63" s="8">
        <v>5.1000000000000005</v>
      </c>
      <c r="F63" s="8">
        <v>6.3611111111111107</v>
      </c>
      <c r="G63" s="10">
        <v>36</v>
      </c>
      <c r="H63" s="8" t="s">
        <v>11</v>
      </c>
    </row>
    <row r="64" spans="1:8" x14ac:dyDescent="0.2">
      <c r="A64" t="s">
        <v>795</v>
      </c>
      <c r="B64" s="1">
        <v>42678</v>
      </c>
      <c r="C64" t="s">
        <v>10</v>
      </c>
      <c r="D64" s="8">
        <v>78.231999999999999</v>
      </c>
      <c r="E64" s="8">
        <v>5.38</v>
      </c>
      <c r="F64" s="8">
        <v>6.75</v>
      </c>
      <c r="G64" s="10">
        <v>36</v>
      </c>
      <c r="H64" s="8" t="s">
        <v>11</v>
      </c>
    </row>
    <row r="65" spans="1:8" x14ac:dyDescent="0.2">
      <c r="A65" t="s">
        <v>794</v>
      </c>
      <c r="B65" s="1">
        <v>42678</v>
      </c>
      <c r="C65" t="s">
        <v>10</v>
      </c>
      <c r="D65" s="8">
        <v>89.915999999999997</v>
      </c>
      <c r="E65" s="8">
        <v>4.9733333333333336</v>
      </c>
      <c r="F65" s="8">
        <v>7.1578947368421053</v>
      </c>
      <c r="G65" s="10">
        <v>38</v>
      </c>
      <c r="H65" s="8" t="s">
        <v>11</v>
      </c>
    </row>
    <row r="66" spans="1:8" x14ac:dyDescent="0.2">
      <c r="A66" t="s">
        <v>793</v>
      </c>
      <c r="B66" s="1">
        <v>42678</v>
      </c>
      <c r="C66" t="s">
        <v>10</v>
      </c>
      <c r="D66" s="8">
        <v>107.696</v>
      </c>
      <c r="E66" s="8">
        <v>4.9066666666666663</v>
      </c>
      <c r="F66" s="8">
        <v>6.9729729729729728</v>
      </c>
      <c r="G66" s="10">
        <v>37</v>
      </c>
      <c r="H66" s="8" t="s">
        <v>11</v>
      </c>
    </row>
    <row r="67" spans="1:8" x14ac:dyDescent="0.2">
      <c r="A67" t="s">
        <v>787</v>
      </c>
      <c r="B67" s="1">
        <v>42678</v>
      </c>
      <c r="C67" t="s">
        <v>10</v>
      </c>
      <c r="D67" s="8">
        <v>94.488000000000014</v>
      </c>
      <c r="E67" s="8">
        <v>5.1733333333333338</v>
      </c>
      <c r="F67" s="8">
        <v>6.67741935483871</v>
      </c>
      <c r="G67" s="10">
        <v>31</v>
      </c>
      <c r="H67" s="8" t="s">
        <v>11</v>
      </c>
    </row>
    <row r="68" spans="1:8" x14ac:dyDescent="0.2">
      <c r="A68" t="s">
        <v>786</v>
      </c>
      <c r="B68" s="1">
        <v>42678</v>
      </c>
      <c r="C68" t="s">
        <v>10</v>
      </c>
      <c r="D68" s="8">
        <v>101.6</v>
      </c>
      <c r="E68" s="8">
        <v>4.3333333333333339</v>
      </c>
      <c r="F68" s="8">
        <v>6.4590163934426226</v>
      </c>
      <c r="G68" s="10">
        <v>61</v>
      </c>
      <c r="H68" s="8" t="s">
        <v>11</v>
      </c>
    </row>
    <row r="69" spans="1:8" x14ac:dyDescent="0.2">
      <c r="A69" t="s">
        <v>785</v>
      </c>
      <c r="B69" s="1">
        <v>42678</v>
      </c>
      <c r="C69" t="s">
        <v>10</v>
      </c>
      <c r="D69" s="8">
        <v>101.6</v>
      </c>
      <c r="E69" s="8">
        <v>4.626666666666666</v>
      </c>
      <c r="F69" s="8">
        <v>6.7333333333333334</v>
      </c>
      <c r="G69" s="10">
        <v>45</v>
      </c>
      <c r="H69" s="8" t="s">
        <v>11</v>
      </c>
    </row>
    <row r="70" spans="1:8" x14ac:dyDescent="0.2">
      <c r="A70" t="s">
        <v>784</v>
      </c>
      <c r="B70" s="1">
        <v>42678</v>
      </c>
      <c r="C70" t="s">
        <v>10</v>
      </c>
      <c r="D70" s="8">
        <v>93.471999999999994</v>
      </c>
      <c r="E70" s="8">
        <v>5.0266666666666673</v>
      </c>
      <c r="F70" s="8">
        <v>7.3461538461538458</v>
      </c>
      <c r="G70" s="10">
        <v>26</v>
      </c>
      <c r="H70" s="8" t="s">
        <v>11</v>
      </c>
    </row>
    <row r="71" spans="1:8" x14ac:dyDescent="0.2">
      <c r="A71" t="s">
        <v>783</v>
      </c>
      <c r="B71" s="1">
        <v>42678</v>
      </c>
      <c r="C71" t="s">
        <v>10</v>
      </c>
      <c r="D71" s="8">
        <v>122.42800000000001</v>
      </c>
      <c r="E71" s="8">
        <v>5.3066666666666675</v>
      </c>
      <c r="F71" s="8">
        <v>8.7916666666666661</v>
      </c>
      <c r="G71" s="10">
        <v>24</v>
      </c>
      <c r="H71" s="8" t="s">
        <v>11</v>
      </c>
    </row>
    <row r="72" spans="1:8" x14ac:dyDescent="0.2">
      <c r="A72" t="s">
        <v>777</v>
      </c>
      <c r="B72" s="1">
        <v>42678</v>
      </c>
      <c r="C72" t="s">
        <v>10</v>
      </c>
      <c r="D72" s="8">
        <v>72.897999999999996</v>
      </c>
      <c r="E72" s="8">
        <v>3.9466666666666668</v>
      </c>
      <c r="F72" s="8">
        <v>6.6304347826086953</v>
      </c>
      <c r="G72" s="10">
        <v>46</v>
      </c>
      <c r="H72" s="8" t="s">
        <v>11</v>
      </c>
    </row>
    <row r="73" spans="1:8" x14ac:dyDescent="0.2">
      <c r="A73" t="s">
        <v>776</v>
      </c>
      <c r="B73" s="1">
        <v>42678</v>
      </c>
      <c r="C73" t="s">
        <v>10</v>
      </c>
      <c r="D73" s="8">
        <v>62.484000000000002</v>
      </c>
      <c r="E73" s="8">
        <v>3.52</v>
      </c>
      <c r="F73" s="8">
        <v>6.8717948717948714</v>
      </c>
      <c r="G73" s="10">
        <v>39</v>
      </c>
      <c r="H73" s="8" t="s">
        <v>11</v>
      </c>
    </row>
    <row r="74" spans="1:8" x14ac:dyDescent="0.2">
      <c r="A74" t="s">
        <v>775</v>
      </c>
      <c r="B74" s="1">
        <v>42678</v>
      </c>
      <c r="C74" t="s">
        <v>10</v>
      </c>
      <c r="D74" s="8">
        <v>79.248000000000005</v>
      </c>
      <c r="E74" s="8">
        <v>4.4399999999999995</v>
      </c>
      <c r="F74" s="8">
        <v>6.0851063829787231</v>
      </c>
      <c r="G74" s="10">
        <v>47</v>
      </c>
      <c r="H74" s="8" t="s">
        <v>11</v>
      </c>
    </row>
    <row r="75" spans="1:8" x14ac:dyDescent="0.2">
      <c r="A75" t="s">
        <v>774</v>
      </c>
      <c r="B75" s="1">
        <v>42678</v>
      </c>
      <c r="C75" t="s">
        <v>10</v>
      </c>
      <c r="D75" s="8">
        <v>103.63199999999999</v>
      </c>
      <c r="E75" s="8">
        <v>5.5733333333333333</v>
      </c>
      <c r="F75" s="8">
        <v>8.25</v>
      </c>
      <c r="G75" s="10">
        <v>28</v>
      </c>
      <c r="H75" s="8" t="s">
        <v>11</v>
      </c>
    </row>
    <row r="76" spans="1:8" x14ac:dyDescent="0.2">
      <c r="A76" t="s">
        <v>773</v>
      </c>
      <c r="B76" s="1">
        <v>42678</v>
      </c>
      <c r="C76" t="s">
        <v>10</v>
      </c>
      <c r="D76" s="8">
        <v>100.584</v>
      </c>
      <c r="E76" s="8">
        <v>4.4999999999999991</v>
      </c>
      <c r="F76" s="8">
        <v>7.5116279069767442</v>
      </c>
      <c r="G76" s="10">
        <v>43</v>
      </c>
      <c r="H76" s="8" t="s">
        <v>11</v>
      </c>
    </row>
    <row r="77" spans="1:8" x14ac:dyDescent="0.2">
      <c r="A77" t="s">
        <v>767</v>
      </c>
      <c r="B77" s="1">
        <v>42678</v>
      </c>
      <c r="C77" t="s">
        <v>10</v>
      </c>
      <c r="D77" s="8">
        <v>94.995999999999995</v>
      </c>
      <c r="E77" s="8">
        <v>4.9933333333333341</v>
      </c>
      <c r="F77" s="8">
        <v>7.15</v>
      </c>
      <c r="G77" s="10">
        <v>20</v>
      </c>
      <c r="H77" s="8" t="s">
        <v>11</v>
      </c>
    </row>
    <row r="78" spans="1:8" x14ac:dyDescent="0.2">
      <c r="A78" t="s">
        <v>766</v>
      </c>
      <c r="B78" s="1">
        <v>42678</v>
      </c>
      <c r="C78" t="s">
        <v>10</v>
      </c>
      <c r="D78" s="8">
        <v>107.696</v>
      </c>
      <c r="E78" s="8">
        <v>5.4333333333333327</v>
      </c>
      <c r="F78" s="8">
        <v>6.0571428571428569</v>
      </c>
      <c r="G78" s="10">
        <v>35</v>
      </c>
      <c r="H78" s="8" t="s">
        <v>11</v>
      </c>
    </row>
    <row r="79" spans="1:8" x14ac:dyDescent="0.2">
      <c r="A79" t="s">
        <v>765</v>
      </c>
      <c r="B79" s="1">
        <v>42678</v>
      </c>
      <c r="C79" t="s">
        <v>10</v>
      </c>
      <c r="D79" s="8">
        <v>90.424000000000007</v>
      </c>
      <c r="E79" s="8">
        <v>5.0333333333333332</v>
      </c>
      <c r="F79" s="8">
        <v>6.115384615384615</v>
      </c>
      <c r="G79" s="10">
        <v>26</v>
      </c>
      <c r="H79" s="8" t="s">
        <v>11</v>
      </c>
    </row>
    <row r="80" spans="1:8" x14ac:dyDescent="0.2">
      <c r="A80" t="s">
        <v>764</v>
      </c>
      <c r="B80" s="1">
        <v>42678</v>
      </c>
      <c r="C80" t="s">
        <v>10</v>
      </c>
      <c r="D80" s="8">
        <v>90.424000000000007</v>
      </c>
      <c r="E80" s="8">
        <v>4.4066666666666672</v>
      </c>
      <c r="F80" s="8">
        <v>7</v>
      </c>
      <c r="G80" s="10">
        <v>33</v>
      </c>
      <c r="H80" s="8" t="s">
        <v>11</v>
      </c>
    </row>
    <row r="81" spans="1:8" x14ac:dyDescent="0.2">
      <c r="A81" t="s">
        <v>763</v>
      </c>
      <c r="B81" s="1">
        <v>42678</v>
      </c>
      <c r="C81" t="s">
        <v>10</v>
      </c>
      <c r="D81" s="8">
        <v>94.995999999999995</v>
      </c>
      <c r="E81" s="8">
        <v>6.0733333333333333</v>
      </c>
      <c r="F81" s="8">
        <v>6.9642857142857144</v>
      </c>
      <c r="G81" s="10">
        <v>28</v>
      </c>
      <c r="H81" s="8" t="s">
        <v>11</v>
      </c>
    </row>
    <row r="82" spans="1:8" x14ac:dyDescent="0.2">
      <c r="A82" t="s">
        <v>757</v>
      </c>
      <c r="B82" s="1">
        <v>42893</v>
      </c>
      <c r="C82" t="s">
        <v>27</v>
      </c>
      <c r="D82" s="8">
        <v>55.3</v>
      </c>
      <c r="E82" s="8">
        <v>4.7080000000000002</v>
      </c>
      <c r="F82" s="8">
        <v>5.35</v>
      </c>
      <c r="G82" s="10">
        <v>65.333333333333329</v>
      </c>
      <c r="H82" s="8" t="s">
        <v>11</v>
      </c>
    </row>
    <row r="83" spans="1:8" x14ac:dyDescent="0.2">
      <c r="A83" t="s">
        <v>756</v>
      </c>
      <c r="B83" s="1">
        <v>42893</v>
      </c>
      <c r="C83" t="s">
        <v>28</v>
      </c>
      <c r="D83" s="8">
        <v>61.924999999999997</v>
      </c>
      <c r="E83" s="8">
        <v>5.4159999999999995</v>
      </c>
      <c r="F83" s="8">
        <v>6.2</v>
      </c>
      <c r="G83" s="10">
        <v>48</v>
      </c>
      <c r="H83" s="8" t="s">
        <v>11</v>
      </c>
    </row>
    <row r="84" spans="1:8" x14ac:dyDescent="0.2">
      <c r="A84" t="s">
        <v>755</v>
      </c>
      <c r="B84" s="1">
        <v>42899</v>
      </c>
      <c r="C84" t="s">
        <v>28</v>
      </c>
      <c r="D84" s="8">
        <v>72.349999999999994</v>
      </c>
      <c r="E84" s="8">
        <v>6.0739999999999998</v>
      </c>
      <c r="F84" s="8">
        <v>6.75</v>
      </c>
      <c r="G84" s="10">
        <v>54.666666666666664</v>
      </c>
      <c r="H84" s="8" t="s">
        <v>11</v>
      </c>
    </row>
    <row r="85" spans="1:8" x14ac:dyDescent="0.2">
      <c r="A85" t="s">
        <v>754</v>
      </c>
      <c r="B85" s="1">
        <v>42900</v>
      </c>
      <c r="C85" t="s">
        <v>27</v>
      </c>
      <c r="D85" s="8">
        <v>59.625</v>
      </c>
      <c r="E85" s="8">
        <v>4.4575000000000014</v>
      </c>
      <c r="F85" s="8">
        <v>4.3499999999999996</v>
      </c>
      <c r="G85" s="10">
        <v>59.666666666666664</v>
      </c>
      <c r="H85" s="8" t="s">
        <v>11</v>
      </c>
    </row>
    <row r="86" spans="1:8" x14ac:dyDescent="0.2">
      <c r="A86" t="s">
        <v>753</v>
      </c>
      <c r="B86" s="1">
        <v>42888</v>
      </c>
      <c r="C86" t="s">
        <v>28</v>
      </c>
      <c r="D86" s="8">
        <v>58.25</v>
      </c>
      <c r="E86" s="8">
        <v>4.8469999999999995</v>
      </c>
      <c r="F86" s="8">
        <v>7.3</v>
      </c>
      <c r="G86" s="10">
        <v>65</v>
      </c>
      <c r="H86" s="8" t="s">
        <v>11</v>
      </c>
    </row>
    <row r="87" spans="1:8" x14ac:dyDescent="0.2">
      <c r="A87" t="s">
        <v>747</v>
      </c>
      <c r="B87" s="1">
        <v>112290</v>
      </c>
      <c r="C87" t="s">
        <v>27</v>
      </c>
      <c r="D87" s="8">
        <v>63.15</v>
      </c>
      <c r="E87" s="8">
        <v>4.1125000000000007</v>
      </c>
      <c r="F87" s="8">
        <v>7.15</v>
      </c>
      <c r="G87" s="10">
        <v>79.333333333333329</v>
      </c>
      <c r="H87" s="8" t="s">
        <v>11</v>
      </c>
    </row>
    <row r="88" spans="1:8" x14ac:dyDescent="0.2">
      <c r="A88" t="s">
        <v>746</v>
      </c>
      <c r="B88" s="1">
        <v>42899</v>
      </c>
      <c r="C88" t="s">
        <v>27</v>
      </c>
      <c r="D88" s="8">
        <v>71.875</v>
      </c>
      <c r="E88" s="8">
        <v>6.0484999999999989</v>
      </c>
      <c r="F88" s="8">
        <v>5.85</v>
      </c>
      <c r="G88" s="10">
        <v>40.666666666666664</v>
      </c>
      <c r="H88" s="8" t="s">
        <v>11</v>
      </c>
    </row>
    <row r="89" spans="1:8" x14ac:dyDescent="0.2">
      <c r="A89" t="s">
        <v>745</v>
      </c>
      <c r="B89" s="1">
        <v>42900</v>
      </c>
      <c r="C89" t="s">
        <v>27</v>
      </c>
      <c r="D89" s="8">
        <v>64.400000000000006</v>
      </c>
      <c r="E89" s="8">
        <v>3.9404999999999992</v>
      </c>
      <c r="F89" s="8">
        <v>5.4</v>
      </c>
      <c r="G89" s="10">
        <v>122.33333333333333</v>
      </c>
      <c r="H89" s="8" t="s">
        <v>11</v>
      </c>
    </row>
    <row r="90" spans="1:8" x14ac:dyDescent="0.2">
      <c r="A90" t="s">
        <v>744</v>
      </c>
      <c r="B90" s="1">
        <v>42887</v>
      </c>
      <c r="C90" t="s">
        <v>28</v>
      </c>
      <c r="D90" s="8">
        <v>54.75</v>
      </c>
      <c r="E90" s="8">
        <v>4.6525000000000007</v>
      </c>
      <c r="F90" s="8">
        <v>5.6</v>
      </c>
      <c r="G90" s="10">
        <v>58.333333333333336</v>
      </c>
      <c r="H90" s="8" t="s">
        <v>11</v>
      </c>
    </row>
    <row r="91" spans="1:8" x14ac:dyDescent="0.2">
      <c r="A91" t="s">
        <v>743</v>
      </c>
      <c r="B91" s="1">
        <v>42894</v>
      </c>
      <c r="C91" t="s">
        <v>27</v>
      </c>
      <c r="D91" s="8">
        <v>49.024999999999999</v>
      </c>
      <c r="E91" s="8">
        <v>3.8079999999999998</v>
      </c>
      <c r="F91" s="8">
        <v>6.15</v>
      </c>
      <c r="G91" s="10">
        <v>62.666666666666664</v>
      </c>
      <c r="H91" s="8" t="s">
        <v>11</v>
      </c>
    </row>
    <row r="92" spans="1:8" x14ac:dyDescent="0.2">
      <c r="A92" t="s">
        <v>737</v>
      </c>
      <c r="B92" s="1">
        <v>42895</v>
      </c>
      <c r="C92" t="s">
        <v>28</v>
      </c>
      <c r="D92" s="8">
        <v>67.474999999999994</v>
      </c>
      <c r="E92" s="8">
        <v>6.011000000000001</v>
      </c>
      <c r="F92" s="8">
        <v>8.1999999999999993</v>
      </c>
      <c r="G92" s="10">
        <v>45.333333333333336</v>
      </c>
      <c r="H92" s="8" t="s">
        <v>11</v>
      </c>
    </row>
    <row r="93" spans="1:8" x14ac:dyDescent="0.2">
      <c r="A93" t="s">
        <v>736</v>
      </c>
      <c r="B93" s="1">
        <v>42899</v>
      </c>
      <c r="C93" t="s">
        <v>28</v>
      </c>
      <c r="D93" s="8">
        <v>80.900000000000006</v>
      </c>
      <c r="E93" s="8">
        <v>5.4030000000000005</v>
      </c>
      <c r="F93" s="8">
        <v>6.35</v>
      </c>
      <c r="G93" s="10">
        <v>59.333333333333336</v>
      </c>
      <c r="H93" s="8" t="s">
        <v>11</v>
      </c>
    </row>
    <row r="94" spans="1:8" x14ac:dyDescent="0.2">
      <c r="A94" t="s">
        <v>735</v>
      </c>
      <c r="B94" s="1">
        <v>42891</v>
      </c>
      <c r="C94" t="s">
        <v>27</v>
      </c>
      <c r="D94" s="8">
        <v>66.75</v>
      </c>
      <c r="E94" s="8">
        <v>3.6539999999999999</v>
      </c>
      <c r="F94" s="8">
        <v>6.1</v>
      </c>
      <c r="G94" s="10">
        <v>71</v>
      </c>
      <c r="H94" s="8" t="s">
        <v>11</v>
      </c>
    </row>
    <row r="95" spans="1:8" x14ac:dyDescent="0.2">
      <c r="A95" t="s">
        <v>734</v>
      </c>
      <c r="B95" s="1">
        <v>42898</v>
      </c>
      <c r="C95" t="s">
        <v>27</v>
      </c>
      <c r="D95" s="8">
        <v>64.900000000000006</v>
      </c>
      <c r="E95" s="8">
        <v>4.386000000000001</v>
      </c>
      <c r="F95" s="8">
        <v>7.4</v>
      </c>
      <c r="G95" s="10">
        <v>84.666666666666671</v>
      </c>
      <c r="H95" s="8" t="s">
        <v>11</v>
      </c>
    </row>
    <row r="96" spans="1:8" x14ac:dyDescent="0.2">
      <c r="A96" t="s">
        <v>733</v>
      </c>
      <c r="B96" s="1">
        <v>42898</v>
      </c>
      <c r="C96" t="s">
        <v>28</v>
      </c>
      <c r="D96" s="8">
        <v>74.424999999999997</v>
      </c>
      <c r="E96" s="8">
        <v>4.7324999999999999</v>
      </c>
      <c r="F96" s="8">
        <v>6.6</v>
      </c>
      <c r="G96" s="10">
        <v>90</v>
      </c>
      <c r="H96" s="8" t="s">
        <v>11</v>
      </c>
    </row>
    <row r="97" spans="1:8" x14ac:dyDescent="0.2">
      <c r="A97" t="s">
        <v>727</v>
      </c>
      <c r="B97" s="1">
        <v>42900</v>
      </c>
      <c r="C97" t="s">
        <v>27</v>
      </c>
      <c r="D97" s="8">
        <v>58.674999999999997</v>
      </c>
      <c r="E97" s="8">
        <v>4.3704999999999998</v>
      </c>
      <c r="F97" s="8">
        <v>5.25</v>
      </c>
      <c r="G97" s="10">
        <v>53.666666666666664</v>
      </c>
      <c r="H97" s="8" t="s">
        <v>11</v>
      </c>
    </row>
    <row r="98" spans="1:8" x14ac:dyDescent="0.2">
      <c r="A98" t="s">
        <v>726</v>
      </c>
      <c r="B98" s="1">
        <v>42892</v>
      </c>
      <c r="C98" t="s">
        <v>28</v>
      </c>
      <c r="D98" s="8">
        <v>53.825000000000003</v>
      </c>
      <c r="E98" s="8">
        <v>4.0679999999999996</v>
      </c>
      <c r="F98" s="8">
        <v>5.95</v>
      </c>
      <c r="G98" s="10">
        <v>85.666666666666671</v>
      </c>
      <c r="H98" s="8" t="s">
        <v>11</v>
      </c>
    </row>
    <row r="99" spans="1:8" x14ac:dyDescent="0.2">
      <c r="A99" t="s">
        <v>725</v>
      </c>
      <c r="B99" s="1">
        <v>42893</v>
      </c>
      <c r="C99" t="s">
        <v>28</v>
      </c>
      <c r="D99" s="8">
        <v>64.075000000000003</v>
      </c>
      <c r="E99" s="8">
        <v>4.7811000000000003</v>
      </c>
      <c r="F99" s="8">
        <v>6.3</v>
      </c>
      <c r="G99" s="10">
        <v>66.333333333333329</v>
      </c>
      <c r="H99" s="8" t="s">
        <v>11</v>
      </c>
    </row>
    <row r="100" spans="1:8" x14ac:dyDescent="0.2">
      <c r="A100" t="s">
        <v>724</v>
      </c>
      <c r="B100" s="1">
        <v>42894</v>
      </c>
      <c r="C100" t="s">
        <v>28</v>
      </c>
      <c r="D100" s="8">
        <v>85.424999999999997</v>
      </c>
      <c r="E100" s="8">
        <v>5.4665000000000017</v>
      </c>
      <c r="F100" s="8">
        <v>6.3</v>
      </c>
      <c r="G100" s="10">
        <v>46</v>
      </c>
      <c r="H100" s="8" t="s">
        <v>11</v>
      </c>
    </row>
    <row r="101" spans="1:8" x14ac:dyDescent="0.2">
      <c r="A101" t="s">
        <v>723</v>
      </c>
      <c r="B101" s="1">
        <v>42894</v>
      </c>
      <c r="C101" t="s">
        <v>28</v>
      </c>
      <c r="D101" s="8">
        <v>68.275000000000006</v>
      </c>
      <c r="E101" s="8">
        <v>4.7300000000000013</v>
      </c>
      <c r="F101" s="8">
        <v>7.55</v>
      </c>
      <c r="G101" s="10">
        <v>65</v>
      </c>
      <c r="H101" s="8" t="s">
        <v>11</v>
      </c>
    </row>
    <row r="102" spans="1:8" x14ac:dyDescent="0.2">
      <c r="A102" t="s">
        <v>717</v>
      </c>
      <c r="B102" s="1">
        <v>42893</v>
      </c>
      <c r="C102" t="s">
        <v>28</v>
      </c>
      <c r="D102" s="8">
        <v>57.225000000000001</v>
      </c>
      <c r="E102" s="8">
        <v>4.4035000000000002</v>
      </c>
      <c r="F102" s="8">
        <v>6.65</v>
      </c>
      <c r="G102" s="10">
        <v>57.666666666666664</v>
      </c>
      <c r="H102" s="8" t="s">
        <v>11</v>
      </c>
    </row>
    <row r="103" spans="1:8" x14ac:dyDescent="0.2">
      <c r="A103" t="s">
        <v>716</v>
      </c>
      <c r="B103" s="1">
        <v>42888</v>
      </c>
      <c r="C103" t="s">
        <v>28</v>
      </c>
      <c r="D103" s="8">
        <v>58.424999999999997</v>
      </c>
      <c r="E103" s="8">
        <v>4.7320000000000011</v>
      </c>
      <c r="F103" s="8">
        <v>5.25</v>
      </c>
      <c r="G103" s="10">
        <v>59.666666666666664</v>
      </c>
      <c r="H103" s="8" t="s">
        <v>11</v>
      </c>
    </row>
    <row r="104" spans="1:8" x14ac:dyDescent="0.2">
      <c r="A104" t="s">
        <v>715</v>
      </c>
      <c r="B104" s="1">
        <v>112290</v>
      </c>
      <c r="C104" t="s">
        <v>27</v>
      </c>
      <c r="D104" s="8">
        <v>55.85</v>
      </c>
      <c r="E104" s="8">
        <v>4.7704999999999993</v>
      </c>
      <c r="F104" s="8">
        <v>6.8</v>
      </c>
      <c r="G104" s="10">
        <v>73.666666666666671</v>
      </c>
      <c r="H104" s="8" t="s">
        <v>11</v>
      </c>
    </row>
    <row r="105" spans="1:8" x14ac:dyDescent="0.2">
      <c r="A105" t="s">
        <v>714</v>
      </c>
      <c r="B105" s="1">
        <v>42898</v>
      </c>
      <c r="C105" t="s">
        <v>27</v>
      </c>
      <c r="D105" s="8">
        <v>54.725000000000001</v>
      </c>
      <c r="E105" s="8">
        <v>3.6757894736842105</v>
      </c>
      <c r="F105" s="8">
        <v>6.3</v>
      </c>
      <c r="G105" s="10">
        <v>85.666666666666671</v>
      </c>
      <c r="H105" s="8" t="s">
        <v>11</v>
      </c>
    </row>
    <row r="106" spans="1:8" x14ac:dyDescent="0.2">
      <c r="A106" t="s">
        <v>713</v>
      </c>
      <c r="B106" s="1">
        <v>42893</v>
      </c>
      <c r="C106" t="s">
        <v>27</v>
      </c>
      <c r="D106" s="8">
        <v>63.2</v>
      </c>
      <c r="E106" s="8">
        <v>4.1214999999999993</v>
      </c>
      <c r="F106" s="8">
        <v>5.75</v>
      </c>
      <c r="G106" s="10">
        <v>75</v>
      </c>
      <c r="H106" s="8" t="s">
        <v>11</v>
      </c>
    </row>
    <row r="107" spans="1:8" x14ac:dyDescent="0.2">
      <c r="A107" t="s">
        <v>707</v>
      </c>
      <c r="B107" s="1">
        <v>42887</v>
      </c>
      <c r="C107" t="s">
        <v>28</v>
      </c>
      <c r="D107" s="8">
        <v>67.174999999999997</v>
      </c>
      <c r="E107" s="8">
        <v>4.4434999999999985</v>
      </c>
      <c r="F107" s="8">
        <v>6.9</v>
      </c>
      <c r="G107" s="10">
        <v>53</v>
      </c>
      <c r="H107" s="8" t="s">
        <v>11</v>
      </c>
    </row>
    <row r="108" spans="1:8" x14ac:dyDescent="0.2">
      <c r="A108" t="s">
        <v>706</v>
      </c>
      <c r="B108" s="1">
        <v>42900</v>
      </c>
      <c r="C108" t="s">
        <v>27</v>
      </c>
      <c r="D108" s="8">
        <v>63.1</v>
      </c>
      <c r="E108" s="8">
        <v>3.9010000000000007</v>
      </c>
      <c r="F108" s="8">
        <v>7.25</v>
      </c>
      <c r="G108" s="10">
        <v>102</v>
      </c>
      <c r="H108" s="8" t="s">
        <v>11</v>
      </c>
    </row>
    <row r="109" spans="1:8" x14ac:dyDescent="0.2">
      <c r="A109" t="s">
        <v>705</v>
      </c>
      <c r="B109" s="1">
        <v>42901</v>
      </c>
      <c r="C109" t="s">
        <v>27</v>
      </c>
      <c r="D109" s="8">
        <v>62.274999999999999</v>
      </c>
      <c r="E109" s="8">
        <v>3.3579999999999997</v>
      </c>
      <c r="F109" s="8">
        <v>7.15</v>
      </c>
      <c r="G109" s="10">
        <v>66.333333333333329</v>
      </c>
      <c r="H109" s="8" t="s">
        <v>11</v>
      </c>
    </row>
    <row r="110" spans="1:8" x14ac:dyDescent="0.2">
      <c r="A110" t="s">
        <v>704</v>
      </c>
      <c r="B110" s="1">
        <v>42894</v>
      </c>
      <c r="C110" t="s">
        <v>27</v>
      </c>
      <c r="D110" s="8">
        <v>59.125</v>
      </c>
      <c r="E110" s="8">
        <v>4.948500000000001</v>
      </c>
      <c r="F110" s="8">
        <v>6</v>
      </c>
      <c r="G110" s="10">
        <v>41.333333333333336</v>
      </c>
      <c r="H110" s="8" t="s">
        <v>11</v>
      </c>
    </row>
    <row r="111" spans="1:8" x14ac:dyDescent="0.2">
      <c r="A111" t="s">
        <v>703</v>
      </c>
      <c r="B111" s="1">
        <v>42899</v>
      </c>
      <c r="C111" t="s">
        <v>27</v>
      </c>
      <c r="D111" s="8">
        <v>70.224999999999994</v>
      </c>
      <c r="E111" s="8">
        <v>4.8624999999999998</v>
      </c>
      <c r="F111" s="8">
        <v>6.5</v>
      </c>
      <c r="G111" s="10">
        <v>74</v>
      </c>
      <c r="H111" s="8" t="s">
        <v>11</v>
      </c>
    </row>
    <row r="112" spans="1:8" x14ac:dyDescent="0.2">
      <c r="A112" t="s">
        <v>697</v>
      </c>
      <c r="B112" s="1">
        <v>42900</v>
      </c>
      <c r="C112" t="s">
        <v>27</v>
      </c>
      <c r="D112" s="8">
        <v>62.575000000000003</v>
      </c>
      <c r="E112" s="8">
        <v>4.6195000000000004</v>
      </c>
      <c r="F112" s="8">
        <v>6.55</v>
      </c>
      <c r="G112" s="10">
        <v>63.666666666666664</v>
      </c>
      <c r="H112" s="8" t="s">
        <v>11</v>
      </c>
    </row>
    <row r="113" spans="1:8" x14ac:dyDescent="0.2">
      <c r="A113" t="s">
        <v>696</v>
      </c>
      <c r="B113" s="1">
        <v>42900</v>
      </c>
      <c r="C113" t="s">
        <v>27</v>
      </c>
      <c r="D113" s="8">
        <v>52.174999999999997</v>
      </c>
      <c r="E113" s="8">
        <v>3.9654999999999996</v>
      </c>
      <c r="F113" s="8">
        <v>6.05</v>
      </c>
      <c r="G113" s="10">
        <v>69.333333333333329</v>
      </c>
      <c r="H113" s="8" t="s">
        <v>11</v>
      </c>
    </row>
    <row r="114" spans="1:8" x14ac:dyDescent="0.2">
      <c r="A114" t="s">
        <v>695</v>
      </c>
      <c r="B114" s="1">
        <v>42893</v>
      </c>
      <c r="C114" t="s">
        <v>27</v>
      </c>
      <c r="D114" s="8">
        <v>102.7</v>
      </c>
      <c r="E114" s="8">
        <v>4.4075000000000006</v>
      </c>
      <c r="F114" s="8">
        <v>5.4</v>
      </c>
      <c r="G114" s="10">
        <v>76.333333333333329</v>
      </c>
      <c r="H114" s="8" t="s">
        <v>11</v>
      </c>
    </row>
    <row r="115" spans="1:8" x14ac:dyDescent="0.2">
      <c r="A115" t="s">
        <v>694</v>
      </c>
      <c r="B115" s="1">
        <v>42892</v>
      </c>
      <c r="C115" t="s">
        <v>28</v>
      </c>
      <c r="D115" s="8">
        <v>73.474999999999994</v>
      </c>
      <c r="E115" s="8">
        <v>5.2509999999999994</v>
      </c>
      <c r="F115" s="8">
        <v>7.2</v>
      </c>
      <c r="G115" s="10">
        <v>49.333333333333336</v>
      </c>
      <c r="H115" s="8" t="s">
        <v>11</v>
      </c>
    </row>
    <row r="116" spans="1:8" x14ac:dyDescent="0.2">
      <c r="A116" t="s">
        <v>693</v>
      </c>
      <c r="B116" s="1">
        <v>42895</v>
      </c>
      <c r="C116" t="s">
        <v>28</v>
      </c>
      <c r="D116" s="8">
        <v>61.8</v>
      </c>
      <c r="E116" s="8">
        <v>4.5424999999999995</v>
      </c>
      <c r="F116" s="8">
        <v>6.45</v>
      </c>
      <c r="G116" s="10">
        <v>77.666666666666671</v>
      </c>
      <c r="H116" s="8" t="s">
        <v>11</v>
      </c>
    </row>
    <row r="117" spans="1:8" x14ac:dyDescent="0.2">
      <c r="A117" t="s">
        <v>687</v>
      </c>
      <c r="B117" s="1">
        <v>42900</v>
      </c>
      <c r="C117" t="s">
        <v>27</v>
      </c>
      <c r="D117" s="8">
        <v>55.575000000000003</v>
      </c>
      <c r="E117" s="8">
        <v>5.6765000000000008</v>
      </c>
      <c r="F117" s="8">
        <v>6.75</v>
      </c>
      <c r="G117" s="10">
        <v>48</v>
      </c>
      <c r="H117" s="8" t="s">
        <v>11</v>
      </c>
    </row>
    <row r="118" spans="1:8" x14ac:dyDescent="0.2">
      <c r="A118" t="s">
        <v>686</v>
      </c>
      <c r="B118" s="1">
        <v>42891</v>
      </c>
      <c r="C118" t="s">
        <v>28</v>
      </c>
      <c r="D118" s="8">
        <v>67.575000000000003</v>
      </c>
      <c r="E118" s="8">
        <v>4.8290000000000015</v>
      </c>
      <c r="F118" s="8">
        <v>7.55</v>
      </c>
      <c r="G118" s="10">
        <v>42.333333333333336</v>
      </c>
      <c r="H118" s="8" t="s">
        <v>11</v>
      </c>
    </row>
    <row r="119" spans="1:8" x14ac:dyDescent="0.2">
      <c r="A119" t="s">
        <v>685</v>
      </c>
      <c r="B119" s="1">
        <v>42891</v>
      </c>
      <c r="C119" t="s">
        <v>28</v>
      </c>
      <c r="D119" s="8">
        <v>50.325000000000003</v>
      </c>
      <c r="E119" s="8">
        <v>4.3265000000000002</v>
      </c>
      <c r="F119" s="8">
        <v>7.5</v>
      </c>
      <c r="G119" s="10">
        <v>55.666666666666664</v>
      </c>
      <c r="H119" s="8" t="s">
        <v>11</v>
      </c>
    </row>
    <row r="120" spans="1:8" x14ac:dyDescent="0.2">
      <c r="A120" t="s">
        <v>684</v>
      </c>
      <c r="B120" s="1">
        <v>42886</v>
      </c>
      <c r="C120" t="s">
        <v>28</v>
      </c>
      <c r="D120" s="8">
        <v>49.55</v>
      </c>
      <c r="E120" s="8">
        <v>4.3869999999999996</v>
      </c>
      <c r="F120" s="8">
        <v>7.5</v>
      </c>
      <c r="G120" s="10">
        <v>79.666666666666671</v>
      </c>
      <c r="H120" s="8" t="s">
        <v>11</v>
      </c>
    </row>
    <row r="121" spans="1:8" x14ac:dyDescent="0.2">
      <c r="A121" t="s">
        <v>683</v>
      </c>
      <c r="B121" s="1">
        <v>42898</v>
      </c>
      <c r="C121" t="s">
        <v>28</v>
      </c>
      <c r="D121" s="8">
        <v>90.974999999999994</v>
      </c>
      <c r="E121" s="8">
        <v>5.7104999999999997</v>
      </c>
      <c r="F121" s="8">
        <v>8.25</v>
      </c>
      <c r="G121" s="10">
        <v>60.333333333333336</v>
      </c>
      <c r="H121" s="8" t="s">
        <v>11</v>
      </c>
    </row>
    <row r="122" spans="1:8" x14ac:dyDescent="0.2">
      <c r="A122" t="s">
        <v>677</v>
      </c>
      <c r="B122" s="1">
        <v>43043</v>
      </c>
      <c r="C122" t="s">
        <v>36</v>
      </c>
      <c r="D122" s="8">
        <v>68.489999999999995</v>
      </c>
      <c r="E122" s="8">
        <v>4.43</v>
      </c>
      <c r="F122" s="8">
        <v>12</v>
      </c>
      <c r="G122" s="10">
        <v>99</v>
      </c>
      <c r="H122" s="8" t="s">
        <v>11</v>
      </c>
    </row>
    <row r="123" spans="1:8" x14ac:dyDescent="0.2">
      <c r="A123" t="s">
        <v>676</v>
      </c>
      <c r="B123" s="3">
        <v>43043</v>
      </c>
      <c r="C123" t="s">
        <v>29</v>
      </c>
      <c r="D123" s="8">
        <v>78.900000000000006</v>
      </c>
      <c r="E123" s="8">
        <v>4.6549999999999985</v>
      </c>
      <c r="F123" s="8">
        <v>10.8</v>
      </c>
      <c r="G123" s="10">
        <v>48.333333333333336</v>
      </c>
      <c r="H123" s="8" t="s">
        <v>11</v>
      </c>
    </row>
    <row r="124" spans="1:8" x14ac:dyDescent="0.2">
      <c r="A124" t="s">
        <v>675</v>
      </c>
      <c r="B124" s="1">
        <v>43044</v>
      </c>
      <c r="C124" t="s">
        <v>30</v>
      </c>
      <c r="D124" s="8">
        <v>93.65</v>
      </c>
      <c r="E124" s="8">
        <v>5.8350000000000009</v>
      </c>
      <c r="F124" s="8">
        <v>11.35</v>
      </c>
      <c r="G124" s="10">
        <v>53</v>
      </c>
      <c r="H124" s="8" t="s">
        <v>11</v>
      </c>
    </row>
    <row r="125" spans="1:8" x14ac:dyDescent="0.2">
      <c r="A125" t="s">
        <v>674</v>
      </c>
      <c r="B125" s="1">
        <v>43043</v>
      </c>
      <c r="C125" t="s">
        <v>31</v>
      </c>
      <c r="D125" s="8">
        <v>53.9</v>
      </c>
      <c r="E125" s="8">
        <v>4.3749999999999982</v>
      </c>
      <c r="F125" s="8">
        <v>8.85</v>
      </c>
      <c r="G125" s="10">
        <v>70.666666666666671</v>
      </c>
      <c r="H125" s="8" t="s">
        <v>11</v>
      </c>
    </row>
    <row r="126" spans="1:8" x14ac:dyDescent="0.2">
      <c r="A126" t="s">
        <v>673</v>
      </c>
      <c r="B126" s="1">
        <v>43043</v>
      </c>
      <c r="C126" t="s">
        <v>32</v>
      </c>
      <c r="D126" s="8">
        <v>84.2</v>
      </c>
      <c r="E126" s="8">
        <v>4.2050000000000001</v>
      </c>
      <c r="F126" s="8">
        <v>11</v>
      </c>
      <c r="G126" s="10">
        <v>99.333333333333329</v>
      </c>
      <c r="H126" s="8" t="s">
        <v>11</v>
      </c>
    </row>
    <row r="127" spans="1:8" x14ac:dyDescent="0.2">
      <c r="A127" t="s">
        <v>667</v>
      </c>
      <c r="B127" s="3">
        <v>43043</v>
      </c>
      <c r="C127" t="s">
        <v>10</v>
      </c>
      <c r="D127" s="8">
        <v>87.75</v>
      </c>
      <c r="E127" s="8">
        <v>4.0150000000000006</v>
      </c>
      <c r="F127" s="8">
        <v>12.45</v>
      </c>
      <c r="G127" s="10">
        <v>97.666666666666671</v>
      </c>
      <c r="H127" s="8" t="s">
        <v>11</v>
      </c>
    </row>
    <row r="128" spans="1:8" x14ac:dyDescent="0.2">
      <c r="A128" t="s">
        <v>666</v>
      </c>
      <c r="B128" s="3">
        <v>43044</v>
      </c>
      <c r="C128" t="s">
        <v>36</v>
      </c>
      <c r="D128" s="8">
        <v>83.65</v>
      </c>
      <c r="E128" s="8">
        <v>4.5150000000000015</v>
      </c>
      <c r="F128" s="8">
        <v>10.5</v>
      </c>
      <c r="G128" s="10">
        <v>55.666666666666664</v>
      </c>
      <c r="H128" s="8" t="s">
        <v>11</v>
      </c>
    </row>
    <row r="129" spans="1:8" x14ac:dyDescent="0.2">
      <c r="A129" t="s">
        <v>665</v>
      </c>
      <c r="B129" s="1">
        <v>43043</v>
      </c>
      <c r="C129" t="s">
        <v>37</v>
      </c>
      <c r="D129" s="8">
        <v>73.2</v>
      </c>
      <c r="E129" s="8">
        <v>3.7299999999999995</v>
      </c>
      <c r="F129" s="8">
        <v>10.4</v>
      </c>
      <c r="G129" s="10">
        <v>95.333333333333329</v>
      </c>
      <c r="H129" s="8" t="s">
        <v>11</v>
      </c>
    </row>
    <row r="130" spans="1:8" x14ac:dyDescent="0.2">
      <c r="A130" t="s">
        <v>664</v>
      </c>
      <c r="B130" s="1">
        <v>43043</v>
      </c>
      <c r="C130" t="s">
        <v>10</v>
      </c>
      <c r="D130" s="8">
        <v>60.85</v>
      </c>
      <c r="E130" s="8">
        <v>3.7099999999999995</v>
      </c>
      <c r="F130" s="8">
        <v>11.45</v>
      </c>
      <c r="G130" s="10">
        <v>68.333333333333329</v>
      </c>
      <c r="H130" s="8" t="s">
        <v>11</v>
      </c>
    </row>
    <row r="131" spans="1:8" x14ac:dyDescent="0.2">
      <c r="A131" t="s">
        <v>663</v>
      </c>
      <c r="B131" s="3">
        <v>43043</v>
      </c>
      <c r="C131" t="s">
        <v>36</v>
      </c>
      <c r="D131" s="8">
        <v>88.35</v>
      </c>
      <c r="E131" s="8">
        <v>4.1300000000000008</v>
      </c>
      <c r="F131" s="8">
        <v>11.8</v>
      </c>
      <c r="G131" s="10">
        <v>87</v>
      </c>
      <c r="H131" s="8" t="s">
        <v>11</v>
      </c>
    </row>
    <row r="132" spans="1:8" x14ac:dyDescent="0.2">
      <c r="A132" t="s">
        <v>657</v>
      </c>
      <c r="B132" s="3">
        <v>43043</v>
      </c>
      <c r="C132" t="s">
        <v>36</v>
      </c>
      <c r="D132" s="8">
        <v>89.25</v>
      </c>
      <c r="E132" s="8">
        <v>6.1</v>
      </c>
      <c r="F132" s="8">
        <v>14.1</v>
      </c>
      <c r="G132" s="10">
        <v>71.333333333333329</v>
      </c>
      <c r="H132" s="8" t="s">
        <v>11</v>
      </c>
    </row>
    <row r="133" spans="1:8" x14ac:dyDescent="0.2">
      <c r="A133" t="s">
        <v>656</v>
      </c>
      <c r="B133" s="3">
        <v>43044</v>
      </c>
      <c r="C133" t="s">
        <v>36</v>
      </c>
      <c r="D133" s="8">
        <v>112.9</v>
      </c>
      <c r="E133" s="8">
        <v>5.2949999999999999</v>
      </c>
      <c r="F133" s="8">
        <v>12.95</v>
      </c>
      <c r="G133" s="10">
        <v>64.333333333333329</v>
      </c>
      <c r="H133" s="8" t="s">
        <v>11</v>
      </c>
    </row>
    <row r="134" spans="1:8" x14ac:dyDescent="0.2">
      <c r="A134" t="s">
        <v>655</v>
      </c>
      <c r="B134" s="1">
        <v>43043</v>
      </c>
      <c r="C134" t="s">
        <v>10</v>
      </c>
      <c r="D134" s="8">
        <v>84.6</v>
      </c>
      <c r="E134" s="8">
        <v>4.5949999999999998</v>
      </c>
      <c r="F134" s="8">
        <v>13.25</v>
      </c>
      <c r="G134" s="10">
        <v>65</v>
      </c>
      <c r="H134" s="8" t="s">
        <v>11</v>
      </c>
    </row>
    <row r="135" spans="1:8" x14ac:dyDescent="0.2">
      <c r="A135" t="s">
        <v>654</v>
      </c>
      <c r="B135" s="1">
        <v>43044</v>
      </c>
      <c r="C135" t="s">
        <v>10</v>
      </c>
      <c r="D135" s="8">
        <v>79.75</v>
      </c>
      <c r="E135" s="8">
        <v>3.7299999999999995</v>
      </c>
      <c r="F135" s="8">
        <v>11.85</v>
      </c>
      <c r="G135" s="10">
        <v>74.666666666666671</v>
      </c>
      <c r="H135" s="8" t="s">
        <v>11</v>
      </c>
    </row>
    <row r="136" spans="1:8" x14ac:dyDescent="0.2">
      <c r="A136" t="s">
        <v>653</v>
      </c>
      <c r="B136" s="3">
        <v>43044</v>
      </c>
      <c r="C136" t="s">
        <v>10</v>
      </c>
      <c r="D136" s="8">
        <v>81.099999999999994</v>
      </c>
      <c r="E136" s="8">
        <v>4.0049999999999999</v>
      </c>
      <c r="F136" s="8">
        <v>13.8</v>
      </c>
      <c r="G136" s="10">
        <v>73.333333333333329</v>
      </c>
      <c r="H136" s="8" t="s">
        <v>11</v>
      </c>
    </row>
    <row r="137" spans="1:8" x14ac:dyDescent="0.2">
      <c r="A137" t="s">
        <v>647</v>
      </c>
      <c r="B137" s="4">
        <v>43041</v>
      </c>
      <c r="C137" s="5" t="s">
        <v>36</v>
      </c>
      <c r="D137" s="8">
        <v>67.094999999999985</v>
      </c>
      <c r="E137" s="8">
        <v>4.92</v>
      </c>
      <c r="F137" s="8">
        <v>9.4</v>
      </c>
      <c r="G137" s="10">
        <v>48.666666666666664</v>
      </c>
      <c r="H137" s="8" t="s">
        <v>11</v>
      </c>
    </row>
    <row r="138" spans="1:8" x14ac:dyDescent="0.2">
      <c r="A138" t="s">
        <v>646</v>
      </c>
      <c r="B138" s="6">
        <v>43043</v>
      </c>
      <c r="C138" s="5" t="s">
        <v>10</v>
      </c>
      <c r="D138" s="8">
        <v>75.3</v>
      </c>
      <c r="E138" s="8">
        <v>3.9</v>
      </c>
      <c r="F138" s="8">
        <v>10.25</v>
      </c>
      <c r="G138" s="10">
        <v>113</v>
      </c>
      <c r="H138" s="8" t="s">
        <v>11</v>
      </c>
    </row>
    <row r="139" spans="1:8" x14ac:dyDescent="0.2">
      <c r="A139" t="s">
        <v>645</v>
      </c>
      <c r="B139" s="1">
        <v>43043</v>
      </c>
      <c r="C139" s="5" t="s">
        <v>36</v>
      </c>
      <c r="D139" s="8">
        <v>74.099999999999994</v>
      </c>
      <c r="E139" s="8">
        <v>4.41</v>
      </c>
      <c r="F139" s="8">
        <v>13.8</v>
      </c>
      <c r="G139" s="10">
        <v>49</v>
      </c>
      <c r="H139" s="8" t="s">
        <v>11</v>
      </c>
    </row>
    <row r="140" spans="1:8" x14ac:dyDescent="0.2">
      <c r="A140" t="s">
        <v>644</v>
      </c>
      <c r="B140" s="1">
        <v>43044</v>
      </c>
      <c r="C140" s="5" t="s">
        <v>10</v>
      </c>
      <c r="D140" s="8">
        <v>90.3</v>
      </c>
      <c r="E140" s="8">
        <v>4.1900000000000004</v>
      </c>
      <c r="F140" s="8">
        <v>11.35</v>
      </c>
      <c r="G140" s="10">
        <v>27</v>
      </c>
      <c r="H140" s="8" t="s">
        <v>11</v>
      </c>
    </row>
    <row r="141" spans="1:8" x14ac:dyDescent="0.2">
      <c r="A141" t="s">
        <v>643</v>
      </c>
      <c r="B141" s="1">
        <v>43044</v>
      </c>
      <c r="C141" s="5" t="s">
        <v>36</v>
      </c>
      <c r="D141" s="8">
        <v>94.6</v>
      </c>
      <c r="E141" s="8">
        <v>4.42</v>
      </c>
      <c r="F141" s="8">
        <v>12.45</v>
      </c>
      <c r="G141" s="10">
        <v>52.333333333333336</v>
      </c>
      <c r="H141" s="8" t="s">
        <v>11</v>
      </c>
    </row>
    <row r="142" spans="1:8" x14ac:dyDescent="0.2">
      <c r="A142" t="s">
        <v>637</v>
      </c>
      <c r="B142" s="1">
        <v>43044</v>
      </c>
      <c r="C142" s="5" t="s">
        <v>33</v>
      </c>
      <c r="D142" s="8">
        <v>77.8</v>
      </c>
      <c r="E142" s="8">
        <v>3.5799999999999996</v>
      </c>
      <c r="F142" s="8">
        <v>10.15</v>
      </c>
      <c r="G142" s="10">
        <v>67.333333333333329</v>
      </c>
      <c r="H142" s="8" t="s">
        <v>11</v>
      </c>
    </row>
    <row r="143" spans="1:8" x14ac:dyDescent="0.2">
      <c r="A143" t="s">
        <v>636</v>
      </c>
      <c r="B143" s="1">
        <v>43043</v>
      </c>
      <c r="C143" s="5" t="s">
        <v>32</v>
      </c>
      <c r="D143" s="8">
        <v>70.45</v>
      </c>
      <c r="E143" s="8">
        <v>4.6800000000000006</v>
      </c>
      <c r="F143" s="8">
        <v>11.5</v>
      </c>
      <c r="G143" s="10">
        <v>84</v>
      </c>
      <c r="H143" s="8" t="s">
        <v>11</v>
      </c>
    </row>
    <row r="144" spans="1:8" x14ac:dyDescent="0.2">
      <c r="A144" t="s">
        <v>635</v>
      </c>
      <c r="B144" s="1">
        <v>43044</v>
      </c>
      <c r="C144" s="5" t="s">
        <v>522</v>
      </c>
      <c r="D144" s="8">
        <v>71.7</v>
      </c>
      <c r="E144" s="8">
        <v>4.0149999999999997</v>
      </c>
      <c r="F144" s="8">
        <v>9.9</v>
      </c>
      <c r="G144" s="10">
        <v>72.333333333333329</v>
      </c>
      <c r="H144" s="8" t="s">
        <v>11</v>
      </c>
    </row>
    <row r="145" spans="1:8" x14ac:dyDescent="0.2">
      <c r="A145" t="s">
        <v>634</v>
      </c>
      <c r="B145" s="1">
        <v>43042</v>
      </c>
      <c r="C145" s="5" t="s">
        <v>36</v>
      </c>
      <c r="D145" s="8">
        <v>84.225000000000009</v>
      </c>
      <c r="E145" s="8">
        <v>3.7049999999999996</v>
      </c>
      <c r="F145" s="8">
        <v>11.3</v>
      </c>
      <c r="G145" s="10">
        <v>73</v>
      </c>
      <c r="H145" s="8" t="s">
        <v>11</v>
      </c>
    </row>
    <row r="146" spans="1:8" x14ac:dyDescent="0.2">
      <c r="A146" t="s">
        <v>633</v>
      </c>
      <c r="B146" s="1">
        <v>43043</v>
      </c>
      <c r="C146" s="5" t="s">
        <v>29</v>
      </c>
      <c r="D146" s="8">
        <v>72.349999999999994</v>
      </c>
      <c r="E146" s="8">
        <v>4.0600000000000005</v>
      </c>
      <c r="F146" s="8">
        <v>9.25</v>
      </c>
      <c r="G146" s="10">
        <v>73.333333333333329</v>
      </c>
      <c r="H146" s="8" t="s">
        <v>11</v>
      </c>
    </row>
    <row r="147" spans="1:8" x14ac:dyDescent="0.2">
      <c r="A147" t="s">
        <v>627</v>
      </c>
      <c r="B147" s="1">
        <v>43044</v>
      </c>
      <c r="C147" s="5" t="s">
        <v>36</v>
      </c>
      <c r="D147" s="8">
        <v>84.95</v>
      </c>
      <c r="E147" s="8">
        <v>4.5349999999999993</v>
      </c>
      <c r="F147" s="8">
        <v>11.8</v>
      </c>
      <c r="G147" s="10">
        <v>81.666666666666671</v>
      </c>
      <c r="H147" s="8" t="s">
        <v>11</v>
      </c>
    </row>
    <row r="148" spans="1:8" x14ac:dyDescent="0.2">
      <c r="A148" t="s">
        <v>626</v>
      </c>
      <c r="B148" s="1">
        <v>43043</v>
      </c>
      <c r="C148" s="5" t="s">
        <v>38</v>
      </c>
      <c r="D148" s="8">
        <v>77.025000000000006</v>
      </c>
      <c r="E148" s="8">
        <v>3.9700000000000011</v>
      </c>
      <c r="F148" s="8">
        <v>11.2</v>
      </c>
      <c r="G148" s="10">
        <v>96.333333333333329</v>
      </c>
      <c r="H148" s="8" t="s">
        <v>11</v>
      </c>
    </row>
    <row r="149" spans="1:8" x14ac:dyDescent="0.2">
      <c r="A149" t="s">
        <v>625</v>
      </c>
      <c r="B149" s="1">
        <v>43044</v>
      </c>
      <c r="C149" s="5" t="s">
        <v>10</v>
      </c>
      <c r="D149" s="8">
        <v>79.349999999999994</v>
      </c>
      <c r="E149" s="8">
        <v>3.5599999999999996</v>
      </c>
      <c r="F149" s="8">
        <v>12.55</v>
      </c>
      <c r="G149" s="10">
        <v>75.333333333333329</v>
      </c>
      <c r="H149" s="8" t="s">
        <v>11</v>
      </c>
    </row>
    <row r="150" spans="1:8" x14ac:dyDescent="0.2">
      <c r="A150" t="s">
        <v>624</v>
      </c>
      <c r="B150" s="1">
        <v>43044</v>
      </c>
      <c r="C150" s="5" t="s">
        <v>34</v>
      </c>
      <c r="D150" s="8">
        <v>75.164999999999992</v>
      </c>
      <c r="E150" s="8">
        <v>4.1100000000000003</v>
      </c>
      <c r="F150" s="8">
        <v>12.35</v>
      </c>
      <c r="G150" s="10">
        <v>39.333333333333336</v>
      </c>
      <c r="H150" s="8" t="s">
        <v>11</v>
      </c>
    </row>
    <row r="151" spans="1:8" x14ac:dyDescent="0.2">
      <c r="A151" t="s">
        <v>623</v>
      </c>
      <c r="B151" s="1">
        <v>43044</v>
      </c>
      <c r="C151" s="5" t="s">
        <v>30</v>
      </c>
      <c r="D151" s="8">
        <v>78.05</v>
      </c>
      <c r="E151" s="8">
        <v>5.5050000000000008</v>
      </c>
      <c r="F151" s="8">
        <v>9.25</v>
      </c>
      <c r="G151" s="10">
        <v>71</v>
      </c>
      <c r="H151" s="8" t="s">
        <v>11</v>
      </c>
    </row>
    <row r="152" spans="1:8" x14ac:dyDescent="0.2">
      <c r="A152" t="s">
        <v>617</v>
      </c>
      <c r="B152" s="1">
        <v>43043</v>
      </c>
      <c r="C152" s="5" t="s">
        <v>31</v>
      </c>
      <c r="D152" s="8">
        <v>74.8</v>
      </c>
      <c r="E152" s="8">
        <v>4.6700000000000017</v>
      </c>
      <c r="F152" s="8">
        <v>11.45</v>
      </c>
      <c r="G152" s="10">
        <v>66.666666666666671</v>
      </c>
      <c r="H152" s="8" t="s">
        <v>11</v>
      </c>
    </row>
    <row r="153" spans="1:8" x14ac:dyDescent="0.2">
      <c r="A153" t="s">
        <v>616</v>
      </c>
      <c r="B153" s="1">
        <v>43043</v>
      </c>
      <c r="C153" s="5" t="s">
        <v>31</v>
      </c>
      <c r="D153" s="8">
        <v>60.9</v>
      </c>
      <c r="E153" s="8">
        <v>4.28</v>
      </c>
      <c r="F153" s="8">
        <v>12.4</v>
      </c>
      <c r="G153" s="10">
        <v>61.333333333333336</v>
      </c>
      <c r="H153" s="8" t="s">
        <v>11</v>
      </c>
    </row>
    <row r="154" spans="1:8" x14ac:dyDescent="0.2">
      <c r="A154" t="s">
        <v>615</v>
      </c>
      <c r="B154" s="1">
        <v>43043</v>
      </c>
      <c r="C154" s="5" t="s">
        <v>29</v>
      </c>
      <c r="D154" s="8">
        <v>55.75</v>
      </c>
      <c r="E154" s="8">
        <v>3.9599999999999995</v>
      </c>
      <c r="F154" s="8">
        <v>8.75</v>
      </c>
      <c r="G154" s="10">
        <v>72</v>
      </c>
      <c r="H154" s="8" t="s">
        <v>11</v>
      </c>
    </row>
    <row r="155" spans="1:8" x14ac:dyDescent="0.2">
      <c r="A155" t="s">
        <v>614</v>
      </c>
      <c r="B155" s="3">
        <v>43043</v>
      </c>
      <c r="C155" s="5" t="s">
        <v>32</v>
      </c>
      <c r="D155" s="8">
        <v>96</v>
      </c>
      <c r="E155" s="8">
        <v>4.7300000000000004</v>
      </c>
      <c r="F155" s="8">
        <v>14.1</v>
      </c>
      <c r="G155" s="10">
        <v>37.666666666666664</v>
      </c>
      <c r="H155" s="8" t="s">
        <v>11</v>
      </c>
    </row>
    <row r="156" spans="1:8" x14ac:dyDescent="0.2">
      <c r="A156" t="s">
        <v>613</v>
      </c>
      <c r="B156" s="1">
        <v>43044</v>
      </c>
      <c r="C156" s="5" t="s">
        <v>30</v>
      </c>
      <c r="D156" s="8">
        <v>72.484999999999999</v>
      </c>
      <c r="E156" s="8">
        <v>3.8950000000000005</v>
      </c>
      <c r="F156" s="8">
        <v>12.25</v>
      </c>
      <c r="G156" s="10">
        <v>93.666666666666671</v>
      </c>
      <c r="H156" s="8" t="s">
        <v>11</v>
      </c>
    </row>
    <row r="157" spans="1:8" x14ac:dyDescent="0.2">
      <c r="A157" t="s">
        <v>607</v>
      </c>
      <c r="B157" s="1">
        <v>43041</v>
      </c>
      <c r="C157" s="5" t="s">
        <v>10</v>
      </c>
      <c r="D157" s="8">
        <v>87.2</v>
      </c>
      <c r="E157" s="8">
        <v>5.5499999999999989</v>
      </c>
      <c r="F157" s="8">
        <v>11.3</v>
      </c>
      <c r="G157" s="10">
        <v>37.666666666666664</v>
      </c>
      <c r="H157" s="8" t="s">
        <v>11</v>
      </c>
    </row>
    <row r="158" spans="1:8" x14ac:dyDescent="0.2">
      <c r="A158" t="s">
        <v>606</v>
      </c>
      <c r="B158" s="1">
        <v>43043</v>
      </c>
      <c r="C158" s="5" t="s">
        <v>10</v>
      </c>
      <c r="D158" s="8">
        <v>98.85</v>
      </c>
      <c r="E158" s="8">
        <v>4.835</v>
      </c>
      <c r="F158" s="8">
        <v>12.85</v>
      </c>
      <c r="G158" s="10">
        <v>45.333333333333336</v>
      </c>
      <c r="H158" s="8" t="s">
        <v>11</v>
      </c>
    </row>
    <row r="159" spans="1:8" x14ac:dyDescent="0.2">
      <c r="A159" t="s">
        <v>605</v>
      </c>
      <c r="B159" s="1">
        <v>43043</v>
      </c>
      <c r="C159" s="5" t="s">
        <v>32</v>
      </c>
      <c r="D159" s="8">
        <v>85.4</v>
      </c>
      <c r="E159" s="8">
        <v>3.9200000000000008</v>
      </c>
      <c r="F159" s="8">
        <v>12.85</v>
      </c>
      <c r="G159" s="10">
        <v>69</v>
      </c>
      <c r="H159" s="8" t="s">
        <v>11</v>
      </c>
    </row>
    <row r="160" spans="1:8" x14ac:dyDescent="0.2">
      <c r="A160" t="s">
        <v>604</v>
      </c>
      <c r="B160" s="3">
        <v>43043</v>
      </c>
      <c r="C160" s="5" t="s">
        <v>29</v>
      </c>
      <c r="D160" s="8">
        <v>70.3</v>
      </c>
      <c r="E160" s="8">
        <v>3.6300000000000003</v>
      </c>
      <c r="F160" s="8">
        <v>13.45</v>
      </c>
      <c r="G160" s="10">
        <v>65</v>
      </c>
      <c r="H160" s="8" t="s">
        <v>11</v>
      </c>
    </row>
    <row r="161" spans="1:8" x14ac:dyDescent="0.2">
      <c r="A161" t="s">
        <v>603</v>
      </c>
      <c r="B161" s="3">
        <v>43043</v>
      </c>
      <c r="C161" s="5" t="s">
        <v>36</v>
      </c>
      <c r="D161" s="8">
        <v>89.55</v>
      </c>
      <c r="E161" s="8">
        <v>5.33</v>
      </c>
      <c r="F161" s="8">
        <v>15.35</v>
      </c>
      <c r="G161" s="10">
        <v>77.666666666666671</v>
      </c>
      <c r="H161" s="8" t="s">
        <v>11</v>
      </c>
    </row>
    <row r="162" spans="1:8" x14ac:dyDescent="0.2">
      <c r="A162" t="s">
        <v>597</v>
      </c>
      <c r="B162" s="1">
        <v>43250</v>
      </c>
      <c r="C162" t="s">
        <v>40</v>
      </c>
      <c r="D162" s="8">
        <v>56.294999999999995</v>
      </c>
      <c r="E162" s="7">
        <v>3.8800000000000003</v>
      </c>
      <c r="F162" s="8">
        <v>4.95</v>
      </c>
      <c r="G162" s="10">
        <v>111</v>
      </c>
      <c r="H162" s="10">
        <v>13</v>
      </c>
    </row>
    <row r="163" spans="1:8" x14ac:dyDescent="0.2">
      <c r="A163" t="s">
        <v>596</v>
      </c>
      <c r="B163" s="1">
        <v>43250</v>
      </c>
      <c r="C163" t="s">
        <v>10</v>
      </c>
      <c r="D163" s="8">
        <v>64.875</v>
      </c>
      <c r="E163" s="7">
        <v>5.3699999999999992</v>
      </c>
      <c r="F163" s="8">
        <v>5.65</v>
      </c>
      <c r="G163" s="10">
        <v>67</v>
      </c>
      <c r="H163" s="10">
        <v>36</v>
      </c>
    </row>
    <row r="164" spans="1:8" x14ac:dyDescent="0.2">
      <c r="A164" t="s">
        <v>595</v>
      </c>
      <c r="B164" s="1">
        <v>43251</v>
      </c>
      <c r="C164" t="s">
        <v>10</v>
      </c>
      <c r="D164" s="8">
        <v>67.424999999999997</v>
      </c>
      <c r="E164" s="7">
        <v>4.8150000000000004</v>
      </c>
      <c r="F164" s="8">
        <v>5</v>
      </c>
      <c r="G164" s="10">
        <v>93.333333333333329</v>
      </c>
      <c r="H164" s="10">
        <v>7</v>
      </c>
    </row>
    <row r="165" spans="1:8" x14ac:dyDescent="0.2">
      <c r="A165" t="s">
        <v>594</v>
      </c>
      <c r="B165" s="1">
        <v>43249</v>
      </c>
      <c r="C165" t="s">
        <v>41</v>
      </c>
      <c r="D165" s="8">
        <v>43.85</v>
      </c>
      <c r="E165" s="7">
        <v>3.5100000000000002</v>
      </c>
      <c r="F165" s="8">
        <v>4.5</v>
      </c>
      <c r="G165" s="10">
        <v>74</v>
      </c>
      <c r="H165" s="10">
        <v>30</v>
      </c>
    </row>
    <row r="166" spans="1:8" x14ac:dyDescent="0.2">
      <c r="A166" t="s">
        <v>593</v>
      </c>
      <c r="B166" s="1">
        <v>43252</v>
      </c>
      <c r="C166" t="s">
        <v>40</v>
      </c>
      <c r="D166" s="8">
        <v>37.21</v>
      </c>
      <c r="E166" s="7">
        <v>3.3599999999999994</v>
      </c>
      <c r="F166" s="8">
        <v>4.05</v>
      </c>
      <c r="G166" s="10">
        <v>141.66666666666666</v>
      </c>
      <c r="H166" s="10">
        <v>23</v>
      </c>
    </row>
    <row r="167" spans="1:8" x14ac:dyDescent="0.2">
      <c r="A167" t="s">
        <v>587</v>
      </c>
      <c r="B167" s="3">
        <v>43249</v>
      </c>
      <c r="C167" t="s">
        <v>42</v>
      </c>
      <c r="D167" s="8">
        <v>50.75</v>
      </c>
      <c r="E167" s="7">
        <v>3.5800000000000005</v>
      </c>
      <c r="F167" s="8">
        <v>3.95</v>
      </c>
      <c r="G167" s="10">
        <v>91.333333333333329</v>
      </c>
      <c r="H167" s="10">
        <v>26</v>
      </c>
    </row>
    <row r="168" spans="1:8" x14ac:dyDescent="0.2">
      <c r="A168" t="s">
        <v>586</v>
      </c>
      <c r="B168" s="3">
        <v>43251</v>
      </c>
      <c r="C168" t="s">
        <v>42</v>
      </c>
      <c r="D168" s="8">
        <v>54.624999999999986</v>
      </c>
      <c r="E168" s="7">
        <v>5.2499999999999991</v>
      </c>
      <c r="F168" s="8">
        <v>5.0999999999999996</v>
      </c>
      <c r="G168" s="10">
        <v>43</v>
      </c>
      <c r="H168" s="10">
        <v>48</v>
      </c>
    </row>
    <row r="169" spans="1:8" x14ac:dyDescent="0.2">
      <c r="A169" t="s">
        <v>585</v>
      </c>
      <c r="B169" s="1">
        <v>43250</v>
      </c>
      <c r="C169" t="s">
        <v>42</v>
      </c>
      <c r="D169" s="8">
        <v>49.08</v>
      </c>
      <c r="E169" s="7">
        <v>3.2</v>
      </c>
      <c r="F169" s="8">
        <v>3.4</v>
      </c>
      <c r="G169" s="10">
        <v>114.33333333333333</v>
      </c>
      <c r="H169" s="10">
        <v>89</v>
      </c>
    </row>
    <row r="170" spans="1:8" x14ac:dyDescent="0.2">
      <c r="A170" t="s">
        <v>584</v>
      </c>
      <c r="B170" s="1">
        <v>43250</v>
      </c>
      <c r="C170" t="s">
        <v>42</v>
      </c>
      <c r="D170" s="8">
        <v>41.059999999999995</v>
      </c>
      <c r="E170" s="7">
        <v>3.5924999999999989</v>
      </c>
      <c r="F170" s="8">
        <v>3.25</v>
      </c>
      <c r="G170" s="10">
        <v>121.33333333333333</v>
      </c>
      <c r="H170" s="10">
        <v>18</v>
      </c>
    </row>
    <row r="171" spans="1:8" x14ac:dyDescent="0.2">
      <c r="A171" t="s">
        <v>583</v>
      </c>
      <c r="B171" s="1">
        <v>43250</v>
      </c>
      <c r="C171" t="s">
        <v>10</v>
      </c>
      <c r="D171" s="8">
        <v>45.3</v>
      </c>
      <c r="E171" s="7">
        <v>3.38</v>
      </c>
      <c r="F171" s="8">
        <v>4.0999999999999996</v>
      </c>
      <c r="G171" s="10">
        <v>129.66666666666666</v>
      </c>
      <c r="H171" s="10">
        <v>22</v>
      </c>
    </row>
    <row r="172" spans="1:8" x14ac:dyDescent="0.2">
      <c r="A172" t="s">
        <v>577</v>
      </c>
      <c r="B172" s="3">
        <v>43249</v>
      </c>
      <c r="C172" t="s">
        <v>42</v>
      </c>
      <c r="D172" s="8">
        <v>54.990000000000009</v>
      </c>
      <c r="E172" s="7">
        <v>4.1100000000000012</v>
      </c>
      <c r="F172" s="8">
        <v>4</v>
      </c>
      <c r="G172" s="10">
        <v>100.33333333333333</v>
      </c>
      <c r="H172" s="10">
        <v>70</v>
      </c>
    </row>
    <row r="173" spans="1:8" x14ac:dyDescent="0.2">
      <c r="A173" t="s">
        <v>576</v>
      </c>
      <c r="B173" s="3">
        <v>43251</v>
      </c>
      <c r="C173" t="s">
        <v>10</v>
      </c>
      <c r="D173" s="8">
        <v>60.25</v>
      </c>
      <c r="E173" s="7">
        <v>4.5750000000000011</v>
      </c>
      <c r="F173" s="8">
        <v>5.25</v>
      </c>
      <c r="G173" s="10">
        <v>82.333333333333329</v>
      </c>
      <c r="H173" s="10">
        <v>37</v>
      </c>
    </row>
    <row r="174" spans="1:8" x14ac:dyDescent="0.2">
      <c r="A174" t="s">
        <v>575</v>
      </c>
      <c r="B174" s="1">
        <v>43249</v>
      </c>
      <c r="C174" t="s">
        <v>42</v>
      </c>
      <c r="D174" s="8">
        <v>50.685000000000002</v>
      </c>
      <c r="E174" s="7">
        <v>3.8949999999999996</v>
      </c>
      <c r="F174" s="8">
        <v>5.35</v>
      </c>
      <c r="G174" s="10">
        <v>81.333333333333329</v>
      </c>
      <c r="H174" s="10">
        <v>7</v>
      </c>
    </row>
    <row r="175" spans="1:8" x14ac:dyDescent="0.2">
      <c r="A175" t="s">
        <v>574</v>
      </c>
      <c r="B175" s="1">
        <v>43250</v>
      </c>
      <c r="C175" t="s">
        <v>40</v>
      </c>
      <c r="D175" s="8">
        <v>45.814999999999998</v>
      </c>
      <c r="E175" s="7">
        <v>3.3450000000000002</v>
      </c>
      <c r="F175" s="8">
        <v>3.95</v>
      </c>
      <c r="G175" s="10">
        <v>98.666666666666671</v>
      </c>
      <c r="H175" s="10">
        <v>24</v>
      </c>
    </row>
    <row r="176" spans="1:8" x14ac:dyDescent="0.2">
      <c r="A176" t="s">
        <v>573</v>
      </c>
      <c r="B176" s="3">
        <v>43250</v>
      </c>
      <c r="C176" t="s">
        <v>42</v>
      </c>
      <c r="D176" s="8">
        <v>47.810000000000009</v>
      </c>
      <c r="E176" s="7">
        <v>4.4650000000000007</v>
      </c>
      <c r="F176" s="8">
        <v>3.6</v>
      </c>
      <c r="G176" s="10">
        <v>92.333333333333329</v>
      </c>
      <c r="H176" s="10">
        <v>7</v>
      </c>
    </row>
    <row r="177" spans="1:8" x14ac:dyDescent="0.2">
      <c r="A177" t="s">
        <v>567</v>
      </c>
      <c r="B177" s="4">
        <v>43251</v>
      </c>
      <c r="C177" t="s">
        <v>42</v>
      </c>
      <c r="D177" s="8">
        <v>51.575000000000003</v>
      </c>
      <c r="E177" s="7">
        <v>4.0650000000000004</v>
      </c>
      <c r="F177" s="8">
        <v>3.3</v>
      </c>
      <c r="G177" s="10">
        <v>64.333333333333329</v>
      </c>
      <c r="H177" s="10">
        <v>9</v>
      </c>
    </row>
    <row r="178" spans="1:8" x14ac:dyDescent="0.2">
      <c r="A178" t="s">
        <v>566</v>
      </c>
      <c r="B178" s="6">
        <v>43249</v>
      </c>
      <c r="C178" t="s">
        <v>42</v>
      </c>
      <c r="D178" s="8">
        <v>51.609999999999992</v>
      </c>
      <c r="E178" s="7">
        <v>3.9450000000000003</v>
      </c>
      <c r="F178" s="8">
        <v>3.6</v>
      </c>
      <c r="G178" s="10">
        <v>133.33333333333334</v>
      </c>
      <c r="H178" s="10">
        <v>64</v>
      </c>
    </row>
    <row r="179" spans="1:8" x14ac:dyDescent="0.2">
      <c r="A179" t="s">
        <v>565</v>
      </c>
      <c r="B179" s="3">
        <v>43250</v>
      </c>
      <c r="C179" t="s">
        <v>42</v>
      </c>
      <c r="D179" s="8">
        <v>54.314999999999998</v>
      </c>
      <c r="E179" s="7">
        <v>4.035000000000001</v>
      </c>
      <c r="F179" s="8">
        <v>4.9000000000000004</v>
      </c>
      <c r="G179" s="10">
        <v>99.333333333333329</v>
      </c>
      <c r="H179" s="10">
        <v>8</v>
      </c>
    </row>
    <row r="180" spans="1:8" x14ac:dyDescent="0.2">
      <c r="A180" t="s">
        <v>564</v>
      </c>
      <c r="B180" s="3">
        <v>43250</v>
      </c>
      <c r="C180" t="s">
        <v>42</v>
      </c>
      <c r="D180" s="8">
        <v>53.185000000000016</v>
      </c>
      <c r="E180" s="7">
        <v>4.6900000000000004</v>
      </c>
      <c r="F180" s="8">
        <v>3.9</v>
      </c>
      <c r="G180" s="10">
        <v>44.666666666666664</v>
      </c>
      <c r="H180" s="10">
        <v>32</v>
      </c>
    </row>
    <row r="181" spans="1:8" x14ac:dyDescent="0.2">
      <c r="A181" t="s">
        <v>563</v>
      </c>
      <c r="B181" s="1">
        <v>43249</v>
      </c>
      <c r="C181" s="5" t="s">
        <v>41</v>
      </c>
      <c r="D181" s="8">
        <v>46.524999999999999</v>
      </c>
      <c r="E181" s="7">
        <v>3.4649999999999999</v>
      </c>
      <c r="F181" s="8">
        <v>6.35</v>
      </c>
      <c r="G181" s="10">
        <v>90.333333333333329</v>
      </c>
      <c r="H181" s="10">
        <v>16</v>
      </c>
    </row>
    <row r="182" spans="1:8" x14ac:dyDescent="0.2">
      <c r="A182" t="s">
        <v>557</v>
      </c>
      <c r="B182" s="1">
        <v>43252</v>
      </c>
      <c r="C182" s="5" t="s">
        <v>40</v>
      </c>
      <c r="D182" s="8">
        <v>47.484999999999999</v>
      </c>
      <c r="E182" s="7">
        <v>3.62</v>
      </c>
      <c r="F182" s="8">
        <v>4.1500000000000004</v>
      </c>
      <c r="G182" s="10">
        <v>107.33333333333333</v>
      </c>
      <c r="H182" s="10">
        <v>30</v>
      </c>
    </row>
    <row r="183" spans="1:8" x14ac:dyDescent="0.2">
      <c r="A183" t="s">
        <v>556</v>
      </c>
      <c r="B183" s="1">
        <v>43249</v>
      </c>
      <c r="C183" s="5" t="s">
        <v>41</v>
      </c>
      <c r="D183" s="8">
        <v>50.935000000000002</v>
      </c>
      <c r="E183" s="7">
        <v>3.6</v>
      </c>
      <c r="F183" s="8">
        <v>4.55</v>
      </c>
      <c r="G183" s="10">
        <v>93</v>
      </c>
      <c r="H183" s="10">
        <v>68</v>
      </c>
    </row>
    <row r="184" spans="1:8" x14ac:dyDescent="0.2">
      <c r="A184" t="s">
        <v>555</v>
      </c>
      <c r="B184" s="1">
        <v>43252</v>
      </c>
      <c r="C184" s="5" t="s">
        <v>40</v>
      </c>
      <c r="D184" s="8">
        <v>55.945000000000007</v>
      </c>
      <c r="E184" s="7">
        <v>4.8949999999999996</v>
      </c>
      <c r="F184" s="8">
        <v>4.5999999999999996</v>
      </c>
      <c r="G184" s="10">
        <v>99.666666666666671</v>
      </c>
      <c r="H184" s="10">
        <v>6</v>
      </c>
    </row>
    <row r="185" spans="1:8" x14ac:dyDescent="0.2">
      <c r="A185" t="s">
        <v>554</v>
      </c>
      <c r="B185" s="1">
        <v>43249</v>
      </c>
      <c r="C185" s="5" t="s">
        <v>41</v>
      </c>
      <c r="D185" s="8">
        <v>52.274999999999999</v>
      </c>
      <c r="E185" s="7">
        <v>3.1850000000000005</v>
      </c>
      <c r="F185" s="8">
        <v>5.8</v>
      </c>
      <c r="G185" s="10">
        <v>102.66666666666667</v>
      </c>
      <c r="H185" s="10">
        <v>11</v>
      </c>
    </row>
    <row r="186" spans="1:8" x14ac:dyDescent="0.2">
      <c r="A186" t="s">
        <v>553</v>
      </c>
      <c r="B186" s="1">
        <v>43250</v>
      </c>
      <c r="C186" s="5" t="s">
        <v>10</v>
      </c>
      <c r="D186" s="8">
        <v>63.05</v>
      </c>
      <c r="E186" s="7">
        <v>4.5649999999999995</v>
      </c>
      <c r="F186" s="8">
        <v>4.7</v>
      </c>
      <c r="G186" s="10">
        <v>105</v>
      </c>
      <c r="H186" s="10">
        <v>10</v>
      </c>
    </row>
    <row r="187" spans="1:8" x14ac:dyDescent="0.2">
      <c r="A187" t="s">
        <v>547</v>
      </c>
      <c r="B187" s="1">
        <v>43250</v>
      </c>
      <c r="C187" s="5" t="s">
        <v>10</v>
      </c>
      <c r="D187" s="8">
        <v>66.53</v>
      </c>
      <c r="E187" s="7">
        <v>4.6449999999999987</v>
      </c>
      <c r="F187" s="8">
        <v>5.3</v>
      </c>
      <c r="G187" s="10">
        <v>87.666666666666671</v>
      </c>
      <c r="H187" s="10">
        <v>80</v>
      </c>
    </row>
    <row r="188" spans="1:8" x14ac:dyDescent="0.2">
      <c r="A188" t="s">
        <v>546</v>
      </c>
      <c r="B188" s="1">
        <v>43249</v>
      </c>
      <c r="C188" s="5" t="s">
        <v>42</v>
      </c>
      <c r="D188" s="8">
        <v>47.494999999999997</v>
      </c>
      <c r="E188" s="7">
        <v>3.3100000000000009</v>
      </c>
      <c r="F188" s="8">
        <v>4.7</v>
      </c>
      <c r="G188" s="10">
        <v>79</v>
      </c>
      <c r="H188" s="10">
        <v>41</v>
      </c>
    </row>
    <row r="189" spans="1:8" x14ac:dyDescent="0.2">
      <c r="A189" t="s">
        <v>545</v>
      </c>
      <c r="B189" s="1">
        <v>43250</v>
      </c>
      <c r="C189" s="5" t="s">
        <v>40</v>
      </c>
      <c r="D189" s="8">
        <v>55.429999999999993</v>
      </c>
      <c r="E189" s="7">
        <v>3.3000000000000007</v>
      </c>
      <c r="F189" s="8">
        <v>4.8499999999999996</v>
      </c>
      <c r="G189" s="10">
        <v>97</v>
      </c>
      <c r="H189" s="10">
        <v>62</v>
      </c>
    </row>
    <row r="190" spans="1:8" x14ac:dyDescent="0.2">
      <c r="A190" t="s">
        <v>544</v>
      </c>
      <c r="B190" s="1">
        <v>43251</v>
      </c>
      <c r="C190" s="5" t="s">
        <v>10</v>
      </c>
      <c r="D190" s="8">
        <v>61.9</v>
      </c>
      <c r="E190" s="7">
        <v>5.7350000000000003</v>
      </c>
      <c r="F190" s="8">
        <v>5.15</v>
      </c>
      <c r="G190" s="10">
        <v>39.333333333333336</v>
      </c>
      <c r="H190" s="10">
        <v>29</v>
      </c>
    </row>
    <row r="191" spans="1:8" x14ac:dyDescent="0.2">
      <c r="A191" t="s">
        <v>543</v>
      </c>
      <c r="B191" s="1">
        <v>43249</v>
      </c>
      <c r="C191" s="5" t="s">
        <v>42</v>
      </c>
      <c r="D191" s="8">
        <v>56.015000000000001</v>
      </c>
      <c r="E191" s="7">
        <v>4.1449999999999996</v>
      </c>
      <c r="F191" s="8">
        <v>3.05</v>
      </c>
      <c r="G191" s="10">
        <v>83</v>
      </c>
      <c r="H191" s="10">
        <v>62</v>
      </c>
    </row>
    <row r="192" spans="1:8" x14ac:dyDescent="0.2">
      <c r="A192" t="s">
        <v>537</v>
      </c>
      <c r="B192" s="1">
        <v>43250</v>
      </c>
      <c r="C192" s="5" t="s">
        <v>40</v>
      </c>
      <c r="D192" s="8">
        <v>42.785000000000011</v>
      </c>
      <c r="E192" s="7">
        <v>3.54</v>
      </c>
      <c r="F192" s="8">
        <v>3.7</v>
      </c>
      <c r="G192" s="10">
        <v>107.66666666666667</v>
      </c>
      <c r="H192" s="10">
        <v>23</v>
      </c>
    </row>
    <row r="193" spans="1:8" x14ac:dyDescent="0.2">
      <c r="A193" t="s">
        <v>536</v>
      </c>
      <c r="B193" s="1">
        <v>43251</v>
      </c>
      <c r="C193" s="5" t="s">
        <v>42</v>
      </c>
      <c r="D193" s="8">
        <v>47.1</v>
      </c>
      <c r="E193" s="7">
        <v>3.9950000000000001</v>
      </c>
      <c r="F193" s="8">
        <v>3.6</v>
      </c>
      <c r="G193" s="10">
        <v>110.33333333333333</v>
      </c>
      <c r="H193" s="10">
        <v>28</v>
      </c>
    </row>
    <row r="194" spans="1:8" x14ac:dyDescent="0.2">
      <c r="A194" t="s">
        <v>535</v>
      </c>
      <c r="B194" s="1">
        <v>43250</v>
      </c>
      <c r="C194" s="5" t="s">
        <v>42</v>
      </c>
      <c r="D194" s="8">
        <v>44.36</v>
      </c>
      <c r="E194" s="7">
        <v>4.2050000000000001</v>
      </c>
      <c r="F194" s="8">
        <v>4.4000000000000004</v>
      </c>
      <c r="G194" s="10">
        <v>109.66666666666667</v>
      </c>
      <c r="H194" s="10">
        <v>14</v>
      </c>
    </row>
    <row r="195" spans="1:8" x14ac:dyDescent="0.2">
      <c r="A195" t="s">
        <v>534</v>
      </c>
      <c r="B195" s="3">
        <v>43252</v>
      </c>
      <c r="C195" s="5" t="s">
        <v>40</v>
      </c>
      <c r="D195" s="8">
        <v>68.134999999999991</v>
      </c>
      <c r="E195" s="7">
        <v>4.8600000000000012</v>
      </c>
      <c r="F195" s="8">
        <v>5</v>
      </c>
      <c r="G195" s="10">
        <v>68.666666666666671</v>
      </c>
      <c r="H195" s="10">
        <v>28</v>
      </c>
    </row>
    <row r="196" spans="1:8" x14ac:dyDescent="0.2">
      <c r="A196" t="s">
        <v>533</v>
      </c>
      <c r="B196" s="1">
        <v>43250</v>
      </c>
      <c r="C196" s="5" t="s">
        <v>42</v>
      </c>
      <c r="D196" s="8">
        <v>46.060000000000009</v>
      </c>
      <c r="E196" s="7">
        <v>3.5049999999999999</v>
      </c>
      <c r="F196" s="8">
        <v>3.55</v>
      </c>
      <c r="G196" s="10">
        <v>130</v>
      </c>
      <c r="H196" s="10">
        <v>32</v>
      </c>
    </row>
    <row r="197" spans="1:8" x14ac:dyDescent="0.2">
      <c r="A197" t="s">
        <v>527</v>
      </c>
      <c r="B197" s="1">
        <v>43249</v>
      </c>
      <c r="C197" s="5" t="s">
        <v>41</v>
      </c>
      <c r="D197" s="8">
        <v>40.049999999999997</v>
      </c>
      <c r="E197" s="7">
        <v>4.0950000000000006</v>
      </c>
      <c r="F197" s="8">
        <v>5.25</v>
      </c>
      <c r="G197" s="10">
        <v>57.333333333333336</v>
      </c>
      <c r="H197" s="10">
        <v>18</v>
      </c>
    </row>
    <row r="198" spans="1:8" x14ac:dyDescent="0.2">
      <c r="A198" t="s">
        <v>526</v>
      </c>
      <c r="B198" s="1">
        <v>43250</v>
      </c>
      <c r="C198" s="5" t="s">
        <v>42</v>
      </c>
      <c r="D198" s="8">
        <v>61.159999999999989</v>
      </c>
      <c r="E198" s="7">
        <v>4.4149999999999991</v>
      </c>
      <c r="F198" s="8">
        <v>4.3499999999999996</v>
      </c>
      <c r="G198" s="10">
        <v>68</v>
      </c>
      <c r="H198" s="10">
        <v>33</v>
      </c>
    </row>
    <row r="199" spans="1:8" x14ac:dyDescent="0.2">
      <c r="A199" t="s">
        <v>525</v>
      </c>
      <c r="B199" s="1">
        <v>43252</v>
      </c>
      <c r="C199" s="5" t="s">
        <v>40</v>
      </c>
      <c r="D199" s="8">
        <v>43.325000000000003</v>
      </c>
      <c r="E199" s="7">
        <v>3.8300000000000005</v>
      </c>
      <c r="F199" s="8">
        <v>4.8499999999999996</v>
      </c>
      <c r="G199" s="10">
        <v>104.33333333333333</v>
      </c>
      <c r="H199" s="10">
        <v>36</v>
      </c>
    </row>
    <row r="200" spans="1:8" x14ac:dyDescent="0.2">
      <c r="A200" t="s">
        <v>524</v>
      </c>
      <c r="B200" s="3">
        <v>43249</v>
      </c>
      <c r="C200" s="5" t="s">
        <v>42</v>
      </c>
      <c r="D200" s="8">
        <v>30.324999999999996</v>
      </c>
      <c r="E200" s="7">
        <v>3.0749999999999997</v>
      </c>
      <c r="F200" s="8">
        <v>4.75</v>
      </c>
      <c r="G200" s="10">
        <v>114.66666666666667</v>
      </c>
      <c r="H200" s="10">
        <v>12</v>
      </c>
    </row>
    <row r="201" spans="1:8" x14ac:dyDescent="0.2">
      <c r="A201" t="s">
        <v>523</v>
      </c>
      <c r="B201" s="3">
        <v>43251</v>
      </c>
      <c r="C201" s="5" t="s">
        <v>10</v>
      </c>
      <c r="D201" s="8">
        <v>66.45</v>
      </c>
      <c r="E201" s="7">
        <v>5.0900000000000007</v>
      </c>
      <c r="F201" s="8">
        <v>5.4</v>
      </c>
      <c r="G201" s="10">
        <v>92</v>
      </c>
      <c r="H201" s="10">
        <v>31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81"/>
  <sheetViews>
    <sheetView workbookViewId="0">
      <pane ySplit="1" topLeftCell="A8" activePane="bottomLeft" state="frozen"/>
      <selection pane="bottomLeft"/>
    </sheetView>
  </sheetViews>
  <sheetFormatPr baseColWidth="10" defaultColWidth="8.6640625" defaultRowHeight="15" x14ac:dyDescent="0.2"/>
  <cols>
    <col min="1" max="1" width="16.83203125" customWidth="1"/>
    <col min="2" max="2" width="12.33203125" customWidth="1"/>
    <col min="3" max="3" width="11.6640625" customWidth="1"/>
    <col min="5" max="5" width="13.5" style="9" customWidth="1"/>
    <col min="6" max="6" width="11.6640625" style="9" customWidth="1"/>
    <col min="10" max="10" width="12.5" bestFit="1" customWidth="1"/>
    <col min="11" max="11" width="18.33203125" bestFit="1" customWidth="1"/>
    <col min="12" max="12" width="23.6640625" bestFit="1" customWidth="1"/>
    <col min="13" max="13" width="22.6640625" bestFit="1" customWidth="1"/>
  </cols>
  <sheetData>
    <row r="1" spans="1:6" x14ac:dyDescent="0.2">
      <c r="A1" s="2" t="s">
        <v>923</v>
      </c>
      <c r="B1" s="2" t="s">
        <v>6</v>
      </c>
      <c r="C1" s="2" t="s">
        <v>7</v>
      </c>
      <c r="D1" s="2" t="s">
        <v>48</v>
      </c>
      <c r="E1" s="18" t="s">
        <v>49</v>
      </c>
      <c r="F1" s="18" t="s">
        <v>50</v>
      </c>
    </row>
    <row r="2" spans="1:6" x14ac:dyDescent="0.2">
      <c r="A2" t="s">
        <v>677</v>
      </c>
      <c r="B2" s="1">
        <v>43081</v>
      </c>
      <c r="C2" t="s">
        <v>10</v>
      </c>
      <c r="D2">
        <v>5</v>
      </c>
      <c r="E2" s="9">
        <v>0.49</v>
      </c>
      <c r="F2" s="9">
        <v>9.8000000000000004E-2</v>
      </c>
    </row>
    <row r="3" spans="1:6" x14ac:dyDescent="0.2">
      <c r="A3" t="s">
        <v>676</v>
      </c>
      <c r="B3" s="1">
        <v>43081</v>
      </c>
      <c r="C3" t="s">
        <v>10</v>
      </c>
      <c r="D3">
        <v>12</v>
      </c>
      <c r="E3" s="9">
        <v>2.3199999999999998</v>
      </c>
      <c r="F3" s="9">
        <v>0.19333333333333333</v>
      </c>
    </row>
    <row r="4" spans="1:6" x14ac:dyDescent="0.2">
      <c r="A4" t="s">
        <v>675</v>
      </c>
      <c r="B4" s="1">
        <v>43081</v>
      </c>
      <c r="C4" t="s">
        <v>10</v>
      </c>
      <c r="D4">
        <v>9</v>
      </c>
      <c r="E4" s="9">
        <v>2.74</v>
      </c>
      <c r="F4" s="9">
        <v>0.30444444444444446</v>
      </c>
    </row>
    <row r="5" spans="1:6" x14ac:dyDescent="0.2">
      <c r="A5" t="s">
        <v>674</v>
      </c>
      <c r="B5" s="1">
        <v>43081</v>
      </c>
      <c r="C5" t="s">
        <v>10</v>
      </c>
      <c r="D5">
        <v>1</v>
      </c>
      <c r="E5" s="9">
        <v>0.01</v>
      </c>
      <c r="F5" s="9">
        <v>0.01</v>
      </c>
    </row>
    <row r="6" spans="1:6" x14ac:dyDescent="0.2">
      <c r="A6" t="s">
        <v>673</v>
      </c>
      <c r="B6" s="1">
        <v>43081</v>
      </c>
      <c r="C6" t="s">
        <v>10</v>
      </c>
      <c r="D6">
        <v>44</v>
      </c>
      <c r="E6" s="9">
        <v>10.93</v>
      </c>
      <c r="F6" s="9">
        <v>0.24840909090909091</v>
      </c>
    </row>
    <row r="7" spans="1:6" x14ac:dyDescent="0.2">
      <c r="A7" t="s">
        <v>667</v>
      </c>
      <c r="B7" s="1">
        <v>43081</v>
      </c>
      <c r="C7" t="s">
        <v>10</v>
      </c>
      <c r="D7">
        <v>23</v>
      </c>
      <c r="E7" s="9">
        <v>4.03</v>
      </c>
      <c r="F7" s="9">
        <v>0.17521739130434782</v>
      </c>
    </row>
    <row r="8" spans="1:6" x14ac:dyDescent="0.2">
      <c r="A8" t="s">
        <v>666</v>
      </c>
      <c r="B8" s="1">
        <v>43081</v>
      </c>
      <c r="C8" t="s">
        <v>10</v>
      </c>
      <c r="D8">
        <v>17</v>
      </c>
      <c r="E8" s="9">
        <v>6.09</v>
      </c>
      <c r="F8" s="9">
        <v>0.35823529411764704</v>
      </c>
    </row>
    <row r="9" spans="1:6" x14ac:dyDescent="0.2">
      <c r="A9" t="s">
        <v>665</v>
      </c>
      <c r="B9" s="1">
        <v>43081</v>
      </c>
      <c r="C9" t="s">
        <v>10</v>
      </c>
      <c r="D9">
        <v>23</v>
      </c>
      <c r="E9" s="9">
        <v>2.25</v>
      </c>
      <c r="F9" s="9">
        <v>9.7826086956521743E-2</v>
      </c>
    </row>
    <row r="10" spans="1:6" x14ac:dyDescent="0.2">
      <c r="A10" t="s">
        <v>664</v>
      </c>
      <c r="B10" s="1">
        <v>43081</v>
      </c>
      <c r="C10" t="s">
        <v>10</v>
      </c>
      <c r="D10">
        <v>1</v>
      </c>
      <c r="E10" s="9">
        <v>0.08</v>
      </c>
      <c r="F10" s="9">
        <v>0.08</v>
      </c>
    </row>
    <row r="11" spans="1:6" x14ac:dyDescent="0.2">
      <c r="A11" t="s">
        <v>663</v>
      </c>
      <c r="B11" s="1">
        <v>43081</v>
      </c>
      <c r="C11" t="s">
        <v>10</v>
      </c>
      <c r="D11">
        <v>17</v>
      </c>
      <c r="E11" s="9">
        <v>2.83</v>
      </c>
      <c r="F11" s="9">
        <v>0.16647058823529412</v>
      </c>
    </row>
    <row r="12" spans="1:6" x14ac:dyDescent="0.2">
      <c r="A12" t="s">
        <v>657</v>
      </c>
      <c r="B12" s="1">
        <v>43081</v>
      </c>
      <c r="C12" t="s">
        <v>10</v>
      </c>
      <c r="D12">
        <v>9</v>
      </c>
      <c r="E12" s="9">
        <v>2.56</v>
      </c>
      <c r="F12" s="9">
        <v>0.28444444444444444</v>
      </c>
    </row>
    <row r="13" spans="1:6" x14ac:dyDescent="0.2">
      <c r="A13" t="s">
        <v>656</v>
      </c>
      <c r="B13" s="1">
        <v>43081</v>
      </c>
      <c r="C13" t="s">
        <v>10</v>
      </c>
      <c r="D13">
        <v>17</v>
      </c>
      <c r="E13" s="9">
        <v>2.8</v>
      </c>
      <c r="F13" s="9">
        <v>0.16470588235294117</v>
      </c>
    </row>
    <row r="14" spans="1:6" x14ac:dyDescent="0.2">
      <c r="A14" t="s">
        <v>655</v>
      </c>
      <c r="B14" s="1">
        <v>43081</v>
      </c>
      <c r="C14" t="s">
        <v>10</v>
      </c>
      <c r="D14">
        <v>8</v>
      </c>
      <c r="E14" s="9">
        <v>2.21</v>
      </c>
      <c r="F14" s="9">
        <v>0.27625</v>
      </c>
    </row>
    <row r="15" spans="1:6" x14ac:dyDescent="0.2">
      <c r="A15" t="s">
        <v>654</v>
      </c>
      <c r="B15" s="1">
        <v>43081</v>
      </c>
      <c r="C15" t="s">
        <v>10</v>
      </c>
      <c r="D15">
        <v>13</v>
      </c>
      <c r="E15" s="9">
        <v>2.2799999999999998</v>
      </c>
      <c r="F15" s="9">
        <v>0.17538461538461536</v>
      </c>
    </row>
    <row r="16" spans="1:6" x14ac:dyDescent="0.2">
      <c r="A16" t="s">
        <v>653</v>
      </c>
      <c r="B16" s="1">
        <v>43081</v>
      </c>
      <c r="C16" t="s">
        <v>10</v>
      </c>
      <c r="D16">
        <v>7</v>
      </c>
      <c r="E16" s="9">
        <v>0.7</v>
      </c>
      <c r="F16" s="9">
        <v>9.9999999999999992E-2</v>
      </c>
    </row>
    <row r="17" spans="1:6" x14ac:dyDescent="0.2">
      <c r="A17" t="s">
        <v>647</v>
      </c>
      <c r="B17" s="1">
        <v>43081</v>
      </c>
      <c r="C17" t="s">
        <v>10</v>
      </c>
      <c r="D17">
        <v>6</v>
      </c>
      <c r="E17" s="9">
        <v>0.96</v>
      </c>
      <c r="F17" s="9">
        <v>0.16</v>
      </c>
    </row>
    <row r="18" spans="1:6" x14ac:dyDescent="0.2">
      <c r="A18" t="s">
        <v>646</v>
      </c>
      <c r="B18" s="1">
        <v>43081</v>
      </c>
      <c r="C18" t="s">
        <v>10</v>
      </c>
      <c r="D18">
        <v>8</v>
      </c>
      <c r="E18" s="9">
        <v>1.2</v>
      </c>
      <c r="F18" s="9">
        <v>0.15</v>
      </c>
    </row>
    <row r="19" spans="1:6" x14ac:dyDescent="0.2">
      <c r="A19" t="s">
        <v>645</v>
      </c>
      <c r="B19" s="1">
        <v>43081</v>
      </c>
      <c r="C19" t="s">
        <v>10</v>
      </c>
      <c r="D19">
        <v>0</v>
      </c>
      <c r="E19" s="9">
        <v>0</v>
      </c>
      <c r="F19" s="9">
        <v>0</v>
      </c>
    </row>
    <row r="20" spans="1:6" x14ac:dyDescent="0.2">
      <c r="A20" t="s">
        <v>644</v>
      </c>
      <c r="B20" s="1">
        <v>43081</v>
      </c>
      <c r="C20" t="s">
        <v>10</v>
      </c>
      <c r="D20">
        <v>9</v>
      </c>
      <c r="E20" s="9">
        <v>1.79</v>
      </c>
      <c r="F20" s="9">
        <v>0.19888888888888889</v>
      </c>
    </row>
    <row r="21" spans="1:6" x14ac:dyDescent="0.2">
      <c r="A21" t="s">
        <v>643</v>
      </c>
      <c r="B21" s="1">
        <v>43081</v>
      </c>
      <c r="C21" t="s">
        <v>10</v>
      </c>
      <c r="D21">
        <v>20</v>
      </c>
      <c r="E21" s="9">
        <v>3.29</v>
      </c>
      <c r="F21" s="9">
        <v>0.16450000000000001</v>
      </c>
    </row>
    <row r="22" spans="1:6" x14ac:dyDescent="0.2">
      <c r="A22" t="s">
        <v>637</v>
      </c>
      <c r="B22" s="1">
        <v>43081</v>
      </c>
      <c r="C22" t="s">
        <v>10</v>
      </c>
      <c r="D22">
        <v>11</v>
      </c>
      <c r="E22" s="9">
        <v>2.38</v>
      </c>
      <c r="F22" s="9">
        <v>0.21636363636363634</v>
      </c>
    </row>
    <row r="23" spans="1:6" x14ac:dyDescent="0.2">
      <c r="A23" t="s">
        <v>636</v>
      </c>
      <c r="B23" s="1">
        <v>43081</v>
      </c>
      <c r="C23" t="s">
        <v>10</v>
      </c>
      <c r="D23">
        <v>0</v>
      </c>
      <c r="E23" s="9">
        <v>0</v>
      </c>
      <c r="F23" s="9">
        <v>0</v>
      </c>
    </row>
    <row r="24" spans="1:6" x14ac:dyDescent="0.2">
      <c r="A24" t="s">
        <v>635</v>
      </c>
      <c r="B24" s="1">
        <v>43081</v>
      </c>
      <c r="C24" t="s">
        <v>10</v>
      </c>
      <c r="D24">
        <v>2</v>
      </c>
      <c r="E24" s="9">
        <v>0.22</v>
      </c>
      <c r="F24" s="9">
        <v>0.11</v>
      </c>
    </row>
    <row r="25" spans="1:6" x14ac:dyDescent="0.2">
      <c r="A25" t="s">
        <v>634</v>
      </c>
      <c r="B25" s="1">
        <v>43081</v>
      </c>
      <c r="C25" t="s">
        <v>10</v>
      </c>
      <c r="D25">
        <v>37</v>
      </c>
      <c r="E25" s="9">
        <v>5.42</v>
      </c>
      <c r="F25" s="9">
        <v>0.14648648648648649</v>
      </c>
    </row>
    <row r="26" spans="1:6" x14ac:dyDescent="0.2">
      <c r="A26" t="s">
        <v>633</v>
      </c>
      <c r="B26" s="1">
        <v>43081</v>
      </c>
      <c r="C26" t="s">
        <v>10</v>
      </c>
      <c r="D26">
        <v>7</v>
      </c>
      <c r="E26" s="9">
        <v>0.93</v>
      </c>
      <c r="F26" s="9">
        <v>0.13285714285714287</v>
      </c>
    </row>
    <row r="27" spans="1:6" x14ac:dyDescent="0.2">
      <c r="A27" t="s">
        <v>627</v>
      </c>
      <c r="B27" s="1">
        <v>43081</v>
      </c>
      <c r="C27" t="s">
        <v>10</v>
      </c>
      <c r="D27">
        <v>8</v>
      </c>
      <c r="E27" s="9">
        <v>1.48</v>
      </c>
      <c r="F27" s="9">
        <v>0.185</v>
      </c>
    </row>
    <row r="28" spans="1:6" x14ac:dyDescent="0.2">
      <c r="A28" t="s">
        <v>626</v>
      </c>
      <c r="B28" s="1">
        <v>43081</v>
      </c>
      <c r="C28" t="s">
        <v>10</v>
      </c>
      <c r="D28">
        <v>3</v>
      </c>
      <c r="E28" s="9">
        <v>0.34</v>
      </c>
      <c r="F28" s="9">
        <v>0.11333333333333334</v>
      </c>
    </row>
    <row r="29" spans="1:6" x14ac:dyDescent="0.2">
      <c r="A29" t="s">
        <v>625</v>
      </c>
      <c r="B29" s="1">
        <v>43081</v>
      </c>
      <c r="C29" t="s">
        <v>10</v>
      </c>
      <c r="D29">
        <v>16</v>
      </c>
      <c r="E29" s="9">
        <v>3.75</v>
      </c>
      <c r="F29" s="9">
        <v>0.234375</v>
      </c>
    </row>
    <row r="30" spans="1:6" x14ac:dyDescent="0.2">
      <c r="A30" t="s">
        <v>624</v>
      </c>
      <c r="B30" s="1">
        <v>43081</v>
      </c>
      <c r="C30" t="s">
        <v>10</v>
      </c>
      <c r="D30">
        <v>11</v>
      </c>
      <c r="E30" s="9">
        <v>2.38</v>
      </c>
      <c r="F30" s="9">
        <v>0.21636363636363634</v>
      </c>
    </row>
    <row r="31" spans="1:6" x14ac:dyDescent="0.2">
      <c r="A31" t="s">
        <v>623</v>
      </c>
      <c r="B31" s="1">
        <v>43081</v>
      </c>
      <c r="C31" t="s">
        <v>10</v>
      </c>
      <c r="D31">
        <v>4</v>
      </c>
      <c r="E31" s="9">
        <v>1.1000000000000001</v>
      </c>
      <c r="F31" s="9">
        <v>0.27500000000000002</v>
      </c>
    </row>
    <row r="32" spans="1:6" x14ac:dyDescent="0.2">
      <c r="A32" t="s">
        <v>617</v>
      </c>
      <c r="B32" s="1">
        <v>43081</v>
      </c>
      <c r="C32" t="s">
        <v>10</v>
      </c>
      <c r="D32">
        <v>6</v>
      </c>
      <c r="E32" s="9">
        <v>0.55000000000000004</v>
      </c>
      <c r="F32" s="9">
        <v>9.1666666666666674E-2</v>
      </c>
    </row>
    <row r="33" spans="1:6" x14ac:dyDescent="0.2">
      <c r="A33" t="s">
        <v>616</v>
      </c>
      <c r="B33" s="1">
        <v>43081</v>
      </c>
      <c r="C33" t="s">
        <v>10</v>
      </c>
      <c r="D33">
        <v>0</v>
      </c>
      <c r="E33" s="9">
        <v>0</v>
      </c>
      <c r="F33" s="9">
        <v>0</v>
      </c>
    </row>
    <row r="34" spans="1:6" x14ac:dyDescent="0.2">
      <c r="A34" t="s">
        <v>615</v>
      </c>
      <c r="B34" s="1">
        <v>43081</v>
      </c>
      <c r="C34" t="s">
        <v>10</v>
      </c>
      <c r="D34">
        <v>0</v>
      </c>
      <c r="E34" s="9">
        <v>0</v>
      </c>
      <c r="F34" s="9">
        <v>0</v>
      </c>
    </row>
    <row r="35" spans="1:6" x14ac:dyDescent="0.2">
      <c r="A35" t="s">
        <v>614</v>
      </c>
      <c r="B35" s="1">
        <v>43081</v>
      </c>
      <c r="C35" t="s">
        <v>10</v>
      </c>
      <c r="D35">
        <v>9</v>
      </c>
      <c r="E35" s="9">
        <v>2.68</v>
      </c>
      <c r="F35" s="9">
        <v>0.29777777777777781</v>
      </c>
    </row>
    <row r="36" spans="1:6" x14ac:dyDescent="0.2">
      <c r="A36" t="s">
        <v>613</v>
      </c>
      <c r="B36" s="1">
        <v>43081</v>
      </c>
      <c r="C36" t="s">
        <v>10</v>
      </c>
      <c r="D36">
        <v>2</v>
      </c>
      <c r="E36" s="9">
        <v>0.2</v>
      </c>
      <c r="F36" s="9">
        <v>0.1</v>
      </c>
    </row>
    <row r="37" spans="1:6" x14ac:dyDescent="0.2">
      <c r="A37" t="s">
        <v>607</v>
      </c>
      <c r="B37" s="1">
        <v>43081</v>
      </c>
      <c r="C37" t="s">
        <v>10</v>
      </c>
      <c r="D37">
        <v>18</v>
      </c>
      <c r="E37" s="9">
        <v>5.86</v>
      </c>
      <c r="F37" s="9">
        <v>0.3255555555555556</v>
      </c>
    </row>
    <row r="38" spans="1:6" x14ac:dyDescent="0.2">
      <c r="A38" t="s">
        <v>606</v>
      </c>
      <c r="B38" s="1">
        <v>43081</v>
      </c>
      <c r="C38" t="s">
        <v>10</v>
      </c>
      <c r="D38">
        <v>13</v>
      </c>
      <c r="E38" s="9">
        <v>2.0499999999999998</v>
      </c>
      <c r="F38" s="9">
        <v>0.15769230769230769</v>
      </c>
    </row>
    <row r="39" spans="1:6" x14ac:dyDescent="0.2">
      <c r="A39" t="s">
        <v>605</v>
      </c>
      <c r="B39" s="1">
        <v>43081</v>
      </c>
      <c r="C39" t="s">
        <v>10</v>
      </c>
      <c r="D39">
        <v>13</v>
      </c>
      <c r="E39" s="9">
        <v>2.25</v>
      </c>
      <c r="F39" s="9">
        <v>0.17307692307692307</v>
      </c>
    </row>
    <row r="40" spans="1:6" x14ac:dyDescent="0.2">
      <c r="A40" t="s">
        <v>604</v>
      </c>
      <c r="B40" s="1">
        <v>43081</v>
      </c>
      <c r="C40" t="s">
        <v>10</v>
      </c>
      <c r="D40">
        <v>16</v>
      </c>
      <c r="E40" s="9">
        <v>1.69</v>
      </c>
      <c r="F40" s="9">
        <v>0.105625</v>
      </c>
    </row>
    <row r="41" spans="1:6" x14ac:dyDescent="0.2">
      <c r="A41" t="s">
        <v>603</v>
      </c>
      <c r="B41" s="1">
        <v>43081</v>
      </c>
      <c r="C41" t="s">
        <v>10</v>
      </c>
      <c r="D41">
        <v>4</v>
      </c>
      <c r="E41" s="9">
        <v>0.21</v>
      </c>
      <c r="F41" s="9">
        <v>5.2499999999999998E-2</v>
      </c>
    </row>
    <row r="42" spans="1:6" x14ac:dyDescent="0.2">
      <c r="A42" t="s">
        <v>837</v>
      </c>
      <c r="B42" s="1">
        <v>42737</v>
      </c>
      <c r="C42" t="s">
        <v>10</v>
      </c>
      <c r="D42">
        <v>13</v>
      </c>
      <c r="E42" s="9">
        <v>3.73</v>
      </c>
      <c r="F42" s="9">
        <v>0.28692307692307695</v>
      </c>
    </row>
    <row r="43" spans="1:6" x14ac:dyDescent="0.2">
      <c r="A43" t="s">
        <v>836</v>
      </c>
      <c r="B43" s="1">
        <v>42738</v>
      </c>
      <c r="C43" t="s">
        <v>10</v>
      </c>
      <c r="D43">
        <v>17</v>
      </c>
      <c r="E43" s="9">
        <v>7.5</v>
      </c>
      <c r="F43" s="9">
        <v>0.44117647058823528</v>
      </c>
    </row>
    <row r="44" spans="1:6" x14ac:dyDescent="0.2">
      <c r="A44" t="s">
        <v>835</v>
      </c>
      <c r="B44" s="1">
        <v>42740</v>
      </c>
      <c r="C44" t="s">
        <v>10</v>
      </c>
      <c r="D44">
        <v>14</v>
      </c>
      <c r="E44" s="9">
        <v>9.36</v>
      </c>
      <c r="F44" s="9">
        <v>0.66857142857142848</v>
      </c>
    </row>
    <row r="45" spans="1:6" x14ac:dyDescent="0.2">
      <c r="A45" t="s">
        <v>834</v>
      </c>
      <c r="B45" s="1">
        <v>42740</v>
      </c>
      <c r="C45" t="s">
        <v>10</v>
      </c>
      <c r="D45">
        <v>10</v>
      </c>
      <c r="E45" s="9">
        <v>2</v>
      </c>
      <c r="F45" s="9">
        <v>0.2</v>
      </c>
    </row>
    <row r="46" spans="1:6" x14ac:dyDescent="0.2">
      <c r="A46" t="s">
        <v>833</v>
      </c>
      <c r="B46" s="1">
        <v>42737</v>
      </c>
      <c r="C46" t="s">
        <v>10</v>
      </c>
      <c r="D46">
        <v>14</v>
      </c>
      <c r="E46" s="9">
        <v>8.52</v>
      </c>
      <c r="F46" s="9">
        <v>0.60857142857142854</v>
      </c>
    </row>
    <row r="47" spans="1:6" x14ac:dyDescent="0.2">
      <c r="A47" t="s">
        <v>827</v>
      </c>
      <c r="B47" s="1">
        <v>42738</v>
      </c>
      <c r="C47" t="s">
        <v>10</v>
      </c>
      <c r="D47">
        <v>19</v>
      </c>
      <c r="E47" s="9">
        <v>7.85</v>
      </c>
      <c r="F47" s="9">
        <v>0.41315789473684211</v>
      </c>
    </row>
    <row r="48" spans="1:6" x14ac:dyDescent="0.2">
      <c r="A48" t="s">
        <v>826</v>
      </c>
      <c r="B48" s="1">
        <v>42740</v>
      </c>
      <c r="C48" t="s">
        <v>10</v>
      </c>
      <c r="D48">
        <v>14</v>
      </c>
      <c r="E48" s="9">
        <v>15.1</v>
      </c>
      <c r="F48" s="9">
        <v>1.0785714285714285</v>
      </c>
    </row>
    <row r="49" spans="1:6" x14ac:dyDescent="0.2">
      <c r="A49" t="s">
        <v>825</v>
      </c>
      <c r="B49" s="1">
        <v>42740</v>
      </c>
      <c r="C49" t="s">
        <v>10</v>
      </c>
      <c r="D49">
        <v>26</v>
      </c>
      <c r="E49" s="9">
        <v>11.84</v>
      </c>
      <c r="F49" s="9">
        <v>0.45538461538461539</v>
      </c>
    </row>
    <row r="50" spans="1:6" x14ac:dyDescent="0.2">
      <c r="A50" t="s">
        <v>824</v>
      </c>
      <c r="B50" s="1">
        <v>42737</v>
      </c>
      <c r="C50" t="s">
        <v>10</v>
      </c>
      <c r="D50">
        <v>0</v>
      </c>
      <c r="E50" s="9">
        <v>0</v>
      </c>
      <c r="F50" s="9">
        <v>0</v>
      </c>
    </row>
    <row r="51" spans="1:6" x14ac:dyDescent="0.2">
      <c r="A51" t="s">
        <v>823</v>
      </c>
      <c r="B51" s="1">
        <v>42738</v>
      </c>
      <c r="C51" t="s">
        <v>10</v>
      </c>
      <c r="D51">
        <v>21</v>
      </c>
      <c r="E51" s="9">
        <v>14.62</v>
      </c>
      <c r="F51" s="9">
        <v>0.69619047619047614</v>
      </c>
    </row>
    <row r="52" spans="1:6" x14ac:dyDescent="0.2">
      <c r="A52" t="s">
        <v>817</v>
      </c>
      <c r="B52" s="1">
        <v>42738</v>
      </c>
      <c r="C52" t="s">
        <v>10</v>
      </c>
      <c r="D52">
        <v>12</v>
      </c>
      <c r="E52" s="9">
        <v>8.69</v>
      </c>
      <c r="F52" s="9">
        <v>0.72416666666666663</v>
      </c>
    </row>
    <row r="53" spans="1:6" x14ac:dyDescent="0.2">
      <c r="A53" t="s">
        <v>816</v>
      </c>
      <c r="B53" s="1">
        <v>42740</v>
      </c>
      <c r="C53" t="s">
        <v>10</v>
      </c>
      <c r="D53">
        <v>15</v>
      </c>
      <c r="E53" s="9">
        <v>6.46</v>
      </c>
      <c r="F53" s="9">
        <v>0.43066666666666664</v>
      </c>
    </row>
    <row r="54" spans="1:6" x14ac:dyDescent="0.2">
      <c r="A54" t="s">
        <v>815</v>
      </c>
      <c r="B54" s="1">
        <v>42737</v>
      </c>
      <c r="C54" t="s">
        <v>10</v>
      </c>
      <c r="D54">
        <v>15</v>
      </c>
      <c r="E54" s="9">
        <v>9.82</v>
      </c>
      <c r="F54" s="9">
        <v>0.65466666666666673</v>
      </c>
    </row>
    <row r="55" spans="1:6" x14ac:dyDescent="0.2">
      <c r="A55" t="s">
        <v>814</v>
      </c>
      <c r="B55" s="1">
        <v>42740</v>
      </c>
      <c r="C55" t="s">
        <v>10</v>
      </c>
      <c r="D55">
        <v>14</v>
      </c>
      <c r="E55" s="9">
        <v>9.44</v>
      </c>
      <c r="F55" s="9">
        <v>0.67428571428571427</v>
      </c>
    </row>
    <row r="56" spans="1:6" x14ac:dyDescent="0.2">
      <c r="A56" t="s">
        <v>813</v>
      </c>
      <c r="B56" s="1">
        <v>42740</v>
      </c>
      <c r="C56" t="s">
        <v>10</v>
      </c>
      <c r="D56">
        <v>16</v>
      </c>
      <c r="E56" s="9">
        <v>6.67</v>
      </c>
      <c r="F56" s="9">
        <v>0.416875</v>
      </c>
    </row>
    <row r="57" spans="1:6" x14ac:dyDescent="0.2">
      <c r="A57" t="s">
        <v>807</v>
      </c>
      <c r="B57" s="1">
        <v>42740</v>
      </c>
      <c r="C57" t="s">
        <v>10</v>
      </c>
      <c r="D57">
        <v>5</v>
      </c>
      <c r="E57" s="9">
        <v>0.97</v>
      </c>
      <c r="F57" s="9">
        <v>0.19400000000000001</v>
      </c>
    </row>
    <row r="58" spans="1:6" x14ac:dyDescent="0.2">
      <c r="A58" t="s">
        <v>806</v>
      </c>
      <c r="B58" s="1">
        <v>42737</v>
      </c>
      <c r="C58" t="s">
        <v>10</v>
      </c>
      <c r="D58">
        <v>25</v>
      </c>
      <c r="E58" s="9">
        <v>7.33</v>
      </c>
      <c r="F58" s="9">
        <v>0.29320000000000002</v>
      </c>
    </row>
    <row r="59" spans="1:6" x14ac:dyDescent="0.2">
      <c r="A59" t="s">
        <v>805</v>
      </c>
      <c r="B59" s="1">
        <v>42737</v>
      </c>
      <c r="C59" t="s">
        <v>10</v>
      </c>
      <c r="D59">
        <v>6</v>
      </c>
      <c r="E59" s="9">
        <v>0.6</v>
      </c>
      <c r="F59" s="9">
        <v>9.9999999999999992E-2</v>
      </c>
    </row>
    <row r="60" spans="1:6" x14ac:dyDescent="0.2">
      <c r="A60" t="s">
        <v>804</v>
      </c>
      <c r="B60" s="1">
        <v>42738</v>
      </c>
      <c r="C60" t="s">
        <v>10</v>
      </c>
      <c r="D60">
        <v>21</v>
      </c>
      <c r="E60" s="9">
        <v>5.21</v>
      </c>
      <c r="F60" s="9">
        <v>0.24809523809523809</v>
      </c>
    </row>
    <row r="61" spans="1:6" x14ac:dyDescent="0.2">
      <c r="A61" t="s">
        <v>803</v>
      </c>
      <c r="B61" s="1">
        <v>42738</v>
      </c>
      <c r="C61" t="s">
        <v>10</v>
      </c>
      <c r="D61">
        <v>15</v>
      </c>
      <c r="E61" s="9">
        <v>8.5399999999999991</v>
      </c>
      <c r="F61" s="9">
        <v>0.56933333333333325</v>
      </c>
    </row>
    <row r="62" spans="1:6" x14ac:dyDescent="0.2">
      <c r="A62" t="s">
        <v>797</v>
      </c>
      <c r="B62" s="1">
        <v>42737</v>
      </c>
      <c r="C62" t="s">
        <v>10</v>
      </c>
      <c r="D62">
        <v>19</v>
      </c>
      <c r="E62" s="9">
        <v>8.7899999999999991</v>
      </c>
      <c r="F62" s="9">
        <v>0.46263157894736839</v>
      </c>
    </row>
    <row r="63" spans="1:6" x14ac:dyDescent="0.2">
      <c r="A63" t="s">
        <v>796</v>
      </c>
      <c r="B63" s="1">
        <v>42737</v>
      </c>
      <c r="C63" t="s">
        <v>10</v>
      </c>
      <c r="D63">
        <v>10</v>
      </c>
      <c r="E63" s="9">
        <v>2.04</v>
      </c>
      <c r="F63" s="9">
        <v>0.20400000000000001</v>
      </c>
    </row>
    <row r="64" spans="1:6" x14ac:dyDescent="0.2">
      <c r="A64" t="s">
        <v>795</v>
      </c>
      <c r="B64" s="1">
        <v>42738</v>
      </c>
      <c r="C64" t="s">
        <v>10</v>
      </c>
      <c r="D64">
        <v>14</v>
      </c>
      <c r="E64" s="9">
        <v>4.33</v>
      </c>
      <c r="F64" s="9">
        <v>0.30928571428571427</v>
      </c>
    </row>
    <row r="65" spans="1:6" x14ac:dyDescent="0.2">
      <c r="A65" t="s">
        <v>794</v>
      </c>
      <c r="B65" s="1">
        <v>42738</v>
      </c>
      <c r="C65" t="s">
        <v>10</v>
      </c>
      <c r="D65">
        <v>33</v>
      </c>
      <c r="E65" s="9">
        <v>15.59</v>
      </c>
      <c r="F65" s="9">
        <v>0.47242424242424241</v>
      </c>
    </row>
    <row r="66" spans="1:6" x14ac:dyDescent="0.2">
      <c r="A66" t="s">
        <v>793</v>
      </c>
      <c r="B66" s="1">
        <v>42737</v>
      </c>
      <c r="C66" t="s">
        <v>10</v>
      </c>
      <c r="D66">
        <v>15</v>
      </c>
      <c r="E66" s="9">
        <v>6.78</v>
      </c>
      <c r="F66" s="9">
        <v>0.45200000000000001</v>
      </c>
    </row>
    <row r="67" spans="1:6" x14ac:dyDescent="0.2">
      <c r="A67" t="s">
        <v>787</v>
      </c>
      <c r="B67" s="1">
        <v>42737</v>
      </c>
      <c r="C67" t="s">
        <v>10</v>
      </c>
      <c r="D67">
        <v>18</v>
      </c>
      <c r="E67" s="9">
        <v>4.99</v>
      </c>
      <c r="F67" s="9">
        <v>0.27722222222222226</v>
      </c>
    </row>
    <row r="68" spans="1:6" x14ac:dyDescent="0.2">
      <c r="A68" t="s">
        <v>786</v>
      </c>
      <c r="B68" s="1">
        <v>42740</v>
      </c>
      <c r="C68" t="s">
        <v>10</v>
      </c>
      <c r="D68">
        <v>26</v>
      </c>
      <c r="E68" s="9">
        <v>12.79</v>
      </c>
      <c r="F68" s="9">
        <v>0.49192307692307691</v>
      </c>
    </row>
    <row r="69" spans="1:6" x14ac:dyDescent="0.2">
      <c r="A69" t="s">
        <v>785</v>
      </c>
      <c r="B69" s="1">
        <v>42740</v>
      </c>
      <c r="C69" t="s">
        <v>10</v>
      </c>
      <c r="D69">
        <v>26</v>
      </c>
      <c r="E69" s="9">
        <v>15.48</v>
      </c>
      <c r="F69" s="9">
        <v>0.5953846153846154</v>
      </c>
    </row>
    <row r="70" spans="1:6" x14ac:dyDescent="0.2">
      <c r="A70" t="s">
        <v>784</v>
      </c>
      <c r="B70" s="1">
        <v>42738</v>
      </c>
      <c r="C70" t="s">
        <v>10</v>
      </c>
      <c r="D70">
        <v>18</v>
      </c>
      <c r="E70" s="9">
        <v>10.99</v>
      </c>
      <c r="F70" s="9">
        <v>0.61055555555555552</v>
      </c>
    </row>
    <row r="71" spans="1:6" x14ac:dyDescent="0.2">
      <c r="A71" t="s">
        <v>783</v>
      </c>
      <c r="B71" s="1">
        <v>42740</v>
      </c>
      <c r="C71" t="s">
        <v>10</v>
      </c>
      <c r="D71">
        <v>14</v>
      </c>
      <c r="E71" s="9">
        <v>8</v>
      </c>
      <c r="F71" s="9">
        <v>0.5714285714285714</v>
      </c>
    </row>
    <row r="72" spans="1:6" x14ac:dyDescent="0.2">
      <c r="A72" t="s">
        <v>777</v>
      </c>
      <c r="B72" s="1">
        <v>42740</v>
      </c>
      <c r="C72" t="s">
        <v>10</v>
      </c>
      <c r="D72">
        <v>1</v>
      </c>
      <c r="E72" s="9">
        <v>0.24</v>
      </c>
      <c r="F72" s="9">
        <v>0.24</v>
      </c>
    </row>
    <row r="73" spans="1:6" x14ac:dyDescent="0.2">
      <c r="A73" t="s">
        <v>776</v>
      </c>
      <c r="B73" s="1">
        <v>42740</v>
      </c>
      <c r="C73" t="s">
        <v>10</v>
      </c>
      <c r="D73">
        <v>8</v>
      </c>
      <c r="E73" s="9">
        <v>0.52</v>
      </c>
      <c r="F73" s="9">
        <v>6.5000000000000002E-2</v>
      </c>
    </row>
    <row r="74" spans="1:6" x14ac:dyDescent="0.2">
      <c r="A74" t="s">
        <v>775</v>
      </c>
      <c r="B74" s="1">
        <v>42737</v>
      </c>
      <c r="C74" t="s">
        <v>10</v>
      </c>
      <c r="D74">
        <v>0</v>
      </c>
      <c r="E74" s="9">
        <v>0</v>
      </c>
      <c r="F74" s="9">
        <v>0</v>
      </c>
    </row>
    <row r="75" spans="1:6" x14ac:dyDescent="0.2">
      <c r="A75" t="s">
        <v>774</v>
      </c>
      <c r="B75" s="1">
        <v>42737</v>
      </c>
      <c r="C75" t="s">
        <v>10</v>
      </c>
      <c r="D75">
        <v>16</v>
      </c>
      <c r="E75" s="9">
        <v>9.5</v>
      </c>
      <c r="F75" s="9">
        <v>0.59375</v>
      </c>
    </row>
    <row r="76" spans="1:6" x14ac:dyDescent="0.2">
      <c r="A76" t="s">
        <v>773</v>
      </c>
      <c r="B76" s="1">
        <v>42738</v>
      </c>
      <c r="C76" t="s">
        <v>10</v>
      </c>
      <c r="D76">
        <v>20</v>
      </c>
      <c r="E76" s="9">
        <v>6.8</v>
      </c>
      <c r="F76" s="9">
        <v>0.33999999999999997</v>
      </c>
    </row>
    <row r="77" spans="1:6" x14ac:dyDescent="0.2">
      <c r="A77" t="s">
        <v>767</v>
      </c>
      <c r="B77" s="1">
        <v>42740</v>
      </c>
      <c r="C77" t="s">
        <v>10</v>
      </c>
      <c r="D77">
        <v>12</v>
      </c>
      <c r="E77" s="9">
        <v>7.92</v>
      </c>
      <c r="F77" s="9">
        <v>0.66</v>
      </c>
    </row>
    <row r="78" spans="1:6" x14ac:dyDescent="0.2">
      <c r="A78" t="s">
        <v>766</v>
      </c>
      <c r="B78" s="1">
        <v>42737</v>
      </c>
      <c r="C78" t="s">
        <v>10</v>
      </c>
      <c r="D78">
        <v>13</v>
      </c>
      <c r="E78" s="9">
        <v>6.71</v>
      </c>
      <c r="F78" s="9">
        <v>0.51615384615384619</v>
      </c>
    </row>
    <row r="79" spans="1:6" x14ac:dyDescent="0.2">
      <c r="A79" t="s">
        <v>765</v>
      </c>
      <c r="B79" s="1">
        <v>42737</v>
      </c>
      <c r="C79" t="s">
        <v>10</v>
      </c>
      <c r="D79">
        <v>9</v>
      </c>
      <c r="E79" s="9">
        <v>4.41</v>
      </c>
      <c r="F79" s="9">
        <v>0.49</v>
      </c>
    </row>
    <row r="80" spans="1:6" x14ac:dyDescent="0.2">
      <c r="A80" t="s">
        <v>764</v>
      </c>
      <c r="B80" s="1">
        <v>42737</v>
      </c>
      <c r="C80" t="s">
        <v>10</v>
      </c>
      <c r="D80">
        <v>16</v>
      </c>
      <c r="E80" s="9">
        <v>5.18</v>
      </c>
      <c r="F80" s="9">
        <v>0.32374999999999998</v>
      </c>
    </row>
    <row r="81" spans="1:6" x14ac:dyDescent="0.2">
      <c r="A81" t="s">
        <v>763</v>
      </c>
      <c r="B81" s="1">
        <v>42740</v>
      </c>
      <c r="C81" t="s">
        <v>10</v>
      </c>
      <c r="D81">
        <v>15</v>
      </c>
      <c r="E81" s="9">
        <v>7.29</v>
      </c>
      <c r="F81" s="9">
        <v>0.48599999999999999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sheet_metadata</vt:lpstr>
      <vt:lpstr>column_header_metadata</vt:lpstr>
      <vt:lpstr>sample_sets_metadata</vt:lpstr>
      <vt:lpstr>sample_key</vt:lpstr>
      <vt:lpstr>microbial</vt:lpstr>
      <vt:lpstr>ncbi</vt:lpstr>
      <vt:lpstr>geochip</vt:lpstr>
      <vt:lpstr>plant_morphology</vt:lpstr>
      <vt:lpstr>inflorescences</vt:lpstr>
      <vt:lpstr>CN</vt:lpstr>
      <vt:lpstr>biomass</vt:lpstr>
      <vt:lpstr>heavy_metal</vt:lpstr>
      <vt:lpstr>pH_cond</vt:lpstr>
      <vt:lpstr>oil</vt:lpstr>
      <vt:lpstr>meso_chem_summary</vt:lpstr>
      <vt:lpstr>gh_env_summary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and Moppa</dc:creator>
  <cp:lastModifiedBy>Steve Formel</cp:lastModifiedBy>
  <cp:lastPrinted>2018-07-02T19:12:53Z</cp:lastPrinted>
  <dcterms:created xsi:type="dcterms:W3CDTF">2018-06-26T01:15:44Z</dcterms:created>
  <dcterms:modified xsi:type="dcterms:W3CDTF">2022-05-14T20:03:41Z</dcterms:modified>
</cp:coreProperties>
</file>