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FA56D977-78F5-4E14-A67B-7CE1A18F07AA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9" i="1" l="1"/>
  <c r="T4" i="1" l="1"/>
  <c r="T22" i="1"/>
  <c r="T25" i="1"/>
  <c r="T26" i="1"/>
  <c r="T27" i="1"/>
  <c r="T28" i="1"/>
  <c r="T32" i="1"/>
  <c r="T33" i="1"/>
  <c r="T37" i="1"/>
  <c r="T39" i="1"/>
  <c r="T40" i="1"/>
  <c r="T41" i="1"/>
  <c r="T42" i="1"/>
  <c r="T54" i="1"/>
  <c r="T55" i="1"/>
  <c r="T56" i="1"/>
  <c r="T58" i="1"/>
  <c r="T62" i="1"/>
  <c r="M67" i="1"/>
  <c r="O67" i="1" s="1"/>
  <c r="S67" i="1" s="1"/>
  <c r="Q2" i="1"/>
  <c r="Q67" i="1" l="1"/>
  <c r="R67" i="1"/>
  <c r="T67" i="1" s="1"/>
  <c r="V67" i="1" s="1"/>
  <c r="M35" i="1"/>
  <c r="M3" i="1"/>
  <c r="M4" i="1"/>
  <c r="M5" i="1"/>
  <c r="M6" i="1"/>
  <c r="M7" i="1"/>
  <c r="O7" i="1" s="1"/>
  <c r="M8" i="1"/>
  <c r="M9" i="1"/>
  <c r="M10" i="1"/>
  <c r="M11" i="1"/>
  <c r="M12" i="1"/>
  <c r="M13" i="1"/>
  <c r="M14" i="1"/>
  <c r="O14" i="1" s="1"/>
  <c r="M15" i="1"/>
  <c r="O15" i="1" s="1"/>
  <c r="M16" i="1"/>
  <c r="M17" i="1"/>
  <c r="M18" i="1"/>
  <c r="M19" i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O31" i="1" s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O54" i="1" s="1"/>
  <c r="M55" i="1"/>
  <c r="M56" i="1"/>
  <c r="M57" i="1"/>
  <c r="M58" i="1"/>
  <c r="O58" i="1" s="1"/>
  <c r="M59" i="1"/>
  <c r="M60" i="1"/>
  <c r="M61" i="1"/>
  <c r="M62" i="1"/>
  <c r="O62" i="1" s="1"/>
  <c r="M63" i="1"/>
  <c r="O63" i="1" s="1"/>
  <c r="M64" i="1"/>
  <c r="M65" i="1"/>
  <c r="M66" i="1"/>
  <c r="O66" i="1" s="1"/>
  <c r="M2" i="1"/>
  <c r="W22" i="1"/>
  <c r="W25" i="1"/>
  <c r="W26" i="1"/>
  <c r="W27" i="1"/>
  <c r="W28" i="1"/>
  <c r="W37" i="1"/>
  <c r="W39" i="1"/>
  <c r="W40" i="1"/>
  <c r="W55" i="1"/>
  <c r="W62" i="1"/>
  <c r="O20" i="1" l="1"/>
  <c r="S20" i="1" s="1"/>
  <c r="R20" i="1"/>
  <c r="T20" i="1" s="1"/>
  <c r="O56" i="1"/>
  <c r="S56" i="1" s="1"/>
  <c r="R56" i="1"/>
  <c r="O55" i="1"/>
  <c r="S55" i="1" s="1"/>
  <c r="R55" i="1"/>
  <c r="O42" i="1"/>
  <c r="S42" i="1" s="1"/>
  <c r="R42" i="1"/>
  <c r="O29" i="1"/>
  <c r="S29" i="1" s="1"/>
  <c r="R29" i="1"/>
  <c r="T29" i="1" s="1"/>
  <c r="O17" i="1"/>
  <c r="S17" i="1" s="1"/>
  <c r="R17" i="1"/>
  <c r="T17" i="1" s="1"/>
  <c r="O5" i="1"/>
  <c r="S5" i="1" s="1"/>
  <c r="R5" i="1"/>
  <c r="T5" i="1" s="1"/>
  <c r="O46" i="1"/>
  <c r="S46" i="1" s="1"/>
  <c r="R46" i="1"/>
  <c r="T46" i="1" s="1"/>
  <c r="O45" i="1"/>
  <c r="S45" i="1" s="1"/>
  <c r="R45" i="1"/>
  <c r="T45" i="1" s="1"/>
  <c r="O53" i="1"/>
  <c r="S53" i="1" s="1"/>
  <c r="R53" i="1"/>
  <c r="T53" i="1" s="1"/>
  <c r="O41" i="1"/>
  <c r="S41" i="1" s="1"/>
  <c r="V41" i="1" s="1"/>
  <c r="R41" i="1"/>
  <c r="O28" i="1"/>
  <c r="S28" i="1" s="1"/>
  <c r="V28" i="1" s="1"/>
  <c r="R28" i="1"/>
  <c r="O16" i="1"/>
  <c r="S16" i="1" s="1"/>
  <c r="R16" i="1"/>
  <c r="T16" i="1" s="1"/>
  <c r="O4" i="1"/>
  <c r="S4" i="1" s="1"/>
  <c r="R4" i="1"/>
  <c r="O33" i="1"/>
  <c r="S33" i="1" s="1"/>
  <c r="R33" i="1"/>
  <c r="O57" i="1"/>
  <c r="S57" i="1" s="1"/>
  <c r="R57" i="1"/>
  <c r="T57" i="1" s="1"/>
  <c r="O52" i="1"/>
  <c r="S52" i="1" s="1"/>
  <c r="R52" i="1"/>
  <c r="T52" i="1" s="1"/>
  <c r="O40" i="1"/>
  <c r="S40" i="1" s="1"/>
  <c r="V40" i="1" s="1"/>
  <c r="R40" i="1"/>
  <c r="O3" i="1"/>
  <c r="S3" i="1" s="1"/>
  <c r="R3" i="1"/>
  <c r="T3" i="1" s="1"/>
  <c r="O9" i="1"/>
  <c r="S9" i="1" s="1"/>
  <c r="R9" i="1"/>
  <c r="T9" i="1" s="1"/>
  <c r="O39" i="1"/>
  <c r="S39" i="1" s="1"/>
  <c r="R39" i="1"/>
  <c r="O35" i="1"/>
  <c r="S35" i="1" s="1"/>
  <c r="R35" i="1"/>
  <c r="T35" i="1" s="1"/>
  <c r="O30" i="1"/>
  <c r="S30" i="1" s="1"/>
  <c r="R30" i="1"/>
  <c r="T30" i="1" s="1"/>
  <c r="O50" i="1"/>
  <c r="S50" i="1" s="1"/>
  <c r="R50" i="1"/>
  <c r="T50" i="1" s="1"/>
  <c r="O38" i="1"/>
  <c r="S38" i="1" s="1"/>
  <c r="R38" i="1"/>
  <c r="T38" i="1" s="1"/>
  <c r="O25" i="1"/>
  <c r="S25" i="1" s="1"/>
  <c r="R25" i="1"/>
  <c r="O13" i="1"/>
  <c r="S13" i="1" s="1"/>
  <c r="R13" i="1"/>
  <c r="T13" i="1" s="1"/>
  <c r="W67" i="1"/>
  <c r="P67" i="1" s="1"/>
  <c r="O19" i="1"/>
  <c r="S19" i="1" s="1"/>
  <c r="R19" i="1"/>
  <c r="T19" i="1" s="1"/>
  <c r="O43" i="1"/>
  <c r="S43" i="1" s="1"/>
  <c r="R43" i="1"/>
  <c r="T43" i="1" s="1"/>
  <c r="O61" i="1"/>
  <c r="S61" i="1" s="1"/>
  <c r="R61" i="1"/>
  <c r="T61" i="1" s="1"/>
  <c r="O49" i="1"/>
  <c r="S49" i="1" s="1"/>
  <c r="R49" i="1"/>
  <c r="T49" i="1" s="1"/>
  <c r="O37" i="1"/>
  <c r="S37" i="1" s="1"/>
  <c r="R37" i="1"/>
  <c r="O24" i="1"/>
  <c r="S24" i="1" s="1"/>
  <c r="R24" i="1"/>
  <c r="T24" i="1" s="1"/>
  <c r="O12" i="1"/>
  <c r="S12" i="1" s="1"/>
  <c r="R12" i="1"/>
  <c r="T12" i="1" s="1"/>
  <c r="O21" i="1"/>
  <c r="S21" i="1" s="1"/>
  <c r="R21" i="1"/>
  <c r="T21" i="1" s="1"/>
  <c r="O32" i="1"/>
  <c r="S32" i="1" s="1"/>
  <c r="R32" i="1"/>
  <c r="O44" i="1"/>
  <c r="S44" i="1" s="1"/>
  <c r="R44" i="1"/>
  <c r="T44" i="1" s="1"/>
  <c r="O6" i="1"/>
  <c r="S6" i="1" s="1"/>
  <c r="R6" i="1"/>
  <c r="T6" i="1" s="1"/>
  <c r="O64" i="1"/>
  <c r="S64" i="1" s="1"/>
  <c r="R64" i="1"/>
  <c r="T64" i="1" s="1"/>
  <c r="O48" i="1"/>
  <c r="S48" i="1" s="1"/>
  <c r="R48" i="1"/>
  <c r="T48" i="1" s="1"/>
  <c r="O23" i="1"/>
  <c r="S23" i="1" s="1"/>
  <c r="R23" i="1"/>
  <c r="T23" i="1" s="1"/>
  <c r="W23" i="1" s="1"/>
  <c r="P23" i="1" s="1"/>
  <c r="O11" i="1"/>
  <c r="S11" i="1" s="1"/>
  <c r="R11" i="1"/>
  <c r="T11" i="1" s="1"/>
  <c r="O8" i="1"/>
  <c r="S8" i="1" s="1"/>
  <c r="R8" i="1"/>
  <c r="T8" i="1" s="1"/>
  <c r="O2" i="1"/>
  <c r="S2" i="1" s="1"/>
  <c r="R2" i="1"/>
  <c r="T2" i="1" s="1"/>
  <c r="O18" i="1"/>
  <c r="S18" i="1" s="1"/>
  <c r="R18" i="1"/>
  <c r="T18" i="1" s="1"/>
  <c r="O65" i="1"/>
  <c r="S65" i="1" s="1"/>
  <c r="R65" i="1"/>
  <c r="T65" i="1" s="1"/>
  <c r="O51" i="1"/>
  <c r="S51" i="1" s="1"/>
  <c r="R51" i="1"/>
  <c r="T51" i="1" s="1"/>
  <c r="O26" i="1"/>
  <c r="S26" i="1" s="1"/>
  <c r="R26" i="1"/>
  <c r="O60" i="1"/>
  <c r="S60" i="1" s="1"/>
  <c r="R60" i="1"/>
  <c r="T60" i="1" s="1"/>
  <c r="O36" i="1"/>
  <c r="S36" i="1" s="1"/>
  <c r="R36" i="1"/>
  <c r="T36" i="1" s="1"/>
  <c r="O59" i="1"/>
  <c r="S59" i="1" s="1"/>
  <c r="R59" i="1"/>
  <c r="T59" i="1" s="1"/>
  <c r="O47" i="1"/>
  <c r="S47" i="1" s="1"/>
  <c r="R47" i="1"/>
  <c r="T47" i="1" s="1"/>
  <c r="O34" i="1"/>
  <c r="S34" i="1" s="1"/>
  <c r="R34" i="1"/>
  <c r="T34" i="1" s="1"/>
  <c r="O22" i="1"/>
  <c r="S22" i="1" s="1"/>
  <c r="R22" i="1"/>
  <c r="O10" i="1"/>
  <c r="S10" i="1" s="1"/>
  <c r="R10" i="1"/>
  <c r="T10" i="1" s="1"/>
  <c r="R66" i="1"/>
  <c r="T66" i="1" s="1"/>
  <c r="S66" i="1"/>
  <c r="R63" i="1"/>
  <c r="T63" i="1" s="1"/>
  <c r="S63" i="1"/>
  <c r="S62" i="1"/>
  <c r="V62" i="1" s="1"/>
  <c r="R62" i="1"/>
  <c r="S58" i="1"/>
  <c r="V58" i="1" s="1"/>
  <c r="R58" i="1"/>
  <c r="R54" i="1"/>
  <c r="S54" i="1"/>
  <c r="V54" i="1" s="1"/>
  <c r="S31" i="1"/>
  <c r="R31" i="1"/>
  <c r="T31" i="1" s="1"/>
  <c r="S27" i="1"/>
  <c r="V27" i="1" s="1"/>
  <c r="R27" i="1"/>
  <c r="S15" i="1"/>
  <c r="R15" i="1"/>
  <c r="T15" i="1" s="1"/>
  <c r="R14" i="1"/>
  <c r="T14" i="1" s="1"/>
  <c r="S14" i="1"/>
  <c r="S7" i="1"/>
  <c r="R7" i="1"/>
  <c r="T7" i="1" s="1"/>
  <c r="Q11" i="1"/>
  <c r="Q61" i="1"/>
  <c r="Q60" i="1"/>
  <c r="Q59" i="1"/>
  <c r="Q47" i="1"/>
  <c r="Q34" i="1"/>
  <c r="Q22" i="1"/>
  <c r="V22" i="1"/>
  <c r="Q10" i="1"/>
  <c r="Q58" i="1"/>
  <c r="Q46" i="1"/>
  <c r="Q33" i="1"/>
  <c r="Q21" i="1"/>
  <c r="Q9" i="1"/>
  <c r="Q12" i="1"/>
  <c r="Q57" i="1"/>
  <c r="Q20" i="1"/>
  <c r="V56" i="1"/>
  <c r="Q56" i="1"/>
  <c r="Q44" i="1"/>
  <c r="Q31" i="1"/>
  <c r="Q19" i="1"/>
  <c r="Q7" i="1"/>
  <c r="Q32" i="1"/>
  <c r="P55" i="1"/>
  <c r="Q55" i="1"/>
  <c r="Q43" i="1"/>
  <c r="Q30" i="1"/>
  <c r="Q18" i="1"/>
  <c r="Q6" i="1"/>
  <c r="Q37" i="1"/>
  <c r="P37" i="1"/>
  <c r="Q8" i="1"/>
  <c r="Q66" i="1"/>
  <c r="Q54" i="1"/>
  <c r="V42" i="1"/>
  <c r="Q42" i="1"/>
  <c r="Q17" i="1"/>
  <c r="Q5" i="1"/>
  <c r="Q45" i="1"/>
  <c r="Q65" i="1"/>
  <c r="Q53" i="1"/>
  <c r="Q41" i="1"/>
  <c r="Q28" i="1"/>
  <c r="Q16" i="1"/>
  <c r="V4" i="1"/>
  <c r="Q4" i="1"/>
  <c r="Q49" i="1"/>
  <c r="Q48" i="1"/>
  <c r="Q64" i="1"/>
  <c r="Q52" i="1"/>
  <c r="Q40" i="1"/>
  <c r="Q27" i="1"/>
  <c r="Q15" i="1"/>
  <c r="Q3" i="1"/>
  <c r="Q24" i="1"/>
  <c r="Q23" i="1"/>
  <c r="Q63" i="1"/>
  <c r="Q51" i="1"/>
  <c r="V39" i="1"/>
  <c r="Q39" i="1"/>
  <c r="V26" i="1"/>
  <c r="Q26" i="1"/>
  <c r="Q14" i="1"/>
  <c r="Q36" i="1"/>
  <c r="Q62" i="1"/>
  <c r="Q50" i="1"/>
  <c r="Q38" i="1"/>
  <c r="V25" i="1"/>
  <c r="Q25" i="1"/>
  <c r="Q13" i="1"/>
  <c r="Q35" i="1"/>
  <c r="Q29" i="1"/>
  <c r="W11" i="1"/>
  <c r="P11" i="1" s="1"/>
  <c r="W59" i="1"/>
  <c r="P59" i="1" s="1"/>
  <c r="W58" i="1"/>
  <c r="P58" i="1" s="1"/>
  <c r="W56" i="1"/>
  <c r="P56" i="1" s="1"/>
  <c r="W54" i="1"/>
  <c r="W42" i="1"/>
  <c r="W41" i="1"/>
  <c r="W4" i="1"/>
  <c r="P4" i="1" s="1"/>
  <c r="W44" i="1" l="1"/>
  <c r="P44" i="1" s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V45" i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V74" i="1" l="1"/>
  <c r="P12" i="1"/>
  <c r="P15" i="1"/>
  <c r="P57" i="1"/>
  <c r="V2" i="1"/>
  <c r="V70" i="1" s="1"/>
  <c r="W2" i="1"/>
  <c r="P2" i="1" s="1"/>
  <c r="X69" i="1" l="1"/>
  <c r="X75" i="1" s="1"/>
  <c r="X66" i="1"/>
  <c r="X70" i="1"/>
  <c r="W70" i="1"/>
  <c r="W69" i="1"/>
  <c r="AA60" i="1" l="1"/>
  <c r="AA62" i="1" s="1"/>
  <c r="AA64" i="1" s="1"/>
  <c r="AA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<sst xmlns="http://schemas.openxmlformats.org/spreadsheetml/2006/main" count="475" uniqueCount="340">
  <si>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</si>
  <si>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</si>
  <si>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</si>
  <si>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</si>
  <si>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</si>
  <si>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</si>
  <si>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</si>
  <si>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</si>
  <si>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</si>
  <si>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</si>
  <si>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</si>
  <si>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</si>
  <si>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</si>
  <si>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</si>
  <si>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</si>
  <si>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</si>
  <si>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</si>
  <si>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</si>
  <si>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</si>
  <si>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</si>
  <si>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</si>
  <si>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</si>
  <si>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</si>
  <si>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</si>
  <si>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</si>
  <si>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</si>
  <si>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</si>
  <si>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</si>
  <si>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</si>
  <si>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</si>
  <si>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</si>
  <si>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</si>
  <si>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</si>
  <si>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</si>
  <si>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</si>
  <si>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</si>
  <si>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</si>
  <si>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</si>
  <si>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</si>
  <si>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</si>
  <si>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</si>
  <si>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</si>
  <si>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</si>
  <si>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</si>
  <si>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</si>
  <si>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</si>
  <si>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</si>
  <si>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</si>
  <si>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</si>
  <si>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</si>
  <si>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</si>
  <si>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</si>
  <si>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</si>
  <si>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</si>
  <si>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</si>
  <si>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</si>
  <si>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</si>
  <si>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</si>
  <si>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</si>
  <si>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</si>
  <si>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</si>
  <si>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</si>
  <si>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</si>
  <si>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</si>
  <si>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</si>
  <si>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</si>
  <si>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</si>
  <si>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</si>
  <si>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</si>
  <si>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</si>
  <si>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</si>
  <si>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</si>
  <si>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</si>
  <si>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</si>
  <si>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</si>
  <si>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</si>
  <si>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</si>
  <si>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</si>
  <si>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</si>
  <si>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</si>
  <si>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</si>
  <si>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</si>
  <si>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</si>
  <si>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</si>
  <si>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</si>
  <si>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</si>
  <si>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</si>
  <si>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</si>
  <si>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</si>
  <si>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</si>
  <si>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</si>
  <si>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</si>
  <si>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</si>
  <si>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</si>
  <si>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</si>
  <si>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</si>
  <si>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</si>
  <si>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</si>
  <si>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</si>
  <si>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</si>
  <si>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</si>
  <si>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</si>
  <si>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</si>
  <si>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</si>
  <si>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</si>
  <si>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</si>
  <si>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</si>
  <si>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</si>
  <si>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</si>
  <si>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</si>
  <si>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</si>
  <si>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</si>
  <si>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</si>
  <si>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</si>
  <si>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</si>
  <si>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</si>
  <si>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</si>
  <si>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</si>
  <si>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</si>
  <si>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</si>
  <si>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</si>
  <si>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</si>
  <si>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</si>
  <si>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</si>
  <si>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</si>
  <si>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</si>
  <si>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</si>
  <si>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</si>
  <si>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</si>
  <si>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</si>
  <si>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</si>
  <si>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</si>
  <si>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</si>
  <si>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</si>
  <si>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</si>
  <si>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</si>
  <si>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</si>
  <si>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</si>
  <si>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</si>
  <si>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</si>
  <si>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</si>
  <si>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</si>
  <si>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</si>
  <si>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</si>
  <si>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</si>
  <si>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</si>
  <si>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</si>
  <si>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</si>
  <si>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</si>
  <si>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</si>
  <si>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</si>
  <si>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</si>
  <si>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</si>
  <si>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</si>
  <si>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</si>
  <si>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</si>
  <si>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</si>
  <si>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</si>
  <si>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</si>
  <si>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</si>
  <si>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</si>
  <si>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</si>
  <si>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</si>
  <si>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</si>
  <si>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</si>
  <si>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</si>
  <si>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</si>
  <si>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</si>
  <si>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</si>
  <si>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</si>
  <si>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</si>
  <si>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</si>
  <si>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</si>
  <si>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</si>
  <si>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</si>
  <si>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</si>
  <si>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</si>
  <si>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</si>
  <si>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</si>
  <si>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</si>
  <si>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</si>
  <si>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</si>
  <si>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</si>
  <si>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</si>
  <si>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</si>
  <si>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</si>
  <si>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</si>
  <si>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</si>
  <si>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</si>
  <si>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</si>
  <si>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</si>
  <si>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</si>
  <si>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</si>
  <si>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</si>
  <si>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</si>
  <si>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</si>
  <si>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</si>
  <si>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</si>
  <si>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</si>
  <si>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</si>
  <si>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</si>
  <si>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</si>
  <si>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</si>
  <si>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</si>
  <si>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</si>
  <si>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</si>
  <si>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</si>
  <si>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</si>
  <si>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</si>
  <si>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</si>
  <si>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</si>
  <si>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</si>
  <si>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</si>
  <si>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</si>
  <si>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</si>
  <si>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</si>
  <si>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</si>
  <si>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</si>
  <si>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</si>
  <si>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</si>
  <si>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</si>
  <si>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</si>
  <si>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</si>
  <si>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</si>
  <si>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</si>
  <si>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</si>
  <si>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</si>
  <si>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</si>
  <si>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</si>
  <si>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</si>
  <si>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</si>
  <si>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</si>
  <si>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</si>
  <si>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</si>
  <si>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</si>
  <si>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</si>
  <si>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</si>
  <si>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</si>
  <si>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</si>
  <si>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</si>
  <si>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</si>
  <si>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</si>
  <si>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</si>
  <si>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</si>
  <si>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</si>
  <si>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</si>
  <si>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</si>
  <si>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</si>
  <si>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</si>
  <si>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</si>
  <si>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</si>
  <si>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</si>
  <si>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</si>
  <si>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</si>
  <si>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</si>
  <si>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</si>
  <si>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</si>
  <si>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</si>
  <si>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</si>
  <si>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</si>
  <si>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</si>
  <si>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</si>
  <si>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</si>
  <si>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</si>
  <si>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C97521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</si>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</sst>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44" fontId="0" fillId="0" borderId="0" xfId="42" applyFont="1"/>
    <xf numFmtId="0" fontId="0" fillId="0" borderId="0" xfId="0" applyAlignment="1">
      <alignment horizontal="left"/>
    </xf>
    <xf numFmtId="44" fontId="0" fillId="0" borderId="0" xfId="0" applyNumberFormat="1"/>
    <xf numFmtId="0" fontId="0" fillId="34" borderId="0" xfId="0" applyFill="1"/>
    <xf numFmtId="0" fontId="0" fillId="35" borderId="0" xfId="0" applyFill="1"/>
    <xf numFmtId="44" fontId="0" fillId="35" borderId="0" xfId="42" applyFont="1" applyFill="1"/>
    <xf numFmtId="0" fontId="0" fillId="35" borderId="0" xfId="0" applyFill="1" applyAlignment="1">
      <alignment horizontal="left"/>
    </xf>
    <xf numFmtId="0" fontId="0" fillId="35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A25" zoomScale="101" workbookViewId="0">
      <selection activeCell="J39" sqref="J39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4" max="24" width="17.88671875" customWidth="1"/>
    <col min="27" max="27" width="12.6640625" customWidth="1"/>
    <col min="28" max="28" width="13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318</v>
      </c>
      <c r="H1" t="s">
        <v>319</v>
      </c>
      <c r="I1" t="s">
        <v>202</v>
      </c>
      <c r="J1" t="s">
        <v>281</v>
      </c>
      <c r="K1" t="s">
        <v>255</v>
      </c>
      <c r="L1" t="s">
        <v>201</v>
      </c>
      <c r="M1" t="s">
        <v>256</v>
      </c>
      <c r="N1" t="s">
        <v>253</v>
      </c>
      <c r="O1" t="s">
        <v>288</v>
      </c>
      <c r="P1" t="s">
        <v>323</v>
      </c>
      <c r="Q1" t="s">
        <v>321</v>
      </c>
      <c r="R1" t="s">
        <v>289</v>
      </c>
      <c r="S1" t="s">
        <v>250</v>
      </c>
      <c r="T1" t="s">
        <v>251</v>
      </c>
      <c r="U1" t="s">
        <v>285</v>
      </c>
      <c r="V1" t="s">
        <v>252</v>
      </c>
    </row>
    <row r="2" spans="1:24" s="6" customFormat="1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6</v>
      </c>
      <c r="F2" s="6" t="s">
        <v>204</v>
      </c>
      <c r="G2" s="6" t="s">
        <v>290</v>
      </c>
      <c r="H2" s="6">
        <v>1.4710000000000001</v>
      </c>
      <c r="I2" s="6">
        <v>1.0630500000000001</v>
      </c>
      <c r="L2" s="6">
        <v>2</v>
      </c>
      <c r="M2" s="6">
        <f>L2-K2</f>
        <v>2</v>
      </c>
      <c r="N2" s="6">
        <v>3</v>
      </c>
      <c r="O2" s="6">
        <f>IF(M2-N2&lt;0,0, M2-N2)</f>
        <v>0</v>
      </c>
      <c r="P2" s="6">
        <f>IF(W2="DIGIKEY",O2,0)</f>
        <v>0</v>
      </c>
      <c r="Q2" s="6">
        <f>IFN2*8</f>
        <v>0</v>
      </c>
      <c r="R2" s="6">
        <f>M2*5</f>
        <v>10</v>
      </c>
      <c r="S2" s="6">
        <f t="shared" ref="S2:S65" si="0">IF(O2&gt;10,H2*O2,G2*O2)</f>
        <v>0</v>
      </c>
      <c r="T2" s="6">
        <f t="shared" ref="T2:T65" si="1">IF(ISBLANK(D2),"EMPTY",(I2*R2+IF(D2="yes",4.04,0)))</f>
        <v>14.670500000000001</v>
      </c>
      <c r="U2" s="6" t="s">
        <v>286</v>
      </c>
      <c r="V2" s="6">
        <f t="shared" ref="V2:V33" si="2">IF(T2="EMPTY",S2,IF(J2="Bottom",S2,IF(U2="DIGIKEY",S2,IF(U2="JLC",T2,IF(T2&lt;S2+0.2,T2,S2)))))</f>
        <v>0</v>
      </c>
      <c r="W2" s="6" t="str">
        <f t="shared" ref="W2:W33" si="3">IF(T2="EMPTY","DIGIKEY",IF(J2="Bottom","DIGIKEY",IF(U2="DIGIKEY",U2,IF(U2="JLC",U2,IF(T2&lt;S2+0.2,"JLC","DIGIKEY")))))</f>
        <v>DIGIKEY</v>
      </c>
    </row>
    <row r="3" spans="1:24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291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ref="O3:O66" si="5">IF(M3-N3&lt;0,0, M3-N3)</f>
        <v>3</v>
      </c>
      <c r="P3">
        <f t="shared" ref="P3:P66" si="6">IF(W3="DIGIKEY",O3,0)</f>
        <v>0</v>
      </c>
      <c r="Q3">
        <f t="shared" ref="Q3:Q66" si="7">M3*8</f>
        <v>24</v>
      </c>
      <c r="R3">
        <f t="shared" ref="R3:R66" si="8">M3*5</f>
        <v>15</v>
      </c>
      <c r="S3">
        <f t="shared" si="0"/>
        <v>1.53</v>
      </c>
      <c r="T3">
        <f t="shared" si="1"/>
        <v>0.96750000000000003</v>
      </c>
      <c r="V3">
        <f t="shared" si="2"/>
        <v>0.96750000000000003</v>
      </c>
      <c r="W3" t="str">
        <f t="shared" si="3"/>
        <v>JLC</v>
      </c>
    </row>
    <row r="4" spans="1:24" s="6" customFormat="1" x14ac:dyDescent="0.3">
      <c r="A4" s="6" t="s">
        <v>287</v>
      </c>
      <c r="B4" s="6" t="s">
        <v>14</v>
      </c>
      <c r="C4" s="6" t="s">
        <v>15</v>
      </c>
      <c r="E4" s="6" t="s">
        <v>16</v>
      </c>
      <c r="G4" s="6" t="s">
        <v>292</v>
      </c>
      <c r="H4" s="6">
        <v>7.53</v>
      </c>
      <c r="L4" s="6">
        <v>2</v>
      </c>
      <c r="M4" s="6">
        <f t="shared" si="4"/>
        <v>2</v>
      </c>
      <c r="N4" s="6">
        <v>8</v>
      </c>
      <c r="O4" s="6">
        <f t="shared" si="5"/>
        <v>0</v>
      </c>
      <c r="P4" s="6">
        <f t="shared" si="6"/>
        <v>0</v>
      </c>
      <c r="Q4" s="6">
        <f t="shared" si="7"/>
        <v>16</v>
      </c>
      <c r="R4" s="6">
        <f t="shared" si="8"/>
        <v>10</v>
      </c>
      <c r="S4" s="6">
        <f t="shared" si="0"/>
        <v>0</v>
      </c>
      <c r="T4" s="6" t="str">
        <f t="shared" si="1"/>
        <v>EMPTY</v>
      </c>
      <c r="U4" s="6" t="s">
        <v>286</v>
      </c>
      <c r="V4" s="6">
        <f t="shared" si="2"/>
        <v>0</v>
      </c>
      <c r="W4" s="6" t="str">
        <f t="shared" si="3"/>
        <v>DIGIKEY</v>
      </c>
      <c r="X4" s="6" t="s">
        <v>331</v>
      </c>
    </row>
    <row r="5" spans="1:24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293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5"/>
        <v>1</v>
      </c>
      <c r="P5">
        <f t="shared" si="6"/>
        <v>0</v>
      </c>
      <c r="Q5">
        <f t="shared" si="7"/>
        <v>8</v>
      </c>
      <c r="R5">
        <f t="shared" si="8"/>
        <v>5</v>
      </c>
      <c r="S5">
        <f t="shared" si="0"/>
        <v>0.14000000000000001</v>
      </c>
      <c r="T5">
        <f t="shared" si="1"/>
        <v>1.2999999999999999E-2</v>
      </c>
      <c r="V5">
        <f t="shared" si="2"/>
        <v>1.2999999999999999E-2</v>
      </c>
      <c r="W5" t="str">
        <f t="shared" si="3"/>
        <v>JLC</v>
      </c>
    </row>
    <row r="6" spans="1:24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293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5"/>
        <v>15</v>
      </c>
      <c r="P6">
        <f t="shared" si="6"/>
        <v>0</v>
      </c>
      <c r="Q6">
        <f t="shared" si="7"/>
        <v>120</v>
      </c>
      <c r="R6">
        <f t="shared" si="8"/>
        <v>75</v>
      </c>
      <c r="S6">
        <f t="shared" si="0"/>
        <v>0.48899999999999993</v>
      </c>
      <c r="T6">
        <f t="shared" si="1"/>
        <v>0.1575</v>
      </c>
      <c r="V6">
        <f t="shared" si="2"/>
        <v>0.1575</v>
      </c>
      <c r="W6" t="str">
        <f t="shared" si="3"/>
        <v>JLC</v>
      </c>
    </row>
    <row r="7" spans="1:24" s="6" customFormat="1" x14ac:dyDescent="0.3">
      <c r="A7" s="6" t="s">
        <v>24</v>
      </c>
      <c r="B7" s="6" t="s">
        <v>25</v>
      </c>
      <c r="C7" s="6" t="s">
        <v>26</v>
      </c>
      <c r="D7" s="6" t="s">
        <v>8</v>
      </c>
      <c r="E7" s="6" t="s">
        <v>27</v>
      </c>
      <c r="F7" s="6" t="s">
        <v>246</v>
      </c>
      <c r="G7" s="6" t="s">
        <v>294</v>
      </c>
      <c r="H7" s="6">
        <v>0.156</v>
      </c>
      <c r="I7" s="6">
        <v>3.9600000000000003E-2</v>
      </c>
      <c r="K7" s="6">
        <v>2</v>
      </c>
      <c r="L7" s="6">
        <v>2</v>
      </c>
      <c r="M7" s="6">
        <f t="shared" si="4"/>
        <v>0</v>
      </c>
      <c r="O7" s="6">
        <f t="shared" si="5"/>
        <v>0</v>
      </c>
      <c r="P7" s="6">
        <f t="shared" si="6"/>
        <v>0</v>
      </c>
      <c r="Q7" s="6">
        <f t="shared" si="7"/>
        <v>0</v>
      </c>
      <c r="R7" s="6">
        <f t="shared" si="8"/>
        <v>0</v>
      </c>
      <c r="S7" s="6">
        <f t="shared" si="0"/>
        <v>0</v>
      </c>
      <c r="T7" s="6">
        <f t="shared" si="1"/>
        <v>4.04</v>
      </c>
      <c r="U7" s="6" t="s">
        <v>286</v>
      </c>
      <c r="V7" s="6">
        <f t="shared" si="2"/>
        <v>0</v>
      </c>
      <c r="W7" s="6" t="str">
        <f t="shared" si="3"/>
        <v>DIGIKEY</v>
      </c>
    </row>
    <row r="8" spans="1:24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295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5"/>
        <v>4</v>
      </c>
      <c r="P8">
        <f t="shared" si="6"/>
        <v>0</v>
      </c>
      <c r="Q8">
        <f t="shared" si="7"/>
        <v>32</v>
      </c>
      <c r="R8">
        <f t="shared" si="8"/>
        <v>20</v>
      </c>
      <c r="S8">
        <f t="shared" si="0"/>
        <v>1.92</v>
      </c>
      <c r="T8">
        <f t="shared" si="1"/>
        <v>1.29</v>
      </c>
      <c r="V8">
        <f t="shared" si="2"/>
        <v>1.29</v>
      </c>
      <c r="W8" t="str">
        <f t="shared" si="3"/>
        <v>JLC</v>
      </c>
    </row>
    <row r="9" spans="1:24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296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5"/>
        <v>3</v>
      </c>
      <c r="P9">
        <f t="shared" si="6"/>
        <v>0</v>
      </c>
      <c r="Q9">
        <f t="shared" si="7"/>
        <v>24</v>
      </c>
      <c r="R9">
        <f t="shared" si="8"/>
        <v>15</v>
      </c>
      <c r="S9">
        <f t="shared" si="0"/>
        <v>0.60000000000000009</v>
      </c>
      <c r="T9">
        <f t="shared" si="1"/>
        <v>6.9000000000000006E-2</v>
      </c>
      <c r="V9">
        <f t="shared" si="2"/>
        <v>6.9000000000000006E-2</v>
      </c>
      <c r="W9" t="str">
        <f t="shared" si="3"/>
        <v>JLC</v>
      </c>
    </row>
    <row r="10" spans="1:24" s="6" customFormat="1" x14ac:dyDescent="0.3">
      <c r="A10" s="6" t="s">
        <v>34</v>
      </c>
      <c r="B10" s="6" t="s">
        <v>35</v>
      </c>
      <c r="C10" s="6" t="s">
        <v>19</v>
      </c>
      <c r="D10" s="6" t="s">
        <v>12</v>
      </c>
      <c r="E10" s="6" t="s">
        <v>36</v>
      </c>
      <c r="F10" s="6" t="s">
        <v>243</v>
      </c>
      <c r="G10" s="6" t="s">
        <v>293</v>
      </c>
      <c r="H10" s="6">
        <v>4.7E-2</v>
      </c>
      <c r="I10" s="6">
        <v>2.7000000000000001E-3</v>
      </c>
      <c r="L10" s="6">
        <v>2</v>
      </c>
      <c r="M10" s="6">
        <f t="shared" si="4"/>
        <v>2</v>
      </c>
      <c r="O10" s="6">
        <f t="shared" si="5"/>
        <v>2</v>
      </c>
      <c r="P10" s="6">
        <f t="shared" si="6"/>
        <v>0</v>
      </c>
      <c r="Q10" s="6">
        <f t="shared" si="7"/>
        <v>16</v>
      </c>
      <c r="R10" s="6">
        <f t="shared" si="8"/>
        <v>10</v>
      </c>
      <c r="S10" s="6">
        <f t="shared" si="0"/>
        <v>0.28000000000000003</v>
      </c>
      <c r="T10" s="6">
        <f t="shared" si="1"/>
        <v>2.7000000000000003E-2</v>
      </c>
      <c r="V10" s="6">
        <f t="shared" si="2"/>
        <v>2.7000000000000003E-2</v>
      </c>
      <c r="W10" s="6" t="str">
        <f t="shared" si="3"/>
        <v>JLC</v>
      </c>
    </row>
    <row r="11" spans="1:24" ht="13.8" customHeight="1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293</v>
      </c>
      <c r="H11">
        <v>6.4000000000000001E-2</v>
      </c>
      <c r="I11">
        <v>1.03E-2</v>
      </c>
      <c r="J11" t="s">
        <v>282</v>
      </c>
      <c r="L11">
        <v>1</v>
      </c>
      <c r="M11">
        <f t="shared" si="4"/>
        <v>1</v>
      </c>
      <c r="O11">
        <f t="shared" si="5"/>
        <v>1</v>
      </c>
      <c r="P11">
        <f t="shared" si="6"/>
        <v>1</v>
      </c>
      <c r="Q11">
        <f t="shared" si="7"/>
        <v>8</v>
      </c>
      <c r="R11">
        <f t="shared" si="8"/>
        <v>5</v>
      </c>
      <c r="S11">
        <f t="shared" si="0"/>
        <v>0.14000000000000001</v>
      </c>
      <c r="T11">
        <f t="shared" si="1"/>
        <v>5.1500000000000004E-2</v>
      </c>
      <c r="V11">
        <f t="shared" si="2"/>
        <v>0.14000000000000001</v>
      </c>
      <c r="W11" t="str">
        <f t="shared" si="3"/>
        <v>DIGIKEY</v>
      </c>
    </row>
    <row r="12" spans="1:24" s="6" customFormat="1" x14ac:dyDescent="0.3">
      <c r="A12" s="6" t="s">
        <v>40</v>
      </c>
      <c r="B12" s="6" t="s">
        <v>41</v>
      </c>
      <c r="C12" s="6" t="s">
        <v>42</v>
      </c>
      <c r="D12" s="6" t="s">
        <v>8</v>
      </c>
      <c r="E12" s="6" t="s">
        <v>330</v>
      </c>
      <c r="F12" s="6" t="s">
        <v>241</v>
      </c>
      <c r="G12" s="8">
        <v>0.61</v>
      </c>
      <c r="H12" s="6">
        <v>0.40799999999999997</v>
      </c>
      <c r="I12" s="6">
        <v>0.36230000000000001</v>
      </c>
      <c r="L12" s="6">
        <v>1</v>
      </c>
      <c r="M12" s="6">
        <f t="shared" si="4"/>
        <v>1</v>
      </c>
      <c r="N12" s="6">
        <v>5</v>
      </c>
      <c r="O12" s="6">
        <f t="shared" si="5"/>
        <v>0</v>
      </c>
      <c r="P12" s="6">
        <f t="shared" si="6"/>
        <v>0</v>
      </c>
      <c r="Q12" s="6">
        <f t="shared" si="7"/>
        <v>8</v>
      </c>
      <c r="R12" s="6">
        <f t="shared" si="8"/>
        <v>5</v>
      </c>
      <c r="S12" s="6">
        <f t="shared" si="0"/>
        <v>0</v>
      </c>
      <c r="T12" s="6">
        <f t="shared" si="1"/>
        <v>5.8514999999999997</v>
      </c>
      <c r="V12" s="6">
        <f t="shared" si="2"/>
        <v>0</v>
      </c>
      <c r="W12" s="6" t="str">
        <f t="shared" si="3"/>
        <v>DIGIKEY</v>
      </c>
    </row>
    <row r="13" spans="1:24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293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5"/>
        <v>2</v>
      </c>
      <c r="P13">
        <f t="shared" si="6"/>
        <v>0</v>
      </c>
      <c r="Q13">
        <f t="shared" si="7"/>
        <v>16</v>
      </c>
      <c r="R13">
        <f t="shared" si="8"/>
        <v>10</v>
      </c>
      <c r="S13">
        <f t="shared" si="0"/>
        <v>0.28000000000000003</v>
      </c>
      <c r="T13">
        <f t="shared" si="1"/>
        <v>5.1999999999999998E-2</v>
      </c>
      <c r="V13">
        <f t="shared" si="2"/>
        <v>5.1999999999999998E-2</v>
      </c>
      <c r="W13" t="str">
        <f t="shared" si="3"/>
        <v>JLC</v>
      </c>
    </row>
    <row r="14" spans="1:24" s="6" customFormat="1" x14ac:dyDescent="0.3">
      <c r="A14" s="6" t="s">
        <v>46</v>
      </c>
      <c r="B14" s="6" t="s">
        <v>47</v>
      </c>
      <c r="C14" s="6" t="s">
        <v>48</v>
      </c>
      <c r="D14" s="6" t="s">
        <v>8</v>
      </c>
      <c r="E14" s="6" t="s">
        <v>47</v>
      </c>
      <c r="F14" s="6" t="s">
        <v>239</v>
      </c>
      <c r="G14" s="8">
        <v>0.62</v>
      </c>
      <c r="H14" s="6">
        <v>0.53400000000000003</v>
      </c>
      <c r="I14" s="6">
        <v>7.5300000000000006E-2</v>
      </c>
      <c r="J14" s="6" t="s">
        <v>282</v>
      </c>
      <c r="K14" s="6">
        <v>2</v>
      </c>
      <c r="L14" s="6">
        <v>2</v>
      </c>
      <c r="M14" s="6">
        <f t="shared" si="4"/>
        <v>0</v>
      </c>
      <c r="O14" s="6">
        <f t="shared" si="5"/>
        <v>0</v>
      </c>
      <c r="P14" s="6">
        <f t="shared" si="6"/>
        <v>0</v>
      </c>
      <c r="Q14" s="6">
        <f t="shared" si="7"/>
        <v>0</v>
      </c>
      <c r="R14" s="6">
        <f t="shared" si="8"/>
        <v>0</v>
      </c>
      <c r="S14" s="6">
        <f t="shared" si="0"/>
        <v>0</v>
      </c>
      <c r="T14" s="6">
        <f t="shared" si="1"/>
        <v>4.04</v>
      </c>
      <c r="V14" s="6">
        <f t="shared" si="2"/>
        <v>0</v>
      </c>
      <c r="W14" s="6" t="str">
        <f t="shared" si="3"/>
        <v>DIGIKEY</v>
      </c>
    </row>
    <row r="15" spans="1:24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280</v>
      </c>
      <c r="G15" t="s">
        <v>297</v>
      </c>
      <c r="H15">
        <v>0.623</v>
      </c>
      <c r="I15">
        <v>6.5600000000000006E-2</v>
      </c>
      <c r="K15">
        <v>2</v>
      </c>
      <c r="L15">
        <v>2</v>
      </c>
      <c r="M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0"/>
        <v>0</v>
      </c>
      <c r="T15">
        <f t="shared" si="1"/>
        <v>4.04</v>
      </c>
      <c r="U15" t="s">
        <v>286</v>
      </c>
      <c r="V15">
        <f t="shared" si="2"/>
        <v>0</v>
      </c>
      <c r="W15" t="str">
        <f t="shared" si="3"/>
        <v>DIGIKEY</v>
      </c>
    </row>
    <row r="16" spans="1:24" s="6" customFormat="1" x14ac:dyDescent="0.3">
      <c r="A16" s="6" t="s">
        <v>51</v>
      </c>
      <c r="B16" s="6" t="s">
        <v>52</v>
      </c>
      <c r="C16" s="6" t="s">
        <v>53</v>
      </c>
      <c r="D16" s="6" t="s">
        <v>8</v>
      </c>
      <c r="E16" s="6" t="s">
        <v>54</v>
      </c>
      <c r="F16" s="6" t="s">
        <v>238</v>
      </c>
      <c r="G16" s="6" t="s">
        <v>298</v>
      </c>
      <c r="H16" s="6">
        <v>0.53</v>
      </c>
      <c r="I16" s="6">
        <v>0.1038</v>
      </c>
      <c r="L16" s="6">
        <v>1</v>
      </c>
      <c r="M16" s="6">
        <f t="shared" si="4"/>
        <v>1</v>
      </c>
      <c r="O16" s="6">
        <f t="shared" si="5"/>
        <v>1</v>
      </c>
      <c r="P16" s="6">
        <f t="shared" si="6"/>
        <v>1</v>
      </c>
      <c r="Q16" s="6">
        <f t="shared" si="7"/>
        <v>8</v>
      </c>
      <c r="R16" s="6">
        <f t="shared" si="8"/>
        <v>5</v>
      </c>
      <c r="S16" s="6">
        <f t="shared" si="0"/>
        <v>0.68</v>
      </c>
      <c r="T16" s="6">
        <f t="shared" si="1"/>
        <v>4.5590000000000002</v>
      </c>
      <c r="V16" s="6">
        <f t="shared" si="2"/>
        <v>0.68</v>
      </c>
      <c r="W16" s="6" t="str">
        <f t="shared" si="3"/>
        <v>DIGIKEY</v>
      </c>
    </row>
    <row r="17" spans="1:25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3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5"/>
        <v>1</v>
      </c>
      <c r="P17">
        <f t="shared" si="6"/>
        <v>0</v>
      </c>
      <c r="Q17">
        <f t="shared" si="7"/>
        <v>8</v>
      </c>
      <c r="R17">
        <f t="shared" si="8"/>
        <v>5</v>
      </c>
      <c r="S17">
        <f t="shared" si="0"/>
        <v>0.39</v>
      </c>
      <c r="T17">
        <f t="shared" si="1"/>
        <v>6.1000000000000006E-2</v>
      </c>
      <c r="V17">
        <f t="shared" si="2"/>
        <v>6.1000000000000006E-2</v>
      </c>
      <c r="W17" t="str">
        <f t="shared" si="3"/>
        <v>JLC</v>
      </c>
    </row>
    <row r="18" spans="1:25" s="6" customFormat="1" x14ac:dyDescent="0.3">
      <c r="A18" s="6" t="s">
        <v>59</v>
      </c>
      <c r="B18" s="6" t="s">
        <v>60</v>
      </c>
      <c r="C18" s="6" t="s">
        <v>53</v>
      </c>
      <c r="D18" s="6" t="s">
        <v>8</v>
      </c>
      <c r="E18" s="6" t="s">
        <v>61</v>
      </c>
      <c r="F18" s="6" t="s">
        <v>236</v>
      </c>
      <c r="G18" s="6" t="s">
        <v>298</v>
      </c>
      <c r="H18" s="6">
        <v>0.47399999999999998</v>
      </c>
      <c r="I18" s="6">
        <v>8.3299999999999999E-2</v>
      </c>
      <c r="L18" s="6">
        <v>1</v>
      </c>
      <c r="M18" s="6">
        <f t="shared" si="4"/>
        <v>1</v>
      </c>
      <c r="O18" s="6">
        <f t="shared" si="5"/>
        <v>1</v>
      </c>
      <c r="P18" s="6">
        <f t="shared" si="6"/>
        <v>0</v>
      </c>
      <c r="Q18" s="6">
        <f t="shared" si="7"/>
        <v>8</v>
      </c>
      <c r="R18" s="6">
        <f t="shared" si="8"/>
        <v>5</v>
      </c>
      <c r="S18" s="6">
        <f t="shared" si="0"/>
        <v>0.68</v>
      </c>
      <c r="T18" s="6">
        <f t="shared" si="1"/>
        <v>4.4565000000000001</v>
      </c>
      <c r="U18" s="6" t="s">
        <v>320</v>
      </c>
      <c r="V18" s="6">
        <f t="shared" si="2"/>
        <v>4.4565000000000001</v>
      </c>
      <c r="W18" s="6" t="str">
        <f t="shared" si="3"/>
        <v>JLC</v>
      </c>
    </row>
    <row r="19" spans="1:25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3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5"/>
        <v>3</v>
      </c>
      <c r="P19">
        <f t="shared" si="6"/>
        <v>0</v>
      </c>
      <c r="Q19">
        <f t="shared" si="7"/>
        <v>24</v>
      </c>
      <c r="R19">
        <f t="shared" si="8"/>
        <v>15</v>
      </c>
      <c r="S19">
        <f t="shared" si="0"/>
        <v>1.17</v>
      </c>
      <c r="T19">
        <f t="shared" si="1"/>
        <v>0.1905</v>
      </c>
      <c r="V19">
        <f t="shared" si="2"/>
        <v>0.1905</v>
      </c>
      <c r="W19" t="str">
        <f t="shared" si="3"/>
        <v>JLC</v>
      </c>
    </row>
    <row r="20" spans="1:25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3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5"/>
        <v>1</v>
      </c>
      <c r="P20">
        <f t="shared" si="6"/>
        <v>0</v>
      </c>
      <c r="Q20">
        <f t="shared" si="7"/>
        <v>8</v>
      </c>
      <c r="R20">
        <f t="shared" si="8"/>
        <v>5</v>
      </c>
      <c r="S20">
        <f t="shared" si="0"/>
        <v>0.39</v>
      </c>
      <c r="T20">
        <f t="shared" si="1"/>
        <v>4.7999999999999994E-2</v>
      </c>
      <c r="V20">
        <f t="shared" si="2"/>
        <v>4.7999999999999994E-2</v>
      </c>
      <c r="W20" t="str">
        <f t="shared" si="3"/>
        <v>JLC</v>
      </c>
    </row>
    <row r="21" spans="1:25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3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5"/>
        <v>2</v>
      </c>
      <c r="P21">
        <f t="shared" si="6"/>
        <v>0</v>
      </c>
      <c r="Q21">
        <f t="shared" si="7"/>
        <v>16</v>
      </c>
      <c r="R21">
        <f t="shared" si="8"/>
        <v>10</v>
      </c>
      <c r="S21">
        <f t="shared" si="0"/>
        <v>0.78</v>
      </c>
      <c r="T21">
        <f t="shared" si="1"/>
        <v>0.19500000000000001</v>
      </c>
      <c r="V21">
        <f t="shared" si="2"/>
        <v>0.19500000000000001</v>
      </c>
      <c r="W21" t="str">
        <f t="shared" si="3"/>
        <v>JLC</v>
      </c>
    </row>
    <row r="22" spans="1:25" s="6" customFormat="1" x14ac:dyDescent="0.3">
      <c r="A22" s="6" t="s">
        <v>71</v>
      </c>
      <c r="B22" s="9" t="s">
        <v>72</v>
      </c>
      <c r="C22" s="6" t="s">
        <v>53</v>
      </c>
      <c r="E22" s="6" t="s">
        <v>72</v>
      </c>
      <c r="F22" s="6" t="s">
        <v>105</v>
      </c>
      <c r="G22" s="6" t="s">
        <v>299</v>
      </c>
      <c r="H22" s="6">
        <v>0.436</v>
      </c>
      <c r="I22" s="6">
        <v>0.63</v>
      </c>
      <c r="J22" s="6" t="s">
        <v>282</v>
      </c>
      <c r="L22" s="6">
        <v>1</v>
      </c>
      <c r="M22" s="6">
        <f t="shared" si="4"/>
        <v>1</v>
      </c>
      <c r="O22" s="6">
        <f t="shared" si="5"/>
        <v>1</v>
      </c>
      <c r="P22" s="6">
        <f t="shared" si="6"/>
        <v>1</v>
      </c>
      <c r="Q22" s="6">
        <f t="shared" si="7"/>
        <v>8</v>
      </c>
      <c r="R22" s="6">
        <f t="shared" si="8"/>
        <v>5</v>
      </c>
      <c r="S22" s="6">
        <f t="shared" si="0"/>
        <v>0.61</v>
      </c>
      <c r="T22" s="6" t="str">
        <f t="shared" si="1"/>
        <v>EMPTY</v>
      </c>
      <c r="V22" s="6">
        <f t="shared" si="2"/>
        <v>0.61</v>
      </c>
      <c r="W22" s="6" t="str">
        <f t="shared" si="3"/>
        <v>DIGIKEY</v>
      </c>
    </row>
    <row r="23" spans="1:25" s="6" customFormat="1" x14ac:dyDescent="0.3">
      <c r="A23" s="6" t="s">
        <v>73</v>
      </c>
      <c r="B23" s="6" t="s">
        <v>254</v>
      </c>
      <c r="C23" s="6" t="s">
        <v>74</v>
      </c>
      <c r="D23" s="6" t="s">
        <v>12</v>
      </c>
      <c r="E23" s="6" t="s">
        <v>254</v>
      </c>
      <c r="F23" s="6" t="s">
        <v>232</v>
      </c>
      <c r="G23" s="8">
        <v>0.17</v>
      </c>
      <c r="H23" s="6">
        <v>0.122</v>
      </c>
      <c r="I23" s="6">
        <v>0.1038</v>
      </c>
      <c r="J23" s="6" t="s">
        <v>282</v>
      </c>
      <c r="L23" s="6">
        <v>1</v>
      </c>
      <c r="M23" s="6">
        <f t="shared" si="4"/>
        <v>1</v>
      </c>
      <c r="O23" s="6">
        <f t="shared" si="5"/>
        <v>1</v>
      </c>
      <c r="P23" s="6">
        <f t="shared" si="6"/>
        <v>1</v>
      </c>
      <c r="Q23" s="6">
        <f t="shared" si="7"/>
        <v>8</v>
      </c>
      <c r="R23" s="6">
        <f t="shared" si="8"/>
        <v>5</v>
      </c>
      <c r="S23" s="6">
        <f t="shared" si="0"/>
        <v>0.17</v>
      </c>
      <c r="T23" s="6">
        <f t="shared" si="1"/>
        <v>0.51900000000000002</v>
      </c>
      <c r="V23" s="6">
        <f t="shared" si="2"/>
        <v>0.17</v>
      </c>
      <c r="W23" s="6" t="str">
        <f t="shared" si="3"/>
        <v>DIGIKEY</v>
      </c>
    </row>
    <row r="24" spans="1:25" s="6" customFormat="1" x14ac:dyDescent="0.3">
      <c r="A24" s="6" t="s">
        <v>75</v>
      </c>
      <c r="B24" s="6" t="s">
        <v>76</v>
      </c>
      <c r="C24" s="6" t="s">
        <v>77</v>
      </c>
      <c r="D24" s="6" t="s">
        <v>8</v>
      </c>
      <c r="E24" s="6" t="s">
        <v>76</v>
      </c>
      <c r="F24" s="6" t="s">
        <v>231</v>
      </c>
      <c r="G24" s="8">
        <v>1.54</v>
      </c>
      <c r="H24" s="6">
        <v>1.4</v>
      </c>
      <c r="I24" s="6">
        <v>9.9199999999999997E-2</v>
      </c>
      <c r="L24" s="6">
        <v>1</v>
      </c>
      <c r="M24" s="6">
        <f t="shared" si="4"/>
        <v>1</v>
      </c>
      <c r="O24" s="6">
        <f t="shared" si="5"/>
        <v>1</v>
      </c>
      <c r="P24" s="6">
        <f t="shared" si="6"/>
        <v>1</v>
      </c>
      <c r="Q24" s="6">
        <f t="shared" si="7"/>
        <v>8</v>
      </c>
      <c r="R24" s="6">
        <f t="shared" si="8"/>
        <v>5</v>
      </c>
      <c r="S24" s="6">
        <f t="shared" si="0"/>
        <v>1.54</v>
      </c>
      <c r="T24" s="6">
        <f t="shared" si="1"/>
        <v>4.5359999999999996</v>
      </c>
      <c r="U24" s="6" t="s">
        <v>286</v>
      </c>
      <c r="V24" s="6">
        <f t="shared" si="2"/>
        <v>1.54</v>
      </c>
      <c r="W24" s="6" t="str">
        <f t="shared" si="3"/>
        <v>DIGIKEY</v>
      </c>
    </row>
    <row r="25" spans="1:25" x14ac:dyDescent="0.3">
      <c r="A25" t="s">
        <v>78</v>
      </c>
      <c r="B25" t="s">
        <v>79</v>
      </c>
      <c r="C25" t="s">
        <v>80</v>
      </c>
      <c r="E25" t="s">
        <v>81</v>
      </c>
      <c r="G25" t="s">
        <v>300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0"/>
        <v>0</v>
      </c>
      <c r="T25" t="str">
        <f t="shared" si="1"/>
        <v>EMPTY</v>
      </c>
      <c r="V25">
        <f t="shared" si="2"/>
        <v>0</v>
      </c>
      <c r="W25" t="str">
        <f t="shared" si="3"/>
        <v>DIGIKEY</v>
      </c>
    </row>
    <row r="26" spans="1:25" s="6" customFormat="1" x14ac:dyDescent="0.3">
      <c r="A26" s="6" t="s">
        <v>82</v>
      </c>
      <c r="B26" s="6" t="s">
        <v>83</v>
      </c>
      <c r="C26" s="6" t="s">
        <v>84</v>
      </c>
      <c r="E26" s="6" t="s">
        <v>85</v>
      </c>
      <c r="G26" s="6" t="s">
        <v>301</v>
      </c>
      <c r="H26" s="6">
        <v>1.3140000000000001</v>
      </c>
      <c r="I26" s="6">
        <v>1.61</v>
      </c>
      <c r="L26" s="6">
        <v>1</v>
      </c>
      <c r="M26" s="6">
        <f t="shared" si="4"/>
        <v>1</v>
      </c>
      <c r="O26" s="6">
        <f t="shared" si="5"/>
        <v>1</v>
      </c>
      <c r="P26" s="6">
        <f t="shared" si="6"/>
        <v>1</v>
      </c>
      <c r="Q26" s="6">
        <f t="shared" si="7"/>
        <v>8</v>
      </c>
      <c r="R26" s="6">
        <f t="shared" si="8"/>
        <v>5</v>
      </c>
      <c r="S26" s="6">
        <f t="shared" si="0"/>
        <v>1.56</v>
      </c>
      <c r="T26" s="6" t="str">
        <f t="shared" si="1"/>
        <v>EMPTY</v>
      </c>
      <c r="V26" s="6">
        <f t="shared" si="2"/>
        <v>1.56</v>
      </c>
      <c r="W26" s="6" t="str">
        <f t="shared" si="3"/>
        <v>DIGIKEY</v>
      </c>
    </row>
    <row r="27" spans="1:25" x14ac:dyDescent="0.3">
      <c r="A27" t="s">
        <v>86</v>
      </c>
      <c r="B27" t="s">
        <v>87</v>
      </c>
      <c r="C27" t="s">
        <v>88</v>
      </c>
      <c r="E27" t="s">
        <v>89</v>
      </c>
      <c r="G27" t="s">
        <v>302</v>
      </c>
      <c r="H27">
        <v>0.60599999999999998</v>
      </c>
      <c r="I27">
        <v>0.31</v>
      </c>
      <c r="K27">
        <v>1</v>
      </c>
      <c r="L27">
        <v>1</v>
      </c>
      <c r="M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0"/>
        <v>0</v>
      </c>
      <c r="T27" t="str">
        <f t="shared" si="1"/>
        <v>EMPTY</v>
      </c>
      <c r="V27">
        <f t="shared" si="2"/>
        <v>0</v>
      </c>
      <c r="W27" t="str">
        <f t="shared" si="3"/>
        <v>DIGIKEY</v>
      </c>
    </row>
    <row r="28" spans="1:25" x14ac:dyDescent="0.3">
      <c r="A28" t="s">
        <v>90</v>
      </c>
      <c r="B28" t="s">
        <v>91</v>
      </c>
      <c r="C28" t="s">
        <v>92</v>
      </c>
      <c r="E28" t="s">
        <v>257</v>
      </c>
      <c r="G28" t="s">
        <v>303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0"/>
        <v>0</v>
      </c>
      <c r="T28" t="str">
        <f t="shared" si="1"/>
        <v>EMPTY</v>
      </c>
      <c r="V28">
        <f t="shared" si="2"/>
        <v>0</v>
      </c>
      <c r="W28" t="str">
        <f t="shared" si="3"/>
        <v>DIGIKEY</v>
      </c>
    </row>
    <row r="29" spans="1:25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3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5"/>
        <v>2</v>
      </c>
      <c r="P29">
        <f t="shared" si="6"/>
        <v>0</v>
      </c>
      <c r="Q29">
        <f t="shared" si="7"/>
        <v>16</v>
      </c>
      <c r="R29">
        <f t="shared" si="8"/>
        <v>10</v>
      </c>
      <c r="S29">
        <f t="shared" si="0"/>
        <v>1</v>
      </c>
      <c r="T29">
        <f t="shared" si="1"/>
        <v>0.128</v>
      </c>
      <c r="V29">
        <f t="shared" si="2"/>
        <v>0.128</v>
      </c>
      <c r="W29" t="str">
        <f t="shared" si="3"/>
        <v>JLC</v>
      </c>
    </row>
    <row r="30" spans="1:25" s="6" customFormat="1" x14ac:dyDescent="0.3">
      <c r="A30" s="6" t="s">
        <v>96</v>
      </c>
      <c r="B30" s="6" t="s">
        <v>259</v>
      </c>
      <c r="C30" s="6" t="s">
        <v>97</v>
      </c>
      <c r="D30" s="6" t="s">
        <v>8</v>
      </c>
      <c r="E30" s="6" t="s">
        <v>259</v>
      </c>
      <c r="F30" s="6" t="s">
        <v>230</v>
      </c>
      <c r="G30" s="6" t="s">
        <v>304</v>
      </c>
      <c r="H30" s="6">
        <v>1.17</v>
      </c>
      <c r="I30" s="6">
        <v>0.46500000000000002</v>
      </c>
      <c r="L30" s="6">
        <v>1</v>
      </c>
      <c r="M30" s="6">
        <f t="shared" si="4"/>
        <v>1</v>
      </c>
      <c r="N30" s="6">
        <v>10</v>
      </c>
      <c r="O30" s="6">
        <f t="shared" si="5"/>
        <v>0</v>
      </c>
      <c r="P30" s="6">
        <f t="shared" si="6"/>
        <v>0</v>
      </c>
      <c r="Q30" s="6">
        <f t="shared" si="7"/>
        <v>8</v>
      </c>
      <c r="R30" s="6">
        <f t="shared" si="8"/>
        <v>5</v>
      </c>
      <c r="S30" s="6">
        <f t="shared" si="0"/>
        <v>0</v>
      </c>
      <c r="T30" s="6">
        <f t="shared" si="1"/>
        <v>6.3650000000000002</v>
      </c>
      <c r="U30" s="6" t="s">
        <v>286</v>
      </c>
      <c r="V30" s="6">
        <f t="shared" si="2"/>
        <v>0</v>
      </c>
      <c r="W30" s="6" t="str">
        <f t="shared" si="3"/>
        <v>DIGIKEY</v>
      </c>
    </row>
    <row r="31" spans="1:25" s="6" customFormat="1" x14ac:dyDescent="0.3">
      <c r="A31" s="6" t="s">
        <v>98</v>
      </c>
      <c r="B31" s="9" t="s">
        <v>100</v>
      </c>
      <c r="C31" s="6" t="s">
        <v>99</v>
      </c>
      <c r="D31" s="6" t="s">
        <v>8</v>
      </c>
      <c r="E31" s="6" t="s">
        <v>100</v>
      </c>
      <c r="F31" s="6" t="s">
        <v>229</v>
      </c>
      <c r="G31" s="6" t="s">
        <v>305</v>
      </c>
      <c r="H31" s="6">
        <v>6.22</v>
      </c>
      <c r="I31" s="6">
        <v>4.0393999999999997</v>
      </c>
      <c r="K31" s="6">
        <v>2</v>
      </c>
      <c r="L31" s="6">
        <v>2</v>
      </c>
      <c r="M31" s="6">
        <f t="shared" si="4"/>
        <v>0</v>
      </c>
      <c r="N31" s="6">
        <v>15</v>
      </c>
      <c r="O31" s="6">
        <f t="shared" si="5"/>
        <v>0</v>
      </c>
      <c r="P31" s="6">
        <f t="shared" si="6"/>
        <v>0</v>
      </c>
      <c r="Q31" s="6">
        <f t="shared" si="7"/>
        <v>0</v>
      </c>
      <c r="R31" s="6">
        <f t="shared" si="8"/>
        <v>0</v>
      </c>
      <c r="S31" s="6">
        <f t="shared" si="0"/>
        <v>0</v>
      </c>
      <c r="T31" s="6">
        <f t="shared" si="1"/>
        <v>4.04</v>
      </c>
      <c r="U31" s="6" t="s">
        <v>286</v>
      </c>
      <c r="V31" s="6">
        <f t="shared" si="2"/>
        <v>0</v>
      </c>
      <c r="W31" s="6" t="str">
        <f t="shared" si="3"/>
        <v>DIGIKEY</v>
      </c>
      <c r="X31" s="6" t="s">
        <v>331</v>
      </c>
      <c r="Y31" s="6" t="s">
        <v>333</v>
      </c>
    </row>
    <row r="32" spans="1:25" s="6" customFormat="1" x14ac:dyDescent="0.3">
      <c r="A32" s="6" t="s">
        <v>101</v>
      </c>
      <c r="B32" s="9" t="s">
        <v>102</v>
      </c>
      <c r="C32" s="6" t="s">
        <v>95</v>
      </c>
      <c r="E32" s="6" t="s">
        <v>102</v>
      </c>
      <c r="F32" s="6" t="s">
        <v>228</v>
      </c>
      <c r="G32" s="6" t="s">
        <v>306</v>
      </c>
      <c r="H32" s="6">
        <v>0.65</v>
      </c>
      <c r="J32" s="6" t="s">
        <v>282</v>
      </c>
      <c r="L32" s="6">
        <v>1</v>
      </c>
      <c r="M32" s="6">
        <f t="shared" si="4"/>
        <v>1</v>
      </c>
      <c r="O32" s="6">
        <f t="shared" si="5"/>
        <v>1</v>
      </c>
      <c r="P32" s="6">
        <f t="shared" si="6"/>
        <v>1</v>
      </c>
      <c r="Q32" s="6">
        <f t="shared" si="7"/>
        <v>8</v>
      </c>
      <c r="R32" s="6">
        <f t="shared" si="8"/>
        <v>5</v>
      </c>
      <c r="S32" s="6">
        <f t="shared" si="0"/>
        <v>0.65</v>
      </c>
      <c r="T32" s="6" t="str">
        <f t="shared" si="1"/>
        <v>EMPTY</v>
      </c>
      <c r="V32" s="6">
        <f t="shared" si="2"/>
        <v>0.65</v>
      </c>
      <c r="W32" s="6" t="str">
        <f t="shared" si="3"/>
        <v>DIGIKEY</v>
      </c>
    </row>
    <row r="33" spans="1:23" s="6" customFormat="1" x14ac:dyDescent="0.3">
      <c r="A33" s="6" t="s">
        <v>103</v>
      </c>
      <c r="B33" s="6" t="s">
        <v>104</v>
      </c>
      <c r="C33" s="6" t="s">
        <v>97</v>
      </c>
      <c r="E33" s="6" t="s">
        <v>104</v>
      </c>
      <c r="G33" s="6" t="s">
        <v>307</v>
      </c>
      <c r="H33" s="6">
        <v>0.65300000000000002</v>
      </c>
      <c r="J33" s="6" t="s">
        <v>282</v>
      </c>
      <c r="L33" s="6">
        <v>1</v>
      </c>
      <c r="M33" s="6">
        <f t="shared" si="4"/>
        <v>1</v>
      </c>
      <c r="N33" s="6">
        <v>10</v>
      </c>
      <c r="O33" s="6">
        <f t="shared" si="5"/>
        <v>0</v>
      </c>
      <c r="P33" s="6">
        <f t="shared" si="6"/>
        <v>0</v>
      </c>
      <c r="Q33" s="6">
        <f t="shared" si="7"/>
        <v>8</v>
      </c>
      <c r="R33" s="6">
        <f t="shared" si="8"/>
        <v>5</v>
      </c>
      <c r="S33" s="6">
        <f t="shared" si="0"/>
        <v>0</v>
      </c>
      <c r="T33" s="6" t="str">
        <f t="shared" si="1"/>
        <v>EMPTY</v>
      </c>
      <c r="V33" s="6">
        <f t="shared" si="2"/>
        <v>0</v>
      </c>
      <c r="W33" s="6" t="str">
        <f t="shared" si="3"/>
        <v>DIGIKEY</v>
      </c>
    </row>
    <row r="34" spans="1:23" x14ac:dyDescent="0.3">
      <c r="A34" t="s">
        <v>283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3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5"/>
        <v>5</v>
      </c>
      <c r="P34">
        <f t="shared" si="6"/>
        <v>0</v>
      </c>
      <c r="Q34">
        <f t="shared" si="7"/>
        <v>40</v>
      </c>
      <c r="R34">
        <f t="shared" si="8"/>
        <v>25</v>
      </c>
      <c r="S34">
        <f t="shared" si="0"/>
        <v>0.75</v>
      </c>
      <c r="T34">
        <f t="shared" si="1"/>
        <v>2.2499999999999999E-2</v>
      </c>
      <c r="V34">
        <f t="shared" ref="V34:V65" si="9">IF(T34="EMPTY",S34,IF(J34="Bottom",S34,IF(U34="DIGIKEY",S34,IF(U34="JLC",T34,IF(T34&lt;S34+0.2,T34,S34)))))</f>
        <v>2.2499999999999999E-2</v>
      </c>
      <c r="W34" t="str">
        <f t="shared" ref="W34:W66" si="10">IF(T34="EMPTY","DIGIKEY",IF(J34="Bottom","DIGIKEY",IF(U34="DIGIKEY",U34,IF(U34="JLC",U34,IF(T34&lt;S34+0.2,"JLC","DIGIKEY")))))</f>
        <v>JLC</v>
      </c>
    </row>
    <row r="35" spans="1:23" s="6" customFormat="1" x14ac:dyDescent="0.3">
      <c r="A35" s="6" t="s">
        <v>284</v>
      </c>
      <c r="B35" s="6" t="s">
        <v>106</v>
      </c>
      <c r="C35" s="6" t="s">
        <v>107</v>
      </c>
      <c r="D35" s="6" t="s">
        <v>12</v>
      </c>
      <c r="E35" s="6" t="s">
        <v>108</v>
      </c>
      <c r="F35" s="6" t="s">
        <v>227</v>
      </c>
      <c r="G35" s="8">
        <v>0.15</v>
      </c>
      <c r="H35" s="6">
        <v>2.3E-2</v>
      </c>
      <c r="I35" s="6">
        <v>8.9999999999999998E-4</v>
      </c>
      <c r="J35" s="6" t="s">
        <v>282</v>
      </c>
      <c r="L35" s="6">
        <v>1</v>
      </c>
      <c r="M35" s="6">
        <f t="shared" si="4"/>
        <v>1</v>
      </c>
      <c r="O35" s="6">
        <f t="shared" si="5"/>
        <v>1</v>
      </c>
      <c r="P35" s="6">
        <f t="shared" si="6"/>
        <v>1</v>
      </c>
      <c r="Q35" s="6">
        <f t="shared" si="7"/>
        <v>8</v>
      </c>
      <c r="R35" s="6">
        <f t="shared" si="8"/>
        <v>5</v>
      </c>
      <c r="S35" s="6">
        <f t="shared" si="0"/>
        <v>0.15</v>
      </c>
      <c r="T35" s="6">
        <f t="shared" si="1"/>
        <v>4.4999999999999997E-3</v>
      </c>
      <c r="V35" s="6">
        <f t="shared" si="9"/>
        <v>0.15</v>
      </c>
      <c r="W35" s="6" t="str">
        <f t="shared" si="10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3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5"/>
        <v>9</v>
      </c>
      <c r="P36">
        <f t="shared" si="6"/>
        <v>0</v>
      </c>
      <c r="Q36">
        <f t="shared" si="7"/>
        <v>72</v>
      </c>
      <c r="R36">
        <f t="shared" si="8"/>
        <v>45</v>
      </c>
      <c r="S36">
        <f t="shared" si="0"/>
        <v>1.3499999999999999</v>
      </c>
      <c r="T36">
        <f t="shared" si="1"/>
        <v>3.6000000000000004E-2</v>
      </c>
      <c r="V36">
        <f t="shared" si="9"/>
        <v>3.6000000000000004E-2</v>
      </c>
      <c r="W36" t="str">
        <f t="shared" si="10"/>
        <v>JLC</v>
      </c>
    </row>
    <row r="37" spans="1:23" s="6" customFormat="1" x14ac:dyDescent="0.3">
      <c r="A37" s="6" t="s">
        <v>112</v>
      </c>
      <c r="B37" s="6" t="s">
        <v>113</v>
      </c>
      <c r="C37" s="6" t="s">
        <v>107</v>
      </c>
      <c r="E37" s="6" t="s">
        <v>324</v>
      </c>
      <c r="F37" s="6" t="s">
        <v>225</v>
      </c>
      <c r="G37" s="8">
        <v>0.15</v>
      </c>
      <c r="H37" s="6">
        <v>2.3E-2</v>
      </c>
      <c r="I37" s="6">
        <v>1E-3</v>
      </c>
      <c r="L37" s="6">
        <v>1</v>
      </c>
      <c r="M37" s="6">
        <f t="shared" si="4"/>
        <v>1</v>
      </c>
      <c r="O37" s="6">
        <f t="shared" si="5"/>
        <v>1</v>
      </c>
      <c r="P37" s="6">
        <f t="shared" si="6"/>
        <v>1</v>
      </c>
      <c r="Q37" s="6">
        <f t="shared" si="7"/>
        <v>8</v>
      </c>
      <c r="R37" s="6">
        <f t="shared" si="8"/>
        <v>5</v>
      </c>
      <c r="S37" s="6">
        <f t="shared" si="0"/>
        <v>0.15</v>
      </c>
      <c r="T37" s="6" t="str">
        <f t="shared" si="1"/>
        <v>EMPTY</v>
      </c>
      <c r="V37" s="6">
        <f t="shared" si="9"/>
        <v>0.15</v>
      </c>
      <c r="W37" s="6" t="str">
        <f t="shared" si="10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3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5"/>
        <v>2</v>
      </c>
      <c r="P38">
        <f t="shared" si="6"/>
        <v>0</v>
      </c>
      <c r="Q38">
        <f t="shared" si="7"/>
        <v>16</v>
      </c>
      <c r="R38">
        <f t="shared" si="8"/>
        <v>10</v>
      </c>
      <c r="S38">
        <f t="shared" si="0"/>
        <v>0.3</v>
      </c>
      <c r="T38">
        <f t="shared" si="1"/>
        <v>0.01</v>
      </c>
      <c r="V38">
        <f t="shared" si="9"/>
        <v>0.01</v>
      </c>
      <c r="W38" t="str">
        <f t="shared" si="10"/>
        <v>JLC</v>
      </c>
    </row>
    <row r="39" spans="1:23" s="6" customFormat="1" x14ac:dyDescent="0.3">
      <c r="A39" s="6" t="s">
        <v>117</v>
      </c>
      <c r="B39" s="6" t="s">
        <v>118</v>
      </c>
      <c r="C39" s="6" t="s">
        <v>107</v>
      </c>
      <c r="E39" s="6" t="s">
        <v>119</v>
      </c>
      <c r="F39" s="6" t="s">
        <v>223</v>
      </c>
      <c r="G39" s="8">
        <v>0.15</v>
      </c>
      <c r="H39" s="6">
        <v>2.3E-2</v>
      </c>
      <c r="I39" s="6">
        <v>8.9999999999999998E-4</v>
      </c>
      <c r="L39" s="6">
        <v>1</v>
      </c>
      <c r="M39" s="6">
        <f t="shared" si="4"/>
        <v>1</v>
      </c>
      <c r="O39" s="6">
        <f t="shared" si="5"/>
        <v>1</v>
      </c>
      <c r="P39" s="6">
        <f t="shared" si="6"/>
        <v>1</v>
      </c>
      <c r="Q39" s="6">
        <f t="shared" si="7"/>
        <v>8</v>
      </c>
      <c r="R39" s="6">
        <f t="shared" si="8"/>
        <v>5</v>
      </c>
      <c r="S39" s="6">
        <f t="shared" si="0"/>
        <v>0.15</v>
      </c>
      <c r="T39" s="6" t="str">
        <f t="shared" si="1"/>
        <v>EMPTY</v>
      </c>
      <c r="V39" s="6">
        <f t="shared" si="9"/>
        <v>0.15</v>
      </c>
      <c r="W39" s="6" t="str">
        <f t="shared" si="10"/>
        <v>DIGIKEY</v>
      </c>
    </row>
    <row r="40" spans="1:23" s="6" customFormat="1" x14ac:dyDescent="0.3">
      <c r="A40" s="6" t="s">
        <v>120</v>
      </c>
      <c r="B40" s="6" t="s">
        <v>121</v>
      </c>
      <c r="C40" s="6" t="s">
        <v>107</v>
      </c>
      <c r="E40" s="6" t="s">
        <v>122</v>
      </c>
      <c r="F40" s="6" t="s">
        <v>222</v>
      </c>
      <c r="G40" s="8">
        <v>0.15</v>
      </c>
      <c r="H40" s="6">
        <v>2.3E-2</v>
      </c>
      <c r="I40" s="6">
        <v>1E-3</v>
      </c>
      <c r="L40" s="6">
        <v>1</v>
      </c>
      <c r="M40" s="6">
        <f t="shared" si="4"/>
        <v>1</v>
      </c>
      <c r="O40" s="6">
        <f t="shared" si="5"/>
        <v>1</v>
      </c>
      <c r="P40" s="6">
        <f t="shared" si="6"/>
        <v>1</v>
      </c>
      <c r="Q40" s="6">
        <f t="shared" si="7"/>
        <v>8</v>
      </c>
      <c r="R40" s="6">
        <f t="shared" si="8"/>
        <v>5</v>
      </c>
      <c r="S40" s="6">
        <f t="shared" si="0"/>
        <v>0.15</v>
      </c>
      <c r="T40" s="6" t="str">
        <f t="shared" si="1"/>
        <v>EMPTY</v>
      </c>
      <c r="V40" s="6">
        <f t="shared" si="9"/>
        <v>0.15</v>
      </c>
      <c r="W40" s="6" t="str">
        <f t="shared" si="10"/>
        <v>DIGIKEY</v>
      </c>
    </row>
    <row r="41" spans="1:23" s="6" customFormat="1" x14ac:dyDescent="0.3">
      <c r="A41" s="6" t="s">
        <v>123</v>
      </c>
      <c r="B41" s="6" t="s">
        <v>124</v>
      </c>
      <c r="C41" s="6" t="s">
        <v>125</v>
      </c>
      <c r="E41" s="6" t="s">
        <v>325</v>
      </c>
      <c r="F41" s="6" t="s">
        <v>221</v>
      </c>
      <c r="G41" s="6" t="s">
        <v>308</v>
      </c>
      <c r="H41" s="6">
        <v>0.70499999999999996</v>
      </c>
      <c r="I41" s="6">
        <v>6.9500000000000006E-2</v>
      </c>
      <c r="L41" s="6">
        <v>1</v>
      </c>
      <c r="M41" s="6">
        <f t="shared" si="4"/>
        <v>1</v>
      </c>
      <c r="O41" s="6">
        <f t="shared" si="5"/>
        <v>1</v>
      </c>
      <c r="P41" s="6">
        <f t="shared" si="6"/>
        <v>1</v>
      </c>
      <c r="Q41" s="6">
        <f t="shared" si="7"/>
        <v>8</v>
      </c>
      <c r="R41" s="6">
        <f t="shared" si="8"/>
        <v>5</v>
      </c>
      <c r="S41" s="6">
        <f t="shared" si="0"/>
        <v>1.21</v>
      </c>
      <c r="T41" s="6" t="str">
        <f t="shared" si="1"/>
        <v>EMPTY</v>
      </c>
      <c r="V41" s="6">
        <f t="shared" si="9"/>
        <v>1.21</v>
      </c>
      <c r="W41" s="6" t="str">
        <f t="shared" si="10"/>
        <v>DIGIKEY</v>
      </c>
    </row>
    <row r="42" spans="1:23" s="6" customFormat="1" x14ac:dyDescent="0.3">
      <c r="A42" s="6" t="s">
        <v>126</v>
      </c>
      <c r="B42" s="8">
        <v>2</v>
      </c>
      <c r="C42" s="6" t="s">
        <v>127</v>
      </c>
      <c r="E42" s="6" t="s">
        <v>128</v>
      </c>
      <c r="F42" s="6" t="s">
        <v>220</v>
      </c>
      <c r="G42" s="8">
        <v>0.15</v>
      </c>
      <c r="H42" s="6">
        <v>2.3E-2</v>
      </c>
      <c r="I42" s="6">
        <v>2.5000000000000001E-3</v>
      </c>
      <c r="L42" s="6">
        <v>2</v>
      </c>
      <c r="M42" s="6">
        <f t="shared" si="4"/>
        <v>2</v>
      </c>
      <c r="O42" s="6">
        <f t="shared" si="5"/>
        <v>2</v>
      </c>
      <c r="P42" s="6">
        <f t="shared" si="6"/>
        <v>2</v>
      </c>
      <c r="Q42" s="6">
        <f t="shared" si="7"/>
        <v>16</v>
      </c>
      <c r="R42" s="6">
        <f t="shared" si="8"/>
        <v>10</v>
      </c>
      <c r="S42" s="6">
        <f t="shared" si="0"/>
        <v>0.3</v>
      </c>
      <c r="T42" s="6" t="str">
        <f t="shared" si="1"/>
        <v>EMPTY</v>
      </c>
      <c r="V42" s="6">
        <f t="shared" si="9"/>
        <v>0.3</v>
      </c>
      <c r="W42" s="6" t="str">
        <f t="shared" si="10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3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5"/>
        <v>4</v>
      </c>
      <c r="P43">
        <f t="shared" si="6"/>
        <v>0</v>
      </c>
      <c r="Q43">
        <f t="shared" si="7"/>
        <v>32</v>
      </c>
      <c r="R43">
        <f t="shared" si="8"/>
        <v>20</v>
      </c>
      <c r="S43">
        <f t="shared" si="0"/>
        <v>0.6</v>
      </c>
      <c r="T43">
        <f t="shared" si="1"/>
        <v>1.7999999999999999E-2</v>
      </c>
      <c r="V43">
        <f t="shared" si="9"/>
        <v>1.7999999999999999E-2</v>
      </c>
      <c r="W43" t="str">
        <f t="shared" si="10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3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5"/>
        <v>2</v>
      </c>
      <c r="P44">
        <f t="shared" si="6"/>
        <v>0</v>
      </c>
      <c r="Q44">
        <f t="shared" si="7"/>
        <v>16</v>
      </c>
      <c r="R44">
        <f t="shared" si="8"/>
        <v>10</v>
      </c>
      <c r="S44">
        <f t="shared" si="0"/>
        <v>0.3</v>
      </c>
      <c r="T44">
        <f t="shared" si="1"/>
        <v>7.0000000000000001E-3</v>
      </c>
      <c r="V44">
        <f t="shared" si="9"/>
        <v>7.0000000000000001E-3</v>
      </c>
      <c r="W44" t="str">
        <f t="shared" si="10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3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5"/>
        <v>2</v>
      </c>
      <c r="P45">
        <f t="shared" si="6"/>
        <v>0</v>
      </c>
      <c r="Q45">
        <f t="shared" si="7"/>
        <v>16</v>
      </c>
      <c r="R45">
        <f t="shared" si="8"/>
        <v>10</v>
      </c>
      <c r="S45">
        <f t="shared" si="0"/>
        <v>0.3</v>
      </c>
      <c r="T45">
        <f t="shared" si="1"/>
        <v>8.9999999999999993E-3</v>
      </c>
      <c r="V45">
        <f t="shared" si="9"/>
        <v>8.9999999999999993E-3</v>
      </c>
      <c r="W45" t="str">
        <f t="shared" si="10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326</v>
      </c>
      <c r="G46" s="3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5"/>
        <v>1</v>
      </c>
      <c r="P46">
        <f t="shared" si="6"/>
        <v>0</v>
      </c>
      <c r="Q46">
        <f t="shared" si="7"/>
        <v>8</v>
      </c>
      <c r="R46">
        <f t="shared" si="8"/>
        <v>5</v>
      </c>
      <c r="S46">
        <f t="shared" si="0"/>
        <v>0.15</v>
      </c>
      <c r="T46">
        <f t="shared" si="1"/>
        <v>4.4999999999999997E-3</v>
      </c>
      <c r="V46">
        <f t="shared" si="9"/>
        <v>4.4999999999999997E-3</v>
      </c>
      <c r="W46" t="str">
        <f t="shared" si="10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3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5"/>
        <v>2</v>
      </c>
      <c r="P47">
        <f t="shared" si="6"/>
        <v>0</v>
      </c>
      <c r="Q47">
        <f t="shared" si="7"/>
        <v>16</v>
      </c>
      <c r="R47">
        <f t="shared" si="8"/>
        <v>10</v>
      </c>
      <c r="S47">
        <f t="shared" si="0"/>
        <v>0.3</v>
      </c>
      <c r="T47">
        <f t="shared" si="1"/>
        <v>8.9999999999999993E-3</v>
      </c>
      <c r="V47">
        <f t="shared" si="9"/>
        <v>8.9999999999999993E-3</v>
      </c>
      <c r="W47" t="str">
        <f t="shared" si="10"/>
        <v>JLC</v>
      </c>
    </row>
    <row r="48" spans="1:23" s="6" customFormat="1" x14ac:dyDescent="0.3">
      <c r="A48" s="6" t="s">
        <v>144</v>
      </c>
      <c r="B48" s="6" t="s">
        <v>145</v>
      </c>
      <c r="C48" s="6" t="s">
        <v>107</v>
      </c>
      <c r="D48" s="6" t="s">
        <v>12</v>
      </c>
      <c r="E48" s="6" t="s">
        <v>146</v>
      </c>
      <c r="F48" s="6" t="s">
        <v>215</v>
      </c>
      <c r="G48" s="8">
        <v>0.15</v>
      </c>
      <c r="H48" s="6">
        <v>2.3E-2</v>
      </c>
      <c r="I48" s="6">
        <v>1E-3</v>
      </c>
      <c r="J48" s="6" t="s">
        <v>282</v>
      </c>
      <c r="L48" s="6">
        <v>2</v>
      </c>
      <c r="M48" s="6">
        <f t="shared" si="4"/>
        <v>2</v>
      </c>
      <c r="O48" s="6">
        <f t="shared" si="5"/>
        <v>2</v>
      </c>
      <c r="P48" s="6">
        <f t="shared" si="6"/>
        <v>2</v>
      </c>
      <c r="Q48" s="6">
        <f t="shared" si="7"/>
        <v>16</v>
      </c>
      <c r="R48" s="6">
        <f t="shared" si="8"/>
        <v>10</v>
      </c>
      <c r="S48" s="6">
        <f t="shared" si="0"/>
        <v>0.3</v>
      </c>
      <c r="T48" s="6">
        <f t="shared" si="1"/>
        <v>0.01</v>
      </c>
      <c r="V48" s="6">
        <f t="shared" si="9"/>
        <v>0.3</v>
      </c>
      <c r="W48" s="6" t="str">
        <f t="shared" si="10"/>
        <v>DIGIKEY</v>
      </c>
    </row>
    <row r="49" spans="1:30" s="6" customFormat="1" x14ac:dyDescent="0.3">
      <c r="A49" s="6" t="s">
        <v>147</v>
      </c>
      <c r="B49" s="6" t="s">
        <v>148</v>
      </c>
      <c r="C49" s="6" t="s">
        <v>107</v>
      </c>
      <c r="D49" s="6" t="s">
        <v>12</v>
      </c>
      <c r="E49" s="6" t="s">
        <v>149</v>
      </c>
      <c r="F49" s="6" t="s">
        <v>214</v>
      </c>
      <c r="G49" s="8">
        <v>0.15</v>
      </c>
      <c r="H49" s="6">
        <v>2.3E-2</v>
      </c>
      <c r="I49" s="6">
        <v>8.9999999999999998E-4</v>
      </c>
      <c r="J49" s="6" t="s">
        <v>282</v>
      </c>
      <c r="L49" s="6">
        <v>1</v>
      </c>
      <c r="M49" s="6">
        <f t="shared" si="4"/>
        <v>1</v>
      </c>
      <c r="O49" s="6">
        <f t="shared" si="5"/>
        <v>1</v>
      </c>
      <c r="P49" s="6">
        <f t="shared" si="6"/>
        <v>1</v>
      </c>
      <c r="Q49" s="6">
        <f t="shared" si="7"/>
        <v>8</v>
      </c>
      <c r="R49" s="6">
        <f t="shared" si="8"/>
        <v>5</v>
      </c>
      <c r="S49" s="6">
        <f t="shared" si="0"/>
        <v>0.15</v>
      </c>
      <c r="T49" s="6">
        <f t="shared" si="1"/>
        <v>4.4999999999999997E-3</v>
      </c>
      <c r="V49" s="6">
        <f t="shared" si="9"/>
        <v>0.15</v>
      </c>
      <c r="W49" s="6" t="str">
        <f t="shared" si="10"/>
        <v>DIGIKEY</v>
      </c>
      <c r="Z49" s="6" t="s">
        <v>268</v>
      </c>
      <c r="AA49" s="7">
        <v>41.1</v>
      </c>
      <c r="AD49" s="7"/>
    </row>
    <row r="50" spans="1:30" s="6" customFormat="1" x14ac:dyDescent="0.3">
      <c r="A50" s="6" t="s">
        <v>150</v>
      </c>
      <c r="B50" s="6" t="s">
        <v>151</v>
      </c>
      <c r="C50" s="6" t="s">
        <v>107</v>
      </c>
      <c r="D50" s="6" t="s">
        <v>12</v>
      </c>
      <c r="E50" s="6" t="s">
        <v>261</v>
      </c>
      <c r="F50" s="6" t="s">
        <v>260</v>
      </c>
      <c r="G50" s="8">
        <v>0.15</v>
      </c>
      <c r="H50" s="6">
        <v>3.3000000000000002E-2</v>
      </c>
      <c r="I50" s="6">
        <v>1.2999999999999999E-3</v>
      </c>
      <c r="J50" s="6" t="s">
        <v>282</v>
      </c>
      <c r="L50" s="6">
        <v>2</v>
      </c>
      <c r="M50" s="6">
        <f t="shared" si="4"/>
        <v>2</v>
      </c>
      <c r="O50" s="6">
        <f t="shared" si="5"/>
        <v>2</v>
      </c>
      <c r="P50" s="6">
        <f t="shared" si="6"/>
        <v>2</v>
      </c>
      <c r="Q50" s="6">
        <f t="shared" si="7"/>
        <v>16</v>
      </c>
      <c r="R50" s="6">
        <f t="shared" si="8"/>
        <v>10</v>
      </c>
      <c r="S50" s="6">
        <f t="shared" si="0"/>
        <v>0.3</v>
      </c>
      <c r="T50" s="6">
        <f t="shared" si="1"/>
        <v>1.2999999999999999E-2</v>
      </c>
      <c r="V50" s="6">
        <f t="shared" si="9"/>
        <v>0.3</v>
      </c>
      <c r="W50" s="6" t="str">
        <f t="shared" si="10"/>
        <v>DIGIKEY</v>
      </c>
      <c r="Z50" s="6" t="s">
        <v>269</v>
      </c>
      <c r="AA50" s="7">
        <v>10.73</v>
      </c>
      <c r="AD50" s="7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3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5"/>
        <v>1</v>
      </c>
      <c r="P51">
        <f t="shared" si="6"/>
        <v>0</v>
      </c>
      <c r="Q51">
        <f t="shared" si="7"/>
        <v>8</v>
      </c>
      <c r="R51">
        <f t="shared" si="8"/>
        <v>5</v>
      </c>
      <c r="S51">
        <f t="shared" si="0"/>
        <v>0.15</v>
      </c>
      <c r="T51">
        <f t="shared" si="1"/>
        <v>5.0000000000000001E-3</v>
      </c>
      <c r="V51">
        <f t="shared" si="9"/>
        <v>5.0000000000000001E-3</v>
      </c>
      <c r="W51" t="str">
        <f t="shared" si="10"/>
        <v>JLC</v>
      </c>
      <c r="Z51" t="s">
        <v>270</v>
      </c>
      <c r="AA51" s="2">
        <v>2.0099999999999998</v>
      </c>
      <c r="AD51" s="2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3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5"/>
        <v>2</v>
      </c>
      <c r="P52">
        <f t="shared" si="6"/>
        <v>0</v>
      </c>
      <c r="Q52">
        <f t="shared" si="7"/>
        <v>16</v>
      </c>
      <c r="R52">
        <f t="shared" si="8"/>
        <v>10</v>
      </c>
      <c r="S52">
        <f t="shared" si="0"/>
        <v>0.3</v>
      </c>
      <c r="T52">
        <f t="shared" si="1"/>
        <v>8.9999999999999993E-3</v>
      </c>
      <c r="V52">
        <f t="shared" si="9"/>
        <v>8.9999999999999993E-3</v>
      </c>
      <c r="W52" t="str">
        <f t="shared" si="10"/>
        <v>JLC</v>
      </c>
      <c r="Z52" t="s">
        <v>271</v>
      </c>
      <c r="AA52" s="2">
        <v>4.59</v>
      </c>
      <c r="AB52" s="1"/>
      <c r="AD52" s="2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3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5"/>
        <v>3</v>
      </c>
      <c r="P53">
        <f t="shared" si="6"/>
        <v>0</v>
      </c>
      <c r="Q53">
        <f t="shared" si="7"/>
        <v>24</v>
      </c>
      <c r="R53">
        <f t="shared" si="8"/>
        <v>15</v>
      </c>
      <c r="S53">
        <f t="shared" si="0"/>
        <v>0.44999999999999996</v>
      </c>
      <c r="T53">
        <f t="shared" si="1"/>
        <v>1.35E-2</v>
      </c>
      <c r="V53">
        <f t="shared" si="9"/>
        <v>1.35E-2</v>
      </c>
      <c r="W53" t="str">
        <f t="shared" si="10"/>
        <v>JLC</v>
      </c>
      <c r="Z53" t="s">
        <v>272</v>
      </c>
      <c r="AA53" s="2">
        <v>3.85</v>
      </c>
      <c r="AB53" s="4"/>
      <c r="AD53" s="2"/>
    </row>
    <row r="54" spans="1:30" s="6" customFormat="1" x14ac:dyDescent="0.3">
      <c r="A54" s="6" t="s">
        <v>160</v>
      </c>
      <c r="B54" s="6" t="s">
        <v>161</v>
      </c>
      <c r="C54" s="6" t="s">
        <v>162</v>
      </c>
      <c r="E54" s="6" t="s">
        <v>163</v>
      </c>
      <c r="G54" s="6" t="s">
        <v>309</v>
      </c>
      <c r="H54" s="6">
        <v>4.0670000000000002</v>
      </c>
      <c r="J54" s="6" t="s">
        <v>282</v>
      </c>
      <c r="L54" s="6">
        <v>2</v>
      </c>
      <c r="M54" s="6">
        <f t="shared" si="4"/>
        <v>2</v>
      </c>
      <c r="O54" s="6">
        <f t="shared" si="5"/>
        <v>2</v>
      </c>
      <c r="P54" s="6">
        <f t="shared" si="6"/>
        <v>2</v>
      </c>
      <c r="Q54" s="6">
        <f t="shared" si="7"/>
        <v>16</v>
      </c>
      <c r="R54" s="6">
        <f t="shared" si="8"/>
        <v>10</v>
      </c>
      <c r="S54" s="6">
        <f t="shared" si="0"/>
        <v>9.6</v>
      </c>
      <c r="T54" s="6" t="str">
        <f t="shared" si="1"/>
        <v>EMPTY</v>
      </c>
      <c r="V54" s="6">
        <f t="shared" si="9"/>
        <v>9.6</v>
      </c>
      <c r="W54" s="6" t="str">
        <f t="shared" si="10"/>
        <v>DIGIKEY</v>
      </c>
      <c r="X54" s="6" t="s">
        <v>332</v>
      </c>
      <c r="Z54" s="6" t="s">
        <v>273</v>
      </c>
      <c r="AA54" s="7">
        <v>0.86</v>
      </c>
      <c r="AD54" s="7"/>
    </row>
    <row r="55" spans="1:30" s="6" customFormat="1" x14ac:dyDescent="0.3">
      <c r="A55" s="6" t="s">
        <v>164</v>
      </c>
      <c r="B55" s="6" t="s">
        <v>165</v>
      </c>
      <c r="C55" s="6" t="s">
        <v>166</v>
      </c>
      <c r="E55" s="6" t="s">
        <v>167</v>
      </c>
      <c r="G55" s="6" t="s">
        <v>310</v>
      </c>
      <c r="H55" s="6">
        <v>0.83</v>
      </c>
      <c r="J55" s="6" t="s">
        <v>282</v>
      </c>
      <c r="L55" s="6">
        <v>1</v>
      </c>
      <c r="M55" s="6">
        <f t="shared" si="4"/>
        <v>1</v>
      </c>
      <c r="O55" s="6">
        <f t="shared" si="5"/>
        <v>1</v>
      </c>
      <c r="P55" s="6">
        <f t="shared" si="6"/>
        <v>1</v>
      </c>
      <c r="Q55" s="6">
        <f t="shared" si="7"/>
        <v>8</v>
      </c>
      <c r="R55" s="6">
        <f t="shared" si="8"/>
        <v>5</v>
      </c>
      <c r="S55" s="6">
        <f t="shared" si="0"/>
        <v>1.4</v>
      </c>
      <c r="T55" s="6" t="str">
        <f t="shared" si="1"/>
        <v>EMPTY</v>
      </c>
      <c r="V55" s="6">
        <f t="shared" si="9"/>
        <v>1.4</v>
      </c>
      <c r="W55" s="6" t="str">
        <f t="shared" si="10"/>
        <v>DIGIKEY</v>
      </c>
      <c r="Z55" s="6" t="s">
        <v>274</v>
      </c>
      <c r="AA55" s="7"/>
      <c r="AD55" s="7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3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5"/>
        <v>0</v>
      </c>
      <c r="P56">
        <f t="shared" si="6"/>
        <v>0</v>
      </c>
      <c r="Q56">
        <f t="shared" si="7"/>
        <v>8</v>
      </c>
      <c r="R56">
        <f t="shared" si="8"/>
        <v>5</v>
      </c>
      <c r="S56">
        <f t="shared" si="0"/>
        <v>0</v>
      </c>
      <c r="T56" t="str">
        <f t="shared" si="1"/>
        <v>EMPTY</v>
      </c>
      <c r="V56">
        <f t="shared" si="9"/>
        <v>0</v>
      </c>
      <c r="W56" t="str">
        <f t="shared" si="10"/>
        <v>DIGIKEY</v>
      </c>
      <c r="X56" t="s">
        <v>332</v>
      </c>
      <c r="Z56" t="s">
        <v>328</v>
      </c>
      <c r="AA56" s="2"/>
      <c r="AD56" s="2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3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5"/>
        <v>1</v>
      </c>
      <c r="P57">
        <f t="shared" si="6"/>
        <v>0</v>
      </c>
      <c r="Q57">
        <f t="shared" si="7"/>
        <v>8</v>
      </c>
      <c r="R57">
        <f t="shared" si="8"/>
        <v>5</v>
      </c>
      <c r="S57">
        <f t="shared" si="0"/>
        <v>1.06</v>
      </c>
      <c r="T57">
        <f t="shared" si="1"/>
        <v>8.5250000000000004</v>
      </c>
      <c r="U57" t="s">
        <v>320</v>
      </c>
      <c r="V57">
        <f t="shared" si="9"/>
        <v>8.5250000000000004</v>
      </c>
      <c r="W57" t="str">
        <f t="shared" si="10"/>
        <v>JLC</v>
      </c>
      <c r="Z57" t="s">
        <v>275</v>
      </c>
      <c r="AA57" s="2">
        <v>34.619999999999997</v>
      </c>
      <c r="AD57" s="2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311</v>
      </c>
      <c r="H58">
        <v>2.34</v>
      </c>
      <c r="K58">
        <v>1</v>
      </c>
      <c r="L58">
        <v>1</v>
      </c>
      <c r="M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0"/>
        <v>0</v>
      </c>
      <c r="T58" t="str">
        <f t="shared" si="1"/>
        <v>EMPTY</v>
      </c>
      <c r="V58">
        <f t="shared" si="9"/>
        <v>0</v>
      </c>
      <c r="W58" t="str">
        <f t="shared" si="10"/>
        <v>DIGIKEY</v>
      </c>
      <c r="Z58" t="s">
        <v>339</v>
      </c>
      <c r="AA58" s="2">
        <v>-12.08</v>
      </c>
      <c r="AD58" s="2"/>
    </row>
    <row r="59" spans="1:30" s="6" customFormat="1" x14ac:dyDescent="0.3">
      <c r="A59" s="6" t="s">
        <v>179</v>
      </c>
      <c r="B59" s="6" t="s">
        <v>180</v>
      </c>
      <c r="C59" s="6" t="s">
        <v>181</v>
      </c>
      <c r="D59" s="6" t="s">
        <v>8</v>
      </c>
      <c r="E59" s="6" t="s">
        <v>180</v>
      </c>
      <c r="F59" s="6" t="s">
        <v>262</v>
      </c>
      <c r="G59" s="6" t="s">
        <v>312</v>
      </c>
      <c r="H59" s="6">
        <v>0.45600000000000002</v>
      </c>
      <c r="I59" s="6">
        <v>0.1439</v>
      </c>
      <c r="L59" s="6">
        <v>1</v>
      </c>
      <c r="M59" s="6">
        <f t="shared" si="4"/>
        <v>1</v>
      </c>
      <c r="O59" s="6">
        <f t="shared" si="5"/>
        <v>1</v>
      </c>
      <c r="P59" s="6">
        <f t="shared" si="6"/>
        <v>1</v>
      </c>
      <c r="Q59" s="6">
        <f t="shared" si="7"/>
        <v>8</v>
      </c>
      <c r="R59" s="6">
        <f t="shared" si="8"/>
        <v>5</v>
      </c>
      <c r="S59" s="6">
        <f t="shared" si="0"/>
        <v>0.56000000000000005</v>
      </c>
      <c r="T59" s="6">
        <f t="shared" si="1"/>
        <v>4.7595000000000001</v>
      </c>
      <c r="V59" s="6">
        <f t="shared" si="9"/>
        <v>0.56000000000000005</v>
      </c>
      <c r="W59" s="6" t="str">
        <f t="shared" si="10"/>
        <v>DIGIKEY</v>
      </c>
      <c r="Z59" s="6" t="s">
        <v>276</v>
      </c>
      <c r="AA59" s="7">
        <f>SUM(AA49:AA58)</f>
        <v>85.679999999999993</v>
      </c>
      <c r="AD59" s="7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313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5"/>
        <v>0</v>
      </c>
      <c r="P60">
        <f t="shared" si="6"/>
        <v>0</v>
      </c>
      <c r="Q60">
        <f t="shared" si="7"/>
        <v>8</v>
      </c>
      <c r="R60">
        <f t="shared" si="8"/>
        <v>5</v>
      </c>
      <c r="S60">
        <f t="shared" si="0"/>
        <v>0</v>
      </c>
      <c r="T60">
        <f t="shared" si="1"/>
        <v>82.690000000000012</v>
      </c>
      <c r="V60">
        <f t="shared" si="9"/>
        <v>0</v>
      </c>
      <c r="W60" t="str">
        <f t="shared" si="10"/>
        <v>DIGIKEY</v>
      </c>
      <c r="X60" t="s">
        <v>332</v>
      </c>
      <c r="Z60" t="s">
        <v>277</v>
      </c>
      <c r="AA60" s="2">
        <f>0.12*AA59</f>
        <v>10.281599999999999</v>
      </c>
      <c r="AD60" s="2"/>
    </row>
    <row r="61" spans="1:30" s="6" customFormat="1" x14ac:dyDescent="0.3">
      <c r="A61" s="6" t="s">
        <v>185</v>
      </c>
      <c r="B61" s="6" t="s">
        <v>186</v>
      </c>
      <c r="C61" s="6" t="s">
        <v>178</v>
      </c>
      <c r="D61" s="6" t="s">
        <v>12</v>
      </c>
      <c r="E61" s="6" t="s">
        <v>186</v>
      </c>
      <c r="F61" s="6" t="s">
        <v>264</v>
      </c>
      <c r="G61" s="6" t="s">
        <v>314</v>
      </c>
      <c r="H61" s="6">
        <v>2.31</v>
      </c>
      <c r="I61" s="6">
        <v>0.498</v>
      </c>
      <c r="L61" s="6">
        <v>1</v>
      </c>
      <c r="M61" s="6">
        <f t="shared" si="4"/>
        <v>1</v>
      </c>
      <c r="O61" s="6">
        <f t="shared" si="5"/>
        <v>1</v>
      </c>
      <c r="P61" s="6">
        <f t="shared" si="6"/>
        <v>1</v>
      </c>
      <c r="Q61" s="6">
        <f t="shared" si="7"/>
        <v>8</v>
      </c>
      <c r="R61" s="6">
        <f t="shared" si="8"/>
        <v>5</v>
      </c>
      <c r="S61" s="6">
        <f t="shared" si="0"/>
        <v>2.54</v>
      </c>
      <c r="T61" s="6">
        <f t="shared" si="1"/>
        <v>2.4900000000000002</v>
      </c>
      <c r="U61" s="6" t="s">
        <v>286</v>
      </c>
      <c r="V61" s="6">
        <f t="shared" si="9"/>
        <v>2.54</v>
      </c>
      <c r="W61" s="6" t="str">
        <f t="shared" si="10"/>
        <v>DIGIKEY</v>
      </c>
      <c r="Z61" s="6" t="s">
        <v>278</v>
      </c>
      <c r="AA61" s="7">
        <v>17.5</v>
      </c>
      <c r="AD61" s="7"/>
    </row>
    <row r="62" spans="1:30" x14ac:dyDescent="0.3">
      <c r="A62" t="s">
        <v>187</v>
      </c>
      <c r="B62" t="s">
        <v>188</v>
      </c>
      <c r="C62" t="s">
        <v>178</v>
      </c>
      <c r="E62" t="s">
        <v>188</v>
      </c>
      <c r="F62" t="s">
        <v>265</v>
      </c>
      <c r="G62" s="3">
        <v>4.82</v>
      </c>
      <c r="H62">
        <v>4.3250000000000002</v>
      </c>
      <c r="I62">
        <v>1.0455000000000001</v>
      </c>
      <c r="K62">
        <v>1</v>
      </c>
      <c r="L62">
        <v>1</v>
      </c>
      <c r="M62">
        <f t="shared" si="4"/>
        <v>0</v>
      </c>
      <c r="N62">
        <v>10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0"/>
        <v>0</v>
      </c>
      <c r="T62" t="str">
        <f t="shared" si="1"/>
        <v>EMPTY</v>
      </c>
      <c r="V62">
        <f t="shared" si="9"/>
        <v>0</v>
      </c>
      <c r="W62" t="str">
        <f t="shared" si="10"/>
        <v>DIGIKEY</v>
      </c>
      <c r="X62" t="s">
        <v>334</v>
      </c>
      <c r="Z62" t="s">
        <v>266</v>
      </c>
      <c r="AA62" s="2">
        <f>SUM(AA59:AA61)</f>
        <v>113.46159999999999</v>
      </c>
      <c r="AD62" s="2"/>
    </row>
    <row r="63" spans="1:30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315</v>
      </c>
      <c r="H63">
        <v>4.03</v>
      </c>
      <c r="I63">
        <v>1.2541</v>
      </c>
      <c r="K63">
        <v>1</v>
      </c>
      <c r="L63">
        <v>1</v>
      </c>
      <c r="M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0"/>
        <v>0</v>
      </c>
      <c r="T63">
        <f t="shared" si="1"/>
        <v>4.04</v>
      </c>
      <c r="U63" t="s">
        <v>286</v>
      </c>
      <c r="V63">
        <f t="shared" si="9"/>
        <v>0</v>
      </c>
      <c r="W63" t="str">
        <f t="shared" si="10"/>
        <v>DIGIKEY</v>
      </c>
      <c r="AA63" s="2"/>
      <c r="AD63" s="2"/>
    </row>
    <row r="64" spans="1:30" s="6" customFormat="1" x14ac:dyDescent="0.3">
      <c r="A64" s="6" t="s">
        <v>193</v>
      </c>
      <c r="B64" s="6" t="s">
        <v>194</v>
      </c>
      <c r="C64" s="6" t="s">
        <v>195</v>
      </c>
      <c r="D64" s="6" t="s">
        <v>8</v>
      </c>
      <c r="E64" s="6" t="s">
        <v>194</v>
      </c>
      <c r="F64" s="6" t="s">
        <v>207</v>
      </c>
      <c r="G64" s="6" t="s">
        <v>300</v>
      </c>
      <c r="H64" s="6">
        <v>0.28699999999999998</v>
      </c>
      <c r="I64" s="6">
        <v>0.1118</v>
      </c>
      <c r="L64" s="6">
        <v>2</v>
      </c>
      <c r="M64" s="6">
        <f t="shared" si="4"/>
        <v>2</v>
      </c>
      <c r="O64" s="6">
        <f t="shared" si="5"/>
        <v>2</v>
      </c>
      <c r="P64" s="6">
        <f t="shared" si="6"/>
        <v>2</v>
      </c>
      <c r="Q64" s="6">
        <f t="shared" si="7"/>
        <v>16</v>
      </c>
      <c r="R64" s="6">
        <f t="shared" si="8"/>
        <v>10</v>
      </c>
      <c r="S64" s="6">
        <f t="shared" si="0"/>
        <v>0.6</v>
      </c>
      <c r="T64" s="6">
        <f t="shared" si="1"/>
        <v>5.1579999999999995</v>
      </c>
      <c r="V64" s="6">
        <f t="shared" si="9"/>
        <v>0.6</v>
      </c>
      <c r="W64" s="6" t="str">
        <f t="shared" si="10"/>
        <v>DIGIKEY</v>
      </c>
      <c r="AA64" s="7">
        <f>AA62+X70</f>
        <v>140.0728</v>
      </c>
      <c r="AD64" s="7"/>
    </row>
    <row r="65" spans="1:27" s="6" customFormat="1" x14ac:dyDescent="0.3">
      <c r="A65" s="6" t="s">
        <v>196</v>
      </c>
      <c r="B65" s="6" t="s">
        <v>197</v>
      </c>
      <c r="C65" s="6" t="s">
        <v>198</v>
      </c>
      <c r="D65" s="6" t="s">
        <v>8</v>
      </c>
      <c r="E65" s="6" t="s">
        <v>197</v>
      </c>
      <c r="F65" s="6" t="s">
        <v>206</v>
      </c>
      <c r="G65" s="6" t="s">
        <v>316</v>
      </c>
      <c r="H65" s="6">
        <v>0.70499999999999996</v>
      </c>
      <c r="I65" s="6">
        <v>0.76160000000000005</v>
      </c>
      <c r="L65" s="6">
        <v>1</v>
      </c>
      <c r="M65" s="6">
        <f t="shared" si="4"/>
        <v>1</v>
      </c>
      <c r="O65" s="6">
        <f t="shared" si="5"/>
        <v>1</v>
      </c>
      <c r="P65" s="6">
        <f t="shared" si="6"/>
        <v>1</v>
      </c>
      <c r="Q65" s="6">
        <f t="shared" si="7"/>
        <v>8</v>
      </c>
      <c r="R65" s="6">
        <f t="shared" si="8"/>
        <v>5</v>
      </c>
      <c r="S65" s="6">
        <f t="shared" si="0"/>
        <v>0.85</v>
      </c>
      <c r="T65" s="6">
        <f t="shared" si="1"/>
        <v>7.8480000000000008</v>
      </c>
      <c r="U65" s="6" t="s">
        <v>286</v>
      </c>
      <c r="V65" s="6">
        <f t="shared" si="9"/>
        <v>0.85</v>
      </c>
      <c r="W65" s="6" t="str">
        <f t="shared" si="10"/>
        <v>DIGIKEY</v>
      </c>
      <c r="Z65" s="6" t="s">
        <v>279</v>
      </c>
      <c r="AA65" s="7">
        <f>AA64/10</f>
        <v>14.00728</v>
      </c>
    </row>
    <row r="66" spans="1:27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317</v>
      </c>
      <c r="H66">
        <v>0.71499999999999997</v>
      </c>
      <c r="I66">
        <v>0.22789999999999999</v>
      </c>
      <c r="K66">
        <v>1</v>
      </c>
      <c r="L66">
        <v>1</v>
      </c>
      <c r="M66">
        <f t="shared" ref="M66:M67" si="11">L66-K66</f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>IF(O66&gt;10,H66*O66,G66*O66)</f>
        <v>0</v>
      </c>
      <c r="T66">
        <f t="shared" ref="T66" si="12">IF(ISBLANK(D66),"EMPTY",(I66*R66+IF(D66="yes",4.04,0)))</f>
        <v>4.04</v>
      </c>
      <c r="U66" t="s">
        <v>286</v>
      </c>
      <c r="V66">
        <f t="shared" ref="V66" si="13">IF(T66="EMPTY",S66,IF(J66="Bottom",S66,IF(U66="DIGIKEY",S66,IF(U66="JLC",T66,IF(T66&lt;S66+0.2,T66,S66)))))</f>
        <v>0</v>
      </c>
      <c r="W66" t="str">
        <f t="shared" si="10"/>
        <v>DIGIKEY</v>
      </c>
      <c r="X66">
        <f>COUNTIF(W2:W66,"DIGIKEY")-5</f>
        <v>35</v>
      </c>
    </row>
    <row r="67" spans="1:27" s="6" customFormat="1" x14ac:dyDescent="0.3">
      <c r="A67" s="6" t="s">
        <v>335</v>
      </c>
      <c r="B67" s="6" t="s">
        <v>337</v>
      </c>
      <c r="C67" s="6" t="s">
        <v>338</v>
      </c>
      <c r="D67" s="6" t="s">
        <v>8</v>
      </c>
      <c r="E67" s="6" t="s">
        <v>337</v>
      </c>
      <c r="F67" s="6" t="s">
        <v>336</v>
      </c>
      <c r="G67" s="6">
        <v>0.45</v>
      </c>
      <c r="H67" s="6">
        <v>0.312</v>
      </c>
      <c r="I67" s="6">
        <v>8.2500000000000004E-2</v>
      </c>
      <c r="L67" s="6">
        <v>3</v>
      </c>
      <c r="M67" s="6">
        <f t="shared" si="11"/>
        <v>3</v>
      </c>
      <c r="O67" s="6">
        <f t="shared" ref="O67" si="14">IF(M67-N67&lt;0,0, M67-N67)</f>
        <v>3</v>
      </c>
      <c r="P67" s="6">
        <f t="shared" ref="P67" si="15">IF(W67="DIGIKEY",O67,0)</f>
        <v>3</v>
      </c>
      <c r="Q67" s="6">
        <f t="shared" ref="Q67" si="16">M67*8</f>
        <v>24</v>
      </c>
      <c r="R67" s="6">
        <f t="shared" ref="R67" si="17">M67*5</f>
        <v>15</v>
      </c>
      <c r="S67" s="6">
        <f>IF(O67&gt;10,H67*O67,G67*O67)</f>
        <v>1.35</v>
      </c>
      <c r="T67" s="6">
        <f>IF(ISBLANK(D67),"EMPTY",(I67*R67+IF(D67="yes",4.04,0)))</f>
        <v>5.2774999999999999</v>
      </c>
      <c r="V67" s="6">
        <f t="shared" ref="V67" si="18">IF(T67="EMPTY",S67,IF(J67="Bottom",S67,IF(U67="DIGIKEY",S67,IF(U67="JLC",T67,IF(T67&lt;S67+0.2,T67,S67)))))</f>
        <v>1.35</v>
      </c>
      <c r="W67" s="6" t="str">
        <f t="shared" ref="W67" si="19">IF(T67="EMPTY","DIGIKEY",IF(J67="Bottom","DIGIKEY",IF(U67="DIGIKEY",U67,IF(U67="JLC",U67,IF(T67&lt;S67+0.2,"JLC","DIGIKEY")))))</f>
        <v>DIGIKEY</v>
      </c>
    </row>
    <row r="69" spans="1:27" x14ac:dyDescent="0.3">
      <c r="W69">
        <f>COUNTIF(W2:W66,"JLC")</f>
        <v>25</v>
      </c>
      <c r="X69">
        <f>SUMIF(W2:W66,"DIGIKEY",Q2:Q66)</f>
        <v>272</v>
      </c>
    </row>
    <row r="70" spans="1:27" x14ac:dyDescent="0.3">
      <c r="T70" t="s">
        <v>266</v>
      </c>
      <c r="V70">
        <f>SUM(V2:V66)</f>
        <v>40.083500000000008</v>
      </c>
      <c r="W70" s="5">
        <f>SUMIF(W2:W66,"JLC",V2:V66)*1.28</f>
        <v>20.894080000000002</v>
      </c>
      <c r="X70">
        <f>SUMIF(W2:W66,"DIGIKEY",V2:V66)*1.12</f>
        <v>26.611200000000004</v>
      </c>
    </row>
    <row r="71" spans="1:27" x14ac:dyDescent="0.3">
      <c r="T71" t="s">
        <v>267</v>
      </c>
      <c r="W71" t="s">
        <v>320</v>
      </c>
      <c r="X71" t="s">
        <v>327</v>
      </c>
    </row>
    <row r="73" spans="1:27" x14ac:dyDescent="0.3">
      <c r="W73" t="s">
        <v>329</v>
      </c>
    </row>
    <row r="74" spans="1:27" x14ac:dyDescent="0.3">
      <c r="V74">
        <f>V60+V56+V31++V4</f>
        <v>0</v>
      </c>
      <c r="X74" t="s">
        <v>322</v>
      </c>
    </row>
    <row r="75" spans="1:27" x14ac:dyDescent="0.3">
      <c r="X75">
        <f>X69/8</f>
        <v>34</v>
      </c>
    </row>
  </sheetData>
  <phoneticPr fontId="18" type="noConversion"/>
  <conditionalFormatting sqref="S2:T67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2024-01-31T07:11:34Z</dcterms:modified>
</cp:coreProperties>
</file>