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Documents\University\GitHub\The_Bots\Electrical\MidPlate\"/>
    </mc:Choice>
  </mc:AlternateContent>
  <xr:revisionPtr revIDLastSave="0" documentId="13_ncr:1_{23AA5FEA-F346-4885-AA7D-CC3AE64D0230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Midplate BOM Jan 1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M39" i="1"/>
  <c r="M38" i="1"/>
  <c r="M37" i="1"/>
  <c r="M36" i="1"/>
  <c r="N36" i="1" s="1"/>
  <c r="M35" i="1"/>
  <c r="N35" i="1" s="1"/>
  <c r="N28" i="1"/>
  <c r="N29" i="1"/>
  <c r="N30" i="1"/>
  <c r="N31" i="1"/>
  <c r="N32" i="1"/>
  <c r="N33" i="1"/>
  <c r="N34" i="1"/>
  <c r="N37" i="1"/>
  <c r="N38" i="1"/>
  <c r="N39" i="1"/>
  <c r="N40" i="1" l="1"/>
  <c r="T25" i="1"/>
  <c r="N9" i="1"/>
  <c r="N19" i="1"/>
  <c r="X4" i="1"/>
  <c r="X13" i="1" s="1"/>
  <c r="U13" i="1"/>
  <c r="U14" i="1" s="1"/>
  <c r="V7" i="1"/>
  <c r="N8" i="1"/>
  <c r="N5" i="1"/>
  <c r="N6" i="1"/>
  <c r="N17" i="1"/>
  <c r="N18" i="1"/>
  <c r="N2" i="1"/>
  <c r="Q17" i="1" l="1"/>
  <c r="P17" i="1"/>
  <c r="Q5" i="1"/>
  <c r="P5" i="1"/>
  <c r="P8" i="1"/>
  <c r="Q8" i="1"/>
  <c r="Q6" i="1"/>
  <c r="P6" i="1"/>
  <c r="Q18" i="1"/>
  <c r="P18" i="1"/>
  <c r="P2" i="1"/>
  <c r="Q2" i="1"/>
  <c r="P9" i="1"/>
  <c r="Q9" i="1"/>
  <c r="Q19" i="1"/>
  <c r="P19" i="1"/>
  <c r="U16" i="1"/>
  <c r="N20" i="1"/>
  <c r="N12" i="1"/>
  <c r="N7" i="1"/>
  <c r="N11" i="1"/>
  <c r="N16" i="1"/>
  <c r="N4" i="1"/>
  <c r="N15" i="1"/>
  <c r="N3" i="1"/>
  <c r="N10" i="1"/>
  <c r="N14" i="1"/>
  <c r="N13" i="1"/>
  <c r="X14" i="1"/>
  <c r="X16" i="1" s="1"/>
  <c r="Q16" i="1" l="1"/>
  <c r="P16" i="1"/>
  <c r="Q15" i="1"/>
  <c r="P15" i="1"/>
  <c r="Q7" i="1"/>
  <c r="P7" i="1"/>
  <c r="Q3" i="1"/>
  <c r="P3" i="1"/>
  <c r="Q4" i="1"/>
  <c r="P4" i="1"/>
  <c r="P12" i="1"/>
  <c r="Q12" i="1"/>
  <c r="P11" i="1"/>
  <c r="Q11" i="1"/>
  <c r="P13" i="1"/>
  <c r="Q13" i="1"/>
  <c r="P20" i="1"/>
  <c r="Q20" i="1"/>
  <c r="P14" i="1"/>
  <c r="Q14" i="1"/>
  <c r="P10" i="1"/>
  <c r="Q10" i="1"/>
  <c r="M22" i="1"/>
  <c r="Q22" i="1"/>
  <c r="X18" i="1" l="1"/>
  <c r="X19" i="1" s="1"/>
  <c r="P22" i="1"/>
  <c r="R22" i="1" s="1"/>
  <c r="Q21" i="1"/>
  <c r="U18" i="1" l="1"/>
  <c r="U19" i="1" s="1"/>
</calcChain>
</file>

<file path=xl/sharedStrings.xml><?xml version="1.0" encoding="utf-8"?>
<sst xmlns="http://schemas.openxmlformats.org/spreadsheetml/2006/main" count="158" uniqueCount="128">
  <si>
    <t>Ref</t>
  </si>
  <si>
    <t>Val</t>
  </si>
  <si>
    <t>Package</t>
  </si>
  <si>
    <t>JLC Part #$</t>
  </si>
  <si>
    <t>Digikey Cost</t>
  </si>
  <si>
    <t>JLC Cost</t>
  </si>
  <si>
    <t>JLC extended?</t>
  </si>
  <si>
    <t>QTY per board</t>
  </si>
  <si>
    <t>Digikey Cost (total)</t>
  </si>
  <si>
    <t>JLC Cost with Extended part fee (total)</t>
  </si>
  <si>
    <t>Lowest Cost (Digikey vs JLC)</t>
  </si>
  <si>
    <t>C1</t>
  </si>
  <si>
    <t>C_0.1u</t>
  </si>
  <si>
    <t>C_0603_1608Metric</t>
  </si>
  <si>
    <t>C14663</t>
  </si>
  <si>
    <t>no</t>
  </si>
  <si>
    <t>C2</t>
  </si>
  <si>
    <t>25SVPF100M</t>
  </si>
  <si>
    <t>CAP_25SVPF100M</t>
  </si>
  <si>
    <t>C136279</t>
  </si>
  <si>
    <t>yes</t>
  </si>
  <si>
    <t>C3</t>
  </si>
  <si>
    <t>10u</t>
  </si>
  <si>
    <t>C5</t>
  </si>
  <si>
    <t>2.2u</t>
  </si>
  <si>
    <t>C23630</t>
  </si>
  <si>
    <t>C4</t>
  </si>
  <si>
    <t>C_30p</t>
  </si>
  <si>
    <t>C6</t>
  </si>
  <si>
    <t>16SVPF180M</t>
  </si>
  <si>
    <t>CAP_16SVPF180M</t>
  </si>
  <si>
    <t>C136277</t>
  </si>
  <si>
    <t>D1</t>
  </si>
  <si>
    <t>SMAZ12-13F</t>
  </si>
  <si>
    <t>D_SMA</t>
  </si>
  <si>
    <t>C110523</t>
  </si>
  <si>
    <t>F1</t>
  </si>
  <si>
    <t>Fuseholder_Blade_Mini_Keystone_3568</t>
  </si>
  <si>
    <t>H1, H2, H3, H4, H5, H6, H7, H8, H9, H10, H11</t>
  </si>
  <si>
    <t>SMTSO2515CTJ</t>
  </si>
  <si>
    <t>J9</t>
  </si>
  <si>
    <t>JST_BM04B-GHS-TBT</t>
  </si>
  <si>
    <t>J12</t>
  </si>
  <si>
    <t>JST_B4B-XH-A</t>
  </si>
  <si>
    <t>JP1</t>
  </si>
  <si>
    <t>Jumper_2_Bridged</t>
  </si>
  <si>
    <t>PinHeader_1x02_P2.54mm_Vertical</t>
  </si>
  <si>
    <t>C2905434</t>
  </si>
  <si>
    <t>L1</t>
  </si>
  <si>
    <t>CDRH127/LDNP-220MC</t>
  </si>
  <si>
    <t>IND_CDRH127_LDNP-470MC_SUM</t>
  </si>
  <si>
    <t>C879420</t>
  </si>
  <si>
    <t>Q1, Q2</t>
  </si>
  <si>
    <t>MCU60P04-TP</t>
  </si>
  <si>
    <t>DPAK-3_ONS</t>
  </si>
  <si>
    <t>C130101</t>
  </si>
  <si>
    <t>R1, R2</t>
  </si>
  <si>
    <t>R_100k</t>
  </si>
  <si>
    <t>R_0603_1608Metric</t>
  </si>
  <si>
    <t>C25803</t>
  </si>
  <si>
    <t>R6</t>
  </si>
  <si>
    <t>88.7k</t>
  </si>
  <si>
    <t>C5151619</t>
  </si>
  <si>
    <t>R7</t>
  </si>
  <si>
    <t>22.1k</t>
  </si>
  <si>
    <t>C25961</t>
  </si>
  <si>
    <t>SW1</t>
  </si>
  <si>
    <t>RA1H1C112R</t>
  </si>
  <si>
    <t>SW_RA1H1C112R</t>
  </si>
  <si>
    <t>U1</t>
  </si>
  <si>
    <t>LMR23630AFDDAR</t>
  </si>
  <si>
    <t>TI_SO-PowerPAD-8_ThermalVias</t>
  </si>
  <si>
    <t>C601653</t>
  </si>
  <si>
    <t>TOTAL</t>
  </si>
  <si>
    <t>C440198</t>
  </si>
  <si>
    <t>C_0805_2012Metric</t>
  </si>
  <si>
    <t>C1658</t>
  </si>
  <si>
    <t>C2915629</t>
  </si>
  <si>
    <t>C161692</t>
  </si>
  <si>
    <t>C144395</t>
  </si>
  <si>
    <t>QTY *10 + spare</t>
  </si>
  <si>
    <t>shipping</t>
  </si>
  <si>
    <t>PCB</t>
  </si>
  <si>
    <t>setup</t>
  </si>
  <si>
    <t>stencil</t>
  </si>
  <si>
    <t>components</t>
  </si>
  <si>
    <t>extended fee</t>
  </si>
  <si>
    <t>smt</t>
  </si>
  <si>
    <t>confirm</t>
  </si>
  <si>
    <t>Total</t>
  </si>
  <si>
    <t>weird?</t>
  </si>
  <si>
    <t>per board</t>
  </si>
  <si>
    <t>no components compare</t>
  </si>
  <si>
    <t>-</t>
  </si>
  <si>
    <t>THESE RESULTS NOT INCLUDING WIRES and BOTTOM SIDE COMPONENTS</t>
  </si>
  <si>
    <t>import tax</t>
  </si>
  <si>
    <t>flat fee</t>
  </si>
  <si>
    <t>usd to cad</t>
  </si>
  <si>
    <t>3-794636-6</t>
  </si>
  <si>
    <t>0297015.WXT</t>
  </si>
  <si>
    <t>FIT0582</t>
  </si>
  <si>
    <t>BM04B-GHS-TBT</t>
  </si>
  <si>
    <t>2-1445053-2</t>
  </si>
  <si>
    <t>RMCF0603ZT0R00</t>
  </si>
  <si>
    <t>J7</t>
  </si>
  <si>
    <t>J13</t>
  </si>
  <si>
    <t>R3</t>
  </si>
  <si>
    <t>Bottom side components and extra stuff</t>
  </si>
  <si>
    <t>R4, R5</t>
  </si>
  <si>
    <t>J4, J5</t>
  </si>
  <si>
    <t>RMCF0603FT110R</t>
  </si>
  <si>
    <t>Digikey cost</t>
  </si>
  <si>
    <t>JLC cost</t>
  </si>
  <si>
    <t>extra digikey</t>
  </si>
  <si>
    <t>794606-1</t>
  </si>
  <si>
    <t>crimps</t>
  </si>
  <si>
    <t>price if request approved</t>
  </si>
  <si>
    <t>request approved</t>
  </si>
  <si>
    <t>QTY have</t>
  </si>
  <si>
    <t>housing 2 pin</t>
  </si>
  <si>
    <t>housing 6 pin</t>
  </si>
  <si>
    <t>override</t>
  </si>
  <si>
    <t>DIGIKEY</t>
  </si>
  <si>
    <t>DNP QTY</t>
  </si>
  <si>
    <t>QTY after DNP</t>
  </si>
  <si>
    <t>WM21789-1-ND</t>
  </si>
  <si>
    <t>4 cond cable 22AWG</t>
  </si>
  <si>
    <t>T1331-1-ND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</si>
</sst>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33" borderId="0" xfId="0" applyFill="1"/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abSelected="1" workbookViewId="0">
      <selection activeCell="D8" sqref="D8"/>
    </sheetView>
  </sheetViews>
  <sheetFormatPr defaultRowHeight="14.4" x14ac:dyDescent="0.3"/>
  <cols>
    <col min="10" max="10" width="12.77734375" bestFit="1" customWidth="1"/>
    <col min="14" max="15" width="8.77734375" customWidth="1"/>
    <col min="20" max="20" width="9.21875" customWidth="1"/>
    <col min="23" max="23" width="16.777343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123</v>
      </c>
      <c r="J1" t="s">
        <v>124</v>
      </c>
      <c r="K1" t="s">
        <v>118</v>
      </c>
      <c r="L1" t="s">
        <v>80</v>
      </c>
      <c r="M1" t="s">
        <v>8</v>
      </c>
      <c r="N1" t="s">
        <v>9</v>
      </c>
      <c r="O1" t="s">
        <v>121</v>
      </c>
      <c r="P1" t="s">
        <v>10</v>
      </c>
    </row>
    <row r="2" spans="1:24" x14ac:dyDescent="0.3">
      <c r="A2" t="s">
        <v>11</v>
      </c>
      <c r="B2" t="s">
        <v>12</v>
      </c>
      <c r="C2" t="s">
        <v>13</v>
      </c>
      <c r="D2" t="s">
        <v>14</v>
      </c>
      <c r="E2">
        <v>7.3999999999999996E-2</v>
      </c>
      <c r="F2">
        <v>2.8E-3</v>
      </c>
      <c r="G2" t="s">
        <v>15</v>
      </c>
      <c r="H2">
        <v>1</v>
      </c>
      <c r="J2">
        <f>H2-I2</f>
        <v>1</v>
      </c>
      <c r="L2">
        <f>H2*10</f>
        <v>10</v>
      </c>
      <c r="M2">
        <f>E2*(L2-K2)</f>
        <v>0.74</v>
      </c>
      <c r="N2">
        <f>IF(ISBLANK(F2),"EMPTY",(F2*L2+IF(G2="yes",4.04,0)))</f>
        <v>2.8000000000000001E-2</v>
      </c>
      <c r="P2">
        <f t="shared" ref="P2:P20" si="0">IF(N2="EMPTY",M2,IF(B2="Bottom",M2,IF(O2="DIGIKEY",M2,IF(O2="JLC",N2,IF(N2&lt;M2+0.2,N2,M2)))))</f>
        <v>2.8000000000000001E-2</v>
      </c>
      <c r="Q2" t="str">
        <f t="shared" ref="Q2:Q20" si="1">IF(N2="EMPTY","DIGIKEY",IF(B2="Bottom","DIGIKEY",IF(O2="DIGIKEY",O2,IF(O2="JLC",O2,IF(N2&lt;M2+0.2,"JLC","DIGIKEY")))))</f>
        <v>JLC</v>
      </c>
    </row>
    <row r="3" spans="1:24" x14ac:dyDescent="0.3">
      <c r="A3" t="s">
        <v>16</v>
      </c>
      <c r="B3" t="s">
        <v>17</v>
      </c>
      <c r="C3" t="s">
        <v>18</v>
      </c>
      <c r="D3" t="s">
        <v>19</v>
      </c>
      <c r="E3">
        <v>1.4710000000000001</v>
      </c>
      <c r="F3">
        <v>1.0630500000000001</v>
      </c>
      <c r="G3" t="s">
        <v>20</v>
      </c>
      <c r="H3">
        <v>1</v>
      </c>
      <c r="J3">
        <f t="shared" ref="J3:J20" si="2">H3-I3</f>
        <v>1</v>
      </c>
      <c r="L3">
        <f t="shared" ref="L3:L20" si="3">H3*10</f>
        <v>10</v>
      </c>
      <c r="M3">
        <f t="shared" ref="M3:M20" si="4">E3*(L3-K3)</f>
        <v>14.71</v>
      </c>
      <c r="N3">
        <f t="shared" ref="N3:N20" si="5">IF(ISBLANK(F3),"EMPTY",(F3*L3+IF(G3="yes",4.04,0)))</f>
        <v>14.670500000000001</v>
      </c>
      <c r="O3" t="s">
        <v>122</v>
      </c>
      <c r="P3">
        <f t="shared" si="0"/>
        <v>14.71</v>
      </c>
      <c r="Q3" t="str">
        <f t="shared" si="1"/>
        <v>DIGIKEY</v>
      </c>
      <c r="X3" t="s">
        <v>92</v>
      </c>
    </row>
    <row r="4" spans="1:24" x14ac:dyDescent="0.3">
      <c r="A4" t="s">
        <v>21</v>
      </c>
      <c r="B4" t="s">
        <v>22</v>
      </c>
      <c r="C4" t="s">
        <v>75</v>
      </c>
      <c r="D4" t="s">
        <v>74</v>
      </c>
      <c r="E4">
        <v>0.317</v>
      </c>
      <c r="F4">
        <v>9.0800000000000006E-2</v>
      </c>
      <c r="G4" t="s">
        <v>15</v>
      </c>
      <c r="H4">
        <v>1</v>
      </c>
      <c r="J4">
        <f t="shared" si="2"/>
        <v>1</v>
      </c>
      <c r="L4">
        <f t="shared" si="3"/>
        <v>10</v>
      </c>
      <c r="M4">
        <f t="shared" si="4"/>
        <v>3.17</v>
      </c>
      <c r="N4">
        <f t="shared" si="5"/>
        <v>0.90800000000000003</v>
      </c>
      <c r="P4">
        <f t="shared" si="0"/>
        <v>0.90800000000000003</v>
      </c>
      <c r="Q4" t="str">
        <f t="shared" si="1"/>
        <v>JLC</v>
      </c>
      <c r="T4" t="s">
        <v>82</v>
      </c>
      <c r="U4" s="3">
        <v>33.590000000000003</v>
      </c>
      <c r="X4" s="3">
        <f>U4</f>
        <v>33.590000000000003</v>
      </c>
    </row>
    <row r="5" spans="1:24" x14ac:dyDescent="0.3">
      <c r="A5" t="s">
        <v>26</v>
      </c>
      <c r="B5" t="s">
        <v>27</v>
      </c>
      <c r="C5" t="s">
        <v>13</v>
      </c>
      <c r="D5" t="s">
        <v>76</v>
      </c>
      <c r="E5" s="1">
        <v>0.05</v>
      </c>
      <c r="F5">
        <v>3.64E-3</v>
      </c>
      <c r="G5" t="s">
        <v>15</v>
      </c>
      <c r="H5">
        <v>1</v>
      </c>
      <c r="J5">
        <f t="shared" si="2"/>
        <v>1</v>
      </c>
      <c r="L5">
        <f t="shared" si="3"/>
        <v>10</v>
      </c>
      <c r="M5">
        <f t="shared" si="4"/>
        <v>0.5</v>
      </c>
      <c r="N5">
        <f t="shared" si="5"/>
        <v>3.6400000000000002E-2</v>
      </c>
      <c r="P5">
        <f t="shared" si="0"/>
        <v>3.6400000000000002E-2</v>
      </c>
      <c r="Q5" t="str">
        <f t="shared" si="1"/>
        <v>JLC</v>
      </c>
      <c r="T5" t="s">
        <v>83</v>
      </c>
      <c r="U5" s="3">
        <v>10.78</v>
      </c>
      <c r="X5" s="3" t="s">
        <v>93</v>
      </c>
    </row>
    <row r="6" spans="1:24" x14ac:dyDescent="0.3">
      <c r="A6" t="s">
        <v>23</v>
      </c>
      <c r="B6" t="s">
        <v>24</v>
      </c>
      <c r="C6" t="s">
        <v>13</v>
      </c>
      <c r="D6" t="s">
        <v>25</v>
      </c>
      <c r="E6">
        <v>8.5000000000000006E-2</v>
      </c>
      <c r="F6">
        <v>7.28E-3</v>
      </c>
      <c r="G6" t="s">
        <v>15</v>
      </c>
      <c r="H6">
        <v>1</v>
      </c>
      <c r="J6">
        <f t="shared" si="2"/>
        <v>1</v>
      </c>
      <c r="L6">
        <f t="shared" si="3"/>
        <v>10</v>
      </c>
      <c r="M6">
        <f t="shared" si="4"/>
        <v>0.85000000000000009</v>
      </c>
      <c r="N6">
        <f t="shared" si="5"/>
        <v>7.2800000000000004E-2</v>
      </c>
      <c r="P6">
        <f t="shared" si="0"/>
        <v>7.2800000000000004E-2</v>
      </c>
      <c r="Q6" t="str">
        <f t="shared" si="1"/>
        <v>JLC</v>
      </c>
      <c r="T6" t="s">
        <v>84</v>
      </c>
      <c r="U6" s="3">
        <v>2.02</v>
      </c>
      <c r="X6" s="3" t="s">
        <v>93</v>
      </c>
    </row>
    <row r="7" spans="1:24" x14ac:dyDescent="0.3">
      <c r="A7" t="s">
        <v>28</v>
      </c>
      <c r="B7" t="s">
        <v>29</v>
      </c>
      <c r="C7" t="s">
        <v>30</v>
      </c>
      <c r="D7" t="s">
        <v>31</v>
      </c>
      <c r="E7">
        <v>1.266</v>
      </c>
      <c r="F7">
        <v>0.90539000000000003</v>
      </c>
      <c r="G7" t="s">
        <v>20</v>
      </c>
      <c r="H7">
        <v>1</v>
      </c>
      <c r="J7">
        <f t="shared" si="2"/>
        <v>1</v>
      </c>
      <c r="L7">
        <f t="shared" si="3"/>
        <v>10</v>
      </c>
      <c r="M7">
        <f t="shared" si="4"/>
        <v>12.66</v>
      </c>
      <c r="N7">
        <f t="shared" si="5"/>
        <v>13.093900000000001</v>
      </c>
      <c r="P7">
        <f t="shared" si="0"/>
        <v>12.66</v>
      </c>
      <c r="Q7" t="str">
        <f t="shared" si="1"/>
        <v>DIGIKEY</v>
      </c>
      <c r="T7" t="s">
        <v>85</v>
      </c>
      <c r="U7" s="3">
        <v>62.46</v>
      </c>
      <c r="V7" s="2">
        <f>SUM(U7:U8)</f>
        <v>93.41</v>
      </c>
      <c r="W7" t="s">
        <v>90</v>
      </c>
      <c r="X7" s="3" t="s">
        <v>93</v>
      </c>
    </row>
    <row r="8" spans="1:24" x14ac:dyDescent="0.3">
      <c r="A8" t="s">
        <v>32</v>
      </c>
      <c r="B8" t="s">
        <v>33</v>
      </c>
      <c r="C8" t="s">
        <v>34</v>
      </c>
      <c r="D8" t="s">
        <v>35</v>
      </c>
      <c r="E8">
        <v>0.47599999999999998</v>
      </c>
      <c r="F8">
        <v>0.10024</v>
      </c>
      <c r="G8" t="s">
        <v>20</v>
      </c>
      <c r="H8">
        <v>1</v>
      </c>
      <c r="J8">
        <f t="shared" si="2"/>
        <v>1</v>
      </c>
      <c r="L8">
        <f>H8*10+2</f>
        <v>12</v>
      </c>
      <c r="M8">
        <f t="shared" si="4"/>
        <v>5.7119999999999997</v>
      </c>
      <c r="N8">
        <f t="shared" si="5"/>
        <v>5.2428799999999995</v>
      </c>
      <c r="P8">
        <f t="shared" si="0"/>
        <v>5.2428799999999995</v>
      </c>
      <c r="Q8" t="str">
        <f t="shared" si="1"/>
        <v>JLC</v>
      </c>
      <c r="T8" t="s">
        <v>86</v>
      </c>
      <c r="U8" s="3">
        <v>30.95</v>
      </c>
      <c r="X8" s="3" t="s">
        <v>93</v>
      </c>
    </row>
    <row r="9" spans="1:24" x14ac:dyDescent="0.3">
      <c r="A9" t="s">
        <v>36</v>
      </c>
      <c r="B9">
        <v>3568</v>
      </c>
      <c r="C9" t="s">
        <v>37</v>
      </c>
      <c r="E9">
        <v>1.68</v>
      </c>
      <c r="H9">
        <v>1</v>
      </c>
      <c r="J9">
        <f t="shared" si="2"/>
        <v>1</v>
      </c>
      <c r="L9">
        <f>H9*8</f>
        <v>8</v>
      </c>
      <c r="M9">
        <f t="shared" si="4"/>
        <v>13.44</v>
      </c>
      <c r="N9" t="str">
        <f t="shared" si="5"/>
        <v>EMPTY</v>
      </c>
      <c r="P9">
        <f t="shared" si="0"/>
        <v>13.44</v>
      </c>
      <c r="Q9" t="str">
        <f t="shared" si="1"/>
        <v>DIGIKEY</v>
      </c>
      <c r="T9" t="s">
        <v>87</v>
      </c>
      <c r="U9" s="3">
        <v>1.85</v>
      </c>
      <c r="X9" s="3" t="s">
        <v>93</v>
      </c>
    </row>
    <row r="10" spans="1:24" x14ac:dyDescent="0.3">
      <c r="A10" t="s">
        <v>38</v>
      </c>
      <c r="B10" t="s">
        <v>39</v>
      </c>
      <c r="C10" t="s">
        <v>39</v>
      </c>
      <c r="D10" t="s">
        <v>77</v>
      </c>
      <c r="E10">
        <v>0.49519999999999997</v>
      </c>
      <c r="F10">
        <v>6.7500000000000004E-2</v>
      </c>
      <c r="G10" t="s">
        <v>20</v>
      </c>
      <c r="H10">
        <v>12</v>
      </c>
      <c r="J10">
        <f t="shared" si="2"/>
        <v>12</v>
      </c>
      <c r="L10">
        <f>H10*10+2</f>
        <v>122</v>
      </c>
      <c r="M10">
        <f t="shared" si="4"/>
        <v>60.414399999999993</v>
      </c>
      <c r="N10">
        <f t="shared" si="5"/>
        <v>12.275000000000002</v>
      </c>
      <c r="P10">
        <f t="shared" si="0"/>
        <v>12.275000000000002</v>
      </c>
      <c r="Q10" t="str">
        <f t="shared" si="1"/>
        <v>JLC</v>
      </c>
      <c r="T10" t="s">
        <v>88</v>
      </c>
      <c r="U10" s="3">
        <v>0.57999999999999996</v>
      </c>
      <c r="X10" s="3" t="s">
        <v>93</v>
      </c>
    </row>
    <row r="11" spans="1:24" x14ac:dyDescent="0.3">
      <c r="A11" t="s">
        <v>40</v>
      </c>
      <c r="B11" t="s">
        <v>41</v>
      </c>
      <c r="C11" t="s">
        <v>41</v>
      </c>
      <c r="D11" t="s">
        <v>78</v>
      </c>
      <c r="E11">
        <v>0.60599999999999998</v>
      </c>
      <c r="F11">
        <v>0.24965999999999999</v>
      </c>
      <c r="G11" t="s">
        <v>20</v>
      </c>
      <c r="H11">
        <v>2</v>
      </c>
      <c r="I11">
        <v>2</v>
      </c>
      <c r="J11">
        <f t="shared" si="2"/>
        <v>0</v>
      </c>
      <c r="L11">
        <f>H11*10+2</f>
        <v>22</v>
      </c>
      <c r="M11">
        <f t="shared" si="4"/>
        <v>13.331999999999999</v>
      </c>
      <c r="N11">
        <f t="shared" si="5"/>
        <v>9.5325199999999999</v>
      </c>
      <c r="P11">
        <f t="shared" si="0"/>
        <v>9.5325199999999999</v>
      </c>
      <c r="Q11" t="str">
        <f t="shared" si="1"/>
        <v>JLC</v>
      </c>
      <c r="U11" s="3"/>
      <c r="X11" s="3"/>
    </row>
    <row r="12" spans="1:24" x14ac:dyDescent="0.3">
      <c r="A12" t="s">
        <v>42</v>
      </c>
      <c r="B12" t="s">
        <v>43</v>
      </c>
      <c r="C12" t="s">
        <v>43</v>
      </c>
      <c r="D12" t="s">
        <v>79</v>
      </c>
      <c r="E12">
        <v>0.26900000000000002</v>
      </c>
      <c r="F12">
        <v>3.95E-2</v>
      </c>
      <c r="G12" t="s">
        <v>20</v>
      </c>
      <c r="H12">
        <v>1</v>
      </c>
      <c r="J12">
        <f t="shared" si="2"/>
        <v>1</v>
      </c>
      <c r="L12">
        <f>H12*8</f>
        <v>8</v>
      </c>
      <c r="M12">
        <f t="shared" si="4"/>
        <v>2.1520000000000001</v>
      </c>
      <c r="N12">
        <f t="shared" si="5"/>
        <v>4.3559999999999999</v>
      </c>
      <c r="P12">
        <f t="shared" si="0"/>
        <v>2.1520000000000001</v>
      </c>
      <c r="Q12" t="str">
        <f t="shared" si="1"/>
        <v>DIGIKEY</v>
      </c>
      <c r="T12" t="s">
        <v>81</v>
      </c>
      <c r="U12" s="3">
        <v>74.34</v>
      </c>
      <c r="X12" s="3">
        <v>45</v>
      </c>
    </row>
    <row r="13" spans="1:24" x14ac:dyDescent="0.3">
      <c r="A13" t="s">
        <v>44</v>
      </c>
      <c r="B13" t="s">
        <v>45</v>
      </c>
      <c r="C13" t="s">
        <v>46</v>
      </c>
      <c r="D13" t="s">
        <v>47</v>
      </c>
      <c r="E13">
        <v>4.2000000000000003E-2</v>
      </c>
      <c r="F13">
        <v>1.6500000000000001E-2</v>
      </c>
      <c r="G13" t="s">
        <v>20</v>
      </c>
      <c r="H13">
        <v>1</v>
      </c>
      <c r="J13">
        <f t="shared" si="2"/>
        <v>1</v>
      </c>
      <c r="L13">
        <f>H13*8</f>
        <v>8</v>
      </c>
      <c r="M13">
        <f t="shared" si="4"/>
        <v>0.33600000000000002</v>
      </c>
      <c r="N13">
        <f t="shared" si="5"/>
        <v>4.1719999999999997</v>
      </c>
      <c r="P13">
        <f t="shared" si="0"/>
        <v>0.33600000000000002</v>
      </c>
      <c r="Q13" t="str">
        <f t="shared" si="1"/>
        <v>DIGIKEY</v>
      </c>
      <c r="T13" t="s">
        <v>89</v>
      </c>
      <c r="U13" s="3">
        <f>SUM(U4:U12)</f>
        <v>216.57000000000002</v>
      </c>
      <c r="X13" s="3">
        <f>SUM(X4:X12)</f>
        <v>78.59</v>
      </c>
    </row>
    <row r="14" spans="1:24" x14ac:dyDescent="0.3">
      <c r="A14" t="s">
        <v>48</v>
      </c>
      <c r="B14" t="s">
        <v>49</v>
      </c>
      <c r="C14" t="s">
        <v>50</v>
      </c>
      <c r="D14" t="s">
        <v>51</v>
      </c>
      <c r="E14">
        <v>1.7569999999999999</v>
      </c>
      <c r="F14">
        <v>0.63256000000000001</v>
      </c>
      <c r="G14" t="s">
        <v>20</v>
      </c>
      <c r="H14">
        <v>1</v>
      </c>
      <c r="J14">
        <f t="shared" si="2"/>
        <v>1</v>
      </c>
      <c r="L14">
        <f t="shared" si="3"/>
        <v>10</v>
      </c>
      <c r="M14">
        <f t="shared" si="4"/>
        <v>17.57</v>
      </c>
      <c r="N14">
        <f t="shared" si="5"/>
        <v>10.365600000000001</v>
      </c>
      <c r="P14">
        <f t="shared" si="0"/>
        <v>10.365600000000001</v>
      </c>
      <c r="Q14" t="str">
        <f t="shared" si="1"/>
        <v>JLC</v>
      </c>
      <c r="T14" t="s">
        <v>95</v>
      </c>
      <c r="U14" s="3">
        <f>0.12*U13</f>
        <v>25.988400000000002</v>
      </c>
      <c r="X14" s="3">
        <f>0.17*X13</f>
        <v>13.360300000000002</v>
      </c>
    </row>
    <row r="15" spans="1:24" x14ac:dyDescent="0.3">
      <c r="A15" t="s">
        <v>52</v>
      </c>
      <c r="B15" t="s">
        <v>53</v>
      </c>
      <c r="C15" t="s">
        <v>54</v>
      </c>
      <c r="D15" t="s">
        <v>55</v>
      </c>
      <c r="E15">
        <v>1.0969</v>
      </c>
      <c r="F15">
        <v>0.55779999999999996</v>
      </c>
      <c r="G15" t="s">
        <v>20</v>
      </c>
      <c r="H15">
        <v>2</v>
      </c>
      <c r="J15">
        <f t="shared" si="2"/>
        <v>2</v>
      </c>
      <c r="L15">
        <f t="shared" si="3"/>
        <v>20</v>
      </c>
      <c r="M15">
        <f t="shared" si="4"/>
        <v>21.937999999999999</v>
      </c>
      <c r="N15">
        <f t="shared" si="5"/>
        <v>15.195999999999998</v>
      </c>
      <c r="P15">
        <f t="shared" si="0"/>
        <v>15.195999999999998</v>
      </c>
      <c r="Q15" t="str">
        <f t="shared" si="1"/>
        <v>JLC</v>
      </c>
      <c r="T15" t="s">
        <v>96</v>
      </c>
      <c r="U15" s="3">
        <v>17.5</v>
      </c>
      <c r="X15" s="3"/>
    </row>
    <row r="16" spans="1:24" x14ac:dyDescent="0.3">
      <c r="A16" t="s">
        <v>56</v>
      </c>
      <c r="B16" t="s">
        <v>57</v>
      </c>
      <c r="C16" t="s">
        <v>58</v>
      </c>
      <c r="D16" t="s">
        <v>59</v>
      </c>
      <c r="E16">
        <v>2.3E-2</v>
      </c>
      <c r="F16">
        <v>1.2149999999999999E-3</v>
      </c>
      <c r="G16" t="s">
        <v>15</v>
      </c>
      <c r="H16">
        <v>2</v>
      </c>
      <c r="J16">
        <f t="shared" si="2"/>
        <v>2</v>
      </c>
      <c r="L16">
        <f t="shared" si="3"/>
        <v>20</v>
      </c>
      <c r="M16">
        <f t="shared" si="4"/>
        <v>0.45999999999999996</v>
      </c>
      <c r="N16">
        <f t="shared" si="5"/>
        <v>2.4299999999999999E-2</v>
      </c>
      <c r="P16">
        <f t="shared" si="0"/>
        <v>2.4299999999999999E-2</v>
      </c>
      <c r="Q16" t="str">
        <f t="shared" si="1"/>
        <v>JLC</v>
      </c>
      <c r="T16" t="s">
        <v>73</v>
      </c>
      <c r="U16" s="3">
        <f>SUM(U13:U15)</f>
        <v>260.05840000000001</v>
      </c>
      <c r="X16" s="3">
        <f>X13+X14</f>
        <v>91.950299999999999</v>
      </c>
    </row>
    <row r="17" spans="1:24" x14ac:dyDescent="0.3">
      <c r="A17" t="s">
        <v>60</v>
      </c>
      <c r="B17" t="s">
        <v>61</v>
      </c>
      <c r="C17" t="s">
        <v>58</v>
      </c>
      <c r="D17" t="s">
        <v>62</v>
      </c>
      <c r="E17">
        <v>2.3E-2</v>
      </c>
      <c r="F17">
        <v>1.5E-3</v>
      </c>
      <c r="G17" t="s">
        <v>20</v>
      </c>
      <c r="H17">
        <v>1</v>
      </c>
      <c r="J17">
        <f t="shared" si="2"/>
        <v>1</v>
      </c>
      <c r="L17">
        <f t="shared" si="3"/>
        <v>10</v>
      </c>
      <c r="M17">
        <f t="shared" si="4"/>
        <v>0.22999999999999998</v>
      </c>
      <c r="N17">
        <f t="shared" si="5"/>
        <v>4.0549999999999997</v>
      </c>
      <c r="P17">
        <f t="shared" si="0"/>
        <v>0.22999999999999998</v>
      </c>
      <c r="Q17" t="str">
        <f t="shared" si="1"/>
        <v>DIGIKEY</v>
      </c>
      <c r="U17" s="3"/>
      <c r="X17" s="3"/>
    </row>
    <row r="18" spans="1:24" x14ac:dyDescent="0.3">
      <c r="A18" t="s">
        <v>63</v>
      </c>
      <c r="B18" t="s">
        <v>64</v>
      </c>
      <c r="C18" t="s">
        <v>58</v>
      </c>
      <c r="D18" t="s">
        <v>65</v>
      </c>
      <c r="E18">
        <v>2.3E-2</v>
      </c>
      <c r="F18">
        <v>8.9999999999999998E-4</v>
      </c>
      <c r="G18" t="s">
        <v>20</v>
      </c>
      <c r="H18">
        <v>1</v>
      </c>
      <c r="J18">
        <f t="shared" si="2"/>
        <v>1</v>
      </c>
      <c r="L18">
        <f t="shared" si="3"/>
        <v>10</v>
      </c>
      <c r="M18">
        <f t="shared" si="4"/>
        <v>0.22999999999999998</v>
      </c>
      <c r="N18">
        <f t="shared" si="5"/>
        <v>4.0490000000000004</v>
      </c>
      <c r="P18">
        <f t="shared" si="0"/>
        <v>0.22999999999999998</v>
      </c>
      <c r="Q18" t="str">
        <f t="shared" si="1"/>
        <v>DIGIKEY</v>
      </c>
      <c r="U18" s="3">
        <f>U16+R22</f>
        <v>338.30047999999999</v>
      </c>
      <c r="X18" s="3">
        <f>X16+(M22+N40)*1.12</f>
        <v>362.14514799999995</v>
      </c>
    </row>
    <row r="19" spans="1:24" x14ac:dyDescent="0.3">
      <c r="A19" t="s">
        <v>66</v>
      </c>
      <c r="B19" t="s">
        <v>67</v>
      </c>
      <c r="C19" t="s">
        <v>68</v>
      </c>
      <c r="E19">
        <v>1.3320000000000001</v>
      </c>
      <c r="H19">
        <v>1</v>
      </c>
      <c r="J19">
        <f t="shared" si="2"/>
        <v>1</v>
      </c>
      <c r="L19">
        <f>H19*8</f>
        <v>8</v>
      </c>
      <c r="M19">
        <f t="shared" si="4"/>
        <v>10.656000000000001</v>
      </c>
      <c r="N19" t="str">
        <f t="shared" si="5"/>
        <v>EMPTY</v>
      </c>
      <c r="P19">
        <f t="shared" si="0"/>
        <v>10.656000000000001</v>
      </c>
      <c r="Q19" t="str">
        <f t="shared" si="1"/>
        <v>DIGIKEY</v>
      </c>
      <c r="T19" t="s">
        <v>91</v>
      </c>
      <c r="U19" s="3">
        <f>U18/10</f>
        <v>33.830047999999998</v>
      </c>
      <c r="X19" s="3">
        <f>X18/10</f>
        <v>36.214514799999996</v>
      </c>
    </row>
    <row r="20" spans="1:24" x14ac:dyDescent="0.3">
      <c r="A20" t="s">
        <v>69</v>
      </c>
      <c r="B20" t="s">
        <v>70</v>
      </c>
      <c r="C20" t="s">
        <v>71</v>
      </c>
      <c r="D20" t="s">
        <v>72</v>
      </c>
      <c r="E20">
        <v>4.67</v>
      </c>
      <c r="F20">
        <v>1.24895</v>
      </c>
      <c r="G20" t="s">
        <v>20</v>
      </c>
      <c r="H20">
        <v>1</v>
      </c>
      <c r="J20">
        <f t="shared" si="2"/>
        <v>1</v>
      </c>
      <c r="L20">
        <f t="shared" si="3"/>
        <v>10</v>
      </c>
      <c r="M20">
        <f t="shared" si="4"/>
        <v>46.7</v>
      </c>
      <c r="N20">
        <f t="shared" si="5"/>
        <v>16.529499999999999</v>
      </c>
      <c r="P20">
        <f t="shared" si="0"/>
        <v>16.529499999999999</v>
      </c>
      <c r="Q20" t="str">
        <f t="shared" si="1"/>
        <v>JLC</v>
      </c>
    </row>
    <row r="21" spans="1:24" x14ac:dyDescent="0.3">
      <c r="Q21">
        <f>COUNTIF(Q2:Q20,"JLC")</f>
        <v>11</v>
      </c>
    </row>
    <row r="22" spans="1:24" x14ac:dyDescent="0.3">
      <c r="M22">
        <f>SUM(M2:M20)</f>
        <v>225.80039999999997</v>
      </c>
      <c r="N22" t="s">
        <v>73</v>
      </c>
      <c r="P22">
        <f>SUM(P2:P20)</f>
        <v>124.62500000000001</v>
      </c>
      <c r="Q22" s="2">
        <f>SUMIF(Q2:Q20,"JLC",P2:P20)</f>
        <v>70.210999999999999</v>
      </c>
      <c r="R22">
        <f>(P22-Q22+N40)*1.12</f>
        <v>78.242080000000016</v>
      </c>
      <c r="U22" t="s">
        <v>94</v>
      </c>
    </row>
    <row r="23" spans="1:24" x14ac:dyDescent="0.3">
      <c r="Q23" t="s">
        <v>112</v>
      </c>
      <c r="R23" t="s">
        <v>111</v>
      </c>
    </row>
    <row r="24" spans="1:24" x14ac:dyDescent="0.3">
      <c r="D24" t="s">
        <v>97</v>
      </c>
      <c r="E24">
        <v>1.3497425000000001</v>
      </c>
    </row>
    <row r="25" spans="1:24" x14ac:dyDescent="0.3">
      <c r="T25">
        <f>30.95/8</f>
        <v>3.8687499999999999</v>
      </c>
    </row>
    <row r="26" spans="1:24" x14ac:dyDescent="0.3">
      <c r="A26" t="s">
        <v>107</v>
      </c>
    </row>
    <row r="27" spans="1:24" x14ac:dyDescent="0.3">
      <c r="N27" t="s">
        <v>116</v>
      </c>
    </row>
    <row r="28" spans="1:24" x14ac:dyDescent="0.3">
      <c r="B28" t="s">
        <v>99</v>
      </c>
      <c r="E28">
        <v>0.40899999999999997</v>
      </c>
      <c r="H28">
        <v>1</v>
      </c>
      <c r="L28">
        <v>15</v>
      </c>
      <c r="N28">
        <f t="shared" ref="N28:N39" si="6">E28*L28</f>
        <v>6.1349999999999998</v>
      </c>
    </row>
    <row r="29" spans="1:24" x14ac:dyDescent="0.3">
      <c r="N29">
        <f t="shared" si="6"/>
        <v>0</v>
      </c>
    </row>
    <row r="30" spans="1:24" x14ac:dyDescent="0.3">
      <c r="B30" t="s">
        <v>100</v>
      </c>
      <c r="E30">
        <v>8.85</v>
      </c>
      <c r="H30">
        <v>1</v>
      </c>
      <c r="L30">
        <v>1</v>
      </c>
      <c r="N30">
        <f t="shared" si="6"/>
        <v>8.85</v>
      </c>
    </row>
    <row r="31" spans="1:24" x14ac:dyDescent="0.3">
      <c r="N31">
        <f t="shared" si="6"/>
        <v>0</v>
      </c>
    </row>
    <row r="32" spans="1:24" x14ac:dyDescent="0.3">
      <c r="B32" t="s">
        <v>120</v>
      </c>
      <c r="N32">
        <f t="shared" si="6"/>
        <v>0</v>
      </c>
    </row>
    <row r="33" spans="1:17" x14ac:dyDescent="0.3">
      <c r="B33" t="s">
        <v>119</v>
      </c>
      <c r="N33">
        <f t="shared" si="6"/>
        <v>0</v>
      </c>
    </row>
    <row r="34" spans="1:17" x14ac:dyDescent="0.3">
      <c r="B34" t="s">
        <v>114</v>
      </c>
      <c r="C34" t="s">
        <v>115</v>
      </c>
      <c r="K34">
        <v>100</v>
      </c>
      <c r="N34">
        <f t="shared" si="6"/>
        <v>0</v>
      </c>
      <c r="Q34" t="s">
        <v>117</v>
      </c>
    </row>
    <row r="35" spans="1:17" x14ac:dyDescent="0.3">
      <c r="A35" t="s">
        <v>109</v>
      </c>
      <c r="B35" t="s">
        <v>102</v>
      </c>
      <c r="E35">
        <v>1.88</v>
      </c>
      <c r="H35">
        <v>1</v>
      </c>
      <c r="K35">
        <v>8</v>
      </c>
      <c r="L35">
        <v>8</v>
      </c>
      <c r="M35">
        <f>L35-K35</f>
        <v>0</v>
      </c>
      <c r="N35">
        <f>E35*M35</f>
        <v>0</v>
      </c>
      <c r="Q35" t="s">
        <v>117</v>
      </c>
    </row>
    <row r="36" spans="1:17" x14ac:dyDescent="0.3">
      <c r="A36" t="s">
        <v>104</v>
      </c>
      <c r="B36" t="s">
        <v>98</v>
      </c>
      <c r="E36">
        <v>3.7</v>
      </c>
      <c r="H36">
        <v>1</v>
      </c>
      <c r="K36">
        <v>8</v>
      </c>
      <c r="L36">
        <v>8</v>
      </c>
      <c r="M36">
        <f t="shared" ref="M36:M39" si="7">L36-K36</f>
        <v>0</v>
      </c>
      <c r="N36">
        <f>E36*M36</f>
        <v>0</v>
      </c>
      <c r="Q36" t="s">
        <v>117</v>
      </c>
    </row>
    <row r="37" spans="1:17" x14ac:dyDescent="0.3">
      <c r="A37" t="s">
        <v>105</v>
      </c>
      <c r="B37" t="s">
        <v>101</v>
      </c>
      <c r="M37">
        <f t="shared" si="7"/>
        <v>0</v>
      </c>
      <c r="N37">
        <f t="shared" si="6"/>
        <v>0</v>
      </c>
    </row>
    <row r="38" spans="1:17" x14ac:dyDescent="0.3">
      <c r="A38" t="s">
        <v>106</v>
      </c>
      <c r="B38" t="s">
        <v>110</v>
      </c>
      <c r="E38">
        <v>2.3E-2</v>
      </c>
      <c r="H38">
        <v>1</v>
      </c>
      <c r="L38">
        <v>10</v>
      </c>
      <c r="M38">
        <f t="shared" si="7"/>
        <v>10</v>
      </c>
      <c r="N38">
        <f t="shared" si="6"/>
        <v>0.22999999999999998</v>
      </c>
    </row>
    <row r="39" spans="1:17" x14ac:dyDescent="0.3">
      <c r="A39" t="s">
        <v>108</v>
      </c>
      <c r="B39" t="s">
        <v>103</v>
      </c>
      <c r="E39">
        <v>2.3E-2</v>
      </c>
      <c r="H39">
        <v>1</v>
      </c>
      <c r="L39">
        <v>10</v>
      </c>
      <c r="M39">
        <f t="shared" si="7"/>
        <v>10</v>
      </c>
      <c r="N39">
        <f t="shared" si="6"/>
        <v>0.22999999999999998</v>
      </c>
    </row>
    <row r="40" spans="1:17" x14ac:dyDescent="0.3">
      <c r="B40" t="s">
        <v>125</v>
      </c>
      <c r="D40" t="s">
        <v>126</v>
      </c>
      <c r="L40" t="s">
        <v>113</v>
      </c>
      <c r="N40">
        <f>SUM(N28:N39)</f>
        <v>15.445</v>
      </c>
    </row>
    <row r="41" spans="1:17" x14ac:dyDescent="0.3">
      <c r="B41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Midplate BOM Jan 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Bryant</dc:creator>
  <cp:lastModifiedBy>Henry Bryant</cp:lastModifiedBy>
  <dcterms:created xsi:type="dcterms:W3CDTF">2024-01-16T04:00:34Z</dcterms:created>
  <dcterms:modified xsi:type="dcterms:W3CDTF">2024-03-12T05:47:24Z</dcterms:modified>
</cp:coreProperties>
</file>