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autoCompressPictures="0"/>
  <bookViews>
    <workbookView xWindow="360" yWindow="60" windowWidth="16220" windowHeight="7960" firstSheet="3" activeTab="6"/>
  </bookViews>
  <sheets>
    <sheet name="sheet 1" sheetId="1" r:id="rId1"/>
    <sheet name="growth rate by sector of pub co" sheetId="3" r:id="rId2"/>
    <sheet name="S&amp;P CAGR" sheetId="6" r:id="rId3"/>
    <sheet name="Sheet1" sheetId="2" r:id="rId4"/>
    <sheet name="Facebook User Growth" sheetId="4" r:id="rId5"/>
    <sheet name="Amazon Rev Growth" sheetId="5" r:id="rId6"/>
    <sheet name="Whatsapp" sheetId="7" r:id="rId7"/>
    <sheet name="YCombinator Target Growth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8" l="1"/>
  <c r="C4" i="8"/>
  <c r="C5" i="8"/>
  <c r="C8" i="7"/>
  <c r="D8" i="7"/>
  <c r="C7" i="7"/>
  <c r="D7" i="7"/>
  <c r="C13" i="7"/>
  <c r="D13" i="7"/>
  <c r="C12" i="7"/>
  <c r="D12" i="7"/>
  <c r="C11" i="7"/>
  <c r="D11" i="7"/>
  <c r="C10" i="7"/>
  <c r="D10" i="7"/>
  <c r="C9" i="7"/>
  <c r="D9" i="7"/>
  <c r="C6" i="7"/>
  <c r="D6" i="7"/>
  <c r="C16" i="5"/>
  <c r="D16" i="5"/>
  <c r="C17" i="5"/>
  <c r="D17" i="5"/>
  <c r="C15" i="5"/>
  <c r="D15" i="5"/>
  <c r="C14" i="5"/>
  <c r="D14" i="5"/>
  <c r="C13" i="5"/>
  <c r="D13" i="5"/>
  <c r="C12" i="5"/>
  <c r="D12" i="5"/>
  <c r="C11" i="5"/>
  <c r="D11" i="5"/>
  <c r="C10" i="5"/>
  <c r="D10" i="5"/>
  <c r="C9" i="5"/>
  <c r="D9" i="5"/>
  <c r="C8" i="5"/>
  <c r="D8" i="5"/>
  <c r="C7" i="5"/>
  <c r="D7" i="5"/>
  <c r="C26" i="5"/>
  <c r="D26" i="5"/>
  <c r="C25" i="5"/>
  <c r="D25" i="5"/>
  <c r="C24" i="5"/>
  <c r="D24" i="5"/>
  <c r="C23" i="5"/>
  <c r="D23" i="5"/>
  <c r="C22" i="5"/>
  <c r="D22" i="5"/>
  <c r="C21" i="5"/>
  <c r="D21" i="5"/>
  <c r="C20" i="5"/>
  <c r="D20" i="5"/>
  <c r="C19" i="5"/>
  <c r="D19" i="5"/>
  <c r="C18" i="5"/>
  <c r="D18" i="5"/>
  <c r="C6" i="5"/>
  <c r="D6" i="5"/>
  <c r="C17" i="4"/>
  <c r="D17" i="4"/>
  <c r="C16" i="4"/>
  <c r="D16" i="4"/>
  <c r="C15" i="4"/>
  <c r="D15" i="4"/>
  <c r="C9" i="4"/>
  <c r="D9" i="4"/>
  <c r="C7" i="4"/>
  <c r="D7" i="4"/>
  <c r="C14" i="4"/>
  <c r="D14" i="4"/>
  <c r="C13" i="4"/>
  <c r="D13" i="4"/>
  <c r="C12" i="4"/>
  <c r="D12" i="4"/>
  <c r="C11" i="4"/>
  <c r="D11" i="4"/>
  <c r="C10" i="4"/>
  <c r="D10" i="4"/>
  <c r="C8" i="4"/>
  <c r="D8" i="4"/>
  <c r="C6" i="4"/>
  <c r="D6" i="4"/>
  <c r="F13" i="1"/>
  <c r="F25" i="1"/>
  <c r="F24" i="1"/>
  <c r="G25" i="1"/>
  <c r="G26" i="1"/>
  <c r="H26" i="1"/>
  <c r="H25" i="1"/>
  <c r="F23" i="1"/>
  <c r="F22" i="1"/>
  <c r="F21" i="1"/>
  <c r="G22" i="1"/>
  <c r="H22" i="1"/>
  <c r="F20" i="1"/>
  <c r="G21" i="1"/>
  <c r="H21" i="1"/>
  <c r="F19" i="1"/>
  <c r="G20" i="1"/>
  <c r="H20" i="1"/>
  <c r="F18" i="1"/>
  <c r="G19" i="1"/>
  <c r="H19" i="1"/>
  <c r="F17" i="1"/>
  <c r="G18" i="1"/>
  <c r="H18" i="1"/>
  <c r="F16" i="1"/>
  <c r="G17" i="1"/>
  <c r="H17" i="1"/>
  <c r="F15" i="1"/>
  <c r="G16" i="1"/>
  <c r="H16" i="1"/>
  <c r="F14" i="1"/>
  <c r="G15" i="1"/>
  <c r="H15" i="1"/>
  <c r="F12" i="1"/>
  <c r="F11" i="1"/>
  <c r="G12" i="1"/>
  <c r="H12" i="1"/>
  <c r="F10" i="1"/>
  <c r="G11" i="1"/>
  <c r="H11" i="1"/>
  <c r="F9" i="1"/>
  <c r="G10" i="1"/>
  <c r="H10" i="1"/>
  <c r="F8" i="1"/>
  <c r="G9" i="1"/>
  <c r="H9" i="1"/>
  <c r="F7" i="1"/>
  <c r="G8" i="1"/>
  <c r="H8" i="1"/>
  <c r="F6" i="1"/>
  <c r="G7" i="1"/>
  <c r="H7" i="1"/>
  <c r="F5" i="1"/>
  <c r="G6" i="1"/>
  <c r="H6" i="1"/>
  <c r="F4" i="1"/>
  <c r="G5" i="1"/>
  <c r="H5" i="1"/>
  <c r="G24" i="1"/>
  <c r="H24" i="1"/>
  <c r="G23" i="1"/>
  <c r="H23" i="1"/>
  <c r="G14" i="1"/>
  <c r="H14" i="1"/>
  <c r="G13" i="1"/>
  <c r="H13" i="1"/>
  <c r="F3" i="1"/>
  <c r="G4" i="1"/>
  <c r="H4" i="1"/>
  <c r="G31" i="1"/>
  <c r="H31" i="1"/>
  <c r="G30" i="1"/>
  <c r="H30" i="1"/>
  <c r="G29" i="1"/>
  <c r="H29" i="1"/>
  <c r="G28" i="1"/>
  <c r="H28" i="1"/>
  <c r="G27" i="1"/>
  <c r="H27" i="1"/>
  <c r="G103" i="1"/>
  <c r="H103" i="1"/>
  <c r="G102" i="1"/>
  <c r="H102" i="1"/>
  <c r="G101" i="1"/>
  <c r="H101" i="1"/>
  <c r="G100" i="1"/>
  <c r="H100" i="1"/>
  <c r="G99" i="1"/>
  <c r="H99" i="1"/>
  <c r="G98" i="1"/>
  <c r="H98" i="1"/>
  <c r="G97" i="1"/>
  <c r="H97" i="1"/>
  <c r="G96" i="1"/>
  <c r="H96" i="1"/>
  <c r="G95" i="1"/>
  <c r="H95" i="1"/>
  <c r="G94" i="1"/>
  <c r="H94" i="1"/>
  <c r="G93" i="1"/>
  <c r="H93" i="1"/>
  <c r="G92" i="1"/>
  <c r="H92" i="1"/>
  <c r="G91" i="1"/>
  <c r="H91" i="1"/>
  <c r="G90" i="1"/>
  <c r="H90" i="1"/>
  <c r="G89" i="1"/>
  <c r="H89" i="1"/>
  <c r="G88" i="1"/>
  <c r="H88" i="1"/>
  <c r="G87" i="1"/>
  <c r="H87" i="1"/>
  <c r="G86" i="1"/>
  <c r="H86" i="1"/>
  <c r="G85" i="1"/>
  <c r="H85" i="1"/>
  <c r="G84" i="1"/>
  <c r="H84" i="1"/>
  <c r="G83" i="1"/>
  <c r="H83" i="1"/>
  <c r="G82" i="1"/>
  <c r="H82" i="1"/>
  <c r="G81" i="1"/>
  <c r="H81" i="1"/>
  <c r="G80" i="1"/>
  <c r="H80" i="1"/>
  <c r="G79" i="1"/>
  <c r="H79" i="1"/>
  <c r="G78" i="1"/>
  <c r="H78" i="1"/>
  <c r="G77" i="1"/>
  <c r="H77" i="1"/>
  <c r="G76" i="1"/>
  <c r="H76" i="1"/>
  <c r="G75" i="1"/>
  <c r="H75" i="1"/>
  <c r="G74" i="1"/>
  <c r="H74" i="1"/>
  <c r="G73" i="1"/>
  <c r="H73" i="1"/>
  <c r="G72" i="1"/>
  <c r="H72" i="1"/>
  <c r="G71" i="1"/>
  <c r="H71" i="1"/>
  <c r="G70" i="1"/>
  <c r="H70" i="1"/>
  <c r="G69" i="1"/>
  <c r="H69" i="1"/>
  <c r="G68" i="1"/>
  <c r="H68" i="1"/>
  <c r="G67" i="1"/>
  <c r="H67" i="1"/>
  <c r="G66" i="1"/>
  <c r="H66" i="1"/>
  <c r="G65" i="1"/>
  <c r="H65" i="1"/>
  <c r="G64" i="1"/>
  <c r="H64" i="1"/>
  <c r="G63" i="1"/>
  <c r="H63" i="1"/>
  <c r="G62" i="1"/>
  <c r="H62" i="1"/>
  <c r="G61" i="1"/>
  <c r="H61" i="1"/>
  <c r="G60" i="1"/>
  <c r="H60" i="1"/>
  <c r="G59" i="1"/>
  <c r="H59" i="1"/>
  <c r="G58" i="1"/>
  <c r="H58" i="1"/>
  <c r="G57" i="1"/>
  <c r="H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H50" i="1"/>
  <c r="G49" i="1"/>
  <c r="H49" i="1"/>
  <c r="G48" i="1"/>
  <c r="H48" i="1"/>
  <c r="G47" i="1"/>
  <c r="H47" i="1"/>
  <c r="R94" i="1"/>
  <c r="S94" i="1"/>
  <c r="R93" i="1"/>
  <c r="S93" i="1"/>
  <c r="R92" i="1"/>
  <c r="S92" i="1"/>
  <c r="R91" i="1"/>
  <c r="S91" i="1"/>
  <c r="R90" i="1"/>
  <c r="S90" i="1"/>
  <c r="R89" i="1"/>
  <c r="S89" i="1"/>
  <c r="R88" i="1"/>
  <c r="S88" i="1"/>
  <c r="R87" i="1"/>
  <c r="S87" i="1"/>
  <c r="R86" i="1"/>
  <c r="S86" i="1"/>
  <c r="N112" i="1"/>
  <c r="O112" i="1"/>
  <c r="N111" i="1"/>
  <c r="O111" i="1"/>
  <c r="N110" i="1"/>
  <c r="O110" i="1"/>
  <c r="N109" i="1"/>
  <c r="O109" i="1"/>
  <c r="N108" i="1"/>
  <c r="O108" i="1"/>
  <c r="N107" i="1"/>
  <c r="O107" i="1"/>
  <c r="N106" i="1"/>
  <c r="O106" i="1"/>
  <c r="N105" i="1"/>
  <c r="O105" i="1"/>
  <c r="N104" i="1"/>
  <c r="O104" i="1"/>
  <c r="N103" i="1"/>
  <c r="O103" i="1"/>
  <c r="N102" i="1"/>
  <c r="O102" i="1"/>
  <c r="N101" i="1"/>
  <c r="O101" i="1"/>
  <c r="N100" i="1"/>
  <c r="O100" i="1"/>
  <c r="N99" i="1"/>
  <c r="O99" i="1"/>
  <c r="N98" i="1"/>
  <c r="O98" i="1"/>
  <c r="N97" i="1"/>
  <c r="O97" i="1"/>
  <c r="N96" i="1"/>
  <c r="O96" i="1"/>
  <c r="N95" i="1"/>
  <c r="O95" i="1"/>
  <c r="N94" i="1"/>
  <c r="O94" i="1"/>
  <c r="N93" i="1"/>
  <c r="O93" i="1"/>
  <c r="N92" i="1"/>
  <c r="O92" i="1"/>
  <c r="N91" i="1"/>
  <c r="O91" i="1"/>
  <c r="N90" i="1"/>
  <c r="O90" i="1"/>
  <c r="N89" i="1"/>
  <c r="O89" i="1"/>
  <c r="N88" i="1"/>
  <c r="O88" i="1"/>
  <c r="N87" i="1"/>
  <c r="O87" i="1"/>
  <c r="N86" i="1"/>
  <c r="O86" i="1"/>
  <c r="N85" i="1"/>
  <c r="O85" i="1"/>
  <c r="N84" i="1"/>
  <c r="O84" i="1"/>
  <c r="N83" i="1"/>
  <c r="O83" i="1"/>
  <c r="N82" i="1"/>
  <c r="O82" i="1"/>
  <c r="N81" i="1"/>
  <c r="O81" i="1"/>
  <c r="N80" i="1"/>
  <c r="O80" i="1"/>
  <c r="N79" i="1"/>
  <c r="O79" i="1"/>
  <c r="N78" i="1"/>
  <c r="O78" i="1"/>
  <c r="N77" i="1"/>
  <c r="O77" i="1"/>
  <c r="N76" i="1"/>
  <c r="O76" i="1"/>
  <c r="N75" i="1"/>
  <c r="O75" i="1"/>
  <c r="N74" i="1"/>
  <c r="O74" i="1"/>
  <c r="N73" i="1"/>
  <c r="O73" i="1"/>
  <c r="N72" i="1"/>
  <c r="O72" i="1"/>
  <c r="N71" i="1"/>
  <c r="O71" i="1"/>
  <c r="N70" i="1"/>
  <c r="O70" i="1"/>
  <c r="N69" i="1"/>
  <c r="O69" i="1"/>
  <c r="N68" i="1"/>
  <c r="O68" i="1"/>
  <c r="N67" i="1"/>
  <c r="O67" i="1"/>
  <c r="N66" i="1"/>
  <c r="O66" i="1"/>
  <c r="N65" i="1"/>
  <c r="O65" i="1"/>
  <c r="N64" i="1"/>
  <c r="O64" i="1"/>
  <c r="N63" i="1"/>
  <c r="O63" i="1"/>
  <c r="N62" i="1"/>
  <c r="O62" i="1"/>
  <c r="N61" i="1"/>
  <c r="O61" i="1"/>
  <c r="N60" i="1"/>
  <c r="O60" i="1"/>
  <c r="N59" i="1"/>
  <c r="O59" i="1"/>
  <c r="N58" i="1"/>
  <c r="O58" i="1"/>
  <c r="N57" i="1"/>
  <c r="O57" i="1"/>
  <c r="N56" i="1"/>
  <c r="O56" i="1"/>
  <c r="N55" i="1"/>
  <c r="O55" i="1"/>
  <c r="N54" i="1"/>
  <c r="O54" i="1"/>
  <c r="N53" i="1"/>
  <c r="O53" i="1"/>
  <c r="N52" i="1"/>
  <c r="O52" i="1"/>
  <c r="N51" i="1"/>
  <c r="O51" i="1"/>
  <c r="N50" i="1"/>
  <c r="O50" i="1"/>
  <c r="N49" i="1"/>
  <c r="O49" i="1"/>
  <c r="N48" i="1"/>
  <c r="O48" i="1"/>
  <c r="N47" i="1"/>
  <c r="O47" i="1"/>
  <c r="N46" i="1"/>
  <c r="O46" i="1"/>
  <c r="N45" i="1"/>
  <c r="O45" i="1"/>
  <c r="N44" i="1"/>
  <c r="O44" i="1"/>
  <c r="N43" i="1"/>
  <c r="O43" i="1"/>
  <c r="N42" i="1"/>
  <c r="O42" i="1"/>
  <c r="N41" i="1"/>
  <c r="O41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AA111" i="1"/>
  <c r="AB111" i="1"/>
  <c r="AA110" i="1"/>
  <c r="AB110" i="1"/>
  <c r="AA109" i="1"/>
  <c r="AB109" i="1"/>
  <c r="AA108" i="1"/>
  <c r="AB108" i="1"/>
  <c r="AA107" i="1"/>
  <c r="AB107" i="1"/>
  <c r="AA106" i="1"/>
  <c r="AB106" i="1"/>
  <c r="AA105" i="1"/>
  <c r="AB105" i="1"/>
  <c r="AA104" i="1"/>
  <c r="AB104" i="1"/>
  <c r="AA103" i="1"/>
  <c r="AB103" i="1"/>
  <c r="AA102" i="1"/>
  <c r="AB102" i="1"/>
  <c r="AA101" i="1"/>
  <c r="AB101" i="1"/>
  <c r="AA100" i="1"/>
  <c r="AB100" i="1"/>
  <c r="AA99" i="1"/>
  <c r="AB99" i="1"/>
  <c r="AA98" i="1"/>
  <c r="AB98" i="1"/>
  <c r="AA97" i="1"/>
  <c r="AB97" i="1"/>
  <c r="AA96" i="1"/>
  <c r="AB96" i="1"/>
  <c r="AA95" i="1"/>
  <c r="AB95" i="1"/>
  <c r="AA94" i="1"/>
  <c r="AB94" i="1"/>
  <c r="AA93" i="1"/>
  <c r="AB93" i="1"/>
  <c r="AE110" i="1"/>
  <c r="AF110" i="1"/>
  <c r="AE109" i="1"/>
  <c r="AF109" i="1"/>
  <c r="AE108" i="1"/>
  <c r="AF108" i="1"/>
  <c r="AE107" i="1"/>
  <c r="AF107" i="1"/>
  <c r="AE106" i="1"/>
  <c r="AF106" i="1"/>
  <c r="AE105" i="1"/>
  <c r="AF105" i="1"/>
  <c r="AE104" i="1"/>
  <c r="AF104" i="1"/>
  <c r="AE103" i="1"/>
  <c r="AF103" i="1"/>
  <c r="AE102" i="1"/>
  <c r="AF102" i="1"/>
  <c r="AE101" i="1"/>
  <c r="AF101" i="1"/>
  <c r="AE100" i="1"/>
  <c r="AF100" i="1"/>
  <c r="AE99" i="1"/>
  <c r="AF99" i="1"/>
  <c r="AE98" i="1"/>
  <c r="AF98" i="1"/>
  <c r="AE97" i="1"/>
  <c r="AF97" i="1"/>
  <c r="AE96" i="1"/>
  <c r="AF96" i="1"/>
  <c r="AE95" i="1"/>
  <c r="AF95" i="1"/>
  <c r="AE94" i="1"/>
  <c r="AF94" i="1"/>
  <c r="AE93" i="1"/>
  <c r="AF93" i="1"/>
  <c r="AE92" i="1"/>
  <c r="AF92" i="1"/>
  <c r="AE91" i="1"/>
  <c r="AF91" i="1"/>
  <c r="AE90" i="1"/>
  <c r="AF90" i="1"/>
  <c r="AE89" i="1"/>
  <c r="AF89" i="1"/>
  <c r="AE88" i="1"/>
  <c r="AF88" i="1"/>
  <c r="AE87" i="1"/>
  <c r="AF87" i="1"/>
  <c r="AE86" i="1"/>
  <c r="AF86" i="1"/>
</calcChain>
</file>

<file path=xl/sharedStrings.xml><?xml version="1.0" encoding="utf-8"?>
<sst xmlns="http://schemas.openxmlformats.org/spreadsheetml/2006/main" count="209" uniqueCount="181">
  <si>
    <t>Year</t>
  </si>
  <si>
    <t>Sources:</t>
  </si>
  <si>
    <t>www.data.worldbank.org</t>
  </si>
  <si>
    <t>https://ourworldindata.org/internet/</t>
  </si>
  <si>
    <t>Notables</t>
  </si>
  <si>
    <t>U.S. Internet User Growth</t>
  </si>
  <si>
    <t>Hedge Fund Industry Growth</t>
  </si>
  <si>
    <t>Billions</t>
  </si>
  <si>
    <t>Users</t>
  </si>
  <si>
    <t>https://www.barclayhedge.com/research/indices/ghs/mum/Hedge_Fund.html</t>
  </si>
  <si>
    <t>http://jeremyreimer.com/m-item.lsp?i=137</t>
  </si>
  <si>
    <t>Bill Gates</t>
  </si>
  <si>
    <t>Michael Dell</t>
  </si>
  <si>
    <t>Sergey Brinn</t>
  </si>
  <si>
    <t>Larry Page</t>
  </si>
  <si>
    <t>Jeff Bezos</t>
  </si>
  <si>
    <t>Steve Jobs</t>
  </si>
  <si>
    <t>PC Sales</t>
  </si>
  <si>
    <t>U.S. Personal Computer Industry Growth</t>
  </si>
  <si>
    <t>$ Billions</t>
  </si>
  <si>
    <t>https://fred.stlouisfed.org/series/TOTALSL/</t>
  </si>
  <si>
    <t>Million Tons</t>
  </si>
  <si>
    <t>http://www.plasticseurope.org/plastics-industry/market-and-economics.aspx</t>
  </si>
  <si>
    <t>Russian Privitization</t>
  </si>
  <si>
    <t>% Enterprises Privately Owned</t>
  </si>
  <si>
    <t>Growth Rate</t>
  </si>
  <si>
    <t xml:space="preserve">https://www.oecd.org/corporate/ca/corporategovernanceprinciples/42576825.pdf </t>
  </si>
  <si>
    <t>%s are employees, not the # of businesses or total market capitalization.  Total % of businesses privatized was around 90% by 1994.</t>
  </si>
  <si>
    <t>http://factsanddetails.com/russia/Economics_Business_Agriculture/sub9_7b/entry-5169.html</t>
  </si>
  <si>
    <t>Roman Abramovich</t>
  </si>
  <si>
    <t>Oleg Deripaska</t>
  </si>
  <si>
    <t>Plastics Production</t>
  </si>
  <si>
    <t>Consumer Lending</t>
  </si>
  <si>
    <t>Automobile Production</t>
  </si>
  <si>
    <t>Energy Consumption/ Person</t>
  </si>
  <si>
    <t>U.S. Sales (Millions)</t>
  </si>
  <si>
    <t>http://wardsauto.com/datasheet/us-car-and-truck-sales-1931-2014</t>
  </si>
  <si>
    <t>https://en.wikipedia.org/wiki/U.S._Automobile_Production_Figures</t>
  </si>
  <si>
    <t>xxxxx</t>
  </si>
  <si>
    <t>Date updated:</t>
  </si>
  <si>
    <t>Created by:</t>
  </si>
  <si>
    <t>Aswath Damodaran, adamodar@stern.nyu.edu</t>
  </si>
  <si>
    <t>What is this data?</t>
  </si>
  <si>
    <t>US companies</t>
  </si>
  <si>
    <t>Home Page:</t>
  </si>
  <si>
    <t>http://www.damodaran.com</t>
  </si>
  <si>
    <t>Data website:</t>
  </si>
  <si>
    <t>http://www.stern.nyu.edu/~adamodar/New_Home_Page/data.html</t>
  </si>
  <si>
    <t>Companies in each industry:</t>
  </si>
  <si>
    <t>http://www.stern.nyu.edu/~adamodar/pc/datasets/indname.xls</t>
  </si>
  <si>
    <t>Variable definitions:</t>
  </si>
  <si>
    <t>http://www.stern.nyu.edu/~adamodar/New_Home_Page/datafile/variable.htm</t>
  </si>
  <si>
    <t>Industry Name</t>
  </si>
  <si>
    <t>Number of Firms</t>
  </si>
  <si>
    <t>Advertising</t>
  </si>
  <si>
    <t>Aerospace/Defense</t>
  </si>
  <si>
    <t>Air Transport</t>
  </si>
  <si>
    <t>Apparel</t>
  </si>
  <si>
    <t>Auto &amp; Truck</t>
  </si>
  <si>
    <t>Auto Parts</t>
  </si>
  <si>
    <t>Bank (Money Center)</t>
  </si>
  <si>
    <t>Banks (Regional)</t>
  </si>
  <si>
    <t>Beverage (Alcoholic)</t>
  </si>
  <si>
    <t>Beverage (Soft)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</si>
  <si>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</si>
  <si>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</si>
  <si>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</si>
  <si>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</si>
  <si>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</si>
  <si>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</si>
  <si>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</si>
  <si>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</si>
  <si>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</si>
  <si>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</si>
  <si>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Computers/Peripherals</t>
  </si>
  <si>
    <t>Construction Supplies</t>
  </si>
  <si>
    <t>Diversified</t>
  </si>
  <si>
    <t>Drugs (Biotechnology)</t>
  </si>
  <si>
    <t>Drugs (Pharmaceutical)</t>
  </si>
  <si>
    <t>Education</t>
  </si>
  <si>
    <t>Electrical Equipment</t>
  </si>
  <si>
    <t>Electronics (Consumer &amp; Office)</t>
  </si>
  <si>
    <t>Electronics (General)</t>
  </si>
  <si>
    <t>Engineering/Construction</t>
  </si>
  <si>
    <t>Entertainment</t>
  </si>
  <si>
    <t>Environmental &amp; Waste Services</t>
  </si>
  <si>
    <t>Farming/Agriculture</t>
  </si>
  <si>
    <t>Financial Svcs. (Non-bank &amp; Insurance)</t>
  </si>
  <si>
    <t>Food Processing</t>
  </si>
  <si>
    <t>Food Wholesalers</t>
  </si>
  <si>
    <t>Furn/Home Furnishings</t>
  </si>
  <si>
    <t>Green &amp; Renewable Energy</t>
  </si>
  <si>
    <t>Healthcare Products</t>
  </si>
  <si>
    <t>Healthcare Support Services</t>
  </si>
  <si>
    <t>Heathcare Information and Technology</t>
  </si>
  <si>
    <t>Homebuilding</t>
  </si>
  <si>
    <t>Hospitals/Healthcare Facilities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</si>
  <si>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</si>
  <si>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</si>
  <si>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</si>
  <si>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</si>
  <si>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</si>
  <si>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</si>
  <si>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Investments &amp; Asset Management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</si>
  <si>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</si>
  <si>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</si>
  <si>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</si>
  <si>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</si>
  <si>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</si>
  <si>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</si>
  <si>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</si>
  <si>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</si>
  <si>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</si>
  <si>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Power</t>
  </si>
  <si>
    <t>Precious Metals</t>
  </si>
  <si>
    <t>Publishing &amp; Newspapers</t>
  </si>
  <si>
    <t>R.E.I.T.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</si>
  <si>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</si>
  <si>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</si>
  <si>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</si>
  <si>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</si>
  <si>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</si>
  <si>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Restaurant/Dining</t>
  </si>
  <si>
    <t>Retail (Automotive)</t>
  </si>
  <si>
    <t>Retail (Building Supply)</t>
  </si>
  <si>
    <t>Retail (Distributors)</t>
  </si>
  <si>
    <t>Retail (General)</t>
  </si>
  <si>
    <t>Retail (Grocery and Food)</t>
  </si>
  <si>
    <t>Retail (Online)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</si>
  <si>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</si>
  <si>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</si>
  <si>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</si>
  <si>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</si>
  <si>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</si>
  <si>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</si>
  <si>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Software (Entertainment)</t>
  </si>
  <si>
    <t>Software (Internet)</t>
  </si>
  <si>
    <t>Software (System &amp; Application)</t>
  </si>
  <si>
    <t>Steel</t>
  </si>
  <si>
    <t>Telecom (Wireless)</t>
  </si>
  <si>
    <t>Telecom. Equipment</t>
  </si>
  <si>
    <t>Telecom. Services</t>
  </si>
  <si>
    <t>Tobacco</t>
  </si>
  <si>
    <t>Transportation</t>
  </si>
  <si>
    <t>Transportation (Railroads)</t>
  </si>
  <si>
    <t>Trucking</t>
  </si>
  <si>
    <t>Utility (General)</t>
  </si>
  <si>
    <t>Utility (Water)</t>
  </si>
  <si>
    <t>Total Market</t>
  </si>
  <si>
    <t>Total Market (without financials)</t>
  </si>
  <si>
    <t>Historical (compounded annual) growth rate in net income and revenues - last 5 years</t>
  </si>
  <si>
    <t>CAGR in Net Income- Last 5 years</t>
  </si>
  <si>
    <t>CAGR in Revenues- Last 5 years</t>
  </si>
  <si>
    <t>Sources</t>
  </si>
  <si>
    <t>https://www.fool.com/investing/general/2013/10/12/facebooks-incredible-growth-story-in-6-charts.aspx</t>
  </si>
  <si>
    <t>Monthly Users (Millions)</t>
  </si>
  <si>
    <t>13 Year CAGR</t>
  </si>
  <si>
    <t>Facebook Monthly User Growth</t>
  </si>
  <si>
    <t>Amazon Revenues</t>
  </si>
  <si>
    <t>https://revenuesandprofits.com/amazon-vs-walmart-revenues-and-profits-1995-2014/</t>
  </si>
  <si>
    <t>1st 10 Yr CAGR</t>
  </si>
  <si>
    <t>Total CAGR</t>
  </si>
  <si>
    <t>S &amp; P Stock Market Returns Since 1871</t>
  </si>
  <si>
    <t>CAGR</t>
  </si>
  <si>
    <t>Since 1871</t>
  </si>
  <si>
    <t>Since 2007</t>
  </si>
  <si>
    <t>Since 2000</t>
  </si>
  <si>
    <t>Since 1990</t>
  </si>
  <si>
    <t>Since 1980</t>
  </si>
  <si>
    <t>Whatsapp User Growth</t>
  </si>
  <si>
    <t>www.statista.com</t>
  </si>
  <si>
    <t>www.6mobiles.com</t>
  </si>
  <si>
    <t>Weekly</t>
  </si>
  <si>
    <t>Good</t>
  </si>
  <si>
    <t>Exceptional</t>
  </si>
  <si>
    <t>Annual</t>
  </si>
  <si>
    <t>Bad</t>
  </si>
  <si>
    <t>Ycombinator Target Growth Rates to be Considered a 'Startup'</t>
  </si>
  <si>
    <t>https://cdn.theatlantic.com/static/mt/assets/business/technology%20adoption%20rate%20century.png</t>
  </si>
  <si>
    <t>https://datawrapper.dwcdn.net/xbnv6/1/</t>
  </si>
  <si>
    <t>5 Year Compounded Growth of Public Companies.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</si>
</sst>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9"/>
      <name val="Geneva"/>
    </font>
    <font>
      <sz val="11"/>
      <color theme="1"/>
      <name val="Calibri (Body)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14999847407452621"/>
        <bgColor rgb="FF000000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3" fillId="0" borderId="0"/>
  </cellStyleXfs>
  <cellXfs count="180">
    <xf numFmtId="0" fontId="0" fillId="0" borderId="0" xfId="0"/>
    <xf numFmtId="10" fontId="0" fillId="0" borderId="0" xfId="0" applyNumberFormat="1"/>
    <xf numFmtId="3" fontId="0" fillId="0" borderId="0" xfId="0" applyNumberFormat="1"/>
    <xf numFmtId="3" fontId="16" fillId="0" borderId="0" xfId="0" applyNumberFormat="1" applyFont="1"/>
    <xf numFmtId="0" fontId="16" fillId="0" borderId="0" xfId="0" applyFont="1"/>
    <xf numFmtId="3" fontId="18" fillId="0" borderId="0" xfId="44" applyNumberFormat="1" applyAlignment="1" applyProtection="1"/>
    <xf numFmtId="3" fontId="16" fillId="0" borderId="0" xfId="0" applyNumberFormat="1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0" fontId="0" fillId="0" borderId="0" xfId="0" applyNumberFormat="1" applyAlignment="1">
      <alignment horizontal="centerContinuous" vertical="center"/>
    </xf>
    <xf numFmtId="0" fontId="19" fillId="0" borderId="0" xfId="0" applyFont="1" applyAlignment="1">
      <alignment horizontal="center"/>
    </xf>
    <xf numFmtId="3" fontId="19" fillId="0" borderId="0" xfId="0" applyNumberFormat="1" applyFont="1" applyAlignment="1">
      <alignment horizontal="center"/>
    </xf>
    <xf numFmtId="10" fontId="19" fillId="0" borderId="0" xfId="0" applyNumberFormat="1" applyFont="1" applyAlignment="1">
      <alignment horizontal="center"/>
    </xf>
    <xf numFmtId="44" fontId="0" fillId="0" borderId="0" xfId="0" applyNumberFormat="1"/>
    <xf numFmtId="10" fontId="0" fillId="33" borderId="0" xfId="0" applyNumberFormat="1" applyFill="1"/>
    <xf numFmtId="10" fontId="0" fillId="33" borderId="0" xfId="0" applyNumberFormat="1" applyFont="1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3" fontId="18" fillId="0" borderId="0" xfId="44" applyNumberFormat="1" applyAlignment="1" applyProtection="1">
      <alignment vertical="top" wrapText="1"/>
    </xf>
    <xf numFmtId="10" fontId="0" fillId="0" borderId="0" xfId="0" applyNumberFormat="1" applyAlignment="1">
      <alignment vertical="top" wrapText="1"/>
    </xf>
    <xf numFmtId="3" fontId="0" fillId="0" borderId="0" xfId="0" applyNumberFormat="1" applyAlignment="1">
      <alignment vertical="top" wrapText="1"/>
    </xf>
    <xf numFmtId="0" fontId="18" fillId="0" borderId="0" xfId="44" applyAlignment="1" applyProtection="1">
      <alignment vertical="top" wrapText="1"/>
    </xf>
    <xf numFmtId="3" fontId="0" fillId="33" borderId="0" xfId="0" applyNumberFormat="1" applyFill="1"/>
    <xf numFmtId="3" fontId="0" fillId="0" borderId="0" xfId="0" applyNumberFormat="1" applyFont="1" applyAlignment="1">
      <alignment horizontal="centerContinuous" vertical="center"/>
    </xf>
    <xf numFmtId="0" fontId="0" fillId="0" borderId="0" xfId="0" applyFont="1" applyAlignment="1">
      <alignment horizontal="centerContinuous" vertical="center"/>
    </xf>
    <xf numFmtId="10" fontId="0" fillId="0" borderId="0" xfId="0" applyNumberFormat="1" applyFont="1" applyAlignment="1">
      <alignment horizontal="centerContinuous" vertical="center"/>
    </xf>
    <xf numFmtId="0" fontId="0" fillId="0" borderId="0" xfId="0" applyFont="1"/>
    <xf numFmtId="10" fontId="0" fillId="0" borderId="0" xfId="0" applyNumberFormat="1" applyFont="1"/>
    <xf numFmtId="3" fontId="0" fillId="0" borderId="0" xfId="0" applyNumberFormat="1" applyFont="1"/>
    <xf numFmtId="3" fontId="0" fillId="33" borderId="0" xfId="0" applyNumberFormat="1" applyFont="1" applyFill="1"/>
    <xf numFmtId="44" fontId="0" fillId="33" borderId="0" xfId="0" applyNumberFormat="1" applyFont="1" applyFill="1"/>
    <xf numFmtId="44" fontId="0" fillId="0" borderId="0" xfId="0" applyNumberFormat="1" applyFont="1"/>
    <xf numFmtId="3" fontId="0" fillId="0" borderId="0" xfId="0" applyNumberFormat="1" applyFill="1"/>
    <xf numFmtId="10" fontId="0" fillId="0" borderId="0" xfId="0" applyNumberForma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top"/>
    </xf>
    <xf numFmtId="164" fontId="23" fillId="0" borderId="0" xfId="45" applyNumberFormat="1" applyFont="1" applyFill="1" applyBorder="1" applyAlignment="1" applyProtection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top"/>
    </xf>
    <xf numFmtId="10" fontId="16" fillId="0" borderId="0" xfId="0" applyNumberFormat="1" applyFont="1" applyAlignment="1">
      <alignment horizontal="center"/>
    </xf>
    <xf numFmtId="10" fontId="16" fillId="0" borderId="0" xfId="0" applyNumberFormat="1" applyFont="1" applyAlignment="1">
      <alignment horizontal="center" vertical="top"/>
    </xf>
    <xf numFmtId="164" fontId="18" fillId="0" borderId="0" xfId="44" applyNumberFormat="1" applyFill="1" applyBorder="1" applyAlignment="1" applyProtection="1">
      <alignment vertical="top" wrapText="1"/>
    </xf>
    <xf numFmtId="164" fontId="23" fillId="33" borderId="0" xfId="45" applyNumberFormat="1" applyFont="1" applyFill="1" applyBorder="1" applyAlignment="1" applyProtection="1"/>
    <xf numFmtId="164" fontId="0" fillId="33" borderId="0" xfId="0" applyNumberFormat="1" applyFont="1" applyFill="1" applyAlignment="1">
      <alignment horizontal="center"/>
    </xf>
    <xf numFmtId="10" fontId="16" fillId="33" borderId="0" xfId="0" applyNumberFormat="1" applyFont="1" applyFill="1" applyAlignment="1">
      <alignment horizontal="center"/>
    </xf>
    <xf numFmtId="9" fontId="0" fillId="0" borderId="0" xfId="0" applyNumberFormat="1"/>
    <xf numFmtId="10" fontId="22" fillId="0" borderId="0" xfId="0" applyNumberFormat="1" applyFont="1" applyAlignment="1">
      <alignment horizontal="center"/>
    </xf>
    <xf numFmtId="10" fontId="0" fillId="0" borderId="0" xfId="0" applyNumberFormat="1" applyFont="1" applyAlignment="1">
      <alignment vertical="top" wrapText="1"/>
    </xf>
    <xf numFmtId="9" fontId="0" fillId="33" borderId="0" xfId="0" applyNumberFormat="1" applyFill="1"/>
    <xf numFmtId="9" fontId="16" fillId="33" borderId="0" xfId="0" applyNumberFormat="1" applyFont="1" applyFill="1"/>
    <xf numFmtId="9" fontId="0" fillId="33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9" fillId="0" borderId="0" xfId="0" applyFont="1" applyAlignment="1">
      <alignment horizontal="center" vertical="top"/>
    </xf>
    <xf numFmtId="10" fontId="19" fillId="0" borderId="0" xfId="0" applyNumberFormat="1" applyFont="1" applyAlignment="1">
      <alignment horizontal="center" vertical="top"/>
    </xf>
    <xf numFmtId="3" fontId="19" fillId="0" borderId="0" xfId="0" applyNumberFormat="1" applyFont="1" applyAlignment="1">
      <alignment horizontal="center" vertical="top"/>
    </xf>
    <xf numFmtId="0" fontId="19" fillId="0" borderId="0" xfId="0" applyFont="1" applyAlignment="1">
      <alignment horizontal="center" vertical="top" wrapText="1"/>
    </xf>
    <xf numFmtId="10" fontId="22" fillId="0" borderId="0" xfId="0" applyNumberFormat="1" applyFont="1" applyAlignment="1">
      <alignment horizontal="center" vertical="top"/>
    </xf>
    <xf numFmtId="0" fontId="19" fillId="0" borderId="11" xfId="0" applyFont="1" applyBorder="1" applyAlignment="1">
      <alignment horizontal="center" vertical="top"/>
    </xf>
    <xf numFmtId="0" fontId="0" fillId="0" borderId="11" xfId="0" applyBorder="1"/>
    <xf numFmtId="0" fontId="19" fillId="0" borderId="11" xfId="0" applyFont="1" applyBorder="1" applyAlignment="1">
      <alignment horizontal="center"/>
    </xf>
    <xf numFmtId="0" fontId="16" fillId="0" borderId="11" xfId="0" applyFont="1" applyBorder="1"/>
    <xf numFmtId="0" fontId="0" fillId="0" borderId="11" xfId="0" applyBorder="1" applyAlignment="1">
      <alignment vertical="top" wrapText="1"/>
    </xf>
    <xf numFmtId="3" fontId="19" fillId="0" borderId="12" xfId="0" applyNumberFormat="1" applyFont="1" applyBorder="1" applyAlignment="1">
      <alignment horizontal="center" vertical="top"/>
    </xf>
    <xf numFmtId="3" fontId="19" fillId="0" borderId="12" xfId="0" applyNumberFormat="1" applyFont="1" applyBorder="1" applyAlignment="1">
      <alignment horizontal="center"/>
    </xf>
    <xf numFmtId="3" fontId="16" fillId="0" borderId="12" xfId="0" applyNumberFormat="1" applyFont="1" applyBorder="1"/>
    <xf numFmtId="3" fontId="0" fillId="0" borderId="12" xfId="0" applyNumberFormat="1" applyBorder="1"/>
    <xf numFmtId="3" fontId="0" fillId="0" borderId="12" xfId="0" applyNumberFormat="1" applyFill="1" applyBorder="1"/>
    <xf numFmtId="3" fontId="0" fillId="33" borderId="12" xfId="0" applyNumberFormat="1" applyFill="1" applyBorder="1"/>
    <xf numFmtId="3" fontId="18" fillId="0" borderId="12" xfId="44" applyNumberFormat="1" applyBorder="1" applyAlignment="1" applyProtection="1">
      <alignment vertical="top" wrapText="1"/>
    </xf>
    <xf numFmtId="3" fontId="0" fillId="0" borderId="12" xfId="0" applyNumberFormat="1" applyBorder="1" applyAlignment="1">
      <alignment vertical="top" wrapText="1"/>
    </xf>
    <xf numFmtId="0" fontId="0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 vertical="top"/>
    </xf>
    <xf numFmtId="0" fontId="0" fillId="33" borderId="12" xfId="0" applyFont="1" applyFill="1" applyBorder="1" applyAlignment="1">
      <alignment horizontal="center"/>
    </xf>
    <xf numFmtId="0" fontId="18" fillId="0" borderId="12" xfId="44" applyBorder="1" applyAlignment="1" applyProtection="1">
      <alignment horizontal="left" vertical="top" wrapText="1"/>
    </xf>
    <xf numFmtId="0" fontId="0" fillId="0" borderId="11" xfId="0" applyFont="1" applyBorder="1"/>
    <xf numFmtId="0" fontId="0" fillId="0" borderId="11" xfId="0" applyBorder="1" applyAlignment="1">
      <alignment horizontal="left"/>
    </xf>
    <xf numFmtId="0" fontId="16" fillId="0" borderId="12" xfId="0" applyFont="1" applyFill="1" applyBorder="1"/>
    <xf numFmtId="0" fontId="0" fillId="0" borderId="12" xfId="0" applyFont="1" applyFill="1" applyBorder="1"/>
    <xf numFmtId="44" fontId="21" fillId="0" borderId="12" xfId="1" applyFont="1" applyFill="1" applyBorder="1"/>
    <xf numFmtId="44" fontId="21" fillId="33" borderId="12" xfId="1" applyFont="1" applyFill="1" applyBorder="1"/>
    <xf numFmtId="44" fontId="21" fillId="0" borderId="12" xfId="1" applyFont="1" applyFill="1" applyBorder="1" applyAlignment="1">
      <alignment horizontal="center"/>
    </xf>
    <xf numFmtId="44" fontId="20" fillId="0" borderId="12" xfId="1" applyFont="1" applyFill="1" applyBorder="1" applyAlignment="1">
      <alignment horizontal="center"/>
    </xf>
    <xf numFmtId="0" fontId="18" fillId="0" borderId="12" xfId="44" applyFill="1" applyBorder="1" applyAlignment="1" applyProtection="1">
      <alignment vertical="top" wrapText="1"/>
    </xf>
    <xf numFmtId="0" fontId="16" fillId="0" borderId="12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44" fontId="0" fillId="0" borderId="11" xfId="0" applyNumberFormat="1" applyBorder="1"/>
    <xf numFmtId="0" fontId="16" fillId="0" borderId="11" xfId="0" applyFont="1" applyBorder="1" applyAlignment="1">
      <alignment horizontal="center" vertical="top"/>
    </xf>
    <xf numFmtId="0" fontId="16" fillId="0" borderId="13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10" fontId="16" fillId="0" borderId="13" xfId="0" applyNumberFormat="1" applyFont="1" applyBorder="1" applyAlignment="1">
      <alignment horizontal="center" vertical="top"/>
    </xf>
    <xf numFmtId="0" fontId="16" fillId="0" borderId="14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/>
    </xf>
    <xf numFmtId="3" fontId="16" fillId="0" borderId="14" xfId="0" applyNumberFormat="1" applyFont="1" applyBorder="1" applyAlignment="1">
      <alignment horizontal="center" vertical="top"/>
    </xf>
    <xf numFmtId="3" fontId="16" fillId="0" borderId="13" xfId="0" applyNumberFormat="1" applyFont="1" applyBorder="1" applyAlignment="1">
      <alignment horizontal="center" vertical="top"/>
    </xf>
    <xf numFmtId="0" fontId="16" fillId="0" borderId="12" xfId="0" applyFont="1" applyBorder="1" applyAlignment="1">
      <alignment horizontal="center"/>
    </xf>
    <xf numFmtId="0" fontId="16" fillId="0" borderId="14" xfId="0" applyFont="1" applyBorder="1" applyAlignment="1">
      <alignment horizontal="center" vertical="top"/>
    </xf>
    <xf numFmtId="0" fontId="16" fillId="0" borderId="12" xfId="0" applyFont="1" applyBorder="1" applyAlignment="1">
      <alignment horizontal="center" vertical="top"/>
    </xf>
    <xf numFmtId="0" fontId="16" fillId="0" borderId="11" xfId="0" applyFont="1" applyBorder="1" applyAlignment="1">
      <alignment horizontal="center"/>
    </xf>
    <xf numFmtId="0" fontId="16" fillId="0" borderId="0" xfId="0" applyFont="1" applyAlignment="1">
      <alignment horizontal="centerContinuous" vertical="top"/>
    </xf>
    <xf numFmtId="0" fontId="0" fillId="0" borderId="0" xfId="0" applyFont="1" applyAlignment="1">
      <alignment horizontal="centerContinuous" vertical="top"/>
    </xf>
    <xf numFmtId="10" fontId="16" fillId="0" borderId="0" xfId="0" applyNumberFormat="1" applyFont="1" applyAlignment="1">
      <alignment horizontal="centerContinuous" vertical="top"/>
    </xf>
    <xf numFmtId="0" fontId="16" fillId="0" borderId="12" xfId="0" applyFont="1" applyBorder="1" applyAlignment="1">
      <alignment horizontal="centerContinuous" vertical="top"/>
    </xf>
    <xf numFmtId="0" fontId="16" fillId="0" borderId="11" xfId="0" applyFont="1" applyBorder="1" applyAlignment="1">
      <alignment horizontal="centerContinuous" vertical="top"/>
    </xf>
    <xf numFmtId="10" fontId="0" fillId="0" borderId="0" xfId="0" applyNumberFormat="1" applyFont="1" applyAlignment="1">
      <alignment horizontal="centerContinuous" vertical="top"/>
    </xf>
    <xf numFmtId="3" fontId="16" fillId="0" borderId="12" xfId="0" applyNumberFormat="1" applyFont="1" applyBorder="1" applyAlignment="1">
      <alignment horizontal="centerContinuous" vertical="top"/>
    </xf>
    <xf numFmtId="3" fontId="16" fillId="0" borderId="0" xfId="0" applyNumberFormat="1" applyFont="1" applyAlignment="1">
      <alignment horizontal="centerContinuous" vertical="top"/>
    </xf>
    <xf numFmtId="0" fontId="0" fillId="0" borderId="11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" vertical="top"/>
    </xf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Continuous" vertical="top"/>
    </xf>
    <xf numFmtId="10" fontId="16" fillId="0" borderId="0" xfId="0" applyNumberFormat="1" applyFont="1" applyBorder="1" applyAlignment="1">
      <alignment horizontal="centerContinuous" vertical="top"/>
    </xf>
    <xf numFmtId="10" fontId="16" fillId="0" borderId="0" xfId="0" applyNumberFormat="1" applyFont="1" applyBorder="1" applyAlignment="1">
      <alignment horizontal="center" vertical="top"/>
    </xf>
    <xf numFmtId="10" fontId="16" fillId="0" borderId="0" xfId="0" applyNumberFormat="1" applyFont="1" applyBorder="1" applyAlignment="1">
      <alignment horizontal="center"/>
    </xf>
    <xf numFmtId="3" fontId="16" fillId="0" borderId="0" xfId="0" applyNumberFormat="1" applyFont="1" applyBorder="1" applyAlignment="1">
      <alignment horizontal="centerContinuous" vertical="top"/>
    </xf>
    <xf numFmtId="3" fontId="16" fillId="0" borderId="13" xfId="0" applyNumberFormat="1" applyFont="1" applyBorder="1" applyAlignment="1">
      <alignment horizontal="center" vertical="top" wrapText="1"/>
    </xf>
    <xf numFmtId="3" fontId="16" fillId="0" borderId="0" xfId="0" applyNumberFormat="1" applyFont="1" applyBorder="1" applyAlignment="1">
      <alignment horizontal="center" vertical="top"/>
    </xf>
    <xf numFmtId="3" fontId="23" fillId="0" borderId="0" xfId="46" applyNumberFormat="1" applyFont="1" applyFill="1" applyBorder="1"/>
    <xf numFmtId="3" fontId="16" fillId="0" borderId="0" xfId="0" applyNumberFormat="1" applyFont="1" applyBorder="1" applyAlignment="1">
      <alignment horizontal="center"/>
    </xf>
    <xf numFmtId="3" fontId="23" fillId="0" borderId="0" xfId="46" applyNumberFormat="1" applyFont="1" applyFill="1" applyBorder="1" applyAlignment="1">
      <alignment horizontal="right"/>
    </xf>
    <xf numFmtId="3" fontId="23" fillId="0" borderId="0" xfId="46" applyNumberFormat="1" applyFont="1" applyBorder="1" applyAlignment="1">
      <alignment horizontal="right"/>
    </xf>
    <xf numFmtId="3" fontId="23" fillId="0" borderId="13" xfId="46" applyNumberFormat="1" applyFont="1" applyBorder="1" applyAlignment="1">
      <alignment horizontal="right"/>
    </xf>
    <xf numFmtId="3" fontId="18" fillId="0" borderId="0" xfId="44" applyNumberFormat="1" applyBorder="1" applyAlignment="1" applyProtection="1">
      <alignment horizontal="center" vertical="top" wrapText="1"/>
    </xf>
    <xf numFmtId="3" fontId="0" fillId="0" borderId="0" xfId="0" applyNumberFormat="1" applyFont="1" applyBorder="1" applyAlignment="1">
      <alignment horizontal="centerContinuous" vertical="top"/>
    </xf>
    <xf numFmtId="3" fontId="0" fillId="0" borderId="13" xfId="0" applyNumberFormat="1" applyFont="1" applyBorder="1" applyAlignment="1">
      <alignment horizontal="center" vertical="top" wrapText="1"/>
    </xf>
    <xf numFmtId="3" fontId="0" fillId="0" borderId="0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/>
    </xf>
    <xf numFmtId="3" fontId="16" fillId="33" borderId="0" xfId="0" applyNumberFormat="1" applyFont="1" applyFill="1" applyBorder="1" applyAlignment="1">
      <alignment horizontal="center" vertical="top"/>
    </xf>
    <xf numFmtId="3" fontId="0" fillId="33" borderId="0" xfId="0" applyNumberFormat="1" applyFont="1" applyFill="1" applyBorder="1" applyAlignment="1">
      <alignment horizontal="center" vertical="top"/>
    </xf>
    <xf numFmtId="10" fontId="16" fillId="33" borderId="0" xfId="0" applyNumberFormat="1" applyFont="1" applyFill="1" applyBorder="1" applyAlignment="1">
      <alignment horizontal="center" vertical="top"/>
    </xf>
    <xf numFmtId="0" fontId="26" fillId="34" borderId="16" xfId="0" applyFont="1" applyFill="1" applyBorder="1" applyAlignment="1">
      <alignment horizontal="left"/>
    </xf>
    <xf numFmtId="0" fontId="26" fillId="34" borderId="20" xfId="0" applyFont="1" applyFill="1" applyBorder="1" applyAlignment="1">
      <alignment horizontal="left"/>
    </xf>
    <xf numFmtId="0" fontId="30" fillId="0" borderId="0" xfId="0" applyFont="1"/>
    <xf numFmtId="0" fontId="24" fillId="0" borderId="0" xfId="0" applyFont="1"/>
    <xf numFmtId="0" fontId="26" fillId="34" borderId="25" xfId="0" applyFont="1" applyFill="1" applyBorder="1" applyAlignment="1">
      <alignment horizontal="left"/>
    </xf>
    <xf numFmtId="0" fontId="31" fillId="0" borderId="15" xfId="0" applyFont="1" applyBorder="1" applyAlignment="1">
      <alignment horizontal="left"/>
    </xf>
    <xf numFmtId="0" fontId="31" fillId="0" borderId="30" xfId="0" applyFont="1" applyBorder="1" applyAlignment="1">
      <alignment horizontal="center" wrapText="1"/>
    </xf>
    <xf numFmtId="0" fontId="31" fillId="0" borderId="30" xfId="0" applyFont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10" xfId="0" applyBorder="1" applyAlignment="1">
      <alignment horizontal="center"/>
    </xf>
    <xf numFmtId="10" fontId="25" fillId="0" borderId="10" xfId="2" applyNumberFormat="1" applyFont="1" applyBorder="1" applyAlignment="1">
      <alignment horizontal="center"/>
    </xf>
    <xf numFmtId="10" fontId="25" fillId="0" borderId="21" xfId="2" applyNumberFormat="1" applyFont="1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center"/>
    </xf>
    <xf numFmtId="10" fontId="25" fillId="0" borderId="32" xfId="2" applyNumberFormat="1" applyFont="1" applyBorder="1" applyAlignment="1">
      <alignment horizontal="center"/>
    </xf>
    <xf numFmtId="10" fontId="25" fillId="0" borderId="26" xfId="2" applyNumberFormat="1" applyFont="1" applyBorder="1" applyAlignment="1">
      <alignment horizontal="center"/>
    </xf>
    <xf numFmtId="0" fontId="31" fillId="0" borderId="14" xfId="0" applyFont="1" applyBorder="1" applyAlignment="1">
      <alignment horizontal="center" wrapText="1"/>
    </xf>
    <xf numFmtId="0" fontId="24" fillId="0" borderId="24" xfId="0" applyFont="1" applyBorder="1" applyAlignment="1">
      <alignment horizontal="left"/>
    </xf>
    <xf numFmtId="0" fontId="24" fillId="0" borderId="10" xfId="0" applyFont="1" applyBorder="1" applyAlignment="1">
      <alignment horizontal="center"/>
    </xf>
    <xf numFmtId="10" fontId="24" fillId="0" borderId="10" xfId="2" applyNumberFormat="1" applyFont="1" applyBorder="1" applyAlignment="1">
      <alignment horizontal="center"/>
    </xf>
    <xf numFmtId="10" fontId="24" fillId="0" borderId="21" xfId="2" applyNumberFormat="1" applyFont="1" applyBorder="1" applyAlignment="1">
      <alignment horizontal="center"/>
    </xf>
    <xf numFmtId="0" fontId="18" fillId="0" borderId="0" xfId="44" applyAlignment="1" applyProtection="1"/>
    <xf numFmtId="0" fontId="16" fillId="0" borderId="0" xfId="0" applyFont="1" applyAlignment="1">
      <alignment horizontal="center" wrapText="1"/>
    </xf>
    <xf numFmtId="9" fontId="16" fillId="0" borderId="0" xfId="0" applyNumberFormat="1" applyFont="1" applyAlignment="1">
      <alignment horizontal="center" wrapText="1"/>
    </xf>
    <xf numFmtId="0" fontId="0" fillId="33" borderId="0" xfId="0" applyFill="1"/>
    <xf numFmtId="3" fontId="16" fillId="0" borderId="0" xfId="0" applyNumberFormat="1" applyFont="1" applyAlignment="1">
      <alignment horizontal="center" wrapText="1"/>
    </xf>
    <xf numFmtId="0" fontId="0" fillId="0" borderId="0" xfId="0" applyFill="1"/>
    <xf numFmtId="9" fontId="0" fillId="0" borderId="0" xfId="0" applyNumberFormat="1" applyFill="1"/>
    <xf numFmtId="0" fontId="28" fillId="34" borderId="21" xfId="44" applyFont="1" applyFill="1" applyBorder="1" applyAlignment="1" applyProtection="1">
      <alignment horizontal="left"/>
    </xf>
    <xf numFmtId="0" fontId="28" fillId="34" borderId="22" xfId="44" applyFont="1" applyFill="1" applyBorder="1" applyAlignment="1" applyProtection="1">
      <alignment horizontal="left"/>
    </xf>
    <xf numFmtId="0" fontId="28" fillId="34" borderId="23" xfId="44" applyFont="1" applyFill="1" applyBorder="1" applyAlignment="1" applyProtection="1">
      <alignment horizontal="left"/>
    </xf>
    <xf numFmtId="0" fontId="28" fillId="34" borderId="26" xfId="44" applyFont="1" applyFill="1" applyBorder="1" applyAlignment="1" applyProtection="1">
      <alignment horizontal="left"/>
    </xf>
    <xf numFmtId="0" fontId="28" fillId="34" borderId="27" xfId="44" applyFont="1" applyFill="1" applyBorder="1" applyAlignment="1" applyProtection="1">
      <alignment horizontal="left"/>
    </xf>
    <xf numFmtId="0" fontId="28" fillId="34" borderId="28" xfId="44" applyFont="1" applyFill="1" applyBorder="1" applyAlignment="1" applyProtection="1">
      <alignment horizontal="left"/>
    </xf>
    <xf numFmtId="0" fontId="28" fillId="34" borderId="29" xfId="44" applyFont="1" applyFill="1" applyBorder="1" applyAlignment="1" applyProtection="1">
      <alignment horizontal="left"/>
    </xf>
    <xf numFmtId="15" fontId="27" fillId="34" borderId="17" xfId="0" applyNumberFormat="1" applyFont="1" applyFill="1" applyBorder="1" applyAlignment="1">
      <alignment horizontal="left"/>
    </xf>
    <xf numFmtId="15" fontId="27" fillId="34" borderId="18" xfId="0" applyNumberFormat="1" applyFont="1" applyFill="1" applyBorder="1" applyAlignment="1">
      <alignment horizontal="left"/>
    </xf>
    <xf numFmtId="15" fontId="27" fillId="34" borderId="19" xfId="0" applyNumberFormat="1" applyFont="1" applyFill="1" applyBorder="1" applyAlignment="1">
      <alignment horizontal="left"/>
    </xf>
    <xf numFmtId="0" fontId="29" fillId="34" borderId="21" xfId="0" applyFont="1" applyFill="1" applyBorder="1" applyAlignment="1">
      <alignment horizontal="left"/>
    </xf>
    <xf numFmtId="0" fontId="29" fillId="34" borderId="22" xfId="0" applyFont="1" applyFill="1" applyBorder="1" applyAlignment="1">
      <alignment horizontal="left"/>
    </xf>
    <xf numFmtId="0" fontId="29" fillId="34" borderId="24" xfId="0" applyFont="1" applyFill="1" applyBorder="1" applyAlignment="1">
      <alignment horizontal="left"/>
    </xf>
    <xf numFmtId="0" fontId="29" fillId="34" borderId="23" xfId="0" applyFont="1" applyFill="1" applyBorder="1" applyAlignment="1">
      <alignment horizontal="left"/>
    </xf>
    <xf numFmtId="15" fontId="28" fillId="34" borderId="21" xfId="44" applyNumberFormat="1" applyFont="1" applyFill="1" applyBorder="1" applyAlignment="1" applyProtection="1">
      <alignment horizontal="left"/>
    </xf>
    <xf numFmtId="15" fontId="28" fillId="34" borderId="22" xfId="44" applyNumberFormat="1" applyFont="1" applyFill="1" applyBorder="1" applyAlignment="1" applyProtection="1">
      <alignment horizontal="left"/>
    </xf>
    <xf numFmtId="15" fontId="28" fillId="34" borderId="23" xfId="44" applyNumberFormat="1" applyFont="1" applyFill="1" applyBorder="1" applyAlignment="1" applyProtection="1">
      <alignment horizontal="left"/>
    </xf>
    <xf numFmtId="0" fontId="18" fillId="34" borderId="21" xfId="44" applyFill="1" applyBorder="1" applyAlignment="1" applyProtection="1"/>
    <xf numFmtId="0" fontId="28" fillId="34" borderId="22" xfId="44" applyFont="1" applyFill="1" applyBorder="1" applyAlignment="1" applyProtection="1"/>
    <xf numFmtId="0" fontId="28" fillId="34" borderId="23" xfId="44" applyFont="1" applyFill="1" applyBorder="1" applyAlignment="1" applyProtection="1"/>
    <xf numFmtId="0" fontId="32" fillId="0" borderId="0" xfId="0" applyFont="1"/>
  </cellXfs>
  <cellStyles count="47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 2 2" xfId="46"/>
    <cellStyle name="Normal 3" xfId="45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/>
    </dxf>
    <dxf>
      <border>
        <bottom style="thin">
          <color indexed="64"/>
        </bottom>
      </border>
    </dxf>
    <dxf>
      <alignment horizontal="center" vertical="bottom" textRotation="0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4" Type="http://schemas.openxmlformats.org/officeDocument/2006/relationships/image" Target="../media/image6.png"/><Relationship Id="rId5" Type="http://schemas.openxmlformats.org/officeDocument/2006/relationships/image" Target="../media/image7.jpeg"/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209550</xdr:colOff>
      <xdr:row>2</xdr:row>
      <xdr:rowOff>114300</xdr:rowOff>
    </xdr:from>
    <xdr:to>
      <xdr:col>19</xdr:col>
      <xdr:colOff>0</xdr:colOff>
      <xdr:row>37</xdr:row>
      <xdr:rowOff>104775</xdr:rowOff>
    </xdr:to>
    <xdr:pic>
      <xdr:nvPicPr>
        <xdr:cNvPr id="61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5388" t="8984"/>
        <a:stretch>
          <a:fillRect/>
        </a:stretch>
      </xdr:blipFill>
      <xdr:spPr bwMode="auto">
        <a:xfrm>
          <a:off x="4562475" y="495300"/>
          <a:ext cx="7105650" cy="6657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12</xdr:col>
      <xdr:colOff>190500</xdr:colOff>
      <xdr:row>28</xdr:row>
      <xdr:rowOff>85725</xdr:rowOff>
    </xdr:to>
    <xdr:pic>
      <xdr:nvPicPr>
        <xdr:cNvPr id="2049" name="Picture 1" descr="Tech Adoption Rates Have Reached Dizzying Height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9200" y="952500"/>
          <a:ext cx="6286500" cy="44672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276225</xdr:colOff>
      <xdr:row>7</xdr:row>
      <xdr:rowOff>161925</xdr:rowOff>
    </xdr:from>
    <xdr:to>
      <xdr:col>22</xdr:col>
      <xdr:colOff>504825</xdr:colOff>
      <xdr:row>29</xdr:row>
      <xdr:rowOff>76200</xdr:rowOff>
    </xdr:to>
    <xdr:pic>
      <xdr:nvPicPr>
        <xdr:cNvPr id="2050" name="Picture 2" descr="chart showing adoption rates of various technologie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01025" y="1495425"/>
          <a:ext cx="5715000" cy="41052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18</xdr:col>
      <xdr:colOff>323850</xdr:colOff>
      <xdr:row>50</xdr:row>
      <xdr:rowOff>19050</xdr:rowOff>
    </xdr:to>
    <xdr:pic>
      <xdr:nvPicPr>
        <xdr:cNvPr id="2051" name="Picture 3" descr="https://cdn.theatlantic.com/static/mt/assets/business/technology%20adoption%20rate%20century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28800" y="5715000"/>
          <a:ext cx="9467850" cy="382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16</xdr:col>
      <xdr:colOff>285750</xdr:colOff>
      <xdr:row>78</xdr:row>
      <xdr:rowOff>28575</xdr:rowOff>
    </xdr:to>
    <xdr:pic>
      <xdr:nvPicPr>
        <xdr:cNvPr id="2052" name="Picture 4" descr="https://pbs.twimg.com/media/BZHU0D4IIAAHTOZ.png:large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9906000"/>
          <a:ext cx="9429750" cy="49815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14</xdr:col>
      <xdr:colOff>228600</xdr:colOff>
      <xdr:row>132</xdr:row>
      <xdr:rowOff>0</xdr:rowOff>
    </xdr:to>
    <xdr:pic>
      <xdr:nvPicPr>
        <xdr:cNvPr id="2053" name="Picture 5" descr="https://d267cvn3rvuq91.cloudfront.net/i/legacy/us_technology_adoption_rates.jpg?sw=60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048000" y="15049500"/>
          <a:ext cx="5715000" cy="10096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2" name="Table13" displayName="Table13" ref="A1:D97" totalsRowShown="0" headerRowDxfId="8" dataDxfId="6" headerRowBorderDxfId="7" tableBorderDxfId="5" totalsRowBorderDxfId="4">
  <autoFilter ref="A1:D97"/>
  <sortState ref="A2:D97">
    <sortCondition descending="1" ref="D1:D97"/>
  </sortState>
  <tableColumns count="4">
    <tableColumn id="1" name="Industry Name" dataDxfId="3"/>
    <tableColumn id="2" name="Number of Firms" dataDxfId="2"/>
    <tableColumn id="3" name="CAGR in Net Income- Last 5 years" dataDxfId="1" dataCellStyle="Percent"/>
    <tableColumn id="4" name="CAGR in Revenues- Last 5 years" dataDxfId="0" dataCellStyl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eremyreimer.com/m-item.lsp?i=137" TargetMode="External"/><Relationship Id="rId4" Type="http://schemas.openxmlformats.org/officeDocument/2006/relationships/hyperlink" Target="https://fred.stlouisfed.org/series/TOTALSL/" TargetMode="External"/><Relationship Id="rId5" Type="http://schemas.openxmlformats.org/officeDocument/2006/relationships/hyperlink" Target="http://www.plasticseurope.org/plastics-industry/market-and-economics.aspx" TargetMode="External"/><Relationship Id="rId6" Type="http://schemas.openxmlformats.org/officeDocument/2006/relationships/hyperlink" Target="http://wardsauto.com/datasheet/us-car-and-truck-sales-1931-2014" TargetMode="External"/><Relationship Id="rId7" Type="http://schemas.openxmlformats.org/officeDocument/2006/relationships/hyperlink" Target="https://www.oecd.org/corporate/ca/corporategovernanceprinciples/42576825.pdf" TargetMode="External"/><Relationship Id="rId8" Type="http://schemas.openxmlformats.org/officeDocument/2006/relationships/hyperlink" Target="http://factsanddetails.com/russia/Economics_Business_Agriculture/sub9_7b/entry-5169.html" TargetMode="External"/><Relationship Id="rId9" Type="http://schemas.openxmlformats.org/officeDocument/2006/relationships/hyperlink" Target="https://en.wikipedia.org/wiki/U.S._Automobile_Production_Figures" TargetMode="External"/><Relationship Id="rId1" Type="http://schemas.openxmlformats.org/officeDocument/2006/relationships/hyperlink" Target="http://www.data.worldbank.org/" TargetMode="External"/><Relationship Id="rId2" Type="http://schemas.openxmlformats.org/officeDocument/2006/relationships/hyperlink" Target="https://www.barclayhedge.com/research/indices/ghs/mum/Hedge_Fund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ern.nyu.edu/~adamodar/New_Home_Page/data.html" TargetMode="External"/><Relationship Id="rId4" Type="http://schemas.openxmlformats.org/officeDocument/2006/relationships/hyperlink" Target="http://www.stern.nyu.edu/~adamodar/pc/datasets/indname.xls" TargetMode="External"/><Relationship Id="rId5" Type="http://schemas.openxmlformats.org/officeDocument/2006/relationships/hyperlink" Target="http://www.stern.nyu.edu/~adamodar/New_Home_Page/datafile/variable.htm" TargetMode="External"/><Relationship Id="rId6" Type="http://schemas.openxmlformats.org/officeDocument/2006/relationships/table" Target="../tables/table1.xml"/><Relationship Id="rId1" Type="http://schemas.openxmlformats.org/officeDocument/2006/relationships/hyperlink" Target="mailto:adamodar@stern.nyu.edu?subject=Data%20on%20website" TargetMode="External"/><Relationship Id="rId2" Type="http://schemas.openxmlformats.org/officeDocument/2006/relationships/hyperlink" Target="http://www.damodaran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ool.com/investing/general/2013/10/12/facebooks-incredible-growth-story-in-6-charts.asp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atista.com/" TargetMode="External"/><Relationship Id="rId2" Type="http://schemas.openxmlformats.org/officeDocument/2006/relationships/hyperlink" Target="http://www.6mobil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7"/>
  <sheetViews>
    <sheetView topLeftCell="A53" workbookViewId="0">
      <pane xSplit="1" topLeftCell="H1" activePane="topRight" state="frozen"/>
      <selection pane="topRight" activeCell="L68" sqref="L68"/>
    </sheetView>
  </sheetViews>
  <sheetFormatPr baseColWidth="10" defaultColWidth="8.83203125" defaultRowHeight="14" x14ac:dyDescent="0"/>
  <cols>
    <col min="1" max="1" width="9.33203125" style="96" bestFit="1" customWidth="1"/>
    <col min="2" max="2" width="9.33203125" style="110" customWidth="1"/>
    <col min="3" max="3" width="12.6640625" style="110" customWidth="1"/>
    <col min="4" max="4" width="9.33203125" style="99" customWidth="1"/>
    <col min="5" max="5" width="9.33203125" style="96" bestFit="1" customWidth="1"/>
    <col min="6" max="6" width="10.33203125" style="119" customWidth="1"/>
    <col min="7" max="7" width="9.5" style="127" hidden="1" customWidth="1"/>
    <col min="8" max="8" width="13" style="114" customWidth="1"/>
    <col min="9" max="9" width="9.33203125" style="99" customWidth="1"/>
    <col min="10" max="10" width="9.33203125" style="71" customWidth="1"/>
    <col min="11" max="11" width="13.1640625" style="33" customWidth="1"/>
    <col min="12" max="12" width="13.33203125" style="99" customWidth="1"/>
    <col min="13" max="13" width="9.33203125" style="33" customWidth="1"/>
    <col min="14" max="14" width="9.33203125" style="36" hidden="1" customWidth="1"/>
    <col min="15" max="15" width="15" style="39" customWidth="1"/>
    <col min="16" max="16" width="9.33203125" style="99" customWidth="1"/>
    <col min="17" max="17" width="10.83203125" customWidth="1"/>
    <col min="18" max="18" width="10.83203125" hidden="1" customWidth="1"/>
    <col min="19" max="19" width="12.6640625" style="26" customWidth="1"/>
    <col min="20" max="20" width="8.83203125" style="59"/>
    <col min="21" max="21" width="9.33203125" style="96" bestFit="1" customWidth="1"/>
    <col min="22" max="22" width="13.83203125" style="66" bestFit="1" customWidth="1"/>
    <col min="23" max="23" width="13.83203125" style="2" hidden="1" customWidth="1"/>
    <col min="24" max="24" width="14.1640625" style="1" customWidth="1"/>
    <col min="25" max="25" width="9.6640625" style="59" customWidth="1"/>
    <col min="26" max="26" width="11.83203125" style="77" customWidth="1"/>
    <col min="27" max="27" width="9.6640625" hidden="1" customWidth="1"/>
    <col min="28" max="28" width="13.83203125" style="1" customWidth="1"/>
    <col min="29" max="29" width="8.83203125" style="59"/>
    <col min="30" max="30" width="13.5" style="2" customWidth="1"/>
    <col min="31" max="31" width="12.5" hidden="1" customWidth="1"/>
    <col min="32" max="32" width="14" style="1" customWidth="1"/>
    <col min="33" max="33" width="8.83203125" style="59"/>
    <col min="34" max="34" width="13.5" style="2" customWidth="1"/>
    <col min="35" max="35" width="12.5" hidden="1" customWidth="1"/>
    <col min="36" max="36" width="14" style="1" customWidth="1"/>
    <col min="37" max="37" width="8.83203125" style="59"/>
  </cols>
  <sheetData>
    <row r="1" spans="1:37" s="85" customFormat="1" ht="29.25" customHeight="1">
      <c r="A1" s="98"/>
      <c r="B1" s="111" t="s">
        <v>34</v>
      </c>
      <c r="C1" s="111"/>
      <c r="D1" s="104"/>
      <c r="E1" s="98"/>
      <c r="F1" s="115" t="s">
        <v>33</v>
      </c>
      <c r="G1" s="124"/>
      <c r="H1" s="112"/>
      <c r="I1" s="104"/>
      <c r="J1" s="103" t="s">
        <v>31</v>
      </c>
      <c r="K1" s="100"/>
      <c r="L1" s="104"/>
      <c r="M1" s="100" t="s">
        <v>32</v>
      </c>
      <c r="N1" s="101"/>
      <c r="O1" s="102"/>
      <c r="P1" s="104"/>
      <c r="Q1" s="100" t="s">
        <v>23</v>
      </c>
      <c r="R1" s="100"/>
      <c r="S1" s="105"/>
      <c r="T1" s="108"/>
      <c r="U1" s="98"/>
      <c r="V1" s="106" t="s">
        <v>18</v>
      </c>
      <c r="W1" s="107"/>
      <c r="X1" s="105"/>
      <c r="Y1" s="108"/>
      <c r="Z1" s="106" t="s">
        <v>6</v>
      </c>
      <c r="AA1" s="101"/>
      <c r="AB1" s="105"/>
      <c r="AC1" s="108"/>
      <c r="AD1" s="107" t="s">
        <v>5</v>
      </c>
      <c r="AE1" s="101"/>
      <c r="AF1" s="105"/>
      <c r="AG1" s="108"/>
      <c r="AH1" s="107" t="s">
        <v>38</v>
      </c>
      <c r="AI1" s="101"/>
      <c r="AJ1" s="105"/>
      <c r="AK1" s="108"/>
    </row>
    <row r="2" spans="1:37" s="88" customFormat="1" ht="56">
      <c r="A2" s="97" t="s">
        <v>0</v>
      </c>
      <c r="C2" s="88" t="s">
        <v>25</v>
      </c>
      <c r="D2" s="93" t="s">
        <v>4</v>
      </c>
      <c r="E2" s="97" t="s">
        <v>0</v>
      </c>
      <c r="F2" s="116" t="s">
        <v>35</v>
      </c>
      <c r="G2" s="125"/>
      <c r="H2" s="90" t="s">
        <v>25</v>
      </c>
      <c r="I2" s="93" t="s">
        <v>4</v>
      </c>
      <c r="J2" s="91" t="s">
        <v>21</v>
      </c>
      <c r="K2" s="88" t="s">
        <v>25</v>
      </c>
      <c r="L2" s="93" t="s">
        <v>4</v>
      </c>
      <c r="M2" s="88" t="s">
        <v>19</v>
      </c>
      <c r="N2" s="89"/>
      <c r="O2" s="90" t="s">
        <v>25</v>
      </c>
      <c r="P2" s="93" t="s">
        <v>4</v>
      </c>
      <c r="Q2" s="92" t="s">
        <v>24</v>
      </c>
      <c r="R2" s="92"/>
      <c r="S2" s="90" t="s">
        <v>25</v>
      </c>
      <c r="T2" s="93" t="s">
        <v>4</v>
      </c>
      <c r="U2" s="97" t="s">
        <v>0</v>
      </c>
      <c r="V2" s="94" t="s">
        <v>17</v>
      </c>
      <c r="W2" s="95"/>
      <c r="X2" s="90" t="s">
        <v>25</v>
      </c>
      <c r="Y2" s="93" t="s">
        <v>4</v>
      </c>
      <c r="Z2" s="94" t="s">
        <v>7</v>
      </c>
      <c r="AB2" s="90" t="s">
        <v>25</v>
      </c>
      <c r="AC2" s="93" t="s">
        <v>4</v>
      </c>
      <c r="AD2" s="95" t="s">
        <v>8</v>
      </c>
      <c r="AF2" s="90" t="s">
        <v>25</v>
      </c>
      <c r="AG2" s="93" t="s">
        <v>4</v>
      </c>
      <c r="AH2" s="95" t="s">
        <v>8</v>
      </c>
      <c r="AJ2" s="90" t="s">
        <v>25</v>
      </c>
      <c r="AK2" s="93" t="s">
        <v>4</v>
      </c>
    </row>
    <row r="3" spans="1:37" s="53" customFormat="1">
      <c r="A3" s="98">
        <v>1908</v>
      </c>
      <c r="B3" s="109"/>
      <c r="C3" s="109"/>
      <c r="D3" s="87"/>
      <c r="E3" s="98">
        <v>1908</v>
      </c>
      <c r="F3" s="117">
        <f>10202+8820+8132+4455+4105+3597+2377+1895</f>
        <v>43583</v>
      </c>
      <c r="G3" s="126"/>
      <c r="H3" s="113"/>
      <c r="I3" s="87"/>
      <c r="J3" s="72"/>
      <c r="L3" s="58"/>
      <c r="M3" s="34"/>
      <c r="N3" s="38"/>
      <c r="O3" s="54"/>
      <c r="P3" s="58"/>
      <c r="Q3" s="56"/>
      <c r="R3" s="56"/>
      <c r="S3" s="57"/>
      <c r="T3" s="58"/>
      <c r="U3" s="98">
        <v>1908</v>
      </c>
      <c r="V3" s="63"/>
      <c r="W3" s="55"/>
      <c r="X3" s="54"/>
      <c r="Y3" s="58"/>
      <c r="Z3" s="63"/>
      <c r="AB3" s="54"/>
      <c r="AC3" s="58"/>
      <c r="AD3" s="55"/>
      <c r="AF3" s="54"/>
      <c r="AG3" s="58"/>
      <c r="AH3" s="55"/>
      <c r="AJ3" s="54"/>
      <c r="AK3" s="58"/>
    </row>
    <row r="4" spans="1:37" s="53" customFormat="1">
      <c r="A4" s="98">
        <v>1909</v>
      </c>
      <c r="B4" s="109"/>
      <c r="C4" s="109"/>
      <c r="D4" s="87"/>
      <c r="E4" s="98">
        <v>1909</v>
      </c>
      <c r="F4" s="128">
        <f>17771+14606+9460+7960+7868+6592+6575+4907</f>
        <v>75739</v>
      </c>
      <c r="G4" s="129">
        <f>+F4-F3</f>
        <v>32156</v>
      </c>
      <c r="H4" s="130">
        <f>+G4/F4</f>
        <v>0.42456330292187644</v>
      </c>
      <c r="I4" s="87"/>
      <c r="J4" s="72"/>
      <c r="L4" s="58"/>
      <c r="M4" s="34"/>
      <c r="N4" s="38"/>
      <c r="O4" s="54"/>
      <c r="P4" s="58"/>
      <c r="Q4" s="56"/>
      <c r="R4" s="56"/>
      <c r="S4" s="57"/>
      <c r="T4" s="58"/>
      <c r="U4" s="98">
        <v>1909</v>
      </c>
      <c r="V4" s="63"/>
      <c r="W4" s="55"/>
      <c r="X4" s="54"/>
      <c r="Y4" s="58"/>
      <c r="Z4" s="63"/>
      <c r="AB4" s="54"/>
      <c r="AC4" s="58"/>
      <c r="AD4" s="55"/>
      <c r="AF4" s="54"/>
      <c r="AG4" s="58"/>
      <c r="AH4" s="55"/>
      <c r="AJ4" s="54"/>
      <c r="AK4" s="58"/>
    </row>
    <row r="5" spans="1:37" s="53" customFormat="1">
      <c r="A5" s="98">
        <v>1910</v>
      </c>
      <c r="B5" s="109"/>
      <c r="C5" s="109"/>
      <c r="D5" s="87"/>
      <c r="E5" s="98">
        <v>1910</v>
      </c>
      <c r="F5" s="128">
        <f>32053+30525+15598+15020+10039+10000+10000+6588</f>
        <v>129823</v>
      </c>
      <c r="G5" s="129">
        <f t="shared" ref="G5:G25" si="0">+F5-F4</f>
        <v>54084</v>
      </c>
      <c r="H5" s="130">
        <f t="shared" ref="H5:H26" si="1">+G5/F5</f>
        <v>0.41659798340817883</v>
      </c>
      <c r="I5" s="87"/>
      <c r="J5" s="72"/>
      <c r="L5" s="58"/>
      <c r="M5" s="34"/>
      <c r="N5" s="38"/>
      <c r="O5" s="54"/>
      <c r="P5" s="58"/>
      <c r="Q5" s="56"/>
      <c r="R5" s="56"/>
      <c r="S5" s="57"/>
      <c r="T5" s="58"/>
      <c r="U5" s="98">
        <v>1910</v>
      </c>
      <c r="V5" s="63"/>
      <c r="W5" s="55"/>
      <c r="X5" s="54"/>
      <c r="Y5" s="58"/>
      <c r="Z5" s="63"/>
      <c r="AB5" s="54"/>
      <c r="AC5" s="58"/>
      <c r="AD5" s="55"/>
      <c r="AF5" s="54"/>
      <c r="AG5" s="58"/>
      <c r="AH5" s="55"/>
      <c r="AJ5" s="54"/>
      <c r="AK5" s="58"/>
    </row>
    <row r="6" spans="1:37" s="53" customFormat="1">
      <c r="A6" s="98">
        <v>1911</v>
      </c>
      <c r="B6" s="109"/>
      <c r="C6" s="109"/>
      <c r="D6" s="87"/>
      <c r="E6" s="98">
        <v>1911</v>
      </c>
      <c r="F6" s="128">
        <f>69762+26827+18745+16000+13389+10071+6486+6250</f>
        <v>167530</v>
      </c>
      <c r="G6" s="129">
        <f t="shared" si="0"/>
        <v>37707</v>
      </c>
      <c r="H6" s="130">
        <f t="shared" si="1"/>
        <v>0.22507610577210052</v>
      </c>
      <c r="I6" s="87"/>
      <c r="J6" s="72"/>
      <c r="L6" s="58"/>
      <c r="M6" s="34"/>
      <c r="N6" s="38"/>
      <c r="O6" s="54"/>
      <c r="P6" s="58"/>
      <c r="Q6" s="56"/>
      <c r="R6" s="56"/>
      <c r="S6" s="57"/>
      <c r="T6" s="58"/>
      <c r="U6" s="98">
        <v>1911</v>
      </c>
      <c r="V6" s="63"/>
      <c r="W6" s="55"/>
      <c r="X6" s="54"/>
      <c r="Y6" s="58"/>
      <c r="Z6" s="63"/>
      <c r="AB6" s="54"/>
      <c r="AC6" s="58"/>
      <c r="AD6" s="55"/>
      <c r="AF6" s="54"/>
      <c r="AG6" s="58"/>
      <c r="AH6" s="55"/>
      <c r="AJ6" s="54"/>
      <c r="AK6" s="58"/>
    </row>
    <row r="7" spans="1:37" s="53" customFormat="1">
      <c r="A7" s="98">
        <v>1912</v>
      </c>
      <c r="B7" s="109"/>
      <c r="C7" s="109"/>
      <c r="D7" s="87"/>
      <c r="E7" s="98">
        <v>1912</v>
      </c>
      <c r="F7" s="128">
        <f>78440+28572+28032+19812+12708+7640+6342+5838</f>
        <v>187384</v>
      </c>
      <c r="G7" s="129">
        <f t="shared" si="0"/>
        <v>19854</v>
      </c>
      <c r="H7" s="130">
        <f t="shared" si="1"/>
        <v>0.10595354992955641</v>
      </c>
      <c r="I7" s="87"/>
      <c r="J7" s="72"/>
      <c r="L7" s="58"/>
      <c r="M7" s="34"/>
      <c r="N7" s="38"/>
      <c r="O7" s="54"/>
      <c r="P7" s="58"/>
      <c r="Q7" s="56"/>
      <c r="R7" s="56"/>
      <c r="S7" s="57"/>
      <c r="T7" s="58"/>
      <c r="U7" s="98">
        <v>1912</v>
      </c>
      <c r="V7" s="63"/>
      <c r="W7" s="55"/>
      <c r="X7" s="54"/>
      <c r="Y7" s="58"/>
      <c r="Z7" s="63"/>
      <c r="AB7" s="54"/>
      <c r="AC7" s="58"/>
      <c r="AD7" s="55"/>
      <c r="AF7" s="54"/>
      <c r="AG7" s="58"/>
      <c r="AH7" s="55"/>
      <c r="AJ7" s="54"/>
      <c r="AK7" s="58"/>
    </row>
    <row r="8" spans="1:37" s="53" customFormat="1">
      <c r="A8" s="98">
        <v>1913</v>
      </c>
      <c r="B8" s="109"/>
      <c r="C8" s="109"/>
      <c r="D8" s="87"/>
      <c r="E8" s="98">
        <v>1913</v>
      </c>
      <c r="F8" s="128">
        <f>168220+37422+31994+26666+17284+17000+12543+7647</f>
        <v>318776</v>
      </c>
      <c r="G8" s="129">
        <f t="shared" si="0"/>
        <v>131392</v>
      </c>
      <c r="H8" s="130">
        <f t="shared" si="1"/>
        <v>0.41217657540090846</v>
      </c>
      <c r="I8" s="87"/>
      <c r="J8" s="72"/>
      <c r="L8" s="58"/>
      <c r="M8" s="34"/>
      <c r="N8" s="38"/>
      <c r="O8" s="54"/>
      <c r="P8" s="58"/>
      <c r="Q8" s="56"/>
      <c r="R8" s="56"/>
      <c r="S8" s="57"/>
      <c r="T8" s="58"/>
      <c r="U8" s="98">
        <v>1913</v>
      </c>
      <c r="V8" s="63"/>
      <c r="W8" s="55"/>
      <c r="X8" s="54"/>
      <c r="Y8" s="58"/>
      <c r="Z8" s="63"/>
      <c r="AB8" s="54"/>
      <c r="AC8" s="58"/>
      <c r="AD8" s="55"/>
      <c r="AF8" s="54"/>
      <c r="AG8" s="58"/>
      <c r="AH8" s="55"/>
      <c r="AJ8" s="54"/>
      <c r="AK8" s="58"/>
    </row>
    <row r="9" spans="1:37" s="53" customFormat="1">
      <c r="A9" s="98">
        <v>1914</v>
      </c>
      <c r="B9" s="109"/>
      <c r="C9" s="109"/>
      <c r="D9" s="87"/>
      <c r="E9" s="98">
        <v>1914</v>
      </c>
      <c r="F9" s="128">
        <f>308162+48461+35374+32889+18000+13516+10417+10318</f>
        <v>477137</v>
      </c>
      <c r="G9" s="129">
        <f t="shared" si="0"/>
        <v>158361</v>
      </c>
      <c r="H9" s="130">
        <f t="shared" si="1"/>
        <v>0.33189838557898466</v>
      </c>
      <c r="I9" s="87"/>
      <c r="J9" s="72"/>
      <c r="L9" s="58"/>
      <c r="M9" s="34"/>
      <c r="N9" s="38"/>
      <c r="O9" s="54"/>
      <c r="P9" s="58"/>
      <c r="Q9" s="56"/>
      <c r="R9" s="56"/>
      <c r="S9" s="57"/>
      <c r="T9" s="58"/>
      <c r="U9" s="98">
        <v>1914</v>
      </c>
      <c r="V9" s="63"/>
      <c r="W9" s="55"/>
      <c r="X9" s="54"/>
      <c r="Y9" s="58"/>
      <c r="Z9" s="63"/>
      <c r="AB9" s="54"/>
      <c r="AC9" s="58"/>
      <c r="AD9" s="55"/>
      <c r="AF9" s="54"/>
      <c r="AG9" s="58"/>
      <c r="AH9" s="55"/>
      <c r="AJ9" s="54"/>
      <c r="AK9" s="58"/>
    </row>
    <row r="10" spans="1:37" s="53" customFormat="1">
      <c r="A10" s="98">
        <v>1915</v>
      </c>
      <c r="B10" s="109"/>
      <c r="C10" s="109"/>
      <c r="D10" s="87"/>
      <c r="E10" s="98">
        <v>1915</v>
      </c>
      <c r="F10" s="128">
        <f>501792+91904+45000+44000+43946+41243+20404+19000</f>
        <v>807289</v>
      </c>
      <c r="G10" s="129">
        <f t="shared" si="0"/>
        <v>330152</v>
      </c>
      <c r="H10" s="130">
        <f t="shared" si="1"/>
        <v>0.40896382831922645</v>
      </c>
      <c r="I10" s="87"/>
      <c r="J10" s="72"/>
      <c r="L10" s="58"/>
      <c r="M10" s="34"/>
      <c r="N10" s="38"/>
      <c r="O10" s="54"/>
      <c r="P10" s="58"/>
      <c r="Q10" s="56"/>
      <c r="R10" s="56"/>
      <c r="S10" s="57"/>
      <c r="T10" s="58"/>
      <c r="U10" s="98">
        <v>1915</v>
      </c>
      <c r="V10" s="63"/>
      <c r="W10" s="55"/>
      <c r="X10" s="54"/>
      <c r="Y10" s="58"/>
      <c r="Z10" s="63"/>
      <c r="AB10" s="54"/>
      <c r="AC10" s="58"/>
      <c r="AD10" s="55"/>
      <c r="AF10" s="54"/>
      <c r="AG10" s="58"/>
      <c r="AH10" s="55"/>
      <c r="AJ10" s="54"/>
      <c r="AK10" s="58"/>
    </row>
    <row r="11" spans="1:37" s="53" customFormat="1">
      <c r="A11" s="98">
        <v>1916</v>
      </c>
      <c r="B11" s="109"/>
      <c r="C11" s="109"/>
      <c r="D11" s="87"/>
      <c r="E11" s="98">
        <v>1916</v>
      </c>
      <c r="F11" s="128">
        <f>734811+140111+124834+71400+70701+69000+65536+27800</f>
        <v>1304193</v>
      </c>
      <c r="G11" s="129">
        <f t="shared" si="0"/>
        <v>496904</v>
      </c>
      <c r="H11" s="130">
        <f t="shared" si="1"/>
        <v>0.38100495862192174</v>
      </c>
      <c r="I11" s="87"/>
      <c r="J11" s="72"/>
      <c r="L11" s="58"/>
      <c r="M11" s="34"/>
      <c r="N11" s="38"/>
      <c r="O11" s="54"/>
      <c r="P11" s="58"/>
      <c r="Q11" s="56"/>
      <c r="R11" s="56"/>
      <c r="S11" s="57"/>
      <c r="T11" s="58"/>
      <c r="U11" s="98">
        <v>1916</v>
      </c>
      <c r="V11" s="63"/>
      <c r="W11" s="55"/>
      <c r="X11" s="54"/>
      <c r="Y11" s="58"/>
      <c r="Z11" s="63"/>
      <c r="AB11" s="54"/>
      <c r="AC11" s="58"/>
      <c r="AD11" s="55"/>
      <c r="AF11" s="54"/>
      <c r="AG11" s="58"/>
      <c r="AH11" s="55"/>
      <c r="AJ11" s="54"/>
      <c r="AK11" s="58"/>
    </row>
    <row r="12" spans="1:37" s="53" customFormat="1">
      <c r="A12" s="98">
        <v>1917</v>
      </c>
      <c r="B12" s="109"/>
      <c r="C12" s="109"/>
      <c r="D12" s="87"/>
      <c r="E12" s="98">
        <v>1917</v>
      </c>
      <c r="F12" s="128">
        <f>622351+130988+115267+111877+90000+75000+39686+33171</f>
        <v>1218340</v>
      </c>
      <c r="G12" s="129">
        <f t="shared" si="0"/>
        <v>-85853</v>
      </c>
      <c r="H12" s="130">
        <f t="shared" si="1"/>
        <v>-7.0467193065975015E-2</v>
      </c>
      <c r="I12" s="87"/>
      <c r="J12" s="72"/>
      <c r="L12" s="58"/>
      <c r="M12" s="34"/>
      <c r="N12" s="38"/>
      <c r="O12" s="54"/>
      <c r="P12" s="58"/>
      <c r="Q12" s="56"/>
      <c r="R12" s="56"/>
      <c r="S12" s="57"/>
      <c r="T12" s="58"/>
      <c r="U12" s="98">
        <v>1917</v>
      </c>
      <c r="V12" s="63"/>
      <c r="W12" s="55"/>
      <c r="X12" s="54"/>
      <c r="Y12" s="58"/>
      <c r="Z12" s="63"/>
      <c r="AB12" s="54"/>
      <c r="AC12" s="58"/>
      <c r="AD12" s="55"/>
      <c r="AF12" s="54"/>
      <c r="AG12" s="58"/>
      <c r="AH12" s="55"/>
      <c r="AJ12" s="54"/>
      <c r="AK12" s="58"/>
    </row>
    <row r="13" spans="1:37" s="53" customFormat="1">
      <c r="A13" s="98">
        <v>1918</v>
      </c>
      <c r="B13" s="109"/>
      <c r="C13" s="109"/>
      <c r="D13" s="87"/>
      <c r="E13" s="98">
        <v>1918</v>
      </c>
      <c r="F13" s="128">
        <f>435898+88753+88717+77691+62000+34000+27757+19169</f>
        <v>833985</v>
      </c>
      <c r="G13" s="129">
        <f t="shared" si="0"/>
        <v>-384355</v>
      </c>
      <c r="H13" s="130">
        <f t="shared" si="1"/>
        <v>-0.4608656030983771</v>
      </c>
      <c r="I13" s="87"/>
      <c r="J13" s="72"/>
      <c r="L13" s="58"/>
      <c r="M13" s="34"/>
      <c r="N13" s="38"/>
      <c r="O13" s="54"/>
      <c r="P13" s="58"/>
      <c r="Q13" s="56"/>
      <c r="R13" s="56"/>
      <c r="S13" s="57"/>
      <c r="T13" s="58"/>
      <c r="U13" s="98">
        <v>1918</v>
      </c>
      <c r="V13" s="63"/>
      <c r="W13" s="55"/>
      <c r="X13" s="54"/>
      <c r="Y13" s="58"/>
      <c r="Z13" s="63"/>
      <c r="AB13" s="54"/>
      <c r="AC13" s="58"/>
      <c r="AD13" s="55"/>
      <c r="AF13" s="54"/>
      <c r="AG13" s="58"/>
      <c r="AH13" s="55"/>
      <c r="AJ13" s="54"/>
      <c r="AK13" s="58"/>
    </row>
    <row r="14" spans="1:37" s="53" customFormat="1">
      <c r="A14" s="98">
        <v>1919</v>
      </c>
      <c r="B14" s="109"/>
      <c r="C14" s="109"/>
      <c r="D14" s="87"/>
      <c r="E14" s="98">
        <v>1919</v>
      </c>
      <c r="F14" s="117">
        <f>820442+129118+119310+106000+80853+52124+50000+39042</f>
        <v>1396889</v>
      </c>
      <c r="G14" s="126">
        <f t="shared" si="0"/>
        <v>562904</v>
      </c>
      <c r="H14" s="113">
        <f t="shared" si="1"/>
        <v>0.40296974204822289</v>
      </c>
      <c r="I14" s="87"/>
      <c r="J14" s="72"/>
      <c r="L14" s="58"/>
      <c r="M14" s="34"/>
      <c r="N14" s="38"/>
      <c r="O14" s="54"/>
      <c r="P14" s="58"/>
      <c r="Q14" s="56"/>
      <c r="R14" s="56"/>
      <c r="S14" s="57"/>
      <c r="T14" s="58"/>
      <c r="U14" s="98">
        <v>1919</v>
      </c>
      <c r="V14" s="63"/>
      <c r="W14" s="55"/>
      <c r="X14" s="54"/>
      <c r="Y14" s="58"/>
      <c r="Z14" s="63"/>
      <c r="AB14" s="54"/>
      <c r="AC14" s="58"/>
      <c r="AD14" s="55"/>
      <c r="AF14" s="54"/>
      <c r="AG14" s="58"/>
      <c r="AH14" s="55"/>
      <c r="AJ14" s="54"/>
      <c r="AK14" s="58"/>
    </row>
    <row r="15" spans="1:37" s="53" customFormat="1">
      <c r="A15" s="98">
        <v>1920</v>
      </c>
      <c r="B15" s="109"/>
      <c r="C15" s="109"/>
      <c r="D15" s="87"/>
      <c r="E15" s="98">
        <v>1920</v>
      </c>
      <c r="F15" s="117">
        <f>806040+146243+141000+115176+105025+48831+45937+45000</f>
        <v>1453252</v>
      </c>
      <c r="G15" s="126">
        <f t="shared" si="0"/>
        <v>56363</v>
      </c>
      <c r="H15" s="113">
        <f t="shared" si="1"/>
        <v>3.8784051217545204E-2</v>
      </c>
      <c r="I15" s="87"/>
      <c r="J15" s="72"/>
      <c r="L15" s="58"/>
      <c r="M15" s="34"/>
      <c r="N15" s="38"/>
      <c r="O15" s="54"/>
      <c r="P15" s="58"/>
      <c r="Q15" s="56"/>
      <c r="R15" s="56"/>
      <c r="S15" s="57"/>
      <c r="T15" s="58"/>
      <c r="U15" s="98">
        <v>1920</v>
      </c>
      <c r="V15" s="63"/>
      <c r="W15" s="55"/>
      <c r="X15" s="54"/>
      <c r="Y15" s="58"/>
      <c r="Z15" s="63"/>
      <c r="AB15" s="54"/>
      <c r="AC15" s="58"/>
      <c r="AD15" s="55"/>
      <c r="AF15" s="54"/>
      <c r="AG15" s="58"/>
      <c r="AH15" s="55"/>
      <c r="AJ15" s="54"/>
      <c r="AK15" s="58"/>
    </row>
    <row r="16" spans="1:37" s="53" customFormat="1">
      <c r="A16" s="98">
        <v>1921</v>
      </c>
      <c r="B16" s="109"/>
      <c r="C16" s="109"/>
      <c r="D16" s="87"/>
      <c r="E16" s="98">
        <v>1921</v>
      </c>
      <c r="F16" s="117">
        <f>1275618+130855+82930+81000+65023+48016+27143+20850</f>
        <v>1731435</v>
      </c>
      <c r="G16" s="126">
        <f t="shared" si="0"/>
        <v>278183</v>
      </c>
      <c r="H16" s="113">
        <f t="shared" si="1"/>
        <v>0.16066615264217254</v>
      </c>
      <c r="I16" s="87"/>
      <c r="J16" s="72"/>
      <c r="L16" s="58"/>
      <c r="M16" s="34"/>
      <c r="N16" s="38"/>
      <c r="O16" s="54"/>
      <c r="P16" s="58"/>
      <c r="Q16" s="56"/>
      <c r="R16" s="56"/>
      <c r="S16" s="57"/>
      <c r="T16" s="58"/>
      <c r="U16" s="98">
        <v>1921</v>
      </c>
      <c r="V16" s="63"/>
      <c r="W16" s="55"/>
      <c r="X16" s="54"/>
      <c r="Y16" s="58"/>
      <c r="Z16" s="63"/>
      <c r="AB16" s="54"/>
      <c r="AC16" s="58"/>
      <c r="AD16" s="55"/>
      <c r="AF16" s="54"/>
      <c r="AG16" s="58"/>
      <c r="AH16" s="55"/>
      <c r="AJ16" s="54"/>
      <c r="AK16" s="58"/>
    </row>
    <row r="17" spans="1:37" s="53" customFormat="1">
      <c r="A17" s="98">
        <v>1922</v>
      </c>
      <c r="B17" s="109"/>
      <c r="C17" s="109"/>
      <c r="D17" s="87"/>
      <c r="E17" s="98">
        <v>1922</v>
      </c>
      <c r="F17" s="117">
        <f>1147028+152653+138932+123152+105005+95410+55300+44811</f>
        <v>1862291</v>
      </c>
      <c r="G17" s="126">
        <f t="shared" si="0"/>
        <v>130856</v>
      </c>
      <c r="H17" s="113">
        <f t="shared" si="1"/>
        <v>7.0266139931944041E-2</v>
      </c>
      <c r="I17" s="87"/>
      <c r="J17" s="72"/>
      <c r="L17" s="58"/>
      <c r="M17" s="34"/>
      <c r="N17" s="38"/>
      <c r="O17" s="54"/>
      <c r="P17" s="58"/>
      <c r="Q17" s="56"/>
      <c r="R17" s="56"/>
      <c r="S17" s="57"/>
      <c r="T17" s="58"/>
      <c r="U17" s="98">
        <v>1922</v>
      </c>
      <c r="V17" s="63"/>
      <c r="W17" s="55"/>
      <c r="X17" s="54"/>
      <c r="Y17" s="58"/>
      <c r="Z17" s="63"/>
      <c r="AB17" s="54"/>
      <c r="AC17" s="58"/>
      <c r="AD17" s="55"/>
      <c r="AF17" s="54"/>
      <c r="AG17" s="58"/>
      <c r="AH17" s="55"/>
      <c r="AJ17" s="54"/>
      <c r="AK17" s="58"/>
    </row>
    <row r="18" spans="1:37" s="53" customFormat="1">
      <c r="A18" s="98">
        <v>1923</v>
      </c>
      <c r="B18" s="109"/>
      <c r="C18" s="109"/>
      <c r="D18" s="87"/>
      <c r="E18" s="98">
        <v>1923</v>
      </c>
      <c r="F18" s="117">
        <f>1831128+323182+201572+196038+172000+151000+146238+88914</f>
        <v>3110072</v>
      </c>
      <c r="G18" s="126">
        <f t="shared" si="0"/>
        <v>1247781</v>
      </c>
      <c r="H18" s="113">
        <f t="shared" si="1"/>
        <v>0.40120646724577436</v>
      </c>
      <c r="I18" s="87"/>
      <c r="J18" s="72"/>
      <c r="L18" s="58"/>
      <c r="M18" s="34"/>
      <c r="N18" s="38"/>
      <c r="O18" s="54"/>
      <c r="P18" s="58"/>
      <c r="Q18" s="56"/>
      <c r="R18" s="56"/>
      <c r="S18" s="57"/>
      <c r="T18" s="58"/>
      <c r="U18" s="98">
        <v>1923</v>
      </c>
      <c r="V18" s="63"/>
      <c r="W18" s="55"/>
      <c r="X18" s="54"/>
      <c r="Y18" s="58"/>
      <c r="Z18" s="63"/>
      <c r="AB18" s="54"/>
      <c r="AC18" s="58"/>
      <c r="AD18" s="55"/>
      <c r="AF18" s="54"/>
      <c r="AG18" s="58"/>
      <c r="AH18" s="55"/>
      <c r="AJ18" s="54"/>
      <c r="AK18" s="58"/>
    </row>
    <row r="19" spans="1:37" s="53" customFormat="1">
      <c r="A19" s="98">
        <v>1924</v>
      </c>
      <c r="B19" s="109"/>
      <c r="C19" s="109"/>
      <c r="D19" s="87"/>
      <c r="E19" s="98">
        <v>1924</v>
      </c>
      <c r="F19" s="117">
        <f>1720795+264868+193861+163000+160411+133950+111000+105387</f>
        <v>2853272</v>
      </c>
      <c r="G19" s="126">
        <f t="shared" si="0"/>
        <v>-256800</v>
      </c>
      <c r="H19" s="113">
        <f t="shared" si="1"/>
        <v>-9.0001934621024571E-2</v>
      </c>
      <c r="I19" s="87"/>
      <c r="J19" s="72"/>
      <c r="L19" s="58"/>
      <c r="M19" s="34"/>
      <c r="N19" s="38"/>
      <c r="O19" s="54"/>
      <c r="P19" s="58"/>
      <c r="Q19" s="56"/>
      <c r="R19" s="56"/>
      <c r="S19" s="57"/>
      <c r="T19" s="58"/>
      <c r="U19" s="98">
        <v>1924</v>
      </c>
      <c r="V19" s="63"/>
      <c r="W19" s="55"/>
      <c r="X19" s="54"/>
      <c r="Y19" s="58"/>
      <c r="Z19" s="63"/>
      <c r="AB19" s="54"/>
      <c r="AC19" s="58"/>
      <c r="AD19" s="55"/>
      <c r="AF19" s="54"/>
      <c r="AG19" s="58"/>
      <c r="AH19" s="55"/>
      <c r="AJ19" s="54"/>
      <c r="AK19" s="58"/>
    </row>
    <row r="20" spans="1:37" s="53" customFormat="1">
      <c r="A20" s="98">
        <v>1925</v>
      </c>
      <c r="B20" s="109"/>
      <c r="C20" s="109"/>
      <c r="D20" s="87"/>
      <c r="E20" s="98">
        <v>1925</v>
      </c>
      <c r="F20" s="117">
        <f>1669847+306479+269474+215000+201000+192100+133104+132343</f>
        <v>3119347</v>
      </c>
      <c r="G20" s="126">
        <f t="shared" si="0"/>
        <v>266075</v>
      </c>
      <c r="H20" s="113">
        <f t="shared" si="1"/>
        <v>8.529830121496583E-2</v>
      </c>
      <c r="I20" s="87"/>
      <c r="J20" s="72"/>
      <c r="L20" s="58"/>
      <c r="M20" s="34"/>
      <c r="N20" s="38"/>
      <c r="O20" s="54"/>
      <c r="P20" s="58"/>
      <c r="Q20" s="56"/>
      <c r="R20" s="56"/>
      <c r="S20" s="57"/>
      <c r="T20" s="58"/>
      <c r="U20" s="98">
        <v>1925</v>
      </c>
      <c r="V20" s="63"/>
      <c r="W20" s="55"/>
      <c r="X20" s="54"/>
      <c r="Y20" s="58"/>
      <c r="Z20" s="63"/>
      <c r="AB20" s="54"/>
      <c r="AC20" s="58"/>
      <c r="AD20" s="55"/>
      <c r="AF20" s="54"/>
      <c r="AG20" s="58"/>
      <c r="AH20" s="55"/>
      <c r="AJ20" s="54"/>
      <c r="AK20" s="58"/>
    </row>
    <row r="21" spans="1:37" s="53" customFormat="1">
      <c r="A21" s="98">
        <v>1926</v>
      </c>
      <c r="B21" s="109"/>
      <c r="C21" s="109"/>
      <c r="D21" s="87"/>
      <c r="E21" s="98">
        <v>1926</v>
      </c>
      <c r="F21" s="117">
        <f>1426612+547724+266753+265000+227508+182000+135520+133604</f>
        <v>3184721</v>
      </c>
      <c r="G21" s="126">
        <f t="shared" si="0"/>
        <v>65374</v>
      </c>
      <c r="H21" s="113">
        <f t="shared" si="1"/>
        <v>2.0527386857435864E-2</v>
      </c>
      <c r="I21" s="87"/>
      <c r="J21" s="72"/>
      <c r="L21" s="58"/>
      <c r="M21" s="34"/>
      <c r="N21" s="38"/>
      <c r="O21" s="54"/>
      <c r="P21" s="58"/>
      <c r="Q21" s="56"/>
      <c r="R21" s="56"/>
      <c r="S21" s="57"/>
      <c r="T21" s="58"/>
      <c r="U21" s="98">
        <v>1926</v>
      </c>
      <c r="V21" s="63"/>
      <c r="W21" s="55"/>
      <c r="X21" s="54"/>
      <c r="Y21" s="58"/>
      <c r="Z21" s="63"/>
      <c r="AB21" s="54"/>
      <c r="AC21" s="58"/>
      <c r="AD21" s="55"/>
      <c r="AF21" s="54"/>
      <c r="AG21" s="58"/>
      <c r="AH21" s="55"/>
      <c r="AJ21" s="54"/>
      <c r="AK21" s="58"/>
    </row>
    <row r="22" spans="1:37" s="53" customFormat="1">
      <c r="A22" s="98">
        <v>1927</v>
      </c>
      <c r="B22" s="109"/>
      <c r="C22" s="109"/>
      <c r="D22" s="87"/>
      <c r="E22" s="98">
        <v>1927</v>
      </c>
      <c r="F22" s="117">
        <f>1001820+367213+276414+255160+188168+188000+182195+180000</f>
        <v>2638970</v>
      </c>
      <c r="G22" s="126">
        <f t="shared" si="0"/>
        <v>-545751</v>
      </c>
      <c r="H22" s="113">
        <f t="shared" si="1"/>
        <v>-0.20680454874439649</v>
      </c>
      <c r="I22" s="87"/>
      <c r="J22" s="72"/>
      <c r="L22" s="58"/>
      <c r="M22" s="34"/>
      <c r="N22" s="38"/>
      <c r="O22" s="54"/>
      <c r="P22" s="58"/>
      <c r="Q22" s="56"/>
      <c r="R22" s="56"/>
      <c r="S22" s="57"/>
      <c r="T22" s="58"/>
      <c r="U22" s="98">
        <v>1927</v>
      </c>
      <c r="V22" s="63"/>
      <c r="W22" s="55"/>
      <c r="X22" s="54"/>
      <c r="Y22" s="58"/>
      <c r="Z22" s="63"/>
      <c r="AB22" s="54"/>
      <c r="AC22" s="58"/>
      <c r="AD22" s="55"/>
      <c r="AF22" s="54"/>
      <c r="AG22" s="58"/>
      <c r="AH22" s="55"/>
      <c r="AJ22" s="54"/>
      <c r="AK22" s="58"/>
    </row>
    <row r="23" spans="1:37" s="53" customFormat="1">
      <c r="A23" s="98">
        <v>1928</v>
      </c>
      <c r="B23" s="109"/>
      <c r="C23" s="109"/>
      <c r="D23" s="87"/>
      <c r="E23" s="98">
        <v>1928</v>
      </c>
      <c r="F23" s="117">
        <f>1193212+607592+315000+282203+244584+221758+160670+138137</f>
        <v>3163156</v>
      </c>
      <c r="G23" s="126">
        <f t="shared" si="0"/>
        <v>524186</v>
      </c>
      <c r="H23" s="113">
        <f t="shared" si="1"/>
        <v>0.16571613919768738</v>
      </c>
      <c r="I23" s="87"/>
      <c r="J23" s="72"/>
      <c r="L23" s="58"/>
      <c r="M23" s="34"/>
      <c r="N23" s="38"/>
      <c r="O23" s="54"/>
      <c r="P23" s="58"/>
      <c r="Q23" s="56"/>
      <c r="R23" s="56"/>
      <c r="S23" s="57"/>
      <c r="T23" s="58"/>
      <c r="U23" s="98">
        <v>1928</v>
      </c>
      <c r="V23" s="63"/>
      <c r="W23" s="55"/>
      <c r="X23" s="54"/>
      <c r="Y23" s="58"/>
      <c r="Z23" s="63"/>
      <c r="AB23" s="54"/>
      <c r="AC23" s="58"/>
      <c r="AD23" s="55"/>
      <c r="AF23" s="54"/>
      <c r="AG23" s="58"/>
      <c r="AH23" s="55"/>
      <c r="AJ23" s="54"/>
      <c r="AK23" s="58"/>
    </row>
    <row r="24" spans="1:37" s="53" customFormat="1">
      <c r="A24" s="98">
        <v>1929</v>
      </c>
      <c r="B24" s="109"/>
      <c r="C24" s="109"/>
      <c r="D24" s="87"/>
      <c r="E24" s="98">
        <v>1929</v>
      </c>
      <c r="F24" s="117">
        <f>1507132+1328605+300962+242000+211054+196104+124557+116622</f>
        <v>4027036</v>
      </c>
      <c r="G24" s="126">
        <f t="shared" si="0"/>
        <v>863880</v>
      </c>
      <c r="H24" s="113">
        <f t="shared" si="1"/>
        <v>0.21452005892174791</v>
      </c>
      <c r="I24" s="87"/>
      <c r="J24" s="72"/>
      <c r="L24" s="58"/>
      <c r="M24" s="34"/>
      <c r="N24" s="38"/>
      <c r="O24" s="54"/>
      <c r="P24" s="58"/>
      <c r="Q24" s="56"/>
      <c r="R24" s="56"/>
      <c r="S24" s="57"/>
      <c r="T24" s="58"/>
      <c r="U24" s="98">
        <v>1929</v>
      </c>
      <c r="V24" s="63"/>
      <c r="W24" s="55"/>
      <c r="X24" s="54"/>
      <c r="Y24" s="58"/>
      <c r="Z24" s="63"/>
      <c r="AB24" s="54"/>
      <c r="AC24" s="58"/>
      <c r="AD24" s="55"/>
      <c r="AF24" s="54"/>
      <c r="AG24" s="58"/>
      <c r="AH24" s="55"/>
      <c r="AJ24" s="54"/>
      <c r="AK24" s="58"/>
    </row>
    <row r="25" spans="1:37" s="53" customFormat="1">
      <c r="A25" s="98">
        <v>1930</v>
      </c>
      <c r="B25" s="109"/>
      <c r="C25" s="109"/>
      <c r="D25" s="87"/>
      <c r="E25" s="98">
        <v>1930</v>
      </c>
      <c r="F25" s="117">
        <f>1140710+640980+181743+123215+113898+108350+90755+77881</f>
        <v>2477532</v>
      </c>
      <c r="G25" s="126">
        <f t="shared" si="0"/>
        <v>-1549504</v>
      </c>
      <c r="H25" s="113">
        <f t="shared" si="1"/>
        <v>-0.62542239615875794</v>
      </c>
      <c r="I25" s="87"/>
      <c r="J25" s="72"/>
      <c r="L25" s="58"/>
      <c r="M25" s="34"/>
      <c r="N25" s="38"/>
      <c r="O25" s="54"/>
      <c r="P25" s="58"/>
      <c r="Q25" s="56"/>
      <c r="R25" s="56"/>
      <c r="S25" s="57"/>
      <c r="T25" s="58"/>
      <c r="U25" s="98">
        <v>1930</v>
      </c>
      <c r="V25" s="63"/>
      <c r="W25" s="55"/>
      <c r="X25" s="54"/>
      <c r="Y25" s="58"/>
      <c r="Z25" s="63"/>
      <c r="AB25" s="54"/>
      <c r="AC25" s="58"/>
      <c r="AD25" s="55"/>
      <c r="AF25" s="54"/>
      <c r="AG25" s="58"/>
      <c r="AH25" s="55"/>
      <c r="AJ25" s="54"/>
      <c r="AK25" s="58"/>
    </row>
    <row r="26" spans="1:37" s="53" customFormat="1">
      <c r="A26" s="98">
        <v>1931</v>
      </c>
      <c r="B26" s="109"/>
      <c r="C26" s="109"/>
      <c r="D26" s="87"/>
      <c r="E26" s="98">
        <v>1931</v>
      </c>
      <c r="F26" s="118">
        <v>2200000</v>
      </c>
      <c r="G26" s="126">
        <f>+G25</f>
        <v>-1549504</v>
      </c>
      <c r="H26" s="113">
        <f t="shared" si="1"/>
        <v>-0.70431999999999995</v>
      </c>
      <c r="I26" s="87"/>
      <c r="J26" s="72"/>
      <c r="L26" s="58"/>
      <c r="M26" s="34"/>
      <c r="N26" s="38"/>
      <c r="O26" s="54"/>
      <c r="P26" s="58"/>
      <c r="Q26" s="56"/>
      <c r="R26" s="56"/>
      <c r="S26" s="57"/>
      <c r="T26" s="58"/>
      <c r="U26" s="98">
        <v>1931</v>
      </c>
      <c r="V26" s="63"/>
      <c r="W26" s="55"/>
      <c r="X26" s="54"/>
      <c r="Y26" s="58"/>
      <c r="Z26" s="63"/>
      <c r="AB26" s="54"/>
      <c r="AC26" s="58"/>
      <c r="AD26" s="55"/>
      <c r="AF26" s="54"/>
      <c r="AG26" s="58"/>
      <c r="AH26" s="55"/>
      <c r="AJ26" s="54"/>
      <c r="AK26" s="58"/>
    </row>
    <row r="27" spans="1:37" s="53" customFormat="1">
      <c r="A27" s="98">
        <v>1932</v>
      </c>
      <c r="B27" s="109"/>
      <c r="C27" s="109"/>
      <c r="D27" s="87"/>
      <c r="E27" s="98">
        <v>1932</v>
      </c>
      <c r="F27" s="118">
        <v>1800000</v>
      </c>
      <c r="G27" s="118">
        <f t="shared" ref="G27:G31" si="2">+F27-F26</f>
        <v>-400000</v>
      </c>
      <c r="H27" s="114">
        <f t="shared" ref="H27:H31" si="3">+G27/F26</f>
        <v>-0.18181818181818182</v>
      </c>
      <c r="I27" s="87"/>
      <c r="J27" s="72"/>
      <c r="L27" s="58"/>
      <c r="M27" s="34"/>
      <c r="N27" s="38"/>
      <c r="O27" s="54"/>
      <c r="P27" s="58"/>
      <c r="Q27" s="56"/>
      <c r="R27" s="56"/>
      <c r="S27" s="57"/>
      <c r="T27" s="58"/>
      <c r="U27" s="98">
        <v>1932</v>
      </c>
      <c r="V27" s="63"/>
      <c r="W27" s="55"/>
      <c r="X27" s="54"/>
      <c r="Y27" s="58"/>
      <c r="Z27" s="63"/>
      <c r="AB27" s="54"/>
      <c r="AC27" s="58"/>
      <c r="AD27" s="55"/>
      <c r="AF27" s="54"/>
      <c r="AG27" s="58"/>
      <c r="AH27" s="55"/>
      <c r="AJ27" s="54"/>
      <c r="AK27" s="58"/>
    </row>
    <row r="28" spans="1:37" s="53" customFormat="1">
      <c r="A28" s="98">
        <v>1933</v>
      </c>
      <c r="B28" s="109"/>
      <c r="C28" s="109"/>
      <c r="D28" s="87"/>
      <c r="E28" s="98">
        <v>1933</v>
      </c>
      <c r="F28" s="118">
        <v>3000000</v>
      </c>
      <c r="G28" s="118">
        <f t="shared" si="2"/>
        <v>1200000</v>
      </c>
      <c r="H28" s="114">
        <f t="shared" si="3"/>
        <v>0.66666666666666663</v>
      </c>
      <c r="I28" s="87"/>
      <c r="J28" s="72"/>
      <c r="L28" s="58"/>
      <c r="M28" s="34"/>
      <c r="N28" s="38"/>
      <c r="O28" s="54"/>
      <c r="P28" s="58"/>
      <c r="Q28" s="56"/>
      <c r="R28" s="56"/>
      <c r="S28" s="57"/>
      <c r="T28" s="58"/>
      <c r="U28" s="98">
        <v>1933</v>
      </c>
      <c r="V28" s="63"/>
      <c r="W28" s="55"/>
      <c r="X28" s="54"/>
      <c r="Y28" s="58"/>
      <c r="Z28" s="63"/>
      <c r="AB28" s="54"/>
      <c r="AC28" s="58"/>
      <c r="AD28" s="55"/>
      <c r="AF28" s="54"/>
      <c r="AG28" s="58"/>
      <c r="AH28" s="55"/>
      <c r="AJ28" s="54"/>
      <c r="AK28" s="58"/>
    </row>
    <row r="29" spans="1:37" s="53" customFormat="1">
      <c r="A29" s="98">
        <v>1934</v>
      </c>
      <c r="B29" s="109"/>
      <c r="C29" s="109"/>
      <c r="D29" s="87"/>
      <c r="E29" s="98">
        <v>1934</v>
      </c>
      <c r="F29" s="118">
        <v>4000000</v>
      </c>
      <c r="G29" s="118">
        <f t="shared" si="2"/>
        <v>1000000</v>
      </c>
      <c r="H29" s="114">
        <f t="shared" si="3"/>
        <v>0.33333333333333331</v>
      </c>
      <c r="I29" s="87"/>
      <c r="J29" s="72"/>
      <c r="L29" s="58"/>
      <c r="M29" s="34"/>
      <c r="N29" s="38"/>
      <c r="O29" s="54"/>
      <c r="P29" s="58"/>
      <c r="Q29" s="56"/>
      <c r="R29" s="56"/>
      <c r="S29" s="57"/>
      <c r="T29" s="58"/>
      <c r="U29" s="98">
        <v>1934</v>
      </c>
      <c r="V29" s="63"/>
      <c r="W29" s="55"/>
      <c r="X29" s="54"/>
      <c r="Y29" s="58"/>
      <c r="Z29" s="63"/>
      <c r="AB29" s="54"/>
      <c r="AC29" s="58"/>
      <c r="AD29" s="55"/>
      <c r="AF29" s="54"/>
      <c r="AG29" s="58"/>
      <c r="AH29" s="55"/>
      <c r="AJ29" s="54"/>
      <c r="AK29" s="58"/>
    </row>
    <row r="30" spans="1:37" s="53" customFormat="1">
      <c r="A30" s="98">
        <v>1935</v>
      </c>
      <c r="B30" s="109"/>
      <c r="C30" s="109"/>
      <c r="D30" s="87"/>
      <c r="E30" s="98">
        <v>1935</v>
      </c>
      <c r="F30" s="118">
        <v>3000000</v>
      </c>
      <c r="G30" s="118">
        <f t="shared" si="2"/>
        <v>-1000000</v>
      </c>
      <c r="H30" s="114">
        <f t="shared" si="3"/>
        <v>-0.25</v>
      </c>
      <c r="I30" s="87"/>
      <c r="J30" s="72"/>
      <c r="L30" s="58"/>
      <c r="M30" s="34"/>
      <c r="N30" s="38"/>
      <c r="O30" s="54"/>
      <c r="P30" s="58"/>
      <c r="Q30" s="56"/>
      <c r="R30" s="56"/>
      <c r="S30" s="57"/>
      <c r="T30" s="58"/>
      <c r="U30" s="98">
        <v>1935</v>
      </c>
      <c r="V30" s="63"/>
      <c r="W30" s="55"/>
      <c r="X30" s="54"/>
      <c r="Y30" s="58"/>
      <c r="Z30" s="63"/>
      <c r="AB30" s="54"/>
      <c r="AC30" s="58"/>
      <c r="AD30" s="55"/>
      <c r="AF30" s="54"/>
      <c r="AG30" s="58"/>
      <c r="AH30" s="55"/>
      <c r="AJ30" s="54"/>
      <c r="AK30" s="58"/>
    </row>
    <row r="31" spans="1:37" s="53" customFormat="1">
      <c r="A31" s="98">
        <v>1936</v>
      </c>
      <c r="B31" s="109"/>
      <c r="C31" s="109"/>
      <c r="D31" s="87"/>
      <c r="E31" s="98">
        <v>1936</v>
      </c>
      <c r="F31" s="118">
        <v>5000000</v>
      </c>
      <c r="G31" s="118">
        <f t="shared" si="2"/>
        <v>2000000</v>
      </c>
      <c r="H31" s="114">
        <f t="shared" si="3"/>
        <v>0.66666666666666663</v>
      </c>
      <c r="I31" s="87"/>
      <c r="J31" s="72"/>
      <c r="L31" s="58"/>
      <c r="M31" s="34"/>
      <c r="N31" s="38"/>
      <c r="O31" s="54"/>
      <c r="P31" s="58"/>
      <c r="Q31" s="56"/>
      <c r="R31" s="56"/>
      <c r="S31" s="57"/>
      <c r="T31" s="58"/>
      <c r="U31" s="98">
        <v>1936</v>
      </c>
      <c r="V31" s="63"/>
      <c r="W31" s="55"/>
      <c r="X31" s="54"/>
      <c r="Y31" s="58"/>
      <c r="Z31" s="63"/>
      <c r="AB31" s="54"/>
      <c r="AC31" s="58"/>
      <c r="AD31" s="55"/>
      <c r="AF31" s="54"/>
      <c r="AG31" s="58"/>
      <c r="AH31" s="55"/>
      <c r="AJ31" s="54"/>
      <c r="AK31" s="58"/>
    </row>
    <row r="32" spans="1:37" s="53" customFormat="1">
      <c r="A32" s="98">
        <v>1937</v>
      </c>
      <c r="B32" s="109"/>
      <c r="C32" s="109"/>
      <c r="D32" s="87"/>
      <c r="E32" s="98">
        <v>1937</v>
      </c>
      <c r="F32" s="117"/>
      <c r="G32" s="126"/>
      <c r="H32" s="113"/>
      <c r="I32" s="87"/>
      <c r="J32" s="72"/>
      <c r="L32" s="58"/>
      <c r="M32" s="34"/>
      <c r="N32" s="38"/>
      <c r="O32" s="54"/>
      <c r="P32" s="58"/>
      <c r="Q32" s="56"/>
      <c r="R32" s="56"/>
      <c r="S32" s="57"/>
      <c r="T32" s="58"/>
      <c r="U32" s="98">
        <v>1937</v>
      </c>
      <c r="V32" s="63"/>
      <c r="W32" s="55"/>
      <c r="X32" s="54"/>
      <c r="Y32" s="58"/>
      <c r="Z32" s="63"/>
      <c r="AB32" s="54"/>
      <c r="AC32" s="58"/>
      <c r="AD32" s="55"/>
      <c r="AF32" s="54"/>
      <c r="AG32" s="58"/>
      <c r="AH32" s="55"/>
      <c r="AJ32" s="54"/>
      <c r="AK32" s="58"/>
    </row>
    <row r="33" spans="1:37" s="53" customFormat="1">
      <c r="A33" s="98">
        <v>1938</v>
      </c>
      <c r="B33" s="109"/>
      <c r="C33" s="109"/>
      <c r="D33" s="87"/>
      <c r="E33" s="98">
        <v>1938</v>
      </c>
      <c r="F33" s="117"/>
      <c r="G33" s="126"/>
      <c r="H33" s="113"/>
      <c r="I33" s="87"/>
      <c r="J33" s="72"/>
      <c r="L33" s="58"/>
      <c r="M33" s="34"/>
      <c r="N33" s="38"/>
      <c r="O33" s="54"/>
      <c r="P33" s="58"/>
      <c r="Q33" s="56"/>
      <c r="R33" s="56"/>
      <c r="S33" s="57"/>
      <c r="T33" s="58"/>
      <c r="U33" s="98">
        <v>1938</v>
      </c>
      <c r="V33" s="63"/>
      <c r="W33" s="55"/>
      <c r="X33" s="54"/>
      <c r="Y33" s="58"/>
      <c r="Z33" s="63"/>
      <c r="AB33" s="54"/>
      <c r="AC33" s="58"/>
      <c r="AD33" s="55"/>
      <c r="AF33" s="54"/>
      <c r="AG33" s="58"/>
      <c r="AH33" s="55"/>
      <c r="AJ33" s="54"/>
      <c r="AK33" s="58"/>
    </row>
    <row r="34" spans="1:37" s="53" customFormat="1">
      <c r="A34" s="98">
        <v>1939</v>
      </c>
      <c r="B34" s="109"/>
      <c r="C34" s="109"/>
      <c r="D34" s="87"/>
      <c r="E34" s="98">
        <v>1939</v>
      </c>
      <c r="F34" s="117"/>
      <c r="G34" s="126"/>
      <c r="H34" s="113"/>
      <c r="I34" s="87"/>
      <c r="J34" s="72"/>
      <c r="L34" s="58"/>
      <c r="M34" s="34"/>
      <c r="N34" s="38"/>
      <c r="O34" s="54"/>
      <c r="P34" s="58"/>
      <c r="Q34" s="56"/>
      <c r="R34" s="56"/>
      <c r="S34" s="57"/>
      <c r="T34" s="58"/>
      <c r="U34" s="98">
        <v>1939</v>
      </c>
      <c r="V34" s="63"/>
      <c r="W34" s="55"/>
      <c r="X34" s="54"/>
      <c r="Y34" s="58"/>
      <c r="Z34" s="63"/>
      <c r="AB34" s="54"/>
      <c r="AC34" s="58"/>
      <c r="AD34" s="55"/>
      <c r="AF34" s="54"/>
      <c r="AG34" s="58"/>
      <c r="AH34" s="55"/>
      <c r="AJ34" s="54"/>
      <c r="AK34" s="58"/>
    </row>
    <row r="35" spans="1:37" s="53" customFormat="1">
      <c r="A35" s="98">
        <v>1940</v>
      </c>
      <c r="B35" s="109"/>
      <c r="C35" s="109"/>
      <c r="D35" s="87"/>
      <c r="E35" s="98">
        <v>1940</v>
      </c>
      <c r="F35" s="117"/>
      <c r="G35" s="126"/>
      <c r="H35" s="113"/>
      <c r="I35" s="87"/>
      <c r="J35" s="72"/>
      <c r="L35" s="58"/>
      <c r="M35" s="34"/>
      <c r="N35" s="38"/>
      <c r="O35" s="54"/>
      <c r="P35" s="58"/>
      <c r="Q35" s="56"/>
      <c r="R35" s="56"/>
      <c r="S35" s="57"/>
      <c r="T35" s="58"/>
      <c r="U35" s="98">
        <v>1940</v>
      </c>
      <c r="V35" s="63"/>
      <c r="W35" s="55"/>
      <c r="X35" s="54"/>
      <c r="Y35" s="58"/>
      <c r="Z35" s="63"/>
      <c r="AB35" s="54"/>
      <c r="AC35" s="58"/>
      <c r="AD35" s="55"/>
      <c r="AF35" s="54"/>
      <c r="AG35" s="58"/>
      <c r="AH35" s="55"/>
      <c r="AJ35" s="54"/>
      <c r="AK35" s="58"/>
    </row>
    <row r="36" spans="1:37" s="53" customFormat="1">
      <c r="A36" s="98">
        <v>1941</v>
      </c>
      <c r="B36" s="109"/>
      <c r="C36" s="109"/>
      <c r="D36" s="87"/>
      <c r="E36" s="98">
        <v>1941</v>
      </c>
      <c r="F36" s="117"/>
      <c r="G36" s="126"/>
      <c r="H36" s="113"/>
      <c r="I36" s="87"/>
      <c r="J36" s="72"/>
      <c r="L36" s="58"/>
      <c r="M36" s="34"/>
      <c r="N36" s="38"/>
      <c r="O36" s="54"/>
      <c r="P36" s="58"/>
      <c r="Q36" s="56"/>
      <c r="R36" s="56"/>
      <c r="S36" s="57"/>
      <c r="T36" s="58"/>
      <c r="U36" s="98">
        <v>1941</v>
      </c>
      <c r="V36" s="63"/>
      <c r="W36" s="55"/>
      <c r="X36" s="54"/>
      <c r="Y36" s="58"/>
      <c r="Z36" s="63"/>
      <c r="AB36" s="54"/>
      <c r="AC36" s="58"/>
      <c r="AD36" s="55"/>
      <c r="AF36" s="54"/>
      <c r="AG36" s="58"/>
      <c r="AH36" s="55"/>
      <c r="AJ36" s="54"/>
      <c r="AK36" s="58"/>
    </row>
    <row r="37" spans="1:37" s="53" customFormat="1">
      <c r="A37" s="98">
        <v>1942</v>
      </c>
      <c r="B37" s="109"/>
      <c r="C37" s="109"/>
      <c r="D37" s="87"/>
      <c r="E37" s="98">
        <v>1942</v>
      </c>
      <c r="F37" s="117"/>
      <c r="G37" s="126"/>
      <c r="H37" s="113"/>
      <c r="I37" s="87"/>
      <c r="J37" s="72"/>
      <c r="L37" s="58"/>
      <c r="M37" s="34"/>
      <c r="N37" s="38"/>
      <c r="O37" s="54"/>
      <c r="P37" s="58"/>
      <c r="Q37" s="56"/>
      <c r="R37" s="56"/>
      <c r="S37" s="57"/>
      <c r="T37" s="58"/>
      <c r="U37" s="98">
        <v>1942</v>
      </c>
      <c r="V37" s="63"/>
      <c r="W37" s="55"/>
      <c r="X37" s="54"/>
      <c r="Y37" s="58"/>
      <c r="Z37" s="63"/>
      <c r="AB37" s="54"/>
      <c r="AC37" s="58"/>
      <c r="AD37" s="55"/>
      <c r="AF37" s="54"/>
      <c r="AG37" s="58"/>
      <c r="AH37" s="55"/>
      <c r="AJ37" s="54"/>
      <c r="AK37" s="58"/>
    </row>
    <row r="38" spans="1:37" s="9" customFormat="1">
      <c r="A38" s="96">
        <v>1943</v>
      </c>
      <c r="B38" s="110"/>
      <c r="C38" s="110"/>
      <c r="D38" s="99"/>
      <c r="E38" s="96">
        <v>1943</v>
      </c>
      <c r="F38" s="119"/>
      <c r="G38" s="127"/>
      <c r="H38" s="114"/>
      <c r="I38" s="99"/>
      <c r="J38" s="71"/>
      <c r="K38" s="33"/>
      <c r="L38" s="99"/>
      <c r="M38" s="35">
        <v>6.5777999999999999</v>
      </c>
      <c r="N38" s="36"/>
      <c r="O38" s="39"/>
      <c r="P38" s="99"/>
      <c r="S38" s="46"/>
      <c r="T38" s="76" t="s">
        <v>29</v>
      </c>
      <c r="U38" s="96">
        <v>1943</v>
      </c>
      <c r="V38" s="64"/>
      <c r="W38" s="10"/>
      <c r="X38" s="11"/>
      <c r="Y38" s="59" t="s">
        <v>11</v>
      </c>
      <c r="Z38" s="64"/>
      <c r="AB38" s="11"/>
      <c r="AC38" s="60"/>
      <c r="AD38" s="10"/>
      <c r="AF38" s="11"/>
      <c r="AG38" s="60"/>
      <c r="AH38" s="10"/>
      <c r="AJ38" s="11"/>
      <c r="AK38" s="60"/>
    </row>
    <row r="39" spans="1:37" s="9" customFormat="1">
      <c r="A39" s="96">
        <v>1944</v>
      </c>
      <c r="B39" s="110"/>
      <c r="C39" s="110"/>
      <c r="D39" s="99"/>
      <c r="E39" s="96">
        <v>1944</v>
      </c>
      <c r="F39" s="119"/>
      <c r="G39" s="127"/>
      <c r="H39" s="114"/>
      <c r="I39" s="99"/>
      <c r="J39" s="71"/>
      <c r="K39" s="33"/>
      <c r="L39" s="99"/>
      <c r="M39" s="35">
        <v>5.3986000000000001</v>
      </c>
      <c r="N39" s="37"/>
      <c r="O39" s="39"/>
      <c r="P39" s="99"/>
      <c r="S39" s="46"/>
      <c r="T39" s="76" t="s">
        <v>30</v>
      </c>
      <c r="U39" s="96">
        <v>1944</v>
      </c>
      <c r="V39" s="64"/>
      <c r="W39" s="10"/>
      <c r="X39" s="11"/>
      <c r="Y39" s="59" t="s">
        <v>12</v>
      </c>
      <c r="Z39" s="64"/>
      <c r="AB39" s="11"/>
      <c r="AC39" s="60"/>
      <c r="AD39" s="10"/>
      <c r="AF39" s="11"/>
      <c r="AG39" s="60"/>
      <c r="AH39" s="10"/>
      <c r="AJ39" s="11"/>
      <c r="AK39" s="60"/>
    </row>
    <row r="40" spans="1:37" s="9" customFormat="1">
      <c r="A40" s="96">
        <v>1945</v>
      </c>
      <c r="B40" s="110"/>
      <c r="C40" s="110"/>
      <c r="D40" s="99"/>
      <c r="E40" s="96">
        <v>1945</v>
      </c>
      <c r="F40" s="119"/>
      <c r="G40" s="127"/>
      <c r="H40" s="114"/>
      <c r="I40" s="99"/>
      <c r="J40" s="71"/>
      <c r="K40" s="33"/>
      <c r="L40" s="99"/>
      <c r="M40" s="35">
        <v>5.6026999999999996</v>
      </c>
      <c r="N40" s="36"/>
      <c r="O40" s="39"/>
      <c r="P40" s="99"/>
      <c r="S40" s="46"/>
      <c r="T40" s="60"/>
      <c r="U40" s="96">
        <v>1945</v>
      </c>
      <c r="V40" s="64"/>
      <c r="W40" s="10"/>
      <c r="X40" s="11"/>
      <c r="Y40" s="59" t="s">
        <v>16</v>
      </c>
      <c r="Z40" s="64"/>
      <c r="AB40" s="11"/>
      <c r="AC40" s="60"/>
      <c r="AD40" s="10"/>
      <c r="AF40" s="11"/>
      <c r="AG40" s="60"/>
      <c r="AH40" s="10"/>
      <c r="AJ40" s="11"/>
      <c r="AK40" s="60"/>
    </row>
    <row r="41" spans="1:37" s="9" customFormat="1">
      <c r="A41" s="96">
        <v>1946</v>
      </c>
      <c r="B41" s="110"/>
      <c r="C41" s="110"/>
      <c r="D41" s="99"/>
      <c r="E41" s="96">
        <v>1946</v>
      </c>
      <c r="F41" s="119"/>
      <c r="G41" s="127"/>
      <c r="H41" s="114"/>
      <c r="I41" s="99"/>
      <c r="J41" s="71"/>
      <c r="K41" s="33"/>
      <c r="L41" s="99"/>
      <c r="M41" s="35">
        <v>6.5045000000000002</v>
      </c>
      <c r="N41" s="37">
        <f>+M41-M40</f>
        <v>0.9018000000000006</v>
      </c>
      <c r="O41" s="39">
        <f>+N41/M40</f>
        <v>0.16095810948292799</v>
      </c>
      <c r="P41" s="99"/>
      <c r="S41" s="46"/>
      <c r="T41" s="60"/>
      <c r="U41" s="96">
        <v>1946</v>
      </c>
      <c r="V41" s="64"/>
      <c r="W41" s="10"/>
      <c r="X41" s="11"/>
      <c r="Y41" s="60"/>
      <c r="Z41" s="64"/>
      <c r="AB41" s="11"/>
      <c r="AC41" s="60"/>
      <c r="AD41" s="10"/>
      <c r="AF41" s="11"/>
      <c r="AG41" s="60"/>
      <c r="AH41" s="10"/>
      <c r="AJ41" s="11"/>
      <c r="AK41" s="60"/>
    </row>
    <row r="42" spans="1:37" s="9" customFormat="1">
      <c r="A42" s="96">
        <v>1947</v>
      </c>
      <c r="B42" s="110"/>
      <c r="C42" s="110"/>
      <c r="D42" s="99"/>
      <c r="E42" s="96">
        <v>1947</v>
      </c>
      <c r="F42" s="119"/>
      <c r="G42" s="127"/>
      <c r="H42" s="114"/>
      <c r="I42" s="99"/>
      <c r="J42" s="71"/>
      <c r="K42" s="33"/>
      <c r="L42" s="99"/>
      <c r="M42" s="42">
        <v>9.7702000000000009</v>
      </c>
      <c r="N42" s="43">
        <f>+M42-M41</f>
        <v>3.2657000000000007</v>
      </c>
      <c r="O42" s="44">
        <f>+N42/M41</f>
        <v>0.50206779921592748</v>
      </c>
      <c r="P42" s="99"/>
      <c r="S42" s="46"/>
      <c r="T42" s="60"/>
      <c r="U42" s="96">
        <v>1947</v>
      </c>
      <c r="V42" s="64"/>
      <c r="W42" s="10"/>
      <c r="X42" s="11"/>
      <c r="Y42" s="60"/>
      <c r="Z42" s="64"/>
      <c r="AB42" s="11"/>
      <c r="AC42" s="60"/>
      <c r="AD42" s="10"/>
      <c r="AF42" s="11"/>
      <c r="AG42" s="60"/>
      <c r="AH42" s="10"/>
      <c r="AJ42" s="11"/>
      <c r="AK42" s="60"/>
    </row>
    <row r="43" spans="1:37" s="9" customFormat="1">
      <c r="A43" s="96">
        <v>1948</v>
      </c>
      <c r="B43" s="110"/>
      <c r="C43" s="110"/>
      <c r="D43" s="99"/>
      <c r="E43" s="96">
        <v>1948</v>
      </c>
      <c r="F43" s="119"/>
      <c r="G43" s="127"/>
      <c r="H43" s="114"/>
      <c r="I43" s="99"/>
      <c r="J43" s="71"/>
      <c r="K43" s="33"/>
      <c r="L43" s="99"/>
      <c r="M43" s="42">
        <v>13.2286</v>
      </c>
      <c r="N43" s="43">
        <f t="shared" ref="N43:N106" si="4">+M43-M42</f>
        <v>3.4583999999999993</v>
      </c>
      <c r="O43" s="44">
        <f t="shared" ref="O43:O106" si="5">+N43/M42</f>
        <v>0.3539743301058319</v>
      </c>
      <c r="P43" s="99"/>
      <c r="S43" s="46"/>
      <c r="T43" s="60"/>
      <c r="U43" s="96">
        <v>1948</v>
      </c>
      <c r="V43" s="64"/>
      <c r="W43" s="10"/>
      <c r="X43" s="11"/>
      <c r="Y43" s="60"/>
      <c r="Z43" s="64"/>
      <c r="AB43" s="11"/>
      <c r="AC43" s="60"/>
      <c r="AD43" s="10"/>
      <c r="AF43" s="11"/>
      <c r="AG43" s="60"/>
      <c r="AH43" s="10"/>
      <c r="AJ43" s="11"/>
      <c r="AK43" s="60"/>
    </row>
    <row r="44" spans="1:37" s="9" customFormat="1">
      <c r="A44" s="96">
        <v>1949</v>
      </c>
      <c r="B44" s="110"/>
      <c r="C44" s="110"/>
      <c r="D44" s="99"/>
      <c r="E44" s="96">
        <v>1949</v>
      </c>
      <c r="F44" s="119"/>
      <c r="G44" s="127"/>
      <c r="H44" s="114"/>
      <c r="I44" s="99"/>
      <c r="J44" s="71"/>
      <c r="K44" s="33"/>
      <c r="L44" s="99"/>
      <c r="M44" s="42">
        <v>15.9017</v>
      </c>
      <c r="N44" s="43">
        <f t="shared" si="4"/>
        <v>2.6730999999999998</v>
      </c>
      <c r="O44" s="44">
        <f t="shared" si="5"/>
        <v>0.20206975794868692</v>
      </c>
      <c r="P44" s="99"/>
      <c r="S44" s="46"/>
      <c r="T44" s="60"/>
      <c r="U44" s="96">
        <v>1949</v>
      </c>
      <c r="V44" s="64"/>
      <c r="W44" s="10"/>
      <c r="X44" s="11"/>
      <c r="Y44" s="60"/>
      <c r="Z44" s="64"/>
      <c r="AB44" s="11"/>
      <c r="AC44" s="60"/>
      <c r="AD44" s="10"/>
      <c r="AF44" s="11"/>
      <c r="AG44" s="60"/>
      <c r="AH44" s="10"/>
      <c r="AJ44" s="11"/>
      <c r="AK44" s="60"/>
    </row>
    <row r="45" spans="1:37" s="9" customFormat="1">
      <c r="A45" s="96">
        <v>1950</v>
      </c>
      <c r="B45" s="110"/>
      <c r="C45" s="110"/>
      <c r="D45" s="99"/>
      <c r="E45" s="96">
        <v>1950</v>
      </c>
      <c r="F45" s="119"/>
      <c r="G45" s="127"/>
      <c r="H45" s="114"/>
      <c r="I45" s="99"/>
      <c r="J45" s="71">
        <v>1.5</v>
      </c>
      <c r="K45" s="33"/>
      <c r="L45" s="99"/>
      <c r="M45" s="42">
        <v>19.050899999999999</v>
      </c>
      <c r="N45" s="43">
        <f t="shared" si="4"/>
        <v>3.1491999999999987</v>
      </c>
      <c r="O45" s="44">
        <f t="shared" si="5"/>
        <v>0.19804171880993848</v>
      </c>
      <c r="P45" s="99"/>
      <c r="S45" s="46"/>
      <c r="T45" s="60"/>
      <c r="U45" s="96">
        <v>1950</v>
      </c>
      <c r="V45" s="64"/>
      <c r="W45" s="10"/>
      <c r="X45" s="11"/>
      <c r="Y45" s="60"/>
      <c r="Z45" s="64"/>
      <c r="AB45" s="11"/>
      <c r="AC45" s="60"/>
      <c r="AD45" s="10"/>
      <c r="AF45" s="11"/>
      <c r="AG45" s="60"/>
      <c r="AH45" s="10"/>
      <c r="AJ45" s="11"/>
      <c r="AK45" s="60"/>
    </row>
    <row r="46" spans="1:37" s="9" customFormat="1">
      <c r="A46" s="96">
        <v>1951</v>
      </c>
      <c r="B46" s="110"/>
      <c r="C46" s="110"/>
      <c r="D46" s="99"/>
      <c r="E46" s="96">
        <v>1951</v>
      </c>
      <c r="F46" s="118">
        <v>6000000</v>
      </c>
      <c r="G46" s="118"/>
      <c r="H46" s="114"/>
      <c r="I46" s="99"/>
      <c r="J46" s="71"/>
      <c r="K46" s="33"/>
      <c r="L46" s="99"/>
      <c r="M46" s="42">
        <v>23.797599999999999</v>
      </c>
      <c r="N46" s="43">
        <f t="shared" si="4"/>
        <v>4.7467000000000006</v>
      </c>
      <c r="O46" s="44">
        <f t="shared" si="5"/>
        <v>0.24915883239112069</v>
      </c>
      <c r="P46" s="99"/>
      <c r="S46" s="46"/>
      <c r="T46" s="60"/>
      <c r="U46" s="96">
        <v>1951</v>
      </c>
      <c r="V46" s="64"/>
      <c r="W46" s="10"/>
      <c r="X46" s="11"/>
      <c r="Y46" s="60"/>
      <c r="Z46" s="64"/>
      <c r="AB46" s="11"/>
      <c r="AC46" s="60"/>
      <c r="AD46" s="10"/>
      <c r="AF46" s="11"/>
      <c r="AG46" s="60"/>
      <c r="AH46" s="10"/>
      <c r="AJ46" s="11"/>
      <c r="AK46" s="60"/>
    </row>
    <row r="47" spans="1:37" s="9" customFormat="1">
      <c r="A47" s="96">
        <v>1952</v>
      </c>
      <c r="B47" s="110"/>
      <c r="C47" s="110"/>
      <c r="D47" s="99"/>
      <c r="E47" s="96">
        <v>1952</v>
      </c>
      <c r="F47" s="118">
        <v>7000000</v>
      </c>
      <c r="G47" s="118">
        <f>+F47-F46</f>
        <v>1000000</v>
      </c>
      <c r="H47" s="114">
        <f>+G47/F46</f>
        <v>0.16666666666666666</v>
      </c>
      <c r="I47" s="99"/>
      <c r="J47" s="71"/>
      <c r="K47" s="33"/>
      <c r="L47" s="99"/>
      <c r="M47" s="42">
        <v>24.8019</v>
      </c>
      <c r="N47" s="43">
        <f t="shared" si="4"/>
        <v>1.0043000000000006</v>
      </c>
      <c r="O47" s="44">
        <f t="shared" si="5"/>
        <v>4.2201734628702081E-2</v>
      </c>
      <c r="P47" s="99"/>
      <c r="S47" s="46"/>
      <c r="T47" s="60"/>
      <c r="U47" s="96">
        <v>1952</v>
      </c>
      <c r="V47" s="64"/>
      <c r="W47" s="10"/>
      <c r="X47" s="11"/>
      <c r="Y47" s="60"/>
      <c r="Z47" s="64"/>
      <c r="AB47" s="11"/>
      <c r="AC47" s="60"/>
      <c r="AD47" s="10"/>
      <c r="AF47" s="11"/>
      <c r="AG47" s="60"/>
      <c r="AH47" s="10"/>
      <c r="AJ47" s="11"/>
      <c r="AK47" s="60"/>
    </row>
    <row r="48" spans="1:37" s="9" customFormat="1">
      <c r="A48" s="96">
        <v>1953</v>
      </c>
      <c r="B48" s="110"/>
      <c r="C48" s="110"/>
      <c r="D48" s="99"/>
      <c r="E48" s="96">
        <v>1953</v>
      </c>
      <c r="F48" s="118">
        <v>8000000</v>
      </c>
      <c r="G48" s="118">
        <f t="shared" ref="G48:G103" si="6">+F48-F47</f>
        <v>1000000</v>
      </c>
      <c r="H48" s="114">
        <f t="shared" ref="H48:H103" si="7">+G48/F47</f>
        <v>0.14285714285714285</v>
      </c>
      <c r="I48" s="99"/>
      <c r="J48" s="71"/>
      <c r="K48" s="33"/>
      <c r="L48" s="99"/>
      <c r="M48" s="42">
        <v>30.479500000000002</v>
      </c>
      <c r="N48" s="43">
        <f t="shared" si="4"/>
        <v>5.6776000000000018</v>
      </c>
      <c r="O48" s="44">
        <f t="shared" si="5"/>
        <v>0.22891794580253941</v>
      </c>
      <c r="P48" s="99"/>
      <c r="S48" s="46"/>
      <c r="T48" s="60"/>
      <c r="U48" s="96">
        <v>1953</v>
      </c>
      <c r="V48" s="64"/>
      <c r="W48" s="10"/>
      <c r="X48" s="11"/>
      <c r="Y48" s="60"/>
      <c r="Z48" s="64"/>
      <c r="AB48" s="11"/>
      <c r="AC48" s="60"/>
      <c r="AD48" s="10"/>
      <c r="AF48" s="11"/>
      <c r="AG48" s="60"/>
      <c r="AH48" s="10"/>
      <c r="AJ48" s="11"/>
      <c r="AK48" s="60"/>
    </row>
    <row r="49" spans="1:37" s="9" customFormat="1">
      <c r="A49" s="96">
        <v>1954</v>
      </c>
      <c r="B49" s="110"/>
      <c r="C49" s="110"/>
      <c r="D49" s="99"/>
      <c r="E49" s="96">
        <v>1954</v>
      </c>
      <c r="F49" s="118">
        <v>7000000</v>
      </c>
      <c r="G49" s="118">
        <f t="shared" si="6"/>
        <v>-1000000</v>
      </c>
      <c r="H49" s="114">
        <f t="shared" si="7"/>
        <v>-0.125</v>
      </c>
      <c r="I49" s="99"/>
      <c r="J49" s="71"/>
      <c r="K49" s="33"/>
      <c r="L49" s="99"/>
      <c r="M49" s="42">
        <v>34.064900000000002</v>
      </c>
      <c r="N49" s="43">
        <f t="shared" si="4"/>
        <v>3.5853999999999999</v>
      </c>
      <c r="O49" s="44">
        <f t="shared" si="5"/>
        <v>0.11763316327367573</v>
      </c>
      <c r="P49" s="99"/>
      <c r="S49" s="46"/>
      <c r="T49" s="60"/>
      <c r="U49" s="96">
        <v>1954</v>
      </c>
      <c r="V49" s="64"/>
      <c r="W49" s="10"/>
      <c r="X49" s="11"/>
      <c r="Y49" s="60"/>
      <c r="Z49" s="64"/>
      <c r="AB49" s="11"/>
      <c r="AC49" s="60"/>
      <c r="AD49" s="10"/>
      <c r="AF49" s="11"/>
      <c r="AG49" s="60"/>
      <c r="AH49" s="10"/>
      <c r="AJ49" s="11"/>
      <c r="AK49" s="60"/>
    </row>
    <row r="50" spans="1:37" s="9" customFormat="1">
      <c r="A50" s="96">
        <v>1955</v>
      </c>
      <c r="B50" s="110"/>
      <c r="C50" s="110"/>
      <c r="D50" s="99"/>
      <c r="E50" s="96">
        <v>1955</v>
      </c>
      <c r="F50" s="118">
        <v>7000000</v>
      </c>
      <c r="G50" s="118">
        <f t="shared" si="6"/>
        <v>0</v>
      </c>
      <c r="H50" s="114">
        <f t="shared" si="7"/>
        <v>0</v>
      </c>
      <c r="I50" s="99"/>
      <c r="J50" s="73"/>
      <c r="K50" s="44"/>
      <c r="L50" s="99"/>
      <c r="M50" s="42">
        <v>35.372500000000002</v>
      </c>
      <c r="N50" s="43">
        <f t="shared" si="4"/>
        <v>1.3076000000000008</v>
      </c>
      <c r="O50" s="44">
        <f t="shared" si="5"/>
        <v>3.838555228402258E-2</v>
      </c>
      <c r="P50" s="99"/>
      <c r="S50" s="46"/>
      <c r="T50" s="60"/>
      <c r="U50" s="96">
        <v>1955</v>
      </c>
      <c r="V50" s="64"/>
      <c r="W50" s="10"/>
      <c r="X50" s="11"/>
      <c r="Y50" s="60"/>
      <c r="Z50" s="64"/>
      <c r="AB50" s="11"/>
      <c r="AC50" s="60"/>
      <c r="AD50" s="10"/>
      <c r="AF50" s="11"/>
      <c r="AG50" s="60"/>
      <c r="AH50" s="10"/>
      <c r="AJ50" s="11"/>
      <c r="AK50" s="60"/>
    </row>
    <row r="51" spans="1:37" s="9" customFormat="1">
      <c r="A51" s="96">
        <v>1956</v>
      </c>
      <c r="B51" s="110"/>
      <c r="C51" s="110"/>
      <c r="D51" s="99"/>
      <c r="E51" s="96">
        <v>1956</v>
      </c>
      <c r="F51" s="118">
        <v>7000000</v>
      </c>
      <c r="G51" s="118">
        <f t="shared" si="6"/>
        <v>0</v>
      </c>
      <c r="H51" s="114">
        <f t="shared" si="7"/>
        <v>0</v>
      </c>
      <c r="I51" s="99"/>
      <c r="J51" s="73"/>
      <c r="K51" s="44"/>
      <c r="L51" s="99"/>
      <c r="M51" s="42">
        <v>42.120100000000001</v>
      </c>
      <c r="N51" s="43">
        <f t="shared" si="4"/>
        <v>6.7475999999999985</v>
      </c>
      <c r="O51" s="44">
        <f t="shared" si="5"/>
        <v>0.19075835748109402</v>
      </c>
      <c r="P51" s="99"/>
      <c r="S51" s="46"/>
      <c r="T51" s="60"/>
      <c r="U51" s="96">
        <v>1956</v>
      </c>
      <c r="V51" s="64"/>
      <c r="W51" s="10"/>
      <c r="X51" s="11"/>
      <c r="Y51" s="60"/>
      <c r="Z51" s="64"/>
      <c r="AB51" s="11"/>
      <c r="AC51" s="60"/>
      <c r="AD51" s="10"/>
      <c r="AF51" s="11"/>
      <c r="AG51" s="60"/>
      <c r="AH51" s="10"/>
      <c r="AJ51" s="11"/>
      <c r="AK51" s="60"/>
    </row>
    <row r="52" spans="1:37" s="9" customFormat="1">
      <c r="A52" s="96">
        <v>1957</v>
      </c>
      <c r="B52" s="110"/>
      <c r="C52" s="110"/>
      <c r="D52" s="99"/>
      <c r="E52" s="96">
        <v>1957</v>
      </c>
      <c r="F52" s="118">
        <v>9000000</v>
      </c>
      <c r="G52" s="118">
        <f t="shared" si="6"/>
        <v>2000000</v>
      </c>
      <c r="H52" s="114">
        <f t="shared" si="7"/>
        <v>0.2857142857142857</v>
      </c>
      <c r="I52" s="99"/>
      <c r="J52" s="73"/>
      <c r="K52" s="44"/>
      <c r="L52" s="99"/>
      <c r="M52" s="35">
        <v>45.700499999999998</v>
      </c>
      <c r="N52" s="37">
        <f t="shared" si="4"/>
        <v>3.5803999999999974</v>
      </c>
      <c r="O52" s="39">
        <f t="shared" si="5"/>
        <v>8.5004546522918917E-2</v>
      </c>
      <c r="P52" s="99"/>
      <c r="S52" s="46"/>
      <c r="T52" s="60"/>
      <c r="U52" s="96">
        <v>1957</v>
      </c>
      <c r="V52" s="64"/>
      <c r="W52" s="10"/>
      <c r="X52" s="11"/>
      <c r="Y52" s="60"/>
      <c r="Z52" s="64"/>
      <c r="AB52" s="11"/>
      <c r="AC52" s="60"/>
      <c r="AD52" s="10"/>
      <c r="AF52" s="11"/>
      <c r="AG52" s="60"/>
      <c r="AH52" s="10"/>
      <c r="AJ52" s="11"/>
      <c r="AK52" s="60"/>
    </row>
    <row r="53" spans="1:37" s="9" customFormat="1">
      <c r="A53" s="96">
        <v>1958</v>
      </c>
      <c r="B53" s="110"/>
      <c r="C53" s="110"/>
      <c r="D53" s="99"/>
      <c r="E53" s="96">
        <v>1958</v>
      </c>
      <c r="F53" s="118">
        <v>9000000</v>
      </c>
      <c r="G53" s="118">
        <f t="shared" si="6"/>
        <v>0</v>
      </c>
      <c r="H53" s="114">
        <f t="shared" si="7"/>
        <v>0</v>
      </c>
      <c r="I53" s="99"/>
      <c r="J53" s="73"/>
      <c r="K53" s="44"/>
      <c r="L53" s="99"/>
      <c r="M53" s="35">
        <v>48.292499999999997</v>
      </c>
      <c r="N53" s="37">
        <f t="shared" si="4"/>
        <v>2.5919999999999987</v>
      </c>
      <c r="O53" s="39">
        <f t="shared" si="5"/>
        <v>5.6717103751600065E-2</v>
      </c>
      <c r="P53" s="99"/>
      <c r="S53" s="46"/>
      <c r="T53" s="60"/>
      <c r="U53" s="96">
        <v>1958</v>
      </c>
      <c r="V53" s="64"/>
      <c r="W53" s="10"/>
      <c r="X53" s="11"/>
      <c r="Y53" s="60"/>
      <c r="Z53" s="64"/>
      <c r="AB53" s="11"/>
      <c r="AC53" s="60"/>
      <c r="AD53" s="10"/>
      <c r="AF53" s="11"/>
      <c r="AG53" s="60"/>
      <c r="AH53" s="10"/>
      <c r="AJ53" s="11"/>
      <c r="AK53" s="60"/>
    </row>
    <row r="54" spans="1:37" s="9" customFormat="1">
      <c r="A54" s="96">
        <v>1959</v>
      </c>
      <c r="B54" s="110"/>
      <c r="C54" s="110"/>
      <c r="D54" s="99"/>
      <c r="E54" s="96">
        <v>1959</v>
      </c>
      <c r="F54" s="118">
        <v>11000000</v>
      </c>
      <c r="G54" s="118">
        <f t="shared" si="6"/>
        <v>2000000</v>
      </c>
      <c r="H54" s="114">
        <f t="shared" si="7"/>
        <v>0.22222222222222221</v>
      </c>
      <c r="I54" s="99"/>
      <c r="J54" s="73"/>
      <c r="K54" s="44"/>
      <c r="L54" s="99"/>
      <c r="M54" s="35">
        <v>48.961199999999998</v>
      </c>
      <c r="N54" s="37">
        <f t="shared" si="4"/>
        <v>0.66870000000000118</v>
      </c>
      <c r="O54" s="39">
        <f t="shared" si="5"/>
        <v>1.3846870632085753E-2</v>
      </c>
      <c r="P54" s="99"/>
      <c r="S54" s="46"/>
      <c r="T54" s="60"/>
      <c r="U54" s="96">
        <v>1959</v>
      </c>
      <c r="V54" s="64"/>
      <c r="W54" s="10"/>
      <c r="X54" s="11"/>
      <c r="Y54" s="60"/>
      <c r="Z54" s="64"/>
      <c r="AB54" s="11"/>
      <c r="AC54" s="60"/>
      <c r="AD54" s="10"/>
      <c r="AF54" s="11"/>
      <c r="AG54" s="60"/>
      <c r="AH54" s="10"/>
      <c r="AJ54" s="11"/>
      <c r="AK54" s="60"/>
    </row>
    <row r="55" spans="1:37" s="9" customFormat="1">
      <c r="A55" s="96">
        <v>1960</v>
      </c>
      <c r="B55" s="110"/>
      <c r="C55" s="110"/>
      <c r="D55" s="99"/>
      <c r="E55" s="96">
        <v>1960</v>
      </c>
      <c r="F55" s="118">
        <v>11000000</v>
      </c>
      <c r="G55" s="118">
        <f t="shared" si="6"/>
        <v>0</v>
      </c>
      <c r="H55" s="114">
        <f t="shared" si="7"/>
        <v>0</v>
      </c>
      <c r="I55" s="99"/>
      <c r="J55" s="73"/>
      <c r="K55" s="44"/>
      <c r="L55" s="99"/>
      <c r="M55" s="35">
        <v>56.015599999999999</v>
      </c>
      <c r="N55" s="37">
        <f t="shared" si="4"/>
        <v>7.0544000000000011</v>
      </c>
      <c r="O55" s="39">
        <f t="shared" si="5"/>
        <v>0.14408143591251851</v>
      </c>
      <c r="P55" s="99"/>
      <c r="S55" s="46"/>
      <c r="T55" s="60"/>
      <c r="U55" s="96">
        <v>1960</v>
      </c>
      <c r="V55" s="64"/>
      <c r="W55" s="10"/>
      <c r="X55" s="11"/>
      <c r="Y55" s="60"/>
      <c r="Z55" s="64"/>
      <c r="AB55" s="11"/>
      <c r="AC55" s="60"/>
      <c r="AD55" s="10"/>
      <c r="AF55" s="11"/>
      <c r="AG55" s="60"/>
      <c r="AH55" s="10"/>
      <c r="AJ55" s="11"/>
      <c r="AK55" s="60"/>
    </row>
    <row r="56" spans="1:37" s="9" customFormat="1">
      <c r="A56" s="96">
        <v>1961</v>
      </c>
      <c r="B56" s="110"/>
      <c r="C56" s="110"/>
      <c r="D56" s="99"/>
      <c r="E56" s="96">
        <v>1961</v>
      </c>
      <c r="F56" s="118">
        <v>10000000</v>
      </c>
      <c r="G56" s="118">
        <f t="shared" si="6"/>
        <v>-1000000</v>
      </c>
      <c r="H56" s="114">
        <f t="shared" si="7"/>
        <v>-9.0909090909090912E-2</v>
      </c>
      <c r="I56" s="99"/>
      <c r="J56" s="73"/>
      <c r="K56" s="44"/>
      <c r="L56" s="99"/>
      <c r="M56" s="35">
        <v>60.671900000000001</v>
      </c>
      <c r="N56" s="37">
        <f t="shared" si="4"/>
        <v>4.6563000000000017</v>
      </c>
      <c r="O56" s="39">
        <f t="shared" si="5"/>
        <v>8.3125058019551723E-2</v>
      </c>
      <c r="P56" s="99"/>
      <c r="S56" s="46"/>
      <c r="T56" s="60"/>
      <c r="U56" s="96">
        <v>1961</v>
      </c>
      <c r="V56" s="64"/>
      <c r="W56" s="10"/>
      <c r="X56" s="11"/>
      <c r="Y56" s="60"/>
      <c r="Z56" s="64"/>
      <c r="AB56" s="11"/>
      <c r="AC56" s="60"/>
      <c r="AD56" s="10"/>
      <c r="AF56" s="11"/>
      <c r="AG56" s="60"/>
      <c r="AH56" s="10"/>
      <c r="AJ56" s="11"/>
      <c r="AK56" s="60"/>
    </row>
    <row r="57" spans="1:37" s="9" customFormat="1">
      <c r="A57" s="96">
        <v>1962</v>
      </c>
      <c r="B57" s="110"/>
      <c r="C57" s="110"/>
      <c r="D57" s="99"/>
      <c r="E57" s="96">
        <v>1962</v>
      </c>
      <c r="F57" s="118">
        <v>11000000</v>
      </c>
      <c r="G57" s="118">
        <f t="shared" si="6"/>
        <v>1000000</v>
      </c>
      <c r="H57" s="114">
        <f t="shared" si="7"/>
        <v>0.1</v>
      </c>
      <c r="I57" s="99"/>
      <c r="J57" s="73"/>
      <c r="K57" s="44"/>
      <c r="L57" s="99"/>
      <c r="M57" s="35">
        <v>62.282800000000002</v>
      </c>
      <c r="N57" s="37">
        <f t="shared" si="4"/>
        <v>1.6109000000000009</v>
      </c>
      <c r="O57" s="39">
        <f t="shared" si="5"/>
        <v>2.6551006314290485E-2</v>
      </c>
      <c r="P57" s="99"/>
      <c r="S57" s="46"/>
      <c r="T57" s="60"/>
      <c r="U57" s="96">
        <v>1962</v>
      </c>
      <c r="V57" s="64"/>
      <c r="W57" s="10"/>
      <c r="X57" s="11"/>
      <c r="Y57" s="60"/>
      <c r="Z57" s="64"/>
      <c r="AB57" s="11"/>
      <c r="AC57" s="60"/>
      <c r="AD57" s="10"/>
      <c r="AF57" s="11"/>
      <c r="AG57" s="60"/>
      <c r="AH57" s="10"/>
      <c r="AJ57" s="11"/>
      <c r="AK57" s="60"/>
    </row>
    <row r="58" spans="1:37" s="9" customFormat="1">
      <c r="A58" s="96">
        <v>1963</v>
      </c>
      <c r="B58" s="110"/>
      <c r="C58" s="110"/>
      <c r="D58" s="99"/>
      <c r="E58" s="96">
        <v>1963</v>
      </c>
      <c r="F58" s="118">
        <v>12000000</v>
      </c>
      <c r="G58" s="118">
        <f t="shared" si="6"/>
        <v>1000000</v>
      </c>
      <c r="H58" s="114">
        <f t="shared" si="7"/>
        <v>9.0909090909090912E-2</v>
      </c>
      <c r="I58" s="99"/>
      <c r="J58" s="73"/>
      <c r="K58" s="44"/>
      <c r="L58" s="99"/>
      <c r="M58" s="35">
        <v>68.656499999999994</v>
      </c>
      <c r="N58" s="37">
        <f t="shared" si="4"/>
        <v>6.3736999999999924</v>
      </c>
      <c r="O58" s="39">
        <f t="shared" si="5"/>
        <v>0.10233483401516939</v>
      </c>
      <c r="P58" s="99"/>
      <c r="S58" s="46"/>
      <c r="T58" s="60"/>
      <c r="U58" s="96">
        <v>1963</v>
      </c>
      <c r="V58" s="64"/>
      <c r="W58" s="10"/>
      <c r="X58" s="11"/>
      <c r="Y58" s="60"/>
      <c r="Z58" s="64"/>
      <c r="AB58" s="11"/>
      <c r="AC58" s="60"/>
      <c r="AD58" s="10"/>
      <c r="AF58" s="11"/>
      <c r="AG58" s="60"/>
      <c r="AH58" s="10"/>
      <c r="AJ58" s="11"/>
      <c r="AK58" s="60"/>
    </row>
    <row r="59" spans="1:37" s="9" customFormat="1">
      <c r="A59" s="96">
        <v>1964</v>
      </c>
      <c r="B59" s="110"/>
      <c r="C59" s="110"/>
      <c r="D59" s="99"/>
      <c r="E59" s="96">
        <v>1964</v>
      </c>
      <c r="F59" s="118">
        <v>10000000</v>
      </c>
      <c r="G59" s="118">
        <f t="shared" si="6"/>
        <v>-2000000</v>
      </c>
      <c r="H59" s="114">
        <f t="shared" si="7"/>
        <v>-0.16666666666666666</v>
      </c>
      <c r="I59" s="99"/>
      <c r="J59" s="73">
        <v>15</v>
      </c>
      <c r="K59" s="44">
        <v>0.16589999999999999</v>
      </c>
      <c r="L59" s="99"/>
      <c r="M59" s="35">
        <v>76.581500000000005</v>
      </c>
      <c r="N59" s="37">
        <f t="shared" si="4"/>
        <v>7.9250000000000114</v>
      </c>
      <c r="O59" s="39">
        <f t="shared" si="5"/>
        <v>0.11542971168061308</v>
      </c>
      <c r="P59" s="99"/>
      <c r="S59" s="46"/>
      <c r="T59" s="60"/>
      <c r="U59" s="96">
        <v>1964</v>
      </c>
      <c r="V59" s="64"/>
      <c r="W59" s="10"/>
      <c r="X59" s="11"/>
      <c r="Y59" s="60"/>
      <c r="Z59" s="64"/>
      <c r="AB59" s="11"/>
      <c r="AC59" s="60"/>
      <c r="AD59" s="10"/>
      <c r="AF59" s="11"/>
      <c r="AG59" s="60"/>
      <c r="AH59" s="10"/>
      <c r="AJ59" s="11"/>
      <c r="AK59" s="60"/>
    </row>
    <row r="60" spans="1:37" s="9" customFormat="1">
      <c r="A60" s="96">
        <v>1965</v>
      </c>
      <c r="B60" s="110"/>
      <c r="C60" s="110"/>
      <c r="D60" s="99"/>
      <c r="E60" s="96">
        <v>1965</v>
      </c>
      <c r="F60" s="118">
        <v>12000000</v>
      </c>
      <c r="G60" s="118">
        <f t="shared" si="6"/>
        <v>2000000</v>
      </c>
      <c r="H60" s="114">
        <f t="shared" si="7"/>
        <v>0.2</v>
      </c>
      <c r="I60" s="99"/>
      <c r="J60" s="71"/>
      <c r="K60" s="33"/>
      <c r="L60" s="99"/>
      <c r="M60" s="35">
        <v>77.461399999999998</v>
      </c>
      <c r="N60" s="37">
        <f t="shared" si="4"/>
        <v>0.87989999999999213</v>
      </c>
      <c r="O60" s="39">
        <f t="shared" si="5"/>
        <v>1.1489720102113332E-2</v>
      </c>
      <c r="P60" s="99"/>
      <c r="S60" s="46"/>
      <c r="T60" s="60"/>
      <c r="U60" s="96">
        <v>1965</v>
      </c>
      <c r="V60" s="64"/>
      <c r="W60" s="10"/>
      <c r="X60" s="11"/>
      <c r="Y60" s="60"/>
      <c r="Z60" s="64"/>
      <c r="AB60" s="11"/>
      <c r="AC60" s="60"/>
      <c r="AD60" s="10"/>
      <c r="AF60" s="11"/>
      <c r="AG60" s="60"/>
      <c r="AH60" s="10"/>
      <c r="AJ60" s="11"/>
      <c r="AK60" s="60"/>
    </row>
    <row r="61" spans="1:37" s="9" customFormat="1">
      <c r="A61" s="96">
        <v>1966</v>
      </c>
      <c r="B61" s="110"/>
      <c r="C61" s="110"/>
      <c r="D61" s="99"/>
      <c r="E61" s="96">
        <v>1966</v>
      </c>
      <c r="F61" s="118">
        <v>14000000</v>
      </c>
      <c r="G61" s="118">
        <f t="shared" si="6"/>
        <v>2000000</v>
      </c>
      <c r="H61" s="114">
        <f t="shared" si="7"/>
        <v>0.16666666666666666</v>
      </c>
      <c r="I61" s="99"/>
      <c r="J61" s="71"/>
      <c r="K61" s="33"/>
      <c r="L61" s="99"/>
      <c r="M61" s="35">
        <v>87.182599999999994</v>
      </c>
      <c r="N61" s="37">
        <f t="shared" si="4"/>
        <v>9.7211999999999961</v>
      </c>
      <c r="O61" s="39">
        <f t="shared" si="5"/>
        <v>0.12549734448383318</v>
      </c>
      <c r="P61" s="99"/>
      <c r="S61" s="46"/>
      <c r="T61" s="60"/>
      <c r="U61" s="96">
        <v>1966</v>
      </c>
      <c r="V61" s="64"/>
      <c r="W61" s="10"/>
      <c r="X61" s="11"/>
      <c r="Y61" s="60"/>
      <c r="Z61" s="64"/>
      <c r="AB61" s="11"/>
      <c r="AC61" s="60"/>
      <c r="AD61" s="10"/>
      <c r="AF61" s="11"/>
      <c r="AG61" s="60"/>
      <c r="AH61" s="10"/>
      <c r="AJ61" s="11"/>
      <c r="AK61" s="60"/>
    </row>
    <row r="62" spans="1:37" s="9" customFormat="1">
      <c r="A62" s="96">
        <v>1967</v>
      </c>
      <c r="B62" s="110"/>
      <c r="C62" s="110"/>
      <c r="D62" s="99"/>
      <c r="E62" s="96">
        <v>1967</v>
      </c>
      <c r="F62" s="118">
        <v>15000000</v>
      </c>
      <c r="G62" s="118">
        <f t="shared" si="6"/>
        <v>1000000</v>
      </c>
      <c r="H62" s="114">
        <f t="shared" si="7"/>
        <v>7.1428571428571425E-2</v>
      </c>
      <c r="I62" s="99"/>
      <c r="J62" s="71"/>
      <c r="K62" s="33"/>
      <c r="L62" s="99"/>
      <c r="M62" s="35">
        <v>97.030699999999996</v>
      </c>
      <c r="N62" s="37">
        <f t="shared" si="4"/>
        <v>9.8481000000000023</v>
      </c>
      <c r="O62" s="39">
        <f t="shared" si="5"/>
        <v>0.11295946668257202</v>
      </c>
      <c r="P62" s="99"/>
      <c r="S62" s="46"/>
      <c r="T62" s="60"/>
      <c r="U62" s="96">
        <v>1967</v>
      </c>
      <c r="V62" s="64"/>
      <c r="W62" s="10"/>
      <c r="X62" s="11"/>
      <c r="Y62" s="60"/>
      <c r="Z62" s="64"/>
      <c r="AB62" s="11"/>
      <c r="AC62" s="60"/>
      <c r="AD62" s="10"/>
      <c r="AF62" s="11"/>
      <c r="AG62" s="60"/>
      <c r="AH62" s="10"/>
      <c r="AJ62" s="11"/>
      <c r="AK62" s="60"/>
    </row>
    <row r="63" spans="1:37" s="9" customFormat="1">
      <c r="A63" s="96">
        <v>1968</v>
      </c>
      <c r="B63" s="110"/>
      <c r="C63" s="110"/>
      <c r="D63" s="99"/>
      <c r="E63" s="96">
        <v>1968</v>
      </c>
      <c r="F63" s="118">
        <v>12000000</v>
      </c>
      <c r="G63" s="118">
        <f t="shared" si="6"/>
        <v>-3000000</v>
      </c>
      <c r="H63" s="114">
        <f t="shared" si="7"/>
        <v>-0.2</v>
      </c>
      <c r="I63" s="99"/>
      <c r="J63" s="71"/>
      <c r="K63" s="33"/>
      <c r="L63" s="99"/>
      <c r="M63" s="35">
        <v>102.1986</v>
      </c>
      <c r="N63" s="37">
        <f t="shared" si="4"/>
        <v>5.167900000000003</v>
      </c>
      <c r="O63" s="39">
        <f t="shared" si="5"/>
        <v>5.3260462925651397E-2</v>
      </c>
      <c r="P63" s="99"/>
      <c r="S63" s="46"/>
      <c r="T63" s="60"/>
      <c r="U63" s="96">
        <v>1968</v>
      </c>
      <c r="V63" s="64"/>
      <c r="W63" s="10"/>
      <c r="X63" s="11"/>
      <c r="Y63" s="60"/>
      <c r="Z63" s="64"/>
      <c r="AB63" s="11"/>
      <c r="AC63" s="60"/>
      <c r="AD63" s="10"/>
      <c r="AF63" s="11"/>
      <c r="AG63" s="60"/>
      <c r="AH63" s="10"/>
      <c r="AJ63" s="11"/>
      <c r="AK63" s="60"/>
    </row>
    <row r="64" spans="1:37" s="9" customFormat="1">
      <c r="A64" s="96">
        <v>1969</v>
      </c>
      <c r="B64" s="110"/>
      <c r="C64" s="110"/>
      <c r="D64" s="99"/>
      <c r="E64" s="96">
        <v>1969</v>
      </c>
      <c r="F64" s="118">
        <v>11000000</v>
      </c>
      <c r="G64" s="118">
        <f t="shared" si="6"/>
        <v>-1000000</v>
      </c>
      <c r="H64" s="114">
        <f t="shared" si="7"/>
        <v>-8.3333333333333329E-2</v>
      </c>
      <c r="I64" s="99"/>
      <c r="J64" s="71"/>
      <c r="K64" s="33"/>
      <c r="L64" s="99"/>
      <c r="M64" s="35">
        <v>106.7724</v>
      </c>
      <c r="N64" s="37">
        <f t="shared" si="4"/>
        <v>4.5738000000000056</v>
      </c>
      <c r="O64" s="39">
        <f t="shared" si="5"/>
        <v>4.4754037726544252E-2</v>
      </c>
      <c r="P64" s="99"/>
      <c r="S64" s="46"/>
      <c r="T64" s="60"/>
      <c r="U64" s="96">
        <v>1969</v>
      </c>
      <c r="V64" s="64"/>
      <c r="W64" s="10"/>
      <c r="X64" s="11"/>
      <c r="Y64" s="60"/>
      <c r="Z64" s="64"/>
      <c r="AB64" s="11"/>
      <c r="AC64" s="60"/>
      <c r="AD64" s="10"/>
      <c r="AF64" s="11"/>
      <c r="AG64" s="60"/>
      <c r="AH64" s="10"/>
      <c r="AJ64" s="11"/>
      <c r="AK64" s="60"/>
    </row>
    <row r="65" spans="1:37" s="9" customFormat="1">
      <c r="A65" s="96">
        <v>1970</v>
      </c>
      <c r="B65" s="110"/>
      <c r="C65" s="110"/>
      <c r="D65" s="99"/>
      <c r="E65" s="96">
        <v>1970</v>
      </c>
      <c r="F65" s="118">
        <v>13000000</v>
      </c>
      <c r="G65" s="118">
        <f t="shared" si="6"/>
        <v>2000000</v>
      </c>
      <c r="H65" s="114">
        <f t="shared" si="7"/>
        <v>0.18181818181818182</v>
      </c>
      <c r="I65" s="99"/>
      <c r="J65" s="71"/>
      <c r="K65" s="33"/>
      <c r="L65" s="99"/>
      <c r="M65" s="35">
        <v>118.226</v>
      </c>
      <c r="N65" s="37">
        <f t="shared" si="4"/>
        <v>11.453599999999994</v>
      </c>
      <c r="O65" s="39">
        <f t="shared" si="5"/>
        <v>0.10727116745525991</v>
      </c>
      <c r="P65" s="99"/>
      <c r="S65" s="46"/>
      <c r="T65" s="60"/>
      <c r="U65" s="96">
        <v>1970</v>
      </c>
      <c r="V65" s="64"/>
      <c r="W65" s="10"/>
      <c r="X65" s="11"/>
      <c r="Y65" s="60"/>
      <c r="Z65" s="64"/>
      <c r="AB65" s="11"/>
      <c r="AC65" s="60"/>
      <c r="AD65" s="10"/>
      <c r="AF65" s="11"/>
      <c r="AG65" s="60"/>
      <c r="AH65" s="10"/>
      <c r="AJ65" s="11"/>
      <c r="AK65" s="60"/>
    </row>
    <row r="66" spans="1:37" s="9" customFormat="1">
      <c r="A66" s="96">
        <v>1971</v>
      </c>
      <c r="B66" s="110"/>
      <c r="C66" s="110"/>
      <c r="D66" s="99"/>
      <c r="E66" s="96">
        <v>1971</v>
      </c>
      <c r="F66" s="118">
        <v>15000000</v>
      </c>
      <c r="G66" s="118">
        <f t="shared" si="6"/>
        <v>2000000</v>
      </c>
      <c r="H66" s="114">
        <f t="shared" si="7"/>
        <v>0.15384615384615385</v>
      </c>
      <c r="I66" s="99"/>
      <c r="J66" s="71"/>
      <c r="K66" s="33"/>
      <c r="L66" s="99"/>
      <c r="M66" s="35">
        <v>127.803</v>
      </c>
      <c r="N66" s="37">
        <f t="shared" si="4"/>
        <v>9.5769999999999982</v>
      </c>
      <c r="O66" s="39">
        <f t="shared" si="5"/>
        <v>8.1005870113173062E-2</v>
      </c>
      <c r="P66" s="99"/>
      <c r="S66" s="46"/>
      <c r="T66" s="60"/>
      <c r="U66" s="96">
        <v>1971</v>
      </c>
      <c r="V66" s="64"/>
      <c r="W66" s="10"/>
      <c r="X66" s="11"/>
      <c r="Y66" s="60"/>
      <c r="Z66" s="64"/>
      <c r="AB66" s="11"/>
      <c r="AC66" s="60"/>
      <c r="AD66" s="10"/>
      <c r="AF66" s="11"/>
      <c r="AG66" s="60"/>
      <c r="AH66" s="10"/>
      <c r="AJ66" s="11"/>
      <c r="AK66" s="60"/>
    </row>
    <row r="67" spans="1:37" s="9" customFormat="1">
      <c r="A67" s="96">
        <v>1972</v>
      </c>
      <c r="B67" s="110"/>
      <c r="C67" s="110"/>
      <c r="D67" s="99"/>
      <c r="E67" s="96">
        <v>1972</v>
      </c>
      <c r="F67" s="118">
        <v>15000000</v>
      </c>
      <c r="G67" s="118">
        <f t="shared" si="6"/>
        <v>0</v>
      </c>
      <c r="H67" s="114">
        <f t="shared" si="7"/>
        <v>0</v>
      </c>
      <c r="I67" s="99"/>
      <c r="J67" s="71"/>
      <c r="K67" s="33"/>
      <c r="L67" s="99"/>
      <c r="M67" s="35">
        <v>134.16409999999999</v>
      </c>
      <c r="N67" s="37">
        <f t="shared" si="4"/>
        <v>6.3610999999999933</v>
      </c>
      <c r="O67" s="39">
        <f t="shared" si="5"/>
        <v>4.9772697041540442E-2</v>
      </c>
      <c r="P67" s="99"/>
      <c r="S67" s="46"/>
      <c r="T67" s="60"/>
      <c r="U67" s="96">
        <v>1972</v>
      </c>
      <c r="V67" s="64"/>
      <c r="W67" s="10"/>
      <c r="X67" s="11"/>
      <c r="Y67" s="60"/>
      <c r="Z67" s="64"/>
      <c r="AB67" s="11"/>
      <c r="AC67" s="60"/>
      <c r="AD67" s="10"/>
      <c r="AF67" s="11"/>
      <c r="AG67" s="60"/>
      <c r="AH67" s="10"/>
      <c r="AJ67" s="11"/>
      <c r="AK67" s="60"/>
    </row>
    <row r="68" spans="1:37" s="9" customFormat="1">
      <c r="A68" s="96">
        <v>1973</v>
      </c>
      <c r="B68" s="110"/>
      <c r="C68" s="110"/>
      <c r="D68" s="99"/>
      <c r="E68" s="96">
        <v>1973</v>
      </c>
      <c r="F68" s="118">
        <v>14000000</v>
      </c>
      <c r="G68" s="118">
        <f t="shared" si="6"/>
        <v>-1000000</v>
      </c>
      <c r="H68" s="114">
        <f t="shared" si="7"/>
        <v>-6.6666666666666666E-2</v>
      </c>
      <c r="I68" s="99"/>
      <c r="J68" s="71"/>
      <c r="K68" s="33"/>
      <c r="L68" s="99"/>
      <c r="M68" s="35">
        <v>147.66050000000001</v>
      </c>
      <c r="N68" s="37">
        <f t="shared" si="4"/>
        <v>13.496400000000023</v>
      </c>
      <c r="O68" s="39">
        <f t="shared" si="5"/>
        <v>0.1005962101635238</v>
      </c>
      <c r="P68" s="99"/>
      <c r="S68" s="46"/>
      <c r="T68" s="60"/>
      <c r="U68" s="96">
        <v>1973</v>
      </c>
      <c r="V68" s="64"/>
      <c r="W68" s="10"/>
      <c r="X68" s="11"/>
      <c r="Y68" s="60"/>
      <c r="Z68" s="64"/>
      <c r="AB68" s="11"/>
      <c r="AC68" s="60"/>
      <c r="AD68" s="10"/>
      <c r="AF68" s="11"/>
      <c r="AG68" s="60"/>
      <c r="AH68" s="10"/>
      <c r="AJ68" s="11"/>
      <c r="AK68" s="60"/>
    </row>
    <row r="69" spans="1:37">
      <c r="A69" s="96">
        <v>1974</v>
      </c>
      <c r="E69" s="96">
        <v>1974</v>
      </c>
      <c r="F69" s="120">
        <v>11000000</v>
      </c>
      <c r="G69" s="118">
        <f t="shared" si="6"/>
        <v>-3000000</v>
      </c>
      <c r="H69" s="114">
        <f t="shared" si="7"/>
        <v>-0.21428571428571427</v>
      </c>
      <c r="M69" s="35">
        <v>166.1891</v>
      </c>
      <c r="N69" s="37">
        <f t="shared" si="4"/>
        <v>18.528599999999983</v>
      </c>
      <c r="O69" s="39">
        <f t="shared" si="5"/>
        <v>0.12548108668194935</v>
      </c>
      <c r="U69" s="96">
        <v>1974</v>
      </c>
      <c r="V69" s="65"/>
      <c r="W69" s="3"/>
      <c r="AD69" s="6"/>
      <c r="AE69" s="7"/>
      <c r="AF69" s="8"/>
      <c r="AH69" s="6"/>
      <c r="AI69" s="7"/>
      <c r="AJ69" s="8"/>
    </row>
    <row r="70" spans="1:37">
      <c r="A70" s="96">
        <v>1975</v>
      </c>
      <c r="E70" s="96">
        <v>1975</v>
      </c>
      <c r="F70" s="120">
        <v>11000000</v>
      </c>
      <c r="G70" s="118">
        <f t="shared" si="6"/>
        <v>0</v>
      </c>
      <c r="H70" s="114">
        <f t="shared" si="7"/>
        <v>0</v>
      </c>
      <c r="M70" s="35">
        <v>169.29470000000001</v>
      </c>
      <c r="N70" s="37">
        <f t="shared" si="4"/>
        <v>3.1056000000000097</v>
      </c>
      <c r="O70" s="39">
        <f t="shared" si="5"/>
        <v>1.8687146148574182E-2</v>
      </c>
      <c r="U70" s="96">
        <v>1975</v>
      </c>
      <c r="V70" s="66">
        <v>5000</v>
      </c>
      <c r="AD70" s="6"/>
      <c r="AE70" s="7"/>
      <c r="AF70" s="8"/>
      <c r="AH70" s="6"/>
      <c r="AI70" s="7"/>
      <c r="AJ70" s="8"/>
    </row>
    <row r="71" spans="1:37">
      <c r="A71" s="96">
        <v>1976</v>
      </c>
      <c r="E71" s="96">
        <v>1976</v>
      </c>
      <c r="F71" s="120">
        <v>11000000</v>
      </c>
      <c r="G71" s="118">
        <f t="shared" si="6"/>
        <v>0</v>
      </c>
      <c r="H71" s="114">
        <f t="shared" si="7"/>
        <v>0</v>
      </c>
      <c r="J71" s="71">
        <v>50</v>
      </c>
      <c r="K71" s="39">
        <v>9.7000000000000003E-2</v>
      </c>
      <c r="M71" s="35">
        <v>191.3125</v>
      </c>
      <c r="N71" s="37">
        <f t="shared" si="4"/>
        <v>22.017799999999994</v>
      </c>
      <c r="O71" s="39">
        <f t="shared" si="5"/>
        <v>0.13005605018940342</v>
      </c>
      <c r="U71" s="96">
        <v>1976</v>
      </c>
      <c r="V71" s="68">
        <v>46000</v>
      </c>
      <c r="W71" s="21">
        <f>+V71-V70</f>
        <v>41000</v>
      </c>
      <c r="X71" s="13">
        <f>+W71/V70</f>
        <v>8.1999999999999993</v>
      </c>
      <c r="Z71" s="78"/>
      <c r="AA71" s="25"/>
      <c r="AB71" s="26"/>
      <c r="AD71" s="22"/>
      <c r="AE71" s="23"/>
      <c r="AF71" s="24"/>
      <c r="AG71" s="75"/>
      <c r="AH71" s="22"/>
      <c r="AI71" s="23"/>
      <c r="AJ71" s="24"/>
      <c r="AK71" s="75"/>
    </row>
    <row r="72" spans="1:37">
      <c r="A72" s="96">
        <v>1977</v>
      </c>
      <c r="E72" s="96">
        <v>1977</v>
      </c>
      <c r="F72" s="120">
        <v>12000000</v>
      </c>
      <c r="G72" s="118">
        <f t="shared" si="6"/>
        <v>1000000</v>
      </c>
      <c r="H72" s="114">
        <f t="shared" si="7"/>
        <v>9.0909090909090912E-2</v>
      </c>
      <c r="M72" s="35">
        <v>199.06360000000001</v>
      </c>
      <c r="N72" s="37">
        <f t="shared" si="4"/>
        <v>7.7511000000000081</v>
      </c>
      <c r="O72" s="39">
        <f t="shared" si="5"/>
        <v>4.0515387128389459E-2</v>
      </c>
      <c r="U72" s="96">
        <v>1977</v>
      </c>
      <c r="V72" s="68">
        <v>150000</v>
      </c>
      <c r="W72" s="21">
        <f t="shared" ref="W72:W106" si="8">+V72-V71</f>
        <v>104000</v>
      </c>
      <c r="X72" s="13">
        <f t="shared" ref="X72:X106" si="9">+W72/V71</f>
        <v>2.2608695652173911</v>
      </c>
      <c r="Z72" s="78"/>
      <c r="AA72" s="25"/>
      <c r="AB72" s="26"/>
      <c r="AD72" s="22"/>
      <c r="AE72" s="23"/>
      <c r="AF72" s="24"/>
      <c r="AG72" s="75"/>
      <c r="AH72" s="22"/>
      <c r="AI72" s="23"/>
      <c r="AJ72" s="24"/>
      <c r="AK72" s="75"/>
    </row>
    <row r="73" spans="1:37">
      <c r="A73" s="96">
        <v>1978</v>
      </c>
      <c r="E73" s="96">
        <v>1978</v>
      </c>
      <c r="F73" s="120">
        <v>14000000</v>
      </c>
      <c r="G73" s="118">
        <f t="shared" si="6"/>
        <v>2000000</v>
      </c>
      <c r="H73" s="114">
        <f t="shared" si="7"/>
        <v>0.16666666666666666</v>
      </c>
      <c r="M73" s="35">
        <v>205.52080000000001</v>
      </c>
      <c r="N73" s="37">
        <f t="shared" si="4"/>
        <v>6.4572000000000003</v>
      </c>
      <c r="O73" s="39">
        <f t="shared" si="5"/>
        <v>3.2437874126661027E-2</v>
      </c>
      <c r="U73" s="96">
        <v>1978</v>
      </c>
      <c r="V73" s="68">
        <v>258000</v>
      </c>
      <c r="W73" s="21">
        <f t="shared" si="8"/>
        <v>108000</v>
      </c>
      <c r="X73" s="13">
        <f t="shared" si="9"/>
        <v>0.72</v>
      </c>
      <c r="Z73" s="78"/>
      <c r="AA73" s="25"/>
      <c r="AB73" s="26"/>
      <c r="AD73" s="22"/>
      <c r="AE73" s="23"/>
      <c r="AF73" s="24"/>
      <c r="AG73" s="75"/>
      <c r="AH73" s="22"/>
      <c r="AI73" s="23"/>
      <c r="AJ73" s="24"/>
      <c r="AK73" s="75"/>
    </row>
    <row r="74" spans="1:37">
      <c r="A74" s="96">
        <v>1979</v>
      </c>
      <c r="E74" s="96">
        <v>1979</v>
      </c>
      <c r="F74" s="120">
        <v>16000000</v>
      </c>
      <c r="G74" s="118">
        <f t="shared" si="6"/>
        <v>2000000</v>
      </c>
      <c r="H74" s="114">
        <f t="shared" si="7"/>
        <v>0.14285714285714285</v>
      </c>
      <c r="M74" s="35">
        <v>225.73320000000001</v>
      </c>
      <c r="N74" s="37">
        <f t="shared" si="4"/>
        <v>20.212400000000002</v>
      </c>
      <c r="O74" s="39">
        <f t="shared" si="5"/>
        <v>9.8347223249422938E-2</v>
      </c>
      <c r="U74" s="96">
        <v>1979</v>
      </c>
      <c r="V74" s="68">
        <v>580000</v>
      </c>
      <c r="W74" s="21">
        <f t="shared" si="8"/>
        <v>322000</v>
      </c>
      <c r="X74" s="13">
        <f t="shared" si="9"/>
        <v>1.248062015503876</v>
      </c>
      <c r="Z74" s="78"/>
      <c r="AA74" s="25"/>
      <c r="AB74" s="26"/>
      <c r="AD74" s="22"/>
      <c r="AE74" s="23"/>
      <c r="AF74" s="24"/>
      <c r="AG74" s="75"/>
      <c r="AH74" s="22"/>
      <c r="AI74" s="23"/>
      <c r="AJ74" s="24"/>
      <c r="AK74" s="75"/>
    </row>
    <row r="75" spans="1:37">
      <c r="A75" s="96">
        <v>1980</v>
      </c>
      <c r="E75" s="96">
        <v>1980</v>
      </c>
      <c r="F75" s="120">
        <v>16000000</v>
      </c>
      <c r="G75" s="118">
        <f t="shared" si="6"/>
        <v>0</v>
      </c>
      <c r="H75" s="114">
        <f t="shared" si="7"/>
        <v>0</v>
      </c>
      <c r="M75" s="35">
        <v>262.76530000000002</v>
      </c>
      <c r="N75" s="37">
        <f t="shared" si="4"/>
        <v>37.032100000000014</v>
      </c>
      <c r="O75" s="39">
        <f t="shared" si="5"/>
        <v>0.16405251863704592</v>
      </c>
      <c r="U75" s="96">
        <v>1980</v>
      </c>
      <c r="V75" s="68">
        <v>724000</v>
      </c>
      <c r="W75" s="21">
        <f t="shared" si="8"/>
        <v>144000</v>
      </c>
      <c r="X75" s="13">
        <f t="shared" si="9"/>
        <v>0.24827586206896551</v>
      </c>
      <c r="Z75" s="78"/>
      <c r="AA75" s="25"/>
      <c r="AB75" s="26"/>
      <c r="AD75" s="22"/>
      <c r="AE75" s="23"/>
      <c r="AF75" s="24"/>
      <c r="AG75" s="75"/>
      <c r="AH75" s="22"/>
      <c r="AI75" s="23"/>
      <c r="AJ75" s="24"/>
      <c r="AK75" s="75"/>
    </row>
    <row r="76" spans="1:37">
      <c r="A76" s="96">
        <v>1981</v>
      </c>
      <c r="E76" s="96">
        <v>1981</v>
      </c>
      <c r="F76" s="120">
        <v>15000000</v>
      </c>
      <c r="G76" s="118">
        <f t="shared" si="6"/>
        <v>-1000000</v>
      </c>
      <c r="H76" s="114">
        <f t="shared" si="7"/>
        <v>-6.25E-2</v>
      </c>
      <c r="M76" s="35">
        <v>309.90309999999999</v>
      </c>
      <c r="N76" s="37">
        <f t="shared" si="4"/>
        <v>47.13779999999997</v>
      </c>
      <c r="O76" s="39">
        <f t="shared" si="5"/>
        <v>0.17939126665507191</v>
      </c>
      <c r="U76" s="96">
        <v>1981</v>
      </c>
      <c r="V76" s="68">
        <v>1400000</v>
      </c>
      <c r="W76" s="21">
        <f t="shared" si="8"/>
        <v>676000</v>
      </c>
      <c r="X76" s="13">
        <f t="shared" si="9"/>
        <v>0.93370165745856348</v>
      </c>
      <c r="Z76" s="78"/>
      <c r="AA76" s="25"/>
      <c r="AB76" s="26"/>
      <c r="AD76" s="22"/>
      <c r="AE76" s="23"/>
      <c r="AF76" s="24"/>
      <c r="AG76" s="75"/>
      <c r="AH76" s="22"/>
      <c r="AI76" s="23"/>
      <c r="AJ76" s="24"/>
      <c r="AK76" s="75"/>
    </row>
    <row r="77" spans="1:37">
      <c r="A77" s="96">
        <v>1982</v>
      </c>
      <c r="E77" s="96">
        <v>1982</v>
      </c>
      <c r="F77" s="120">
        <v>16000000</v>
      </c>
      <c r="G77" s="118">
        <f t="shared" si="6"/>
        <v>1000000</v>
      </c>
      <c r="H77" s="114">
        <f t="shared" si="7"/>
        <v>6.6666666666666666E-2</v>
      </c>
      <c r="M77" s="35">
        <v>350.47570000000002</v>
      </c>
      <c r="N77" s="37">
        <f t="shared" si="4"/>
        <v>40.572600000000023</v>
      </c>
      <c r="O77" s="39">
        <f t="shared" si="5"/>
        <v>0.13092027798366659</v>
      </c>
      <c r="U77" s="96">
        <v>1982</v>
      </c>
      <c r="V77" s="68">
        <v>2800000</v>
      </c>
      <c r="W77" s="21">
        <f t="shared" si="8"/>
        <v>1400000</v>
      </c>
      <c r="X77" s="13">
        <f t="shared" si="9"/>
        <v>1</v>
      </c>
      <c r="Z77" s="78"/>
      <c r="AA77" s="25"/>
      <c r="AB77" s="26"/>
      <c r="AD77" s="22"/>
      <c r="AE77" s="23"/>
      <c r="AF77" s="24"/>
      <c r="AG77" s="75"/>
      <c r="AH77" s="22"/>
      <c r="AI77" s="23"/>
      <c r="AJ77" s="24"/>
      <c r="AK77" s="75"/>
    </row>
    <row r="78" spans="1:37">
      <c r="A78" s="96">
        <v>1983</v>
      </c>
      <c r="E78" s="96">
        <v>1983</v>
      </c>
      <c r="F78" s="120">
        <v>15000000</v>
      </c>
      <c r="G78" s="118">
        <f t="shared" si="6"/>
        <v>-1000000</v>
      </c>
      <c r="H78" s="114">
        <f t="shared" si="7"/>
        <v>-6.25E-2</v>
      </c>
      <c r="M78" s="35">
        <v>353.02929999999998</v>
      </c>
      <c r="N78" s="37">
        <f t="shared" si="4"/>
        <v>2.5535999999999603</v>
      </c>
      <c r="O78" s="39">
        <f t="shared" si="5"/>
        <v>7.2860971530978045E-3</v>
      </c>
      <c r="U78" s="96">
        <v>1983</v>
      </c>
      <c r="V78" s="68">
        <v>4920000</v>
      </c>
      <c r="W78" s="21">
        <f t="shared" si="8"/>
        <v>2120000</v>
      </c>
      <c r="X78" s="13">
        <f t="shared" si="9"/>
        <v>0.75714285714285712</v>
      </c>
      <c r="Z78" s="78"/>
      <c r="AA78" s="25"/>
      <c r="AB78" s="26"/>
      <c r="AD78" s="22"/>
      <c r="AE78" s="23"/>
      <c r="AF78" s="24"/>
      <c r="AG78" s="75"/>
      <c r="AH78" s="22"/>
      <c r="AI78" s="23"/>
      <c r="AJ78" s="24"/>
      <c r="AK78" s="75"/>
    </row>
    <row r="79" spans="1:37">
      <c r="A79" s="96">
        <v>1984</v>
      </c>
      <c r="E79" s="96">
        <v>1984</v>
      </c>
      <c r="F79" s="120">
        <v>14000000</v>
      </c>
      <c r="G79" s="118">
        <f t="shared" si="6"/>
        <v>-1000000</v>
      </c>
      <c r="H79" s="114">
        <f t="shared" si="7"/>
        <v>-6.6666666666666666E-2</v>
      </c>
      <c r="M79" s="35">
        <v>375.16739999999999</v>
      </c>
      <c r="N79" s="37">
        <f t="shared" si="4"/>
        <v>22.138100000000009</v>
      </c>
      <c r="O79" s="39">
        <f t="shared" si="5"/>
        <v>6.2708959284682633E-2</v>
      </c>
      <c r="U79" s="96">
        <v>1984</v>
      </c>
      <c r="V79" s="68">
        <v>6322000</v>
      </c>
      <c r="W79" s="21">
        <f t="shared" si="8"/>
        <v>1402000</v>
      </c>
      <c r="X79" s="13">
        <f t="shared" si="9"/>
        <v>0.28495934959349595</v>
      </c>
      <c r="Z79" s="78"/>
      <c r="AA79" s="25"/>
      <c r="AB79" s="26"/>
      <c r="AD79" s="22"/>
      <c r="AE79" s="23"/>
      <c r="AF79" s="24"/>
      <c r="AG79" s="75"/>
      <c r="AH79" s="22"/>
      <c r="AI79" s="23"/>
      <c r="AJ79" s="24"/>
      <c r="AK79" s="75"/>
    </row>
    <row r="80" spans="1:37">
      <c r="A80" s="96">
        <v>1985</v>
      </c>
      <c r="E80" s="96">
        <v>1985</v>
      </c>
      <c r="F80" s="120">
        <v>13000000</v>
      </c>
      <c r="G80" s="118">
        <f t="shared" si="6"/>
        <v>-1000000</v>
      </c>
      <c r="H80" s="114">
        <f t="shared" si="7"/>
        <v>-7.1428571428571425E-2</v>
      </c>
      <c r="M80" s="35">
        <v>391.82769999999999</v>
      </c>
      <c r="N80" s="37">
        <f t="shared" si="4"/>
        <v>16.660300000000007</v>
      </c>
      <c r="O80" s="39">
        <f t="shared" si="5"/>
        <v>4.4407643094789173E-2</v>
      </c>
      <c r="U80" s="96">
        <v>1985</v>
      </c>
      <c r="V80" s="68">
        <v>7610000</v>
      </c>
      <c r="W80" s="21">
        <f t="shared" si="8"/>
        <v>1288000</v>
      </c>
      <c r="X80" s="13">
        <f t="shared" si="9"/>
        <v>0.20373299588737742</v>
      </c>
      <c r="Z80" s="78"/>
      <c r="AA80" s="25"/>
      <c r="AB80" s="26"/>
      <c r="AD80" s="22"/>
      <c r="AE80" s="23"/>
      <c r="AF80" s="24"/>
      <c r="AG80" s="75"/>
      <c r="AH80" s="22"/>
      <c r="AI80" s="23"/>
      <c r="AJ80" s="24"/>
      <c r="AK80" s="75"/>
    </row>
    <row r="81" spans="1:37">
      <c r="A81" s="96">
        <v>1986</v>
      </c>
      <c r="E81" s="96">
        <v>1986</v>
      </c>
      <c r="F81" s="120">
        <v>13000000</v>
      </c>
      <c r="G81" s="118">
        <f t="shared" si="6"/>
        <v>0</v>
      </c>
      <c r="H81" s="114">
        <f t="shared" si="7"/>
        <v>0</v>
      </c>
      <c r="M81" s="35">
        <v>441.99110000000002</v>
      </c>
      <c r="N81" s="37">
        <f t="shared" si="4"/>
        <v>50.163400000000024</v>
      </c>
      <c r="O81" s="39">
        <f t="shared" si="5"/>
        <v>0.12802412897301549</v>
      </c>
      <c r="U81" s="96">
        <v>1986</v>
      </c>
      <c r="V81" s="67">
        <v>9000000</v>
      </c>
      <c r="W81" s="31">
        <f t="shared" si="8"/>
        <v>1390000</v>
      </c>
      <c r="X81" s="32">
        <f t="shared" si="9"/>
        <v>0.18265440210249673</v>
      </c>
      <c r="Z81" s="78"/>
      <c r="AA81" s="25"/>
      <c r="AB81" s="26"/>
      <c r="AD81" s="22"/>
      <c r="AE81" s="23"/>
      <c r="AF81" s="24"/>
      <c r="AG81" s="75"/>
      <c r="AH81" s="22"/>
      <c r="AI81" s="23"/>
      <c r="AJ81" s="24"/>
      <c r="AK81" s="75"/>
    </row>
    <row r="82" spans="1:37">
      <c r="A82" s="96">
        <v>1987</v>
      </c>
      <c r="E82" s="96">
        <v>1987</v>
      </c>
      <c r="F82" s="120">
        <v>14000000</v>
      </c>
      <c r="G82" s="118">
        <f t="shared" si="6"/>
        <v>1000000</v>
      </c>
      <c r="H82" s="114">
        <f t="shared" si="7"/>
        <v>7.6923076923076927E-2</v>
      </c>
      <c r="M82" s="35">
        <v>523.97940000000006</v>
      </c>
      <c r="N82" s="37">
        <f t="shared" si="4"/>
        <v>81.988300000000038</v>
      </c>
      <c r="O82" s="39">
        <f t="shared" si="5"/>
        <v>0.185497626535919</v>
      </c>
      <c r="U82" s="96">
        <v>1987</v>
      </c>
      <c r="V82" s="67">
        <v>9200000</v>
      </c>
      <c r="W82" s="31">
        <f t="shared" si="8"/>
        <v>200000</v>
      </c>
      <c r="X82" s="32">
        <f t="shared" si="9"/>
        <v>2.2222222222222223E-2</v>
      </c>
      <c r="Z82" s="78"/>
      <c r="AA82" s="25"/>
      <c r="AB82" s="26"/>
      <c r="AD82" s="22"/>
      <c r="AE82" s="23"/>
      <c r="AF82" s="24"/>
      <c r="AG82" s="75"/>
      <c r="AH82" s="22"/>
      <c r="AI82" s="23"/>
      <c r="AJ82" s="24"/>
      <c r="AK82" s="75"/>
    </row>
    <row r="83" spans="1:37">
      <c r="A83" s="96">
        <v>1988</v>
      </c>
      <c r="E83" s="96">
        <v>1988</v>
      </c>
      <c r="F83" s="120">
        <v>15000000</v>
      </c>
      <c r="G83" s="118">
        <f t="shared" si="6"/>
        <v>1000000</v>
      </c>
      <c r="H83" s="114">
        <f t="shared" si="7"/>
        <v>7.1428571428571425E-2</v>
      </c>
      <c r="M83" s="35">
        <v>605.70299999999997</v>
      </c>
      <c r="N83" s="37">
        <f t="shared" si="4"/>
        <v>81.723599999999919</v>
      </c>
      <c r="O83" s="39">
        <f t="shared" si="5"/>
        <v>0.15596720023726107</v>
      </c>
      <c r="U83" s="96">
        <v>1988</v>
      </c>
      <c r="V83" s="67">
        <v>15000000</v>
      </c>
      <c r="W83" s="31">
        <f t="shared" si="8"/>
        <v>5800000</v>
      </c>
      <c r="X83" s="32">
        <f t="shared" si="9"/>
        <v>0.63043478260869568</v>
      </c>
      <c r="Z83" s="78"/>
      <c r="AA83" s="25"/>
      <c r="AB83" s="26"/>
      <c r="AD83" s="27"/>
      <c r="AE83" s="25"/>
      <c r="AF83" s="26"/>
      <c r="AG83" s="75"/>
      <c r="AH83" s="27"/>
      <c r="AI83" s="25"/>
      <c r="AJ83" s="26"/>
      <c r="AK83" s="75"/>
    </row>
    <row r="84" spans="1:37">
      <c r="A84" s="96">
        <v>1989</v>
      </c>
      <c r="E84" s="96">
        <v>1989</v>
      </c>
      <c r="F84" s="120">
        <v>15000000</v>
      </c>
      <c r="G84" s="118">
        <f t="shared" si="6"/>
        <v>0</v>
      </c>
      <c r="H84" s="114">
        <f t="shared" si="7"/>
        <v>0</v>
      </c>
      <c r="J84" s="71">
        <v>100</v>
      </c>
      <c r="M84" s="35">
        <v>653.26750000000004</v>
      </c>
      <c r="N84" s="37">
        <f t="shared" si="4"/>
        <v>47.564500000000066</v>
      </c>
      <c r="O84" s="39">
        <f t="shared" si="5"/>
        <v>7.8527760304968053E-2</v>
      </c>
      <c r="U84" s="96">
        <v>1989</v>
      </c>
      <c r="V84" s="67">
        <v>21000000</v>
      </c>
      <c r="W84" s="31">
        <f t="shared" si="8"/>
        <v>6000000</v>
      </c>
      <c r="X84" s="32">
        <f t="shared" si="9"/>
        <v>0.4</v>
      </c>
      <c r="Z84" s="78"/>
      <c r="AA84" s="25"/>
      <c r="AB84" s="26"/>
      <c r="AD84" s="27"/>
      <c r="AE84" s="25"/>
      <c r="AF84" s="26"/>
      <c r="AG84" s="75"/>
      <c r="AH84" s="27"/>
      <c r="AI84" s="25"/>
      <c r="AJ84" s="26"/>
      <c r="AK84" s="75"/>
    </row>
    <row r="85" spans="1:37">
      <c r="A85" s="96">
        <v>1990</v>
      </c>
      <c r="E85" s="96">
        <v>1990</v>
      </c>
      <c r="F85" s="120">
        <v>15000000</v>
      </c>
      <c r="G85" s="118">
        <f t="shared" si="6"/>
        <v>0</v>
      </c>
      <c r="H85" s="114">
        <f t="shared" si="7"/>
        <v>0</v>
      </c>
      <c r="M85" s="35">
        <v>692.27099999999996</v>
      </c>
      <c r="N85" s="37">
        <f t="shared" si="4"/>
        <v>39.003499999999917</v>
      </c>
      <c r="O85" s="39">
        <f t="shared" si="5"/>
        <v>5.970525091176266E-2</v>
      </c>
      <c r="Q85" s="50">
        <v>0.18</v>
      </c>
      <c r="R85" s="48"/>
      <c r="S85" s="14"/>
      <c r="U85" s="96">
        <v>1990</v>
      </c>
      <c r="V85" s="67">
        <v>20000000</v>
      </c>
      <c r="W85" s="31">
        <f t="shared" si="8"/>
        <v>-1000000</v>
      </c>
      <c r="X85" s="32">
        <f t="shared" si="9"/>
        <v>-4.7619047619047616E-2</v>
      </c>
      <c r="Z85" s="78"/>
      <c r="AA85" s="25"/>
      <c r="AB85" s="26"/>
      <c r="AD85" s="27">
        <v>2061729.8</v>
      </c>
      <c r="AE85" s="25"/>
      <c r="AF85" s="26"/>
      <c r="AG85" s="75"/>
      <c r="AH85" s="27"/>
      <c r="AI85" s="25"/>
      <c r="AJ85" s="26"/>
      <c r="AK85" s="75"/>
    </row>
    <row r="86" spans="1:37">
      <c r="A86" s="96">
        <v>1991</v>
      </c>
      <c r="E86" s="96">
        <v>1991</v>
      </c>
      <c r="F86" s="120">
        <v>15000000</v>
      </c>
      <c r="G86" s="118">
        <f t="shared" si="6"/>
        <v>0</v>
      </c>
      <c r="H86" s="114">
        <f t="shared" si="7"/>
        <v>0</v>
      </c>
      <c r="M86" s="35">
        <v>749.0231</v>
      </c>
      <c r="N86" s="37">
        <f t="shared" si="4"/>
        <v>56.752100000000041</v>
      </c>
      <c r="O86" s="39">
        <f t="shared" si="5"/>
        <v>8.1979600474380757E-2</v>
      </c>
      <c r="Q86" s="50">
        <v>0.25</v>
      </c>
      <c r="R86" s="49">
        <f>+Q86-Q85</f>
        <v>7.0000000000000007E-2</v>
      </c>
      <c r="S86" s="14">
        <f>+R86/Q85</f>
        <v>0.38888888888888895</v>
      </c>
      <c r="T86" s="61"/>
      <c r="U86" s="96">
        <v>1991</v>
      </c>
      <c r="V86" s="67">
        <v>18750000</v>
      </c>
      <c r="W86" s="31">
        <f t="shared" si="8"/>
        <v>-1250000</v>
      </c>
      <c r="X86" s="32">
        <f t="shared" si="9"/>
        <v>-6.25E-2</v>
      </c>
      <c r="Y86" s="61"/>
      <c r="Z86" s="78"/>
      <c r="AA86" s="25"/>
      <c r="AB86" s="26"/>
      <c r="AD86" s="28">
        <v>3107251.3</v>
      </c>
      <c r="AE86" s="28">
        <f t="shared" ref="AE86:AE110" si="10">+AD86-AD85</f>
        <v>1045521.4999999998</v>
      </c>
      <c r="AF86" s="14">
        <f t="shared" ref="AF86:AF110" si="11">+AE86/AD85</f>
        <v>0.50710888497610096</v>
      </c>
      <c r="AG86" s="75" t="s">
        <v>13</v>
      </c>
      <c r="AH86" s="28"/>
      <c r="AI86" s="28"/>
      <c r="AJ86" s="14"/>
      <c r="AK86" s="75"/>
    </row>
    <row r="87" spans="1:37">
      <c r="A87" s="96">
        <v>1992</v>
      </c>
      <c r="E87" s="96">
        <v>1992</v>
      </c>
      <c r="F87" s="120">
        <v>16000000</v>
      </c>
      <c r="G87" s="118">
        <f t="shared" si="6"/>
        <v>1000000</v>
      </c>
      <c r="H87" s="114">
        <f t="shared" si="7"/>
        <v>6.6666666666666666E-2</v>
      </c>
      <c r="M87" s="35">
        <v>797.71489999999994</v>
      </c>
      <c r="N87" s="37">
        <f t="shared" si="4"/>
        <v>48.691799999999944</v>
      </c>
      <c r="O87" s="39">
        <f t="shared" si="5"/>
        <v>6.5007073880631913E-2</v>
      </c>
      <c r="Q87" s="50">
        <v>0.3</v>
      </c>
      <c r="R87" s="49">
        <f t="shared" ref="R87:R94" si="12">+Q87-Q86</f>
        <v>4.9999999999999989E-2</v>
      </c>
      <c r="S87" s="14">
        <f t="shared" ref="S87:S94" si="13">+R87/Q86</f>
        <v>0.19999999999999996</v>
      </c>
      <c r="T87" s="61"/>
      <c r="U87" s="96">
        <v>1992</v>
      </c>
      <c r="V87" s="67">
        <v>20800000</v>
      </c>
      <c r="W87" s="31">
        <f t="shared" si="8"/>
        <v>2050000</v>
      </c>
      <c r="X87" s="32">
        <f t="shared" si="9"/>
        <v>0.10933333333333334</v>
      </c>
      <c r="Y87" s="61"/>
      <c r="Z87" s="78"/>
      <c r="AA87" s="25"/>
      <c r="AB87" s="26"/>
      <c r="AD87" s="28">
        <v>4688757</v>
      </c>
      <c r="AE87" s="28">
        <f t="shared" si="10"/>
        <v>1581505.7000000002</v>
      </c>
      <c r="AF87" s="14">
        <f t="shared" si="11"/>
        <v>0.50897257650193928</v>
      </c>
      <c r="AG87" s="75" t="s">
        <v>14</v>
      </c>
      <c r="AH87" s="28"/>
      <c r="AI87" s="28"/>
      <c r="AJ87" s="14"/>
      <c r="AK87" s="75"/>
    </row>
    <row r="88" spans="1:37">
      <c r="A88" s="96">
        <v>1993</v>
      </c>
      <c r="E88" s="96">
        <v>1993</v>
      </c>
      <c r="F88" s="120">
        <v>17000000</v>
      </c>
      <c r="G88" s="118">
        <f t="shared" si="6"/>
        <v>1000000</v>
      </c>
      <c r="H88" s="114">
        <f t="shared" si="7"/>
        <v>6.25E-2</v>
      </c>
      <c r="M88" s="35">
        <v>806.60050000000001</v>
      </c>
      <c r="N88" s="37">
        <f t="shared" si="4"/>
        <v>8.8856000000000677</v>
      </c>
      <c r="O88" s="39">
        <f t="shared" si="5"/>
        <v>1.1138816637372661E-2</v>
      </c>
      <c r="Q88" s="50">
        <v>0.52</v>
      </c>
      <c r="R88" s="49">
        <f t="shared" si="12"/>
        <v>0.22000000000000003</v>
      </c>
      <c r="S88" s="14">
        <f t="shared" si="13"/>
        <v>0.7333333333333335</v>
      </c>
      <c r="T88" s="61"/>
      <c r="U88" s="96">
        <v>1993</v>
      </c>
      <c r="V88" s="67">
        <v>31050000</v>
      </c>
      <c r="W88" s="31">
        <f t="shared" si="8"/>
        <v>10250000</v>
      </c>
      <c r="X88" s="32">
        <f t="shared" si="9"/>
        <v>0.49278846153846156</v>
      </c>
      <c r="Y88" s="61"/>
      <c r="Z88" s="78"/>
      <c r="AA88" s="25"/>
      <c r="AB88" s="26"/>
      <c r="AD88" s="28">
        <v>6251414</v>
      </c>
      <c r="AE88" s="28">
        <f t="shared" si="10"/>
        <v>1562657</v>
      </c>
      <c r="AF88" s="14">
        <f t="shared" si="11"/>
        <v>0.33327745498433808</v>
      </c>
      <c r="AG88" s="75" t="s">
        <v>15</v>
      </c>
      <c r="AH88" s="28"/>
      <c r="AI88" s="28"/>
      <c r="AJ88" s="14"/>
      <c r="AK88" s="75"/>
    </row>
    <row r="89" spans="1:37">
      <c r="A89" s="96">
        <v>1994</v>
      </c>
      <c r="E89" s="96">
        <v>1994</v>
      </c>
      <c r="F89" s="120">
        <v>18000000</v>
      </c>
      <c r="G89" s="118">
        <f t="shared" si="6"/>
        <v>1000000</v>
      </c>
      <c r="H89" s="114">
        <f t="shared" si="7"/>
        <v>5.8823529411764705E-2</v>
      </c>
      <c r="M89" s="35">
        <v>798.98270000000002</v>
      </c>
      <c r="N89" s="37">
        <f t="shared" si="4"/>
        <v>-7.6177999999999884</v>
      </c>
      <c r="O89" s="39">
        <f t="shared" si="5"/>
        <v>-9.4443283880929763E-3</v>
      </c>
      <c r="Q89" s="50">
        <v>0.55000000000000004</v>
      </c>
      <c r="R89" s="49">
        <f t="shared" si="12"/>
        <v>3.0000000000000027E-2</v>
      </c>
      <c r="S89" s="14">
        <f t="shared" si="13"/>
        <v>5.7692307692307744E-2</v>
      </c>
      <c r="T89" s="61"/>
      <c r="U89" s="96">
        <v>1994</v>
      </c>
      <c r="V89" s="67">
        <v>41000000</v>
      </c>
      <c r="W89" s="31">
        <f t="shared" si="8"/>
        <v>9950000</v>
      </c>
      <c r="X89" s="32">
        <f t="shared" si="9"/>
        <v>0.32045088566827695</v>
      </c>
      <c r="Y89" s="61"/>
      <c r="Z89" s="78"/>
      <c r="AA89" s="25"/>
      <c r="AB89" s="26"/>
      <c r="AD89" s="28">
        <v>13497925</v>
      </c>
      <c r="AE89" s="28">
        <f t="shared" si="10"/>
        <v>7246511</v>
      </c>
      <c r="AF89" s="14">
        <f t="shared" si="11"/>
        <v>1.1591795072282847</v>
      </c>
      <c r="AG89" s="75"/>
      <c r="AH89" s="28"/>
      <c r="AI89" s="28"/>
      <c r="AJ89" s="14"/>
      <c r="AK89" s="75"/>
    </row>
    <row r="90" spans="1:37">
      <c r="A90" s="96">
        <v>1995</v>
      </c>
      <c r="E90" s="96">
        <v>1995</v>
      </c>
      <c r="F90" s="120">
        <v>17000000</v>
      </c>
      <c r="G90" s="118">
        <f t="shared" si="6"/>
        <v>-1000000</v>
      </c>
      <c r="H90" s="114">
        <f t="shared" si="7"/>
        <v>-5.5555555555555552E-2</v>
      </c>
      <c r="M90" s="35">
        <v>809.32539999999995</v>
      </c>
      <c r="N90" s="37">
        <f t="shared" si="4"/>
        <v>10.342699999999923</v>
      </c>
      <c r="O90" s="39">
        <f t="shared" si="5"/>
        <v>1.2944835977049218E-2</v>
      </c>
      <c r="Q90" s="50">
        <v>0.59</v>
      </c>
      <c r="R90" s="49">
        <f t="shared" si="12"/>
        <v>3.9999999999999925E-2</v>
      </c>
      <c r="S90" s="14">
        <f t="shared" si="13"/>
        <v>7.2727272727272585E-2</v>
      </c>
      <c r="T90" s="61"/>
      <c r="U90" s="96">
        <v>1995</v>
      </c>
      <c r="V90" s="67">
        <v>50000000</v>
      </c>
      <c r="W90" s="31">
        <f t="shared" si="8"/>
        <v>9000000</v>
      </c>
      <c r="X90" s="32">
        <f t="shared" si="9"/>
        <v>0.21951219512195122</v>
      </c>
      <c r="Y90" s="61"/>
      <c r="Z90" s="78"/>
      <c r="AA90" s="25"/>
      <c r="AB90" s="26"/>
      <c r="AD90" s="28">
        <v>25834064</v>
      </c>
      <c r="AE90" s="28">
        <f t="shared" si="10"/>
        <v>12336139</v>
      </c>
      <c r="AF90" s="14">
        <f t="shared" si="11"/>
        <v>0.91392854827686476</v>
      </c>
      <c r="AG90" s="75"/>
      <c r="AH90" s="28"/>
      <c r="AI90" s="28"/>
      <c r="AJ90" s="14"/>
      <c r="AK90" s="75"/>
    </row>
    <row r="91" spans="1:37">
      <c r="A91" s="96">
        <v>1996</v>
      </c>
      <c r="E91" s="96">
        <v>1996</v>
      </c>
      <c r="F91" s="120">
        <v>17000000</v>
      </c>
      <c r="G91" s="118">
        <f t="shared" si="6"/>
        <v>0</v>
      </c>
      <c r="H91" s="114">
        <f t="shared" si="7"/>
        <v>0</v>
      </c>
      <c r="M91" s="35">
        <v>872.02179999999998</v>
      </c>
      <c r="N91" s="37">
        <f t="shared" si="4"/>
        <v>62.69640000000004</v>
      </c>
      <c r="O91" s="39">
        <f t="shared" si="5"/>
        <v>7.7467480941534814E-2</v>
      </c>
      <c r="Q91" s="50">
        <v>0.6</v>
      </c>
      <c r="R91" s="49">
        <f t="shared" si="12"/>
        <v>1.0000000000000009E-2</v>
      </c>
      <c r="S91" s="14">
        <f t="shared" si="13"/>
        <v>1.6949152542372899E-2</v>
      </c>
      <c r="T91" s="61"/>
      <c r="U91" s="96">
        <v>1996</v>
      </c>
      <c r="V91" s="67">
        <v>78000000</v>
      </c>
      <c r="W91" s="31">
        <f t="shared" si="8"/>
        <v>28000000</v>
      </c>
      <c r="X91" s="32">
        <f t="shared" si="9"/>
        <v>0.56000000000000005</v>
      </c>
      <c r="Y91" s="61"/>
      <c r="Z91" s="78"/>
      <c r="AA91" s="25"/>
      <c r="AB91" s="26"/>
      <c r="AD91" s="28">
        <v>46273300</v>
      </c>
      <c r="AE91" s="28">
        <f t="shared" si="10"/>
        <v>20439236</v>
      </c>
      <c r="AF91" s="14">
        <f t="shared" si="11"/>
        <v>0.79117385479884228</v>
      </c>
      <c r="AG91" s="75"/>
      <c r="AH91" s="28"/>
      <c r="AI91" s="28"/>
      <c r="AJ91" s="14"/>
      <c r="AK91" s="75"/>
    </row>
    <row r="92" spans="1:37">
      <c r="A92" s="96">
        <v>1997</v>
      </c>
      <c r="E92" s="96">
        <v>1997</v>
      </c>
      <c r="F92" s="120">
        <v>17000000</v>
      </c>
      <c r="G92" s="118">
        <f t="shared" si="6"/>
        <v>0</v>
      </c>
      <c r="H92" s="114">
        <f t="shared" si="7"/>
        <v>0</v>
      </c>
      <c r="M92" s="35">
        <v>1010.395</v>
      </c>
      <c r="N92" s="37">
        <f t="shared" si="4"/>
        <v>138.3732</v>
      </c>
      <c r="O92" s="39">
        <f t="shared" si="5"/>
        <v>0.15868089536293703</v>
      </c>
      <c r="Q92" s="50">
        <v>0.61</v>
      </c>
      <c r="R92" s="49">
        <f t="shared" si="12"/>
        <v>1.0000000000000009E-2</v>
      </c>
      <c r="S92" s="14">
        <f t="shared" si="13"/>
        <v>1.6666666666666684E-2</v>
      </c>
      <c r="T92" s="61"/>
      <c r="U92" s="96">
        <v>1997</v>
      </c>
      <c r="V92" s="66">
        <v>81000000</v>
      </c>
      <c r="W92" s="2">
        <f t="shared" si="8"/>
        <v>3000000</v>
      </c>
      <c r="X92" s="1">
        <f t="shared" si="9"/>
        <v>3.8461538461538464E-2</v>
      </c>
      <c r="Y92" s="61"/>
      <c r="Z92" s="79">
        <v>118.23469070700001</v>
      </c>
      <c r="AA92" s="25"/>
      <c r="AB92" s="26"/>
      <c r="AD92" s="28">
        <v>63492716</v>
      </c>
      <c r="AE92" s="28">
        <f t="shared" si="10"/>
        <v>17219416</v>
      </c>
      <c r="AF92" s="14">
        <f t="shared" si="11"/>
        <v>0.37212422714610799</v>
      </c>
      <c r="AG92" s="75"/>
      <c r="AH92" s="28"/>
      <c r="AI92" s="28"/>
      <c r="AJ92" s="14"/>
      <c r="AK92" s="75"/>
    </row>
    <row r="93" spans="1:37">
      <c r="A93" s="96">
        <v>1998</v>
      </c>
      <c r="E93" s="96">
        <v>1998</v>
      </c>
      <c r="F93" s="120">
        <v>17000000</v>
      </c>
      <c r="G93" s="118">
        <f t="shared" si="6"/>
        <v>0</v>
      </c>
      <c r="H93" s="114">
        <f t="shared" si="7"/>
        <v>0</v>
      </c>
      <c r="M93" s="35">
        <v>1153.2702999999999</v>
      </c>
      <c r="N93" s="37">
        <f t="shared" si="4"/>
        <v>142.87529999999992</v>
      </c>
      <c r="O93" s="39">
        <f t="shared" si="5"/>
        <v>0.14140539096096075</v>
      </c>
      <c r="Q93" s="50">
        <v>0.61</v>
      </c>
      <c r="R93" s="49">
        <f t="shared" si="12"/>
        <v>0</v>
      </c>
      <c r="S93" s="14">
        <f t="shared" si="13"/>
        <v>0</v>
      </c>
      <c r="T93" s="61"/>
      <c r="U93" s="96">
        <v>1998</v>
      </c>
      <c r="V93" s="66">
        <v>100000000</v>
      </c>
      <c r="W93" s="2">
        <f t="shared" si="8"/>
        <v>19000000</v>
      </c>
      <c r="X93" s="1">
        <f t="shared" si="9"/>
        <v>0.23456790123456789</v>
      </c>
      <c r="Y93" s="61"/>
      <c r="Z93" s="80">
        <v>143.09877876140001</v>
      </c>
      <c r="AA93" s="29">
        <f t="shared" ref="AA93:AA111" si="14">+Z93-Z92</f>
        <v>24.8640880544</v>
      </c>
      <c r="AB93" s="14">
        <f t="shared" ref="AB93:AB111" si="15">+AA93/Z92</f>
        <v>0.21029435528373178</v>
      </c>
      <c r="AD93" s="28">
        <v>90580024</v>
      </c>
      <c r="AE93" s="28">
        <f t="shared" si="10"/>
        <v>27087308</v>
      </c>
      <c r="AF93" s="14">
        <f t="shared" si="11"/>
        <v>0.42662071661889533</v>
      </c>
      <c r="AG93" s="75"/>
      <c r="AH93" s="28"/>
      <c r="AI93" s="28"/>
      <c r="AJ93" s="14"/>
      <c r="AK93" s="75"/>
    </row>
    <row r="94" spans="1:37">
      <c r="A94" s="96">
        <v>1999</v>
      </c>
      <c r="E94" s="96">
        <v>1999</v>
      </c>
      <c r="F94" s="121">
        <v>17000000</v>
      </c>
      <c r="G94" s="118">
        <f t="shared" si="6"/>
        <v>0</v>
      </c>
      <c r="H94" s="114">
        <f t="shared" si="7"/>
        <v>0</v>
      </c>
      <c r="M94" s="35">
        <v>1258.3652999999999</v>
      </c>
      <c r="N94" s="37">
        <f t="shared" si="4"/>
        <v>105.09500000000003</v>
      </c>
      <c r="O94" s="39">
        <f t="shared" si="5"/>
        <v>9.1127812794624147E-2</v>
      </c>
      <c r="Q94" s="50">
        <v>0.62</v>
      </c>
      <c r="R94" s="49">
        <f t="shared" si="12"/>
        <v>1.0000000000000009E-2</v>
      </c>
      <c r="S94" s="14">
        <f t="shared" si="13"/>
        <v>1.6393442622950834E-2</v>
      </c>
      <c r="T94" s="61"/>
      <c r="U94" s="96">
        <v>1999</v>
      </c>
      <c r="V94" s="66">
        <v>120000000</v>
      </c>
      <c r="W94" s="2">
        <f t="shared" si="8"/>
        <v>20000000</v>
      </c>
      <c r="X94" s="1">
        <f t="shared" si="9"/>
        <v>0.2</v>
      </c>
      <c r="Y94" s="61"/>
      <c r="Z94" s="80">
        <v>188.89529963999999</v>
      </c>
      <c r="AA94" s="29">
        <f t="shared" si="14"/>
        <v>45.796520878599978</v>
      </c>
      <c r="AB94" s="14">
        <f t="shared" si="15"/>
        <v>0.32003432366785017</v>
      </c>
      <c r="AC94" s="86"/>
      <c r="AD94" s="28">
        <v>111092336</v>
      </c>
      <c r="AE94" s="28">
        <f t="shared" si="10"/>
        <v>20512312</v>
      </c>
      <c r="AF94" s="14">
        <f t="shared" si="11"/>
        <v>0.22645513982199872</v>
      </c>
      <c r="AG94" s="75"/>
      <c r="AH94" s="28"/>
      <c r="AI94" s="28"/>
      <c r="AJ94" s="14"/>
      <c r="AK94" s="75"/>
    </row>
    <row r="95" spans="1:37">
      <c r="A95" s="96">
        <v>2000</v>
      </c>
      <c r="E95" s="96">
        <v>2000</v>
      </c>
      <c r="F95" s="121">
        <v>17000000</v>
      </c>
      <c r="G95" s="118">
        <f t="shared" si="6"/>
        <v>0</v>
      </c>
      <c r="H95" s="114">
        <f t="shared" si="7"/>
        <v>0</v>
      </c>
      <c r="M95" s="35">
        <v>1320.0440000000001</v>
      </c>
      <c r="N95" s="37">
        <f t="shared" si="4"/>
        <v>61.678700000000163</v>
      </c>
      <c r="O95" s="39">
        <f t="shared" si="5"/>
        <v>4.9014940256219851E-2</v>
      </c>
      <c r="Q95" s="4"/>
      <c r="R95" s="4"/>
      <c r="T95" s="61"/>
      <c r="U95" s="96">
        <v>2000</v>
      </c>
      <c r="V95" s="66">
        <v>138000000</v>
      </c>
      <c r="W95" s="2">
        <f t="shared" si="8"/>
        <v>18000000</v>
      </c>
      <c r="X95" s="1">
        <f t="shared" si="9"/>
        <v>0.15</v>
      </c>
      <c r="Y95" s="61"/>
      <c r="Z95" s="80">
        <v>236.60674715943998</v>
      </c>
      <c r="AA95" s="29">
        <f t="shared" si="14"/>
        <v>47.711447519439986</v>
      </c>
      <c r="AB95" s="14">
        <f t="shared" si="15"/>
        <v>0.25258144384941977</v>
      </c>
      <c r="AD95" s="28">
        <v>137339792</v>
      </c>
      <c r="AE95" s="28">
        <f t="shared" si="10"/>
        <v>26247456</v>
      </c>
      <c r="AF95" s="14">
        <f t="shared" si="11"/>
        <v>0.2362670274572316</v>
      </c>
      <c r="AG95" s="75"/>
      <c r="AH95" s="28"/>
      <c r="AI95" s="28"/>
      <c r="AJ95" s="14"/>
      <c r="AK95" s="75"/>
    </row>
    <row r="96" spans="1:37">
      <c r="A96" s="96">
        <v>2001</v>
      </c>
      <c r="E96" s="96">
        <v>2001</v>
      </c>
      <c r="F96" s="121">
        <v>16000000</v>
      </c>
      <c r="G96" s="118">
        <f t="shared" si="6"/>
        <v>-1000000</v>
      </c>
      <c r="H96" s="114">
        <f t="shared" si="7"/>
        <v>-5.8823529411764705E-2</v>
      </c>
      <c r="M96" s="35">
        <v>1431.2369000000001</v>
      </c>
      <c r="N96" s="37">
        <f t="shared" si="4"/>
        <v>111.19290000000001</v>
      </c>
      <c r="O96" s="39">
        <f t="shared" si="5"/>
        <v>8.4234237646623897E-2</v>
      </c>
      <c r="Q96" s="4"/>
      <c r="R96" s="4"/>
      <c r="T96" s="61"/>
      <c r="U96" s="96">
        <v>2001</v>
      </c>
      <c r="V96" s="66">
        <v>128000000</v>
      </c>
      <c r="W96" s="2">
        <f t="shared" si="8"/>
        <v>-10000000</v>
      </c>
      <c r="X96" s="1">
        <f t="shared" si="9"/>
        <v>-7.2463768115942032E-2</v>
      </c>
      <c r="Y96" s="61"/>
      <c r="Z96" s="80">
        <v>321.91816085865003</v>
      </c>
      <c r="AA96" s="29">
        <f t="shared" si="14"/>
        <v>85.31141369921005</v>
      </c>
      <c r="AB96" s="14">
        <f t="shared" si="15"/>
        <v>0.36056204957554339</v>
      </c>
      <c r="AD96" s="27">
        <v>158568848</v>
      </c>
      <c r="AE96" s="27">
        <f t="shared" si="10"/>
        <v>21229056</v>
      </c>
      <c r="AF96" s="26">
        <f t="shared" si="11"/>
        <v>0.15457323541017159</v>
      </c>
      <c r="AG96" s="75"/>
      <c r="AH96" s="27"/>
      <c r="AI96" s="27"/>
      <c r="AJ96" s="26"/>
      <c r="AK96" s="75"/>
    </row>
    <row r="97" spans="1:37">
      <c r="A97" s="96">
        <v>2002</v>
      </c>
      <c r="E97" s="96">
        <v>2002</v>
      </c>
      <c r="F97" s="121">
        <v>13000000</v>
      </c>
      <c r="G97" s="118">
        <f t="shared" si="6"/>
        <v>-3000000</v>
      </c>
      <c r="H97" s="114">
        <f t="shared" si="7"/>
        <v>-0.1875</v>
      </c>
      <c r="J97" s="71">
        <v>200</v>
      </c>
      <c r="M97" s="35">
        <v>1538.5201999999999</v>
      </c>
      <c r="N97" s="37">
        <f t="shared" si="4"/>
        <v>107.28329999999983</v>
      </c>
      <c r="O97" s="39">
        <f t="shared" si="5"/>
        <v>7.4958450274723781E-2</v>
      </c>
      <c r="Q97" s="4"/>
      <c r="R97" s="4"/>
      <c r="T97" s="61"/>
      <c r="U97" s="96">
        <v>2002</v>
      </c>
      <c r="V97" s="66">
        <v>132000000</v>
      </c>
      <c r="W97" s="2">
        <f t="shared" si="8"/>
        <v>4000000</v>
      </c>
      <c r="X97" s="1">
        <f t="shared" si="9"/>
        <v>3.125E-2</v>
      </c>
      <c r="Y97" s="61"/>
      <c r="Z97" s="80">
        <v>505.45316830080003</v>
      </c>
      <c r="AA97" s="29">
        <f t="shared" si="14"/>
        <v>183.53500744215</v>
      </c>
      <c r="AB97" s="14">
        <f t="shared" si="15"/>
        <v>0.57012939857946621</v>
      </c>
      <c r="AD97" s="27">
        <v>188422048</v>
      </c>
      <c r="AE97" s="27">
        <f t="shared" si="10"/>
        <v>29853200</v>
      </c>
      <c r="AF97" s="26">
        <f t="shared" si="11"/>
        <v>0.18826648724849157</v>
      </c>
      <c r="AG97" s="75"/>
      <c r="AH97" s="27"/>
      <c r="AI97" s="27"/>
      <c r="AJ97" s="26"/>
      <c r="AK97" s="75"/>
    </row>
    <row r="98" spans="1:37">
      <c r="A98" s="96">
        <v>2003</v>
      </c>
      <c r="E98" s="96">
        <v>2003</v>
      </c>
      <c r="F98" s="121">
        <v>11000000</v>
      </c>
      <c r="G98" s="118">
        <f t="shared" si="6"/>
        <v>-2000000</v>
      </c>
      <c r="H98" s="114">
        <f t="shared" si="7"/>
        <v>-0.15384615384615385</v>
      </c>
      <c r="M98" s="35">
        <v>1729.8516999999999</v>
      </c>
      <c r="N98" s="37">
        <f t="shared" si="4"/>
        <v>191.33150000000001</v>
      </c>
      <c r="O98" s="39">
        <f t="shared" si="5"/>
        <v>0.12436073312524594</v>
      </c>
      <c r="Q98" s="4"/>
      <c r="R98" s="4"/>
      <c r="T98" s="61"/>
      <c r="U98" s="96">
        <v>2003</v>
      </c>
      <c r="V98" s="66">
        <v>150800000</v>
      </c>
      <c r="W98" s="2">
        <f t="shared" si="8"/>
        <v>18800000</v>
      </c>
      <c r="X98" s="1">
        <f t="shared" si="9"/>
        <v>0.14242424242424243</v>
      </c>
      <c r="Y98" s="61"/>
      <c r="Z98" s="80">
        <v>825.64016218980009</v>
      </c>
      <c r="AA98" s="29">
        <f t="shared" si="14"/>
        <v>320.18699388900006</v>
      </c>
      <c r="AB98" s="14">
        <f t="shared" si="15"/>
        <v>0.63346520304815601</v>
      </c>
      <c r="AD98" s="27">
        <v>199351360</v>
      </c>
      <c r="AE98" s="27">
        <f t="shared" si="10"/>
        <v>10929312</v>
      </c>
      <c r="AF98" s="26">
        <f t="shared" si="11"/>
        <v>5.8004422072728982E-2</v>
      </c>
      <c r="AG98" s="75"/>
      <c r="AH98" s="27"/>
      <c r="AI98" s="27"/>
      <c r="AJ98" s="26"/>
      <c r="AK98" s="75"/>
    </row>
    <row r="99" spans="1:37">
      <c r="A99" s="96">
        <v>2004</v>
      </c>
      <c r="E99" s="96">
        <v>2004</v>
      </c>
      <c r="F99" s="121">
        <v>12000000</v>
      </c>
      <c r="G99" s="118">
        <f t="shared" si="6"/>
        <v>1000000</v>
      </c>
      <c r="H99" s="114">
        <f t="shared" si="7"/>
        <v>9.0909090909090912E-2</v>
      </c>
      <c r="M99" s="35">
        <v>1867.4186999999999</v>
      </c>
      <c r="N99" s="37">
        <f t="shared" si="4"/>
        <v>137.56700000000001</v>
      </c>
      <c r="O99" s="39">
        <f t="shared" si="5"/>
        <v>7.9525314222022622E-2</v>
      </c>
      <c r="Q99" s="4"/>
      <c r="R99" s="4"/>
      <c r="T99" s="61"/>
      <c r="U99" s="96">
        <v>2004</v>
      </c>
      <c r="V99" s="66">
        <v>176700000</v>
      </c>
      <c r="W99" s="2">
        <f t="shared" si="8"/>
        <v>25900000</v>
      </c>
      <c r="X99" s="1">
        <f t="shared" si="9"/>
        <v>0.17175066312997347</v>
      </c>
      <c r="Y99" s="61"/>
      <c r="Z99" s="80">
        <v>1228.9561732836999</v>
      </c>
      <c r="AA99" s="29">
        <f t="shared" si="14"/>
        <v>403.31601109389976</v>
      </c>
      <c r="AB99" s="14">
        <f t="shared" si="15"/>
        <v>0.48848884727725311</v>
      </c>
      <c r="AD99" s="27">
        <v>210753088</v>
      </c>
      <c r="AE99" s="27">
        <f t="shared" si="10"/>
        <v>11401728</v>
      </c>
      <c r="AF99" s="26">
        <f t="shared" si="11"/>
        <v>5.7194132008931364E-2</v>
      </c>
      <c r="AG99" s="75"/>
      <c r="AH99" s="27"/>
      <c r="AI99" s="27"/>
      <c r="AJ99" s="26"/>
      <c r="AK99" s="75"/>
    </row>
    <row r="100" spans="1:37">
      <c r="A100" s="96">
        <v>2005</v>
      </c>
      <c r="E100" s="96">
        <v>2005</v>
      </c>
      <c r="F100" s="121">
        <v>13000000</v>
      </c>
      <c r="G100" s="118">
        <f t="shared" si="6"/>
        <v>1000000</v>
      </c>
      <c r="H100" s="114">
        <f t="shared" si="7"/>
        <v>8.3333333333333329E-2</v>
      </c>
      <c r="J100" s="71">
        <v>230</v>
      </c>
      <c r="M100" s="35">
        <v>1982.5613000000001</v>
      </c>
      <c r="N100" s="37">
        <f t="shared" si="4"/>
        <v>115.14260000000013</v>
      </c>
      <c r="O100" s="39">
        <f t="shared" si="5"/>
        <v>6.1658694967550734E-2</v>
      </c>
      <c r="Q100" s="4"/>
      <c r="R100" s="4"/>
      <c r="T100" s="61"/>
      <c r="U100" s="96">
        <v>2005</v>
      </c>
      <c r="V100" s="66">
        <v>196975000</v>
      </c>
      <c r="W100" s="2">
        <f t="shared" si="8"/>
        <v>20275000</v>
      </c>
      <c r="X100" s="1">
        <f t="shared" si="9"/>
        <v>0.11474250141482739</v>
      </c>
      <c r="Y100" s="61"/>
      <c r="Z100" s="80">
        <v>1360.7085375734998</v>
      </c>
      <c r="AA100" s="29">
        <f t="shared" si="14"/>
        <v>131.75236428979997</v>
      </c>
      <c r="AB100" s="14">
        <f t="shared" si="15"/>
        <v>0.10720672319645481</v>
      </c>
      <c r="AD100" s="27">
        <v>224042144</v>
      </c>
      <c r="AE100" s="27">
        <f t="shared" si="10"/>
        <v>13289056</v>
      </c>
      <c r="AF100" s="26">
        <f t="shared" si="11"/>
        <v>6.3055095069354333E-2</v>
      </c>
      <c r="AG100" s="75"/>
      <c r="AH100" s="27"/>
      <c r="AI100" s="27"/>
      <c r="AJ100" s="26"/>
      <c r="AK100" s="75"/>
    </row>
    <row r="101" spans="1:37">
      <c r="A101" s="96">
        <v>2006</v>
      </c>
      <c r="E101" s="96">
        <v>2006</v>
      </c>
      <c r="F101" s="121">
        <v>15000000</v>
      </c>
      <c r="G101" s="118">
        <f t="shared" si="6"/>
        <v>2000000</v>
      </c>
      <c r="H101" s="114">
        <f t="shared" si="7"/>
        <v>0.15384615384615385</v>
      </c>
      <c r="M101" s="35">
        <v>2088.2429999999999</v>
      </c>
      <c r="N101" s="37">
        <f t="shared" si="4"/>
        <v>105.68169999999986</v>
      </c>
      <c r="O101" s="39">
        <f t="shared" si="5"/>
        <v>5.3305640536814608E-2</v>
      </c>
      <c r="Q101" s="4"/>
      <c r="R101" s="4"/>
      <c r="T101" s="61"/>
      <c r="U101" s="96">
        <v>2006</v>
      </c>
      <c r="V101" s="66">
        <v>239211000</v>
      </c>
      <c r="W101" s="2">
        <f t="shared" si="8"/>
        <v>42236000</v>
      </c>
      <c r="X101" s="1">
        <f t="shared" si="9"/>
        <v>0.21442315014595761</v>
      </c>
      <c r="Y101" s="61"/>
      <c r="Z101" s="80">
        <v>1713.0958301853002</v>
      </c>
      <c r="AA101" s="29">
        <f t="shared" si="14"/>
        <v>352.38729261180038</v>
      </c>
      <c r="AB101" s="14">
        <f t="shared" si="15"/>
        <v>0.25897338252922214</v>
      </c>
      <c r="AD101" s="27">
        <v>229295552</v>
      </c>
      <c r="AE101" s="27">
        <f t="shared" si="10"/>
        <v>5253408</v>
      </c>
      <c r="AF101" s="26">
        <f t="shared" si="11"/>
        <v>2.3448302655057613E-2</v>
      </c>
      <c r="AG101" s="75"/>
      <c r="AH101" s="27"/>
      <c r="AI101" s="27"/>
      <c r="AJ101" s="26"/>
      <c r="AK101" s="75"/>
    </row>
    <row r="102" spans="1:37">
      <c r="A102" s="96">
        <v>2007</v>
      </c>
      <c r="E102" s="96">
        <v>2007</v>
      </c>
      <c r="F102" s="121">
        <v>16000000</v>
      </c>
      <c r="G102" s="118">
        <f t="shared" si="6"/>
        <v>1000000</v>
      </c>
      <c r="H102" s="114">
        <f t="shared" si="7"/>
        <v>6.6666666666666666E-2</v>
      </c>
      <c r="M102" s="35">
        <v>2196.7775999999999</v>
      </c>
      <c r="N102" s="37">
        <f t="shared" si="4"/>
        <v>108.53459999999995</v>
      </c>
      <c r="O102" s="39">
        <f t="shared" si="5"/>
        <v>5.1974123701120971E-2</v>
      </c>
      <c r="U102" s="96">
        <v>2007</v>
      </c>
      <c r="V102" s="66">
        <v>271180000</v>
      </c>
      <c r="W102" s="2">
        <f t="shared" si="8"/>
        <v>31969000</v>
      </c>
      <c r="X102" s="1">
        <f t="shared" si="9"/>
        <v>0.13364351973780469</v>
      </c>
      <c r="Z102" s="80">
        <v>2136.8278457919</v>
      </c>
      <c r="AA102" s="29">
        <f t="shared" si="14"/>
        <v>423.73201560659982</v>
      </c>
      <c r="AB102" s="14">
        <f t="shared" si="15"/>
        <v>0.24734869359921682</v>
      </c>
      <c r="AD102" s="27">
        <v>250048544</v>
      </c>
      <c r="AE102" s="27">
        <f t="shared" si="10"/>
        <v>20752992</v>
      </c>
      <c r="AF102" s="26">
        <f t="shared" si="11"/>
        <v>9.0507608276675158E-2</v>
      </c>
      <c r="AG102" s="75"/>
      <c r="AH102" s="27"/>
      <c r="AI102" s="27"/>
      <c r="AJ102" s="26"/>
      <c r="AK102" s="75"/>
    </row>
    <row r="103" spans="1:37">
      <c r="A103" s="96">
        <v>2008</v>
      </c>
      <c r="E103" s="96">
        <v>2008</v>
      </c>
      <c r="F103" s="122">
        <v>17000000</v>
      </c>
      <c r="G103" s="118">
        <f t="shared" si="6"/>
        <v>1000000</v>
      </c>
      <c r="H103" s="114">
        <f t="shared" si="7"/>
        <v>6.25E-2</v>
      </c>
      <c r="M103" s="35">
        <v>2367.4711000000002</v>
      </c>
      <c r="N103" s="37">
        <f t="shared" si="4"/>
        <v>170.69350000000031</v>
      </c>
      <c r="O103" s="39">
        <f t="shared" si="5"/>
        <v>7.7701766441901229E-2</v>
      </c>
      <c r="U103" s="96">
        <v>2008</v>
      </c>
      <c r="V103" s="66">
        <v>297000000</v>
      </c>
      <c r="W103" s="2">
        <f t="shared" si="8"/>
        <v>25820000</v>
      </c>
      <c r="X103" s="1">
        <f t="shared" si="9"/>
        <v>9.5213511320893868E-2</v>
      </c>
      <c r="Z103" s="79">
        <v>1457.9</v>
      </c>
      <c r="AA103" s="30">
        <f t="shared" si="14"/>
        <v>-678.92784579189993</v>
      </c>
      <c r="AB103" s="26">
        <f t="shared" si="15"/>
        <v>-0.31772697418227996</v>
      </c>
      <c r="AD103" s="27">
        <v>250578896</v>
      </c>
      <c r="AE103" s="27">
        <f t="shared" si="10"/>
        <v>530352</v>
      </c>
      <c r="AF103" s="26">
        <f t="shared" si="11"/>
        <v>2.1209961534509074E-3</v>
      </c>
      <c r="AG103" s="75"/>
      <c r="AH103" s="27"/>
      <c r="AI103" s="27"/>
      <c r="AJ103" s="26"/>
      <c r="AK103" s="75"/>
    </row>
    <row r="104" spans="1:37">
      <c r="A104" s="96">
        <v>2009</v>
      </c>
      <c r="E104" s="96">
        <v>2009</v>
      </c>
      <c r="J104" s="71">
        <v>250</v>
      </c>
      <c r="M104" s="35">
        <v>2457.9456</v>
      </c>
      <c r="N104" s="37">
        <f t="shared" si="4"/>
        <v>90.474499999999807</v>
      </c>
      <c r="O104" s="39">
        <f t="shared" si="5"/>
        <v>3.8215672410953527E-2</v>
      </c>
      <c r="U104" s="96">
        <v>2009</v>
      </c>
      <c r="V104" s="66">
        <v>309122000</v>
      </c>
      <c r="W104" s="2">
        <f t="shared" si="8"/>
        <v>12122000</v>
      </c>
      <c r="X104" s="1">
        <f t="shared" si="9"/>
        <v>4.0814814814814818E-2</v>
      </c>
      <c r="Z104" s="79">
        <v>1554.1</v>
      </c>
      <c r="AA104" s="30">
        <f t="shared" si="14"/>
        <v>96.199999999999818</v>
      </c>
      <c r="AB104" s="26">
        <f t="shared" si="15"/>
        <v>6.5985321352630369E-2</v>
      </c>
      <c r="AD104" s="27">
        <v>244851552</v>
      </c>
      <c r="AE104" s="27">
        <f t="shared" si="10"/>
        <v>-5727344</v>
      </c>
      <c r="AF104" s="26">
        <f t="shared" si="11"/>
        <v>-2.2856449970152314E-2</v>
      </c>
      <c r="AG104" s="75"/>
      <c r="AH104" s="27"/>
      <c r="AI104" s="27"/>
      <c r="AJ104" s="26"/>
      <c r="AK104" s="75"/>
    </row>
    <row r="105" spans="1:37">
      <c r="A105" s="96">
        <v>2010</v>
      </c>
      <c r="E105" s="96">
        <v>2010</v>
      </c>
      <c r="M105" s="35">
        <v>2621.0843</v>
      </c>
      <c r="N105" s="37">
        <f t="shared" si="4"/>
        <v>163.13869999999997</v>
      </c>
      <c r="O105" s="39">
        <f t="shared" si="5"/>
        <v>6.6371973407385404E-2</v>
      </c>
      <c r="U105" s="96">
        <v>2010</v>
      </c>
      <c r="V105" s="66">
        <v>352400000</v>
      </c>
      <c r="W105" s="2">
        <f t="shared" si="8"/>
        <v>43278000</v>
      </c>
      <c r="X105" s="1">
        <f t="shared" si="9"/>
        <v>0.14000297617122043</v>
      </c>
      <c r="Z105" s="79">
        <v>1693.9</v>
      </c>
      <c r="AA105" s="30">
        <f t="shared" si="14"/>
        <v>139.80000000000018</v>
      </c>
      <c r="AB105" s="26">
        <f t="shared" si="15"/>
        <v>8.9955601312656966E-2</v>
      </c>
      <c r="AD105" s="27">
        <v>249116528</v>
      </c>
      <c r="AE105" s="27">
        <f t="shared" si="10"/>
        <v>4264976</v>
      </c>
      <c r="AF105" s="26">
        <f t="shared" si="11"/>
        <v>1.7418619425373299E-2</v>
      </c>
      <c r="AG105" s="75"/>
      <c r="AH105" s="27"/>
      <c r="AI105" s="27"/>
      <c r="AJ105" s="26"/>
      <c r="AK105" s="75"/>
    </row>
    <row r="106" spans="1:37">
      <c r="A106" s="96">
        <v>2011</v>
      </c>
      <c r="E106" s="96">
        <v>2011</v>
      </c>
      <c r="J106" s="71">
        <v>280</v>
      </c>
      <c r="M106" s="35">
        <v>2648.6632</v>
      </c>
      <c r="N106" s="37">
        <f t="shared" si="4"/>
        <v>27.578899999999976</v>
      </c>
      <c r="O106" s="39">
        <f t="shared" si="5"/>
        <v>1.0521943151542274E-2</v>
      </c>
      <c r="U106" s="96">
        <v>2011</v>
      </c>
      <c r="V106" s="66">
        <v>353441000</v>
      </c>
      <c r="W106" s="2">
        <f t="shared" si="8"/>
        <v>1041000</v>
      </c>
      <c r="X106" s="1">
        <f t="shared" si="9"/>
        <v>2.9540295119182746E-3</v>
      </c>
      <c r="Z106" s="79">
        <v>1710.02</v>
      </c>
      <c r="AA106" s="30">
        <f t="shared" si="14"/>
        <v>16.119999999999891</v>
      </c>
      <c r="AB106" s="26">
        <f t="shared" si="15"/>
        <v>9.5165003837297899E-3</v>
      </c>
      <c r="AD106" s="27">
        <v>245896880</v>
      </c>
      <c r="AE106" s="27">
        <f t="shared" si="10"/>
        <v>-3219648</v>
      </c>
      <c r="AF106" s="26">
        <f t="shared" si="11"/>
        <v>-1.2924264904655383E-2</v>
      </c>
      <c r="AG106" s="75"/>
      <c r="AH106" s="27"/>
      <c r="AI106" s="27"/>
      <c r="AJ106" s="26"/>
      <c r="AK106" s="75"/>
    </row>
    <row r="107" spans="1:37">
      <c r="A107" s="96">
        <v>2012</v>
      </c>
      <c r="E107" s="96">
        <v>2012</v>
      </c>
      <c r="M107" s="35">
        <v>2540.9906000000001</v>
      </c>
      <c r="N107" s="37">
        <f t="shared" ref="N107:N112" si="16">+M107-M106</f>
        <v>-107.67259999999987</v>
      </c>
      <c r="O107" s="39">
        <f t="shared" ref="O107:O112" si="17">+N107/M106</f>
        <v>-4.0651676664666112E-2</v>
      </c>
      <c r="U107" s="96">
        <v>2012</v>
      </c>
      <c r="Z107" s="79">
        <v>1798.7</v>
      </c>
      <c r="AA107" s="30">
        <f t="shared" si="14"/>
        <v>88.680000000000064</v>
      </c>
      <c r="AB107" s="26">
        <f t="shared" si="15"/>
        <v>5.1859042584297299E-2</v>
      </c>
      <c r="AD107" s="27">
        <v>263516048</v>
      </c>
      <c r="AE107" s="27">
        <f t="shared" si="10"/>
        <v>17619168</v>
      </c>
      <c r="AF107" s="26">
        <f t="shared" si="11"/>
        <v>7.165267001354389E-2</v>
      </c>
      <c r="AG107" s="75"/>
      <c r="AH107" s="27"/>
      <c r="AI107" s="27"/>
      <c r="AJ107" s="26"/>
      <c r="AK107" s="75"/>
    </row>
    <row r="108" spans="1:37">
      <c r="A108" s="96">
        <v>2013</v>
      </c>
      <c r="E108" s="96">
        <v>2013</v>
      </c>
      <c r="M108" s="35">
        <v>2655.0495000000001</v>
      </c>
      <c r="N108" s="37">
        <f t="shared" si="16"/>
        <v>114.05889999999999</v>
      </c>
      <c r="O108" s="39">
        <f t="shared" si="17"/>
        <v>4.4887572586848605E-2</v>
      </c>
      <c r="U108" s="96">
        <v>2013</v>
      </c>
      <c r="Z108" s="79">
        <v>2156.67</v>
      </c>
      <c r="AA108" s="30">
        <f t="shared" si="14"/>
        <v>357.97</v>
      </c>
      <c r="AB108" s="26">
        <f t="shared" si="15"/>
        <v>0.19901595596819927</v>
      </c>
      <c r="AD108" s="27">
        <v>256106192</v>
      </c>
      <c r="AE108" s="27">
        <f t="shared" si="10"/>
        <v>-7409856</v>
      </c>
      <c r="AF108" s="26">
        <f t="shared" si="11"/>
        <v>-2.8119183086716602E-2</v>
      </c>
      <c r="AG108" s="75"/>
      <c r="AH108" s="27"/>
      <c r="AI108" s="27"/>
      <c r="AJ108" s="26"/>
      <c r="AK108" s="75"/>
    </row>
    <row r="109" spans="1:37">
      <c r="A109" s="96">
        <v>2014</v>
      </c>
      <c r="E109" s="96">
        <v>2014</v>
      </c>
      <c r="M109" s="35">
        <v>2768.6959000000002</v>
      </c>
      <c r="N109" s="37">
        <f t="shared" si="16"/>
        <v>113.64640000000009</v>
      </c>
      <c r="O109" s="39">
        <f t="shared" si="17"/>
        <v>4.2803872394846156E-2</v>
      </c>
      <c r="U109" s="96">
        <v>2014</v>
      </c>
      <c r="Z109" s="81">
        <v>2508.4</v>
      </c>
      <c r="AA109" s="30">
        <f t="shared" si="14"/>
        <v>351.73</v>
      </c>
      <c r="AB109" s="26">
        <f t="shared" si="15"/>
        <v>0.16308939244297924</v>
      </c>
      <c r="AD109" s="27">
        <v>263777120</v>
      </c>
      <c r="AE109" s="27">
        <f t="shared" si="10"/>
        <v>7670928</v>
      </c>
      <c r="AF109" s="26">
        <f t="shared" si="11"/>
        <v>2.9952137978764684E-2</v>
      </c>
      <c r="AG109" s="75"/>
      <c r="AH109" s="27"/>
      <c r="AI109" s="27"/>
      <c r="AJ109" s="26"/>
      <c r="AK109" s="75"/>
    </row>
    <row r="110" spans="1:37">
      <c r="A110" s="96">
        <v>2015</v>
      </c>
      <c r="E110" s="96">
        <v>2015</v>
      </c>
      <c r="J110" s="71">
        <v>322</v>
      </c>
      <c r="M110" s="35">
        <v>2935.8692999999998</v>
      </c>
      <c r="N110" s="37">
        <f t="shared" si="16"/>
        <v>167.17339999999967</v>
      </c>
      <c r="O110" s="39">
        <f t="shared" si="17"/>
        <v>6.0379834419518469E-2</v>
      </c>
      <c r="U110" s="96">
        <v>2015</v>
      </c>
      <c r="Z110" s="81">
        <v>2720.7</v>
      </c>
      <c r="AA110" s="30">
        <f t="shared" si="14"/>
        <v>212.29999999999973</v>
      </c>
      <c r="AB110" s="26">
        <f t="shared" si="15"/>
        <v>8.4635624302344017E-2</v>
      </c>
      <c r="AD110" s="27">
        <v>271351008</v>
      </c>
      <c r="AE110" s="27">
        <f t="shared" si="10"/>
        <v>7573888</v>
      </c>
      <c r="AF110" s="26">
        <f t="shared" si="11"/>
        <v>2.8713210607500757E-2</v>
      </c>
      <c r="AG110" s="75"/>
      <c r="AH110" s="27"/>
      <c r="AI110" s="27"/>
      <c r="AJ110" s="26"/>
      <c r="AK110" s="75"/>
    </row>
    <row r="111" spans="1:37">
      <c r="A111" s="96">
        <v>2016</v>
      </c>
      <c r="E111" s="96">
        <v>2016</v>
      </c>
      <c r="M111" s="35">
        <v>3114.3719000000001</v>
      </c>
      <c r="N111" s="37">
        <f t="shared" si="16"/>
        <v>178.50260000000026</v>
      </c>
      <c r="O111" s="39">
        <f t="shared" si="17"/>
        <v>6.0800594903867237E-2</v>
      </c>
      <c r="U111" s="96">
        <v>2016</v>
      </c>
      <c r="Z111" s="81">
        <v>3005.3</v>
      </c>
      <c r="AA111" s="30">
        <f t="shared" si="14"/>
        <v>284.60000000000036</v>
      </c>
      <c r="AB111" s="26">
        <f t="shared" si="15"/>
        <v>0.10460543242547887</v>
      </c>
      <c r="AD111" s="27"/>
      <c r="AE111" s="25"/>
      <c r="AF111" s="26"/>
      <c r="AG111" s="75"/>
      <c r="AH111" s="27"/>
      <c r="AI111" s="25"/>
      <c r="AJ111" s="26"/>
      <c r="AK111" s="75"/>
    </row>
    <row r="112" spans="1:37">
      <c r="A112" s="96">
        <v>2017</v>
      </c>
      <c r="E112" s="96">
        <v>2017</v>
      </c>
      <c r="M112" s="35">
        <v>3331.5454</v>
      </c>
      <c r="N112" s="37">
        <f t="shared" si="16"/>
        <v>217.17349999999988</v>
      </c>
      <c r="O112" s="39">
        <f t="shared" si="17"/>
        <v>6.9732680287797319E-2</v>
      </c>
      <c r="U112" s="96">
        <v>2017</v>
      </c>
      <c r="Z112" s="82"/>
      <c r="AA112" s="12"/>
    </row>
    <row r="113" spans="1:49" ht="126">
      <c r="A113" s="98" t="s">
        <v>1</v>
      </c>
      <c r="B113" s="109"/>
      <c r="C113" s="109"/>
      <c r="D113" s="87"/>
      <c r="E113" s="98" t="s">
        <v>1</v>
      </c>
      <c r="F113" s="123" t="s">
        <v>36</v>
      </c>
      <c r="G113" s="126"/>
      <c r="H113" s="113"/>
      <c r="I113" s="87"/>
      <c r="J113" s="74" t="s">
        <v>22</v>
      </c>
      <c r="K113" s="34"/>
      <c r="L113" s="87"/>
      <c r="M113" s="41" t="s">
        <v>20</v>
      </c>
      <c r="N113" s="38"/>
      <c r="O113" s="40"/>
      <c r="P113" s="87"/>
      <c r="Q113" s="20" t="s">
        <v>26</v>
      </c>
      <c r="R113" s="16"/>
      <c r="S113" s="47"/>
      <c r="T113" s="62"/>
      <c r="U113" s="98" t="s">
        <v>1</v>
      </c>
      <c r="V113" s="69" t="s">
        <v>10</v>
      </c>
      <c r="W113" s="19"/>
      <c r="X113" s="18"/>
      <c r="Y113" s="62"/>
      <c r="Z113" s="83" t="s">
        <v>9</v>
      </c>
      <c r="AA113" s="16"/>
      <c r="AB113" s="18"/>
      <c r="AC113" s="62"/>
      <c r="AD113" s="17" t="s">
        <v>2</v>
      </c>
      <c r="AE113" s="16"/>
      <c r="AF113" s="18"/>
      <c r="AG113" s="62"/>
      <c r="AH113" s="17"/>
      <c r="AI113" s="16"/>
      <c r="AJ113" s="18"/>
      <c r="AK113" s="62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</row>
    <row r="114" spans="1:49" ht="196">
      <c r="F114" s="123" t="s">
        <v>37</v>
      </c>
      <c r="M114" s="35"/>
      <c r="Q114" s="16" t="s">
        <v>27</v>
      </c>
      <c r="R114" s="16"/>
      <c r="S114" s="47"/>
      <c r="T114" s="62"/>
      <c r="V114" s="70"/>
      <c r="W114" s="19"/>
      <c r="X114" s="18"/>
      <c r="Y114" s="62"/>
      <c r="Z114" s="84"/>
      <c r="AA114" s="16"/>
      <c r="AB114" s="18"/>
      <c r="AC114" s="62"/>
      <c r="AD114" s="17" t="s">
        <v>3</v>
      </c>
      <c r="AE114" s="16"/>
      <c r="AF114" s="18"/>
      <c r="AG114" s="62"/>
      <c r="AH114" s="17"/>
      <c r="AI114" s="16"/>
      <c r="AJ114" s="18"/>
      <c r="AK114" s="62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</row>
    <row r="115" spans="1:49" ht="112">
      <c r="Q115" s="20" t="s">
        <v>28</v>
      </c>
      <c r="R115" s="16"/>
      <c r="S115" s="47"/>
      <c r="T115" s="62"/>
      <c r="V115" s="70"/>
      <c r="W115" s="19"/>
      <c r="X115" s="18"/>
      <c r="Y115" s="62"/>
      <c r="Z115" s="84"/>
      <c r="AA115" s="16"/>
      <c r="AB115" s="18"/>
      <c r="AC115" s="62"/>
      <c r="AD115" s="19"/>
      <c r="AE115" s="16"/>
      <c r="AF115" s="18"/>
      <c r="AG115" s="62"/>
      <c r="AH115" s="19"/>
      <c r="AI115" s="16"/>
      <c r="AJ115" s="18"/>
      <c r="AK115" s="62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</row>
    <row r="116" spans="1:49">
      <c r="Q116" s="20"/>
      <c r="R116" s="16"/>
      <c r="S116" s="47"/>
      <c r="T116" s="62"/>
      <c r="V116" s="70"/>
      <c r="W116" s="19"/>
      <c r="X116" s="18"/>
      <c r="Y116" s="62"/>
      <c r="Z116" s="84"/>
      <c r="AA116" s="16"/>
      <c r="AB116" s="18"/>
      <c r="AC116" s="62"/>
      <c r="AD116" s="19"/>
      <c r="AE116" s="16"/>
      <c r="AF116" s="18"/>
      <c r="AG116" s="62"/>
      <c r="AH116" s="19"/>
      <c r="AI116" s="16"/>
      <c r="AJ116" s="18"/>
      <c r="AK116" s="62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</row>
    <row r="117" spans="1:49">
      <c r="Q117" s="16"/>
      <c r="R117" s="16"/>
      <c r="S117" s="47"/>
      <c r="T117" s="62"/>
      <c r="V117" s="70"/>
      <c r="W117" s="19"/>
      <c r="X117" s="18"/>
      <c r="Y117" s="62"/>
      <c r="Z117" s="84"/>
      <c r="AA117" s="16"/>
      <c r="AB117" s="18"/>
      <c r="AC117" s="62"/>
      <c r="AD117" s="19"/>
      <c r="AE117" s="16"/>
      <c r="AF117" s="18"/>
      <c r="AG117" s="62"/>
      <c r="AH117" s="19"/>
      <c r="AI117" s="16"/>
      <c r="AJ117" s="18"/>
      <c r="AK117" s="62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</row>
  </sheetData>
  <hyperlinks>
    <hyperlink ref="AD113" r:id="rId1"/>
    <hyperlink ref="Z113" r:id="rId2"/>
    <hyperlink ref="V113" r:id="rId3"/>
    <hyperlink ref="M113" r:id="rId4"/>
    <hyperlink ref="J113" r:id="rId5"/>
    <hyperlink ref="F113" r:id="rId6"/>
    <hyperlink ref="Q113" r:id="rId7"/>
    <hyperlink ref="Q115" r:id="rId8"/>
    <hyperlink ref="F114" r:id="rId9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topLeftCell="P2" workbookViewId="0">
      <selection activeCell="G10" sqref="G10"/>
    </sheetView>
  </sheetViews>
  <sheetFormatPr baseColWidth="10" defaultColWidth="8.83203125" defaultRowHeight="14" x14ac:dyDescent="0"/>
  <cols>
    <col min="1" max="1" width="36.1640625" style="52" bestFit="1" customWidth="1"/>
    <col min="2" max="2" width="12.83203125" hidden="1" customWidth="1"/>
    <col min="3" max="3" width="10" hidden="1" customWidth="1"/>
    <col min="4" max="4" width="22.1640625" bestFit="1" customWidth="1"/>
    <col min="5" max="5" width="13.5" bestFit="1" customWidth="1"/>
  </cols>
  <sheetData>
    <row r="1" spans="1:7" s="15" customFormat="1" ht="53">
      <c r="A1" s="136" t="s">
        <v>52</v>
      </c>
      <c r="B1" s="138" t="s">
        <v>53</v>
      </c>
      <c r="C1" s="137" t="s">
        <v>151</v>
      </c>
      <c r="D1" s="147" t="s">
        <v>152</v>
      </c>
      <c r="E1"/>
      <c r="F1"/>
      <c r="G1"/>
    </row>
    <row r="2" spans="1:7" ht="15">
      <c r="A2" s="139" t="s">
        <v>63</v>
      </c>
      <c r="B2" s="140">
        <v>36</v>
      </c>
      <c r="C2" s="141">
        <v>4.3855714289999993E-2</v>
      </c>
      <c r="D2" s="142">
        <v>0.48936999999999997</v>
      </c>
      <c r="F2" t="s">
        <v>180</v>
      </c>
    </row>
    <row r="3" spans="1:7" ht="15">
      <c r="A3" s="139" t="s">
        <v>121</v>
      </c>
      <c r="B3" s="140">
        <v>3</v>
      </c>
      <c r="C3" s="141">
        <v>0.1641</v>
      </c>
      <c r="D3" s="142">
        <v>0.25264999999999999</v>
      </c>
    </row>
    <row r="4" spans="1:7" ht="15">
      <c r="A4" s="139" t="s">
        <v>119</v>
      </c>
      <c r="B4" s="140">
        <v>54</v>
      </c>
      <c r="C4" s="141">
        <v>5.7150000000000005E-3</v>
      </c>
      <c r="D4" s="142">
        <v>0.24170000000000003</v>
      </c>
    </row>
    <row r="5" spans="1:7" ht="15">
      <c r="A5" s="139" t="s">
        <v>122</v>
      </c>
      <c r="B5" s="140">
        <v>86</v>
      </c>
      <c r="C5" s="141">
        <v>0.1320948485</v>
      </c>
      <c r="D5" s="142">
        <v>0.23229654550000001</v>
      </c>
    </row>
    <row r="6" spans="1:7" ht="15">
      <c r="A6" s="139" t="s">
        <v>95</v>
      </c>
      <c r="B6" s="140">
        <v>33</v>
      </c>
      <c r="C6" s="141">
        <v>0.46033333329999998</v>
      </c>
      <c r="D6" s="142">
        <v>0.23175263160000001</v>
      </c>
    </row>
    <row r="7" spans="1:7" ht="15">
      <c r="A7" s="139" t="s">
        <v>78</v>
      </c>
      <c r="B7" s="140">
        <v>164</v>
      </c>
      <c r="C7" s="141">
        <v>8.451666666999999E-2</v>
      </c>
      <c r="D7" s="142">
        <v>0.22303636359999998</v>
      </c>
    </row>
    <row r="8" spans="1:7" ht="15">
      <c r="A8" s="139" t="s">
        <v>117</v>
      </c>
      <c r="B8" s="140">
        <v>18</v>
      </c>
      <c r="C8" s="141">
        <v>6.855E-2</v>
      </c>
      <c r="D8" s="142">
        <v>0.19375714290000001</v>
      </c>
    </row>
    <row r="9" spans="1:7" ht="15">
      <c r="A9" s="139" t="s">
        <v>105</v>
      </c>
      <c r="B9" s="140">
        <v>97</v>
      </c>
      <c r="C9" s="141">
        <v>-9.1749999999999991E-3</v>
      </c>
      <c r="D9" s="142">
        <v>0.18828571429999999</v>
      </c>
    </row>
    <row r="10" spans="1:7" ht="15">
      <c r="A10" s="139" t="s">
        <v>136</v>
      </c>
      <c r="B10" s="140">
        <v>297</v>
      </c>
      <c r="C10" s="141">
        <v>0.21798799999999999</v>
      </c>
      <c r="D10" s="142">
        <v>0.1837</v>
      </c>
    </row>
    <row r="11" spans="1:7" ht="15">
      <c r="A11" s="139" t="s">
        <v>143</v>
      </c>
      <c r="B11" s="140">
        <v>17</v>
      </c>
      <c r="C11" s="141">
        <v>4.2188888889999998E-2</v>
      </c>
      <c r="D11" s="142">
        <v>0.1748814286</v>
      </c>
    </row>
    <row r="12" spans="1:7" ht="15">
      <c r="A12" s="139" t="s">
        <v>77</v>
      </c>
      <c r="B12" s="140">
        <v>426</v>
      </c>
      <c r="C12" s="141">
        <v>0.1272666667</v>
      </c>
      <c r="D12" s="142">
        <v>0.16876840340000002</v>
      </c>
    </row>
    <row r="13" spans="1:7" ht="15">
      <c r="A13" s="139" t="s">
        <v>57</v>
      </c>
      <c r="B13" s="140">
        <v>58</v>
      </c>
      <c r="C13" s="141">
        <v>6.3954999999999998E-2</v>
      </c>
      <c r="D13" s="142">
        <v>0.16204535709999998</v>
      </c>
    </row>
    <row r="14" spans="1:7" ht="15">
      <c r="A14" s="139" t="s">
        <v>85</v>
      </c>
      <c r="B14" s="140">
        <v>89</v>
      </c>
      <c r="C14" s="141">
        <v>6.1257142860000002E-2</v>
      </c>
      <c r="D14" s="142">
        <v>0.1605</v>
      </c>
    </row>
    <row r="15" spans="1:7" ht="15">
      <c r="A15" s="139" t="s">
        <v>58</v>
      </c>
      <c r="B15" s="140">
        <v>15</v>
      </c>
      <c r="C15" s="141">
        <v>0.15868000000000002</v>
      </c>
      <c r="D15" s="142">
        <v>0.14978749999999999</v>
      </c>
    </row>
    <row r="16" spans="1:7" ht="15">
      <c r="A16" s="139" t="s">
        <v>123</v>
      </c>
      <c r="B16" s="140">
        <v>25</v>
      </c>
      <c r="C16" s="141">
        <v>9.8492307690000003E-2</v>
      </c>
      <c r="D16" s="142">
        <v>0.14356874999999999</v>
      </c>
    </row>
    <row r="17" spans="1:4" ht="15">
      <c r="A17" s="139" t="s">
        <v>112</v>
      </c>
      <c r="B17" s="140">
        <v>23</v>
      </c>
      <c r="C17" s="141">
        <v>3.0550000000000001E-2</v>
      </c>
      <c r="D17" s="142">
        <v>0.13350266669999999</v>
      </c>
    </row>
    <row r="18" spans="1:4" ht="15">
      <c r="A18" s="139" t="s">
        <v>116</v>
      </c>
      <c r="B18" s="140">
        <v>238</v>
      </c>
      <c r="C18" s="141">
        <v>0.2088830841</v>
      </c>
      <c r="D18" s="142">
        <v>0.1334744444</v>
      </c>
    </row>
    <row r="19" spans="1:4" ht="15">
      <c r="A19" s="139" t="s">
        <v>118</v>
      </c>
      <c r="B19" s="140">
        <v>11</v>
      </c>
      <c r="C19" s="141">
        <v>-0.23</v>
      </c>
      <c r="D19" s="142">
        <v>0.12470000000000001</v>
      </c>
    </row>
    <row r="20" spans="1:4" ht="15">
      <c r="A20" s="139" t="s">
        <v>91</v>
      </c>
      <c r="B20" s="140">
        <v>25</v>
      </c>
      <c r="C20" s="141">
        <v>0.81700000000000006</v>
      </c>
      <c r="D20" s="142">
        <v>0.1216</v>
      </c>
    </row>
    <row r="21" spans="1:4" ht="15">
      <c r="A21" s="139" t="s">
        <v>103</v>
      </c>
      <c r="B21" s="140">
        <v>156</v>
      </c>
      <c r="C21" s="141">
        <v>7.4180263159999996E-2</v>
      </c>
      <c r="D21" s="142">
        <v>0.1203741935</v>
      </c>
    </row>
    <row r="22" spans="1:4" ht="15">
      <c r="A22" s="139" t="s">
        <v>93</v>
      </c>
      <c r="B22" s="140">
        <v>121</v>
      </c>
      <c r="C22" s="141">
        <v>9.5405526320000003E-2</v>
      </c>
      <c r="D22" s="142">
        <v>0.1195285294</v>
      </c>
    </row>
    <row r="23" spans="1:4" ht="15">
      <c r="A23" s="139" t="s">
        <v>54</v>
      </c>
      <c r="B23" s="140">
        <v>41</v>
      </c>
      <c r="C23" s="141">
        <v>-0.18931999999999999</v>
      </c>
      <c r="D23" s="142">
        <v>0.11918315789999999</v>
      </c>
    </row>
    <row r="24" spans="1:4" ht="15">
      <c r="A24" s="139" t="s">
        <v>128</v>
      </c>
      <c r="B24" s="140">
        <v>57</v>
      </c>
      <c r="C24" s="141">
        <v>6.3718181819999997E-2</v>
      </c>
      <c r="D24" s="142">
        <v>0.11437421049999999</v>
      </c>
    </row>
    <row r="25" spans="1:4" ht="15">
      <c r="A25" s="139" t="s">
        <v>87</v>
      </c>
      <c r="B25" s="140">
        <v>258</v>
      </c>
      <c r="C25" s="141">
        <v>0.19921119999999998</v>
      </c>
      <c r="D25" s="142">
        <v>0.111632807</v>
      </c>
    </row>
    <row r="26" spans="1:4" ht="15">
      <c r="A26" s="139" t="s">
        <v>109</v>
      </c>
      <c r="B26" s="140">
        <v>78</v>
      </c>
      <c r="C26" s="141">
        <v>0.12078285709999999</v>
      </c>
      <c r="D26" s="142">
        <v>0.1108372973</v>
      </c>
    </row>
    <row r="27" spans="1:4" ht="15">
      <c r="A27" s="139" t="s">
        <v>61</v>
      </c>
      <c r="B27" s="140">
        <v>645</v>
      </c>
      <c r="C27" s="141">
        <v>0.15295837400000001</v>
      </c>
      <c r="D27" s="142">
        <v>0.1085815385</v>
      </c>
    </row>
    <row r="28" spans="1:4" ht="15">
      <c r="A28" s="139" t="s">
        <v>142</v>
      </c>
      <c r="B28" s="140">
        <v>22</v>
      </c>
      <c r="C28" s="141">
        <v>7.6740000000000003E-2</v>
      </c>
      <c r="D28" s="142">
        <v>0.10418250000000001</v>
      </c>
    </row>
    <row r="29" spans="1:4" ht="15">
      <c r="A29" s="139" t="s">
        <v>89</v>
      </c>
      <c r="B29" s="140">
        <v>16</v>
      </c>
      <c r="C29" s="141">
        <v>-0.11096666669999999</v>
      </c>
      <c r="D29" s="142">
        <v>0.10362500000000001</v>
      </c>
    </row>
    <row r="30" spans="1:4" ht="15">
      <c r="A30" s="139" t="s">
        <v>66</v>
      </c>
      <c r="B30" s="140">
        <v>41</v>
      </c>
      <c r="C30" s="141">
        <v>0.24299230770000002</v>
      </c>
      <c r="D30" s="142">
        <v>0.100892069</v>
      </c>
    </row>
    <row r="31" spans="1:4" ht="15">
      <c r="A31" s="139" t="s">
        <v>88</v>
      </c>
      <c r="B31" s="140">
        <v>87</v>
      </c>
      <c r="C31" s="141">
        <v>0.1092993939</v>
      </c>
      <c r="D31" s="142">
        <v>9.9055111109999996E-2</v>
      </c>
    </row>
    <row r="32" spans="1:4" ht="15">
      <c r="A32" s="139" t="s">
        <v>92</v>
      </c>
      <c r="B32" s="140">
        <v>254</v>
      </c>
      <c r="C32" s="141">
        <v>8.4157916669999999E-2</v>
      </c>
      <c r="D32" s="142">
        <v>9.8750384619999992E-2</v>
      </c>
    </row>
    <row r="33" spans="1:4" ht="15">
      <c r="A33" s="139" t="s">
        <v>102</v>
      </c>
      <c r="B33" s="140">
        <v>50</v>
      </c>
      <c r="C33" s="141">
        <v>0.18702413790000003</v>
      </c>
      <c r="D33" s="142">
        <v>9.7545128209999998E-2</v>
      </c>
    </row>
    <row r="34" spans="1:4" ht="15">
      <c r="A34" s="139" t="s">
        <v>73</v>
      </c>
      <c r="B34" s="140">
        <v>117</v>
      </c>
      <c r="C34" s="141">
        <v>-8.6437500000000004E-3</v>
      </c>
      <c r="D34" s="142">
        <v>9.6431492540000011E-2</v>
      </c>
    </row>
    <row r="35" spans="1:4" ht="15">
      <c r="A35" s="139" t="s">
        <v>137</v>
      </c>
      <c r="B35" s="140">
        <v>236</v>
      </c>
      <c r="C35" s="141">
        <v>7.0713636359999998E-2</v>
      </c>
      <c r="D35" s="142">
        <v>9.5037864079999992E-2</v>
      </c>
    </row>
    <row r="36" spans="1:4" ht="15">
      <c r="A36" s="139" t="s">
        <v>75</v>
      </c>
      <c r="B36" s="140">
        <v>51</v>
      </c>
      <c r="C36" s="141">
        <v>0.315</v>
      </c>
      <c r="D36" s="142">
        <v>8.9382432430000006E-2</v>
      </c>
    </row>
    <row r="37" spans="1:4" ht="15">
      <c r="A37" s="139" t="s">
        <v>62</v>
      </c>
      <c r="B37" s="140">
        <v>25</v>
      </c>
      <c r="C37" s="141">
        <v>2.1633333330000001E-2</v>
      </c>
      <c r="D37" s="142">
        <v>8.5675555560000005E-2</v>
      </c>
    </row>
    <row r="38" spans="1:4" ht="15">
      <c r="A38" s="148" t="s">
        <v>148</v>
      </c>
      <c r="B38" s="149">
        <v>7330</v>
      </c>
      <c r="C38" s="150">
        <v>9.6364143270000008E-2</v>
      </c>
      <c r="D38" s="151">
        <v>8.3621865439999998E-2</v>
      </c>
    </row>
    <row r="39" spans="1:4" ht="15">
      <c r="A39" s="139" t="s">
        <v>96</v>
      </c>
      <c r="B39" s="140">
        <v>38</v>
      </c>
      <c r="C39" s="141">
        <v>3.8111111110000005E-2</v>
      </c>
      <c r="D39" s="142">
        <v>8.2858636360000001E-2</v>
      </c>
    </row>
    <row r="40" spans="1:4" ht="15">
      <c r="A40" s="139" t="s">
        <v>125</v>
      </c>
      <c r="B40" s="140">
        <v>88</v>
      </c>
      <c r="C40" s="141">
        <v>0.1037378571</v>
      </c>
      <c r="D40" s="142">
        <v>8.1002325580000006E-2</v>
      </c>
    </row>
    <row r="41" spans="1:4" ht="15">
      <c r="A41" s="148" t="s">
        <v>149</v>
      </c>
      <c r="B41" s="149">
        <v>6100</v>
      </c>
      <c r="C41" s="150">
        <v>8.6190533241306558E-2</v>
      </c>
      <c r="D41" s="151">
        <v>7.9834371458024606E-2</v>
      </c>
    </row>
    <row r="42" spans="1:4" ht="15">
      <c r="A42" s="139" t="s">
        <v>67</v>
      </c>
      <c r="B42" s="140">
        <v>165</v>
      </c>
      <c r="C42" s="141">
        <v>9.7715217390000011E-2</v>
      </c>
      <c r="D42" s="142">
        <v>7.7496375000000006E-2</v>
      </c>
    </row>
    <row r="43" spans="1:4" ht="15">
      <c r="A43" s="139" t="s">
        <v>64</v>
      </c>
      <c r="B43" s="140">
        <v>30</v>
      </c>
      <c r="C43" s="141">
        <v>8.7230769199999995E-3</v>
      </c>
      <c r="D43" s="142">
        <v>7.7177222219999994E-2</v>
      </c>
    </row>
    <row r="44" spans="1:4" ht="15">
      <c r="A44" s="139" t="s">
        <v>134</v>
      </c>
      <c r="B44" s="140">
        <v>10</v>
      </c>
      <c r="C44" s="141">
        <v>3.5400000000000001E-2</v>
      </c>
      <c r="D44" s="142">
        <v>7.5975000000000001E-2</v>
      </c>
    </row>
    <row r="45" spans="1:4" ht="15">
      <c r="A45" s="139" t="s">
        <v>83</v>
      </c>
      <c r="B45" s="140">
        <v>48</v>
      </c>
      <c r="C45" s="141">
        <v>-6.1246666669999998E-2</v>
      </c>
      <c r="D45" s="142">
        <v>7.1773928570000006E-2</v>
      </c>
    </row>
    <row r="46" spans="1:4" ht="15">
      <c r="A46" s="139" t="s">
        <v>98</v>
      </c>
      <c r="B46" s="140">
        <v>129</v>
      </c>
      <c r="C46" s="141">
        <v>5.8503548390000007E-2</v>
      </c>
      <c r="D46" s="142">
        <v>6.7568333330000008E-2</v>
      </c>
    </row>
    <row r="47" spans="1:4" ht="15">
      <c r="A47" s="139" t="s">
        <v>90</v>
      </c>
      <c r="B47" s="140">
        <v>30</v>
      </c>
      <c r="C47" s="141">
        <v>3.3874000000000001E-2</v>
      </c>
      <c r="D47" s="142">
        <v>6.6189473679999999E-2</v>
      </c>
    </row>
    <row r="48" spans="1:4" ht="15">
      <c r="A48" s="139" t="s">
        <v>94</v>
      </c>
      <c r="B48" s="140">
        <v>125</v>
      </c>
      <c r="C48" s="141">
        <v>5.5027272729999993E-2</v>
      </c>
      <c r="D48" s="142">
        <v>6.5206833330000005E-2</v>
      </c>
    </row>
    <row r="49" spans="1:4" ht="15">
      <c r="A49" s="139" t="s">
        <v>97</v>
      </c>
      <c r="B49" s="140">
        <v>69</v>
      </c>
      <c r="C49" s="141">
        <v>0.18443500000000002</v>
      </c>
      <c r="D49" s="142">
        <v>6.2708157890000005E-2</v>
      </c>
    </row>
    <row r="50" spans="1:4" ht="15">
      <c r="A50" s="139" t="s">
        <v>124</v>
      </c>
      <c r="B50" s="140">
        <v>6</v>
      </c>
      <c r="C50" s="141">
        <v>0.1103</v>
      </c>
      <c r="D50" s="142">
        <v>6.1966666669999997E-2</v>
      </c>
    </row>
    <row r="51" spans="1:4" ht="15">
      <c r="A51" s="139" t="s">
        <v>99</v>
      </c>
      <c r="B51" s="140">
        <v>64</v>
      </c>
      <c r="C51" s="141">
        <v>0.1176409091</v>
      </c>
      <c r="D51" s="142">
        <v>6.1094545450000003E-2</v>
      </c>
    </row>
    <row r="52" spans="1:4" ht="15">
      <c r="A52" s="139" t="s">
        <v>140</v>
      </c>
      <c r="B52" s="140">
        <v>107</v>
      </c>
      <c r="C52" s="141">
        <v>2.5716000000000003E-2</v>
      </c>
      <c r="D52" s="142">
        <v>5.639369231E-2</v>
      </c>
    </row>
    <row r="53" spans="1:4" ht="15">
      <c r="A53" s="139" t="s">
        <v>86</v>
      </c>
      <c r="B53" s="140">
        <v>37</v>
      </c>
      <c r="C53" s="141">
        <v>-2.0718E-2</v>
      </c>
      <c r="D53" s="142">
        <v>5.5218125E-2</v>
      </c>
    </row>
    <row r="54" spans="1:4" ht="15">
      <c r="A54" s="139" t="s">
        <v>145</v>
      </c>
      <c r="B54" s="140">
        <v>30</v>
      </c>
      <c r="C54" s="141">
        <v>0.1584238889</v>
      </c>
      <c r="D54" s="142">
        <v>5.453391304E-2</v>
      </c>
    </row>
    <row r="55" spans="1:4" ht="15">
      <c r="A55" s="139" t="s">
        <v>76</v>
      </c>
      <c r="B55" s="140">
        <v>24</v>
      </c>
      <c r="C55" s="141">
        <v>0.1033909091</v>
      </c>
      <c r="D55" s="142">
        <v>5.4181999999999994E-2</v>
      </c>
    </row>
    <row r="56" spans="1:4" ht="15">
      <c r="A56" s="139" t="s">
        <v>59</v>
      </c>
      <c r="B56" s="140">
        <v>63</v>
      </c>
      <c r="C56" s="141">
        <v>5.5217999999999996E-2</v>
      </c>
      <c r="D56" s="142">
        <v>5.2331250000000003E-2</v>
      </c>
    </row>
    <row r="57" spans="1:4" ht="15">
      <c r="A57" s="139" t="s">
        <v>141</v>
      </c>
      <c r="B57" s="140">
        <v>67</v>
      </c>
      <c r="C57" s="141">
        <v>-1.5242105260000001E-2</v>
      </c>
      <c r="D57" s="142">
        <v>4.8955428569999994E-2</v>
      </c>
    </row>
    <row r="58" spans="1:4" ht="15">
      <c r="A58" s="139" t="s">
        <v>55</v>
      </c>
      <c r="B58" s="140">
        <v>96</v>
      </c>
      <c r="C58" s="141">
        <v>6.5628124999999995E-2</v>
      </c>
      <c r="D58" s="142">
        <v>4.8543962260000004E-2</v>
      </c>
    </row>
    <row r="59" spans="1:4" ht="15">
      <c r="A59" s="139" t="s">
        <v>131</v>
      </c>
      <c r="B59" s="140">
        <v>80</v>
      </c>
      <c r="C59" s="141">
        <v>-9.5334482800000005E-3</v>
      </c>
      <c r="D59" s="142">
        <v>4.7733749999999998E-2</v>
      </c>
    </row>
    <row r="60" spans="1:4" ht="15">
      <c r="A60" s="139" t="s">
        <v>65</v>
      </c>
      <c r="B60" s="140">
        <v>45</v>
      </c>
      <c r="C60" s="141">
        <v>0.169264</v>
      </c>
      <c r="D60" s="142">
        <v>4.4497826089999998E-2</v>
      </c>
    </row>
    <row r="61" spans="1:4" ht="15">
      <c r="A61" s="139" t="s">
        <v>147</v>
      </c>
      <c r="B61" s="140">
        <v>22</v>
      </c>
      <c r="C61" s="141">
        <v>0.10390333330000001</v>
      </c>
      <c r="D61" s="142">
        <v>4.416357143E-2</v>
      </c>
    </row>
    <row r="62" spans="1:4" ht="15">
      <c r="A62" s="139" t="s">
        <v>60</v>
      </c>
      <c r="B62" s="140">
        <v>10</v>
      </c>
      <c r="C62" s="141">
        <v>6.0171428569999998E-2</v>
      </c>
      <c r="D62" s="142">
        <v>4.3682222219999997E-2</v>
      </c>
    </row>
    <row r="63" spans="1:4" ht="15">
      <c r="A63" s="139" t="s">
        <v>129</v>
      </c>
      <c r="B63" s="140">
        <v>108</v>
      </c>
      <c r="C63" s="141">
        <v>4.01298E-2</v>
      </c>
      <c r="D63" s="142">
        <v>4.3381756759999994E-2</v>
      </c>
    </row>
    <row r="64" spans="1:4" ht="15">
      <c r="A64" s="139" t="s">
        <v>144</v>
      </c>
      <c r="B64" s="140">
        <v>7</v>
      </c>
      <c r="C64" s="141">
        <v>5.8525999999999995E-2</v>
      </c>
      <c r="D64" s="142">
        <v>4.2560000000000001E-2</v>
      </c>
    </row>
    <row r="65" spans="1:4" ht="15">
      <c r="A65" s="139" t="s">
        <v>82</v>
      </c>
      <c r="B65" s="140">
        <v>164</v>
      </c>
      <c r="C65" s="141">
        <v>-3.6460416670000002E-2</v>
      </c>
      <c r="D65" s="142">
        <v>3.9713177570000001E-2</v>
      </c>
    </row>
    <row r="66" spans="1:4" ht="15">
      <c r="A66" s="139" t="s">
        <v>56</v>
      </c>
      <c r="B66" s="140">
        <v>18</v>
      </c>
      <c r="C66" s="141">
        <v>0.40394545450000002</v>
      </c>
      <c r="D66" s="142">
        <v>3.5420714290000002E-2</v>
      </c>
    </row>
    <row r="67" spans="1:4" ht="15">
      <c r="A67" s="139" t="s">
        <v>69</v>
      </c>
      <c r="B67" s="140">
        <v>45</v>
      </c>
      <c r="C67" s="141">
        <v>1.6881111109999999E-2</v>
      </c>
      <c r="D67" s="142">
        <v>3.2491764710000003E-2</v>
      </c>
    </row>
    <row r="68" spans="1:4" ht="15">
      <c r="A68" s="139" t="s">
        <v>126</v>
      </c>
      <c r="B68" s="140">
        <v>19</v>
      </c>
      <c r="C68" s="141">
        <v>-3.8658333329999996E-2</v>
      </c>
      <c r="D68" s="142">
        <v>3.0659411759999998E-2</v>
      </c>
    </row>
    <row r="69" spans="1:4" ht="15">
      <c r="A69" s="139" t="s">
        <v>100</v>
      </c>
      <c r="B69" s="140">
        <v>19</v>
      </c>
      <c r="C69" s="141">
        <v>-2.4358333330000002E-2</v>
      </c>
      <c r="D69" s="142">
        <v>3.0168750000000001E-2</v>
      </c>
    </row>
    <row r="70" spans="1:4" ht="15">
      <c r="A70" s="139" t="s">
        <v>120</v>
      </c>
      <c r="B70" s="140">
        <v>66</v>
      </c>
      <c r="C70" s="141">
        <v>0.22259230769999999</v>
      </c>
      <c r="D70" s="142">
        <v>2.9474516130000003E-2</v>
      </c>
    </row>
    <row r="71" spans="1:4" ht="15">
      <c r="A71" s="139" t="s">
        <v>127</v>
      </c>
      <c r="B71" s="140">
        <v>14</v>
      </c>
      <c r="C71" s="141">
        <v>0.12448555560000001</v>
      </c>
      <c r="D71" s="142">
        <v>2.7269999999999999E-2</v>
      </c>
    </row>
    <row r="72" spans="1:4" ht="15">
      <c r="A72" s="139" t="s">
        <v>84</v>
      </c>
      <c r="B72" s="140">
        <v>79</v>
      </c>
      <c r="C72" s="141">
        <v>5.0027272729999996E-2</v>
      </c>
      <c r="D72" s="142">
        <v>2.4986666670000001E-2</v>
      </c>
    </row>
    <row r="73" spans="1:4" ht="15">
      <c r="A73" s="139" t="s">
        <v>114</v>
      </c>
      <c r="B73" s="140">
        <v>109</v>
      </c>
      <c r="C73" s="141">
        <v>-0.28149999999999997</v>
      </c>
      <c r="D73" s="142">
        <v>2.3938461539999997E-2</v>
      </c>
    </row>
    <row r="74" spans="1:4" ht="15">
      <c r="A74" s="139" t="s">
        <v>101</v>
      </c>
      <c r="B74" s="140">
        <v>22</v>
      </c>
      <c r="C74" s="141">
        <v>8.423466667E-2</v>
      </c>
      <c r="D74" s="142">
        <v>2.0644999999999997E-2</v>
      </c>
    </row>
    <row r="75" spans="1:4" ht="15">
      <c r="A75" s="139" t="s">
        <v>71</v>
      </c>
      <c r="B75" s="140">
        <v>100</v>
      </c>
      <c r="C75" s="141">
        <v>3.18677419E-3</v>
      </c>
      <c r="D75" s="142">
        <v>1.9985166670000002E-2</v>
      </c>
    </row>
    <row r="76" spans="1:4" ht="15">
      <c r="A76" s="139" t="s">
        <v>104</v>
      </c>
      <c r="B76" s="140">
        <v>127</v>
      </c>
      <c r="C76" s="141">
        <v>4.7000588240000002E-2</v>
      </c>
      <c r="D76" s="142">
        <v>1.814066667E-2</v>
      </c>
    </row>
    <row r="77" spans="1:4" ht="15">
      <c r="A77" s="139" t="s">
        <v>111</v>
      </c>
      <c r="B77" s="140">
        <v>26</v>
      </c>
      <c r="C77" s="141">
        <v>5.6346666670000004E-2</v>
      </c>
      <c r="D77" s="142">
        <v>1.6937999999999998E-2</v>
      </c>
    </row>
    <row r="78" spans="1:4" ht="15">
      <c r="A78" s="139" t="s">
        <v>135</v>
      </c>
      <c r="B78" s="140">
        <v>13</v>
      </c>
      <c r="C78" s="141">
        <v>2.98E-2</v>
      </c>
      <c r="D78" s="142">
        <v>1.1859999999999999E-2</v>
      </c>
    </row>
    <row r="79" spans="1:4" ht="15">
      <c r="A79" s="139" t="s">
        <v>68</v>
      </c>
      <c r="B79" s="140">
        <v>14</v>
      </c>
      <c r="C79" s="141">
        <v>5.9549999999999999E-2</v>
      </c>
      <c r="D79" s="142">
        <v>6.3333333300000004E-3</v>
      </c>
    </row>
    <row r="80" spans="1:4" ht="15">
      <c r="A80" s="139" t="s">
        <v>113</v>
      </c>
      <c r="B80" s="140">
        <v>68</v>
      </c>
      <c r="C80" s="141">
        <v>3.5966666670000001E-2</v>
      </c>
      <c r="D80" s="142">
        <v>5.4207407399999999E-3</v>
      </c>
    </row>
    <row r="81" spans="1:10" ht="15">
      <c r="A81" s="139" t="s">
        <v>108</v>
      </c>
      <c r="B81" s="140">
        <v>330</v>
      </c>
      <c r="C81" s="141">
        <v>-0.14021368419999999</v>
      </c>
      <c r="D81" s="142">
        <v>1.79321168E-3</v>
      </c>
    </row>
    <row r="82" spans="1:10" ht="15">
      <c r="A82" s="139" t="s">
        <v>106</v>
      </c>
      <c r="B82" s="140">
        <v>24</v>
      </c>
      <c r="C82" s="141">
        <v>8.4446153850000011E-2</v>
      </c>
      <c r="D82" s="142">
        <v>1.4524999999999998E-3</v>
      </c>
    </row>
    <row r="83" spans="1:10" ht="15">
      <c r="A83" s="139" t="s">
        <v>110</v>
      </c>
      <c r="B83" s="140">
        <v>148</v>
      </c>
      <c r="C83" s="141">
        <v>-4.1220555560000004E-2</v>
      </c>
      <c r="D83" s="142">
        <v>9.9987654000000003E-4</v>
      </c>
    </row>
    <row r="84" spans="1:10" ht="15">
      <c r="A84" s="139" t="s">
        <v>80</v>
      </c>
      <c r="B84" s="140">
        <v>119</v>
      </c>
      <c r="C84" s="141">
        <v>5.166631579E-2</v>
      </c>
      <c r="D84" s="142">
        <v>6.2211538000000002E-4</v>
      </c>
    </row>
    <row r="85" spans="1:10" ht="15">
      <c r="A85" s="139" t="s">
        <v>139</v>
      </c>
      <c r="B85" s="140">
        <v>17</v>
      </c>
      <c r="C85" s="141">
        <v>-9.3450000000000005E-2</v>
      </c>
      <c r="D85" s="142">
        <v>-3.5771428599999998E-3</v>
      </c>
    </row>
    <row r="86" spans="1:10" ht="15">
      <c r="A86" s="139" t="s">
        <v>146</v>
      </c>
      <c r="B86" s="140">
        <v>18</v>
      </c>
      <c r="C86" s="141">
        <v>3.3391250000000004E-2</v>
      </c>
      <c r="D86" s="142">
        <v>-5.5588888899999996E-3</v>
      </c>
    </row>
    <row r="87" spans="1:10" ht="15">
      <c r="A87" s="139" t="s">
        <v>81</v>
      </c>
      <c r="B87" s="140">
        <v>24</v>
      </c>
      <c r="C87" s="141">
        <v>0.113675</v>
      </c>
      <c r="D87" s="142">
        <v>-7.7400000000000004E-3</v>
      </c>
    </row>
    <row r="88" spans="1:10" ht="15">
      <c r="A88" s="139" t="s">
        <v>70</v>
      </c>
      <c r="B88" s="140">
        <v>8</v>
      </c>
      <c r="C88" s="141">
        <v>5.8959999999999999E-2</v>
      </c>
      <c r="D88" s="142">
        <v>-2.2679999999999999E-2</v>
      </c>
    </row>
    <row r="89" spans="1:10" ht="15">
      <c r="A89" s="139" t="s">
        <v>115</v>
      </c>
      <c r="B89" s="140">
        <v>37</v>
      </c>
      <c r="C89" s="141">
        <v>-0.10123749999999999</v>
      </c>
      <c r="D89" s="142">
        <v>-2.3795789470000002E-2</v>
      </c>
    </row>
    <row r="90" spans="1:10" ht="15">
      <c r="A90" s="139" t="s">
        <v>74</v>
      </c>
      <c r="B90" s="140">
        <v>55</v>
      </c>
      <c r="C90" s="141">
        <v>1.9699999999999999E-2</v>
      </c>
      <c r="D90" s="142">
        <v>-2.418766667E-2</v>
      </c>
    </row>
    <row r="91" spans="1:10" ht="15">
      <c r="A91" s="139" t="s">
        <v>132</v>
      </c>
      <c r="B91" s="140">
        <v>45</v>
      </c>
      <c r="C91" s="141">
        <v>1.112222222E-2</v>
      </c>
      <c r="D91" s="142">
        <v>-2.7569062500000002E-2</v>
      </c>
    </row>
    <row r="92" spans="1:10" ht="15">
      <c r="A92" s="139" t="s">
        <v>79</v>
      </c>
      <c r="B92" s="140">
        <v>36</v>
      </c>
      <c r="C92" s="141">
        <v>-0.1092433333</v>
      </c>
      <c r="D92" s="142">
        <v>-3.9019999999999999E-2</v>
      </c>
    </row>
    <row r="93" spans="1:10" ht="15">
      <c r="A93" s="139" t="s">
        <v>72</v>
      </c>
      <c r="B93" s="140">
        <v>38</v>
      </c>
      <c r="C93" s="141">
        <v>-0.14364000000000002</v>
      </c>
      <c r="D93" s="142">
        <v>-3.9992857139999997E-2</v>
      </c>
    </row>
    <row r="94" spans="1:10" ht="15">
      <c r="A94" s="139" t="s">
        <v>130</v>
      </c>
      <c r="B94" s="140">
        <v>4</v>
      </c>
      <c r="C94" s="141">
        <v>0.20499999999999999</v>
      </c>
      <c r="D94" s="142">
        <v>-4.7649999999999998E-2</v>
      </c>
    </row>
    <row r="95" spans="1:10" s="134" customFormat="1" ht="15">
      <c r="A95" s="139" t="s">
        <v>138</v>
      </c>
      <c r="B95" s="140">
        <v>38</v>
      </c>
      <c r="C95" s="141">
        <v>-0.17745333330000002</v>
      </c>
      <c r="D95" s="142">
        <v>-6.9898461539999998E-2</v>
      </c>
      <c r="E95"/>
      <c r="F95"/>
      <c r="G95"/>
      <c r="H95"/>
      <c r="I95"/>
      <c r="J95"/>
    </row>
    <row r="96" spans="1:10" s="134" customFormat="1" ht="15">
      <c r="A96" s="139" t="s">
        <v>133</v>
      </c>
      <c r="B96" s="140">
        <v>11</v>
      </c>
      <c r="C96" s="141">
        <v>5.4295000000000003E-2</v>
      </c>
      <c r="D96" s="142">
        <v>-9.0787499999999993E-2</v>
      </c>
    </row>
    <row r="97" spans="1:10" s="134" customFormat="1" ht="15">
      <c r="A97" s="143" t="s">
        <v>107</v>
      </c>
      <c r="B97" s="144">
        <v>7</v>
      </c>
      <c r="C97" s="145">
        <v>-0.26200000000000001</v>
      </c>
      <c r="D97" s="146">
        <v>-0.11745</v>
      </c>
    </row>
    <row r="99" spans="1:10" ht="15" thickBot="1"/>
    <row r="100" spans="1:10" ht="15">
      <c r="A100" s="131" t="s">
        <v>39</v>
      </c>
      <c r="B100" s="166">
        <v>42740</v>
      </c>
      <c r="C100" s="167"/>
      <c r="D100" s="167"/>
      <c r="E100" s="167"/>
      <c r="F100" s="167"/>
      <c r="G100" s="168"/>
    </row>
    <row r="101" spans="1:10" ht="15">
      <c r="A101" s="132" t="s">
        <v>40</v>
      </c>
      <c r="B101" s="159" t="s">
        <v>41</v>
      </c>
      <c r="C101" s="160"/>
      <c r="D101" s="160"/>
      <c r="E101" s="160"/>
      <c r="F101" s="160"/>
      <c r="G101" s="161"/>
    </row>
    <row r="102" spans="1:10" ht="15">
      <c r="A102" s="132" t="s">
        <v>42</v>
      </c>
      <c r="B102" s="169" t="s">
        <v>150</v>
      </c>
      <c r="C102" s="170"/>
      <c r="D102" s="170"/>
      <c r="E102" s="171"/>
      <c r="F102" s="169" t="s">
        <v>43</v>
      </c>
      <c r="G102" s="172"/>
      <c r="H102" s="133"/>
      <c r="I102" s="133"/>
      <c r="J102" s="133"/>
    </row>
    <row r="103" spans="1:10" ht="15">
      <c r="A103" s="132" t="s">
        <v>44</v>
      </c>
      <c r="B103" s="173" t="s">
        <v>45</v>
      </c>
      <c r="C103" s="174"/>
      <c r="D103" s="174"/>
      <c r="E103" s="174"/>
      <c r="F103" s="174"/>
      <c r="G103" s="175"/>
    </row>
    <row r="104" spans="1:10" ht="15">
      <c r="A104" s="132" t="s">
        <v>46</v>
      </c>
      <c r="B104" s="176" t="s">
        <v>47</v>
      </c>
      <c r="C104" s="177"/>
      <c r="D104" s="177"/>
      <c r="E104" s="177"/>
      <c r="F104" s="177"/>
      <c r="G104" s="178"/>
    </row>
    <row r="105" spans="1:10" s="134" customFormat="1" ht="15">
      <c r="A105" s="132" t="s">
        <v>48</v>
      </c>
      <c r="B105" s="159" t="s">
        <v>49</v>
      </c>
      <c r="C105" s="160"/>
      <c r="D105" s="160"/>
      <c r="E105" s="160"/>
      <c r="F105" s="160"/>
      <c r="G105" s="161"/>
    </row>
    <row r="106" spans="1:10" ht="16" thickBot="1">
      <c r="A106" s="135" t="s">
        <v>50</v>
      </c>
      <c r="B106" s="162" t="s">
        <v>51</v>
      </c>
      <c r="C106" s="163"/>
      <c r="D106" s="163"/>
      <c r="E106" s="164"/>
      <c r="F106" s="164"/>
      <c r="G106" s="165"/>
    </row>
  </sheetData>
  <mergeCells count="8">
    <mergeCell ref="B105:G105"/>
    <mergeCell ref="B106:G106"/>
    <mergeCell ref="B100:G100"/>
    <mergeCell ref="B101:G101"/>
    <mergeCell ref="B102:E102"/>
    <mergeCell ref="F102:G102"/>
    <mergeCell ref="B103:G103"/>
    <mergeCell ref="B104:G104"/>
  </mergeCells>
  <hyperlinks>
    <hyperlink ref="B101" r:id="rId1"/>
    <hyperlink ref="B103" r:id="rId2"/>
    <hyperlink ref="B104" r:id="rId3"/>
    <hyperlink ref="B105" r:id="rId4"/>
    <hyperlink ref="B106" r:id="rId5"/>
  </hyperlinks>
  <pageMargins left="0.7" right="0.7" top="0.75" bottom="0.75" header="0.3" footer="0.3"/>
  <tableParts count="1">
    <tablePart r:id="rId6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9"/>
  <sheetViews>
    <sheetView workbookViewId="0">
      <selection activeCell="D20" sqref="D20"/>
    </sheetView>
  </sheetViews>
  <sheetFormatPr baseColWidth="10" defaultColWidth="8.83203125" defaultRowHeight="14" x14ac:dyDescent="0"/>
  <cols>
    <col min="5" max="5" width="10.5" customWidth="1"/>
  </cols>
  <sheetData>
    <row r="1" spans="1:6">
      <c r="A1" t="s">
        <v>162</v>
      </c>
      <c r="F1" t="s">
        <v>179</v>
      </c>
    </row>
    <row r="4" spans="1:6">
      <c r="A4">
        <v>2016</v>
      </c>
      <c r="B4">
        <v>11.92</v>
      </c>
      <c r="F4" t="s">
        <v>163</v>
      </c>
    </row>
    <row r="5" spans="1:6">
      <c r="A5">
        <v>2015</v>
      </c>
      <c r="B5">
        <v>1.31</v>
      </c>
    </row>
    <row r="6" spans="1:6">
      <c r="A6">
        <v>2014</v>
      </c>
      <c r="B6">
        <v>13.81</v>
      </c>
      <c r="E6" t="s">
        <v>165</v>
      </c>
      <c r="F6" s="1">
        <v>6.93E-2</v>
      </c>
    </row>
    <row r="7" spans="1:6">
      <c r="A7">
        <v>2013</v>
      </c>
      <c r="B7">
        <v>32.43</v>
      </c>
      <c r="E7" t="s">
        <v>166</v>
      </c>
      <c r="F7" s="1">
        <v>4.4699999999999997E-2</v>
      </c>
    </row>
    <row r="8" spans="1:6">
      <c r="A8">
        <v>2012</v>
      </c>
      <c r="B8">
        <v>15.88</v>
      </c>
      <c r="E8" t="s">
        <v>167</v>
      </c>
      <c r="F8" s="1">
        <v>9.3899999999999997E-2</v>
      </c>
    </row>
    <row r="9" spans="1:6">
      <c r="A9">
        <v>2011</v>
      </c>
      <c r="B9">
        <v>2.0699999999999998</v>
      </c>
      <c r="E9" t="s">
        <v>168</v>
      </c>
      <c r="F9" s="1">
        <v>0.1157</v>
      </c>
    </row>
    <row r="10" spans="1:6">
      <c r="A10">
        <v>2010</v>
      </c>
      <c r="B10">
        <v>14.87</v>
      </c>
      <c r="E10" t="s">
        <v>164</v>
      </c>
      <c r="F10" s="1">
        <v>9.0700000000000003E-2</v>
      </c>
    </row>
    <row r="11" spans="1:6">
      <c r="A11">
        <v>2009</v>
      </c>
      <c r="B11">
        <v>27.11</v>
      </c>
    </row>
    <row r="12" spans="1:6">
      <c r="A12">
        <v>2008</v>
      </c>
      <c r="B12">
        <v>-37.22</v>
      </c>
    </row>
    <row r="13" spans="1:6">
      <c r="A13">
        <v>2007</v>
      </c>
      <c r="B13">
        <v>5.46</v>
      </c>
    </row>
    <row r="14" spans="1:6">
      <c r="A14">
        <v>2006</v>
      </c>
      <c r="B14">
        <v>15.74</v>
      </c>
    </row>
    <row r="15" spans="1:6">
      <c r="A15">
        <v>2005</v>
      </c>
      <c r="B15">
        <v>4.79</v>
      </c>
    </row>
    <row r="16" spans="1:6">
      <c r="A16">
        <v>2004</v>
      </c>
      <c r="B16">
        <v>10.82</v>
      </c>
    </row>
    <row r="17" spans="1:2">
      <c r="A17">
        <v>2003</v>
      </c>
      <c r="B17">
        <v>28.72</v>
      </c>
    </row>
    <row r="18" spans="1:2">
      <c r="A18">
        <v>2002</v>
      </c>
      <c r="B18">
        <v>-22.27</v>
      </c>
    </row>
    <row r="19" spans="1:2">
      <c r="A19">
        <v>2001</v>
      </c>
      <c r="B19">
        <v>-11.98</v>
      </c>
    </row>
    <row r="20" spans="1:2">
      <c r="A20">
        <v>2000</v>
      </c>
      <c r="B20">
        <v>-9.11</v>
      </c>
    </row>
    <row r="21" spans="1:2">
      <c r="A21">
        <v>1999</v>
      </c>
      <c r="B21">
        <v>21.11</v>
      </c>
    </row>
    <row r="22" spans="1:2">
      <c r="A22">
        <v>1998</v>
      </c>
      <c r="B22">
        <v>28.73</v>
      </c>
    </row>
    <row r="23" spans="1:2">
      <c r="A23">
        <v>1997</v>
      </c>
      <c r="B23">
        <v>33.67</v>
      </c>
    </row>
    <row r="24" spans="1:2">
      <c r="A24">
        <v>1996</v>
      </c>
      <c r="B24">
        <v>23.06</v>
      </c>
    </row>
    <row r="25" spans="1:2">
      <c r="A25">
        <v>1995</v>
      </c>
      <c r="B25">
        <v>38.020000000000003</v>
      </c>
    </row>
    <row r="26" spans="1:2">
      <c r="A26">
        <v>1994</v>
      </c>
      <c r="B26">
        <v>1.19</v>
      </c>
    </row>
    <row r="27" spans="1:2">
      <c r="A27">
        <v>1993</v>
      </c>
      <c r="B27">
        <v>10.17</v>
      </c>
    </row>
    <row r="28" spans="1:2">
      <c r="A28">
        <v>1992</v>
      </c>
      <c r="B28">
        <v>7.6</v>
      </c>
    </row>
    <row r="29" spans="1:2">
      <c r="A29">
        <v>1991</v>
      </c>
      <c r="B29">
        <v>30.95</v>
      </c>
    </row>
    <row r="30" spans="1:2">
      <c r="A30">
        <v>1990</v>
      </c>
      <c r="B30">
        <v>-3.42</v>
      </c>
    </row>
    <row r="31" spans="1:2">
      <c r="A31">
        <v>1989</v>
      </c>
      <c r="B31">
        <v>32</v>
      </c>
    </row>
    <row r="32" spans="1:2">
      <c r="A32">
        <v>1988</v>
      </c>
      <c r="B32">
        <v>16.64</v>
      </c>
    </row>
    <row r="33" spans="1:2">
      <c r="A33">
        <v>1987</v>
      </c>
      <c r="B33">
        <v>5.69</v>
      </c>
    </row>
    <row r="34" spans="1:2">
      <c r="A34">
        <v>1986</v>
      </c>
      <c r="B34">
        <v>19.059999999999999</v>
      </c>
    </row>
    <row r="35" spans="1:2">
      <c r="A35">
        <v>1985</v>
      </c>
      <c r="B35">
        <v>32.24</v>
      </c>
    </row>
    <row r="36" spans="1:2">
      <c r="A36">
        <v>1984</v>
      </c>
      <c r="B36">
        <v>5.96</v>
      </c>
    </row>
    <row r="37" spans="1:2">
      <c r="A37">
        <v>1983</v>
      </c>
      <c r="B37">
        <v>23.13</v>
      </c>
    </row>
    <row r="38" spans="1:2">
      <c r="A38">
        <v>1982</v>
      </c>
      <c r="B38">
        <v>21.22</v>
      </c>
    </row>
    <row r="39" spans="1:2">
      <c r="A39">
        <v>1981</v>
      </c>
      <c r="B39">
        <v>-5.33</v>
      </c>
    </row>
    <row r="40" spans="1:2">
      <c r="A40">
        <v>1980</v>
      </c>
      <c r="B40">
        <v>32.76</v>
      </c>
    </row>
    <row r="41" spans="1:2">
      <c r="A41">
        <v>1979</v>
      </c>
      <c r="B41">
        <v>18.690000000000001</v>
      </c>
    </row>
    <row r="42" spans="1:2">
      <c r="A42">
        <v>1978</v>
      </c>
      <c r="B42">
        <v>6.41</v>
      </c>
    </row>
    <row r="43" spans="1:2">
      <c r="A43">
        <v>1977</v>
      </c>
      <c r="B43">
        <v>-7.78</v>
      </c>
    </row>
    <row r="44" spans="1:2">
      <c r="A44">
        <v>1976</v>
      </c>
      <c r="B44">
        <v>24.2</v>
      </c>
    </row>
    <row r="45" spans="1:2">
      <c r="A45">
        <v>1975</v>
      </c>
      <c r="B45">
        <v>38.46</v>
      </c>
    </row>
    <row r="46" spans="1:2">
      <c r="A46">
        <v>1974</v>
      </c>
      <c r="B46">
        <v>-26.95</v>
      </c>
    </row>
    <row r="47" spans="1:2">
      <c r="A47">
        <v>1973</v>
      </c>
      <c r="B47">
        <v>-15.03</v>
      </c>
    </row>
    <row r="48" spans="1:2">
      <c r="A48">
        <v>1972</v>
      </c>
      <c r="B48">
        <v>19.149999999999999</v>
      </c>
    </row>
    <row r="49" spans="1:2">
      <c r="A49">
        <v>1971</v>
      </c>
      <c r="B49">
        <v>14.54</v>
      </c>
    </row>
    <row r="50" spans="1:2">
      <c r="A50">
        <v>1970</v>
      </c>
      <c r="B50">
        <v>3.6</v>
      </c>
    </row>
    <row r="51" spans="1:2">
      <c r="A51">
        <v>1969</v>
      </c>
      <c r="B51">
        <v>-8.6300000000000008</v>
      </c>
    </row>
    <row r="52" spans="1:2">
      <c r="A52">
        <v>1968</v>
      </c>
      <c r="B52">
        <v>11.03</v>
      </c>
    </row>
    <row r="53" spans="1:2">
      <c r="A53">
        <v>1967</v>
      </c>
      <c r="B53">
        <v>24.45</v>
      </c>
    </row>
    <row r="54" spans="1:2">
      <c r="A54">
        <v>1966</v>
      </c>
      <c r="B54">
        <v>-10.36</v>
      </c>
    </row>
    <row r="55" spans="1:2">
      <c r="A55">
        <v>1965</v>
      </c>
      <c r="B55">
        <v>12.45</v>
      </c>
    </row>
    <row r="56" spans="1:2">
      <c r="A56">
        <v>1964</v>
      </c>
      <c r="B56">
        <v>16.59</v>
      </c>
    </row>
    <row r="57" spans="1:2">
      <c r="A57">
        <v>1963</v>
      </c>
      <c r="B57">
        <v>23.04</v>
      </c>
    </row>
    <row r="58" spans="1:2">
      <c r="A58">
        <v>1962</v>
      </c>
      <c r="B58">
        <v>-9.1999999999999993</v>
      </c>
    </row>
    <row r="59" spans="1:2">
      <c r="A59">
        <v>1961</v>
      </c>
      <c r="B59">
        <v>28.51</v>
      </c>
    </row>
    <row r="60" spans="1:2">
      <c r="A60">
        <v>1960</v>
      </c>
      <c r="B60">
        <v>-0.74</v>
      </c>
    </row>
    <row r="61" spans="1:2">
      <c r="A61">
        <v>1959</v>
      </c>
      <c r="B61">
        <v>11.59</v>
      </c>
    </row>
    <row r="62" spans="1:2">
      <c r="A62">
        <v>1958</v>
      </c>
      <c r="B62">
        <v>43.4</v>
      </c>
    </row>
    <row r="63" spans="1:2">
      <c r="A63">
        <v>1957</v>
      </c>
      <c r="B63">
        <v>-9.3000000000000007</v>
      </c>
    </row>
    <row r="64" spans="1:2">
      <c r="A64">
        <v>1956</v>
      </c>
      <c r="B64">
        <v>6.38</v>
      </c>
    </row>
    <row r="65" spans="1:2">
      <c r="A65">
        <v>1955</v>
      </c>
      <c r="B65">
        <v>28.22</v>
      </c>
    </row>
    <row r="66" spans="1:2">
      <c r="A66">
        <v>1954</v>
      </c>
      <c r="B66">
        <v>55.99</v>
      </c>
    </row>
    <row r="67" spans="1:2">
      <c r="A67">
        <v>1953</v>
      </c>
      <c r="B67">
        <v>-0.8</v>
      </c>
    </row>
    <row r="68" spans="1:2">
      <c r="A68">
        <v>1952</v>
      </c>
      <c r="B68">
        <v>18.350000000000001</v>
      </c>
    </row>
    <row r="69" spans="1:2">
      <c r="A69">
        <v>1951</v>
      </c>
      <c r="B69">
        <v>23.1</v>
      </c>
    </row>
    <row r="70" spans="1:2">
      <c r="A70">
        <v>1950</v>
      </c>
      <c r="B70">
        <v>34.28</v>
      </c>
    </row>
    <row r="71" spans="1:2">
      <c r="A71">
        <v>1949</v>
      </c>
      <c r="B71">
        <v>15.96</v>
      </c>
    </row>
    <row r="72" spans="1:2">
      <c r="A72">
        <v>1948</v>
      </c>
      <c r="B72">
        <v>9.51</v>
      </c>
    </row>
    <row r="73" spans="1:2">
      <c r="A73">
        <v>1947</v>
      </c>
      <c r="B73">
        <v>2.56</v>
      </c>
    </row>
    <row r="74" spans="1:2">
      <c r="A74">
        <v>1946</v>
      </c>
      <c r="B74">
        <v>-12.05</v>
      </c>
    </row>
    <row r="75" spans="1:2">
      <c r="A75">
        <v>1945</v>
      </c>
      <c r="B75">
        <v>39.35</v>
      </c>
    </row>
    <row r="76" spans="1:2">
      <c r="A76">
        <v>1944</v>
      </c>
      <c r="B76">
        <v>19.670000000000002</v>
      </c>
    </row>
    <row r="77" spans="1:2">
      <c r="A77">
        <v>1943</v>
      </c>
      <c r="B77">
        <v>23.6</v>
      </c>
    </row>
    <row r="78" spans="1:2">
      <c r="A78">
        <v>1942</v>
      </c>
      <c r="B78">
        <v>21.74</v>
      </c>
    </row>
    <row r="79" spans="1:2">
      <c r="A79">
        <v>1941</v>
      </c>
      <c r="B79">
        <v>-9.09</v>
      </c>
    </row>
    <row r="80" spans="1:2">
      <c r="A80">
        <v>1940</v>
      </c>
      <c r="B80">
        <v>-8.91</v>
      </c>
    </row>
    <row r="81" spans="1:2">
      <c r="A81">
        <v>1939</v>
      </c>
      <c r="B81">
        <v>2.98</v>
      </c>
    </row>
    <row r="82" spans="1:2">
      <c r="A82">
        <v>1938</v>
      </c>
      <c r="B82">
        <v>17.5</v>
      </c>
    </row>
    <row r="83" spans="1:2">
      <c r="A83">
        <v>1937</v>
      </c>
      <c r="B83">
        <v>-32.11</v>
      </c>
    </row>
    <row r="84" spans="1:2">
      <c r="A84">
        <v>1936</v>
      </c>
      <c r="B84">
        <v>32.549999999999997</v>
      </c>
    </row>
    <row r="85" spans="1:2">
      <c r="A85">
        <v>1935</v>
      </c>
      <c r="B85">
        <v>54.93</v>
      </c>
    </row>
    <row r="86" spans="1:2">
      <c r="A86">
        <v>1934</v>
      </c>
      <c r="B86">
        <v>-8.01</v>
      </c>
    </row>
    <row r="87" spans="1:2">
      <c r="A87">
        <v>1933</v>
      </c>
      <c r="B87">
        <v>56.79</v>
      </c>
    </row>
    <row r="88" spans="1:2">
      <c r="A88">
        <v>1932</v>
      </c>
      <c r="B88">
        <v>-5.81</v>
      </c>
    </row>
    <row r="89" spans="1:2">
      <c r="A89">
        <v>1931</v>
      </c>
      <c r="B89">
        <v>-44.2</v>
      </c>
    </row>
    <row r="90" spans="1:2">
      <c r="A90">
        <v>1930</v>
      </c>
      <c r="B90">
        <v>-22.72</v>
      </c>
    </row>
    <row r="91" spans="1:2">
      <c r="A91">
        <v>1929</v>
      </c>
      <c r="B91">
        <v>-9.4600000000000009</v>
      </c>
    </row>
    <row r="92" spans="1:2">
      <c r="A92">
        <v>1928</v>
      </c>
      <c r="B92">
        <v>47.57</v>
      </c>
    </row>
    <row r="93" spans="1:2">
      <c r="A93">
        <v>1927</v>
      </c>
      <c r="B93">
        <v>37.1</v>
      </c>
    </row>
    <row r="94" spans="1:2">
      <c r="A94">
        <v>1926</v>
      </c>
      <c r="B94">
        <v>11.51</v>
      </c>
    </row>
    <row r="95" spans="1:2">
      <c r="A95">
        <v>1925</v>
      </c>
      <c r="B95">
        <v>25.83</v>
      </c>
    </row>
    <row r="96" spans="1:2">
      <c r="A96">
        <v>1924</v>
      </c>
      <c r="B96">
        <v>27.1</v>
      </c>
    </row>
    <row r="97" spans="1:2">
      <c r="A97">
        <v>1923</v>
      </c>
      <c r="B97">
        <v>5.45</v>
      </c>
    </row>
    <row r="98" spans="1:2">
      <c r="A98">
        <v>1922</v>
      </c>
      <c r="B98">
        <v>29.07</v>
      </c>
    </row>
    <row r="99" spans="1:2">
      <c r="A99">
        <v>1921</v>
      </c>
      <c r="B99">
        <v>10.15</v>
      </c>
    </row>
    <row r="100" spans="1:2">
      <c r="A100">
        <v>1920</v>
      </c>
      <c r="B100">
        <v>-13.95</v>
      </c>
    </row>
    <row r="101" spans="1:2">
      <c r="A101">
        <v>1919</v>
      </c>
      <c r="B101">
        <v>19.670000000000002</v>
      </c>
    </row>
    <row r="102" spans="1:2">
      <c r="A102">
        <v>1918</v>
      </c>
      <c r="B102">
        <v>18.21</v>
      </c>
    </row>
    <row r="103" spans="1:2">
      <c r="A103">
        <v>1917</v>
      </c>
      <c r="B103">
        <v>-18.62</v>
      </c>
    </row>
    <row r="104" spans="1:2">
      <c r="A104">
        <v>1916</v>
      </c>
      <c r="B104">
        <v>8.1199999999999992</v>
      </c>
    </row>
    <row r="105" spans="1:2">
      <c r="A105">
        <v>1915</v>
      </c>
      <c r="B105">
        <v>31.2</v>
      </c>
    </row>
    <row r="106" spans="1:2">
      <c r="A106">
        <v>1914</v>
      </c>
      <c r="B106">
        <v>-5.39</v>
      </c>
    </row>
    <row r="107" spans="1:2">
      <c r="A107">
        <v>1913</v>
      </c>
      <c r="B107">
        <v>-4.7300000000000004</v>
      </c>
    </row>
    <row r="108" spans="1:2">
      <c r="A108">
        <v>1912</v>
      </c>
      <c r="B108">
        <v>7.18</v>
      </c>
    </row>
    <row r="109" spans="1:2">
      <c r="A109">
        <v>1911</v>
      </c>
      <c r="B109">
        <v>3.52</v>
      </c>
    </row>
    <row r="110" spans="1:2">
      <c r="A110">
        <v>1910</v>
      </c>
      <c r="B110">
        <v>-3.39</v>
      </c>
    </row>
    <row r="111" spans="1:2">
      <c r="A111">
        <v>1909</v>
      </c>
      <c r="B111">
        <v>16.149999999999999</v>
      </c>
    </row>
    <row r="112" spans="1:2">
      <c r="A112">
        <v>1908</v>
      </c>
      <c r="B112">
        <v>39.47</v>
      </c>
    </row>
    <row r="113" spans="1:2">
      <c r="A113">
        <v>1907</v>
      </c>
      <c r="B113">
        <v>-24.21</v>
      </c>
    </row>
    <row r="114" spans="1:2">
      <c r="A114">
        <v>1906</v>
      </c>
      <c r="B114">
        <v>0.64</v>
      </c>
    </row>
    <row r="115" spans="1:2">
      <c r="A115">
        <v>1905</v>
      </c>
      <c r="B115">
        <v>21.29</v>
      </c>
    </row>
    <row r="116" spans="1:2">
      <c r="A116">
        <v>1904</v>
      </c>
      <c r="B116">
        <v>32.159999999999997</v>
      </c>
    </row>
    <row r="117" spans="1:2">
      <c r="A117">
        <v>1903</v>
      </c>
      <c r="B117">
        <v>-17.09</v>
      </c>
    </row>
    <row r="118" spans="1:2">
      <c r="A118">
        <v>1902</v>
      </c>
      <c r="B118">
        <v>8.2799999999999994</v>
      </c>
    </row>
    <row r="119" spans="1:2">
      <c r="A119">
        <v>1901</v>
      </c>
      <c r="B119">
        <v>19.45</v>
      </c>
    </row>
    <row r="120" spans="1:2">
      <c r="A120">
        <v>1900</v>
      </c>
      <c r="B120">
        <v>20.84</v>
      </c>
    </row>
    <row r="121" spans="1:2">
      <c r="A121">
        <v>1899</v>
      </c>
      <c r="B121">
        <v>3.66</v>
      </c>
    </row>
    <row r="122" spans="1:2">
      <c r="A122">
        <v>1898</v>
      </c>
      <c r="B122">
        <v>29.32</v>
      </c>
    </row>
    <row r="123" spans="1:2">
      <c r="A123">
        <v>1897</v>
      </c>
      <c r="B123">
        <v>20.37</v>
      </c>
    </row>
    <row r="124" spans="1:2">
      <c r="A124">
        <v>1896</v>
      </c>
      <c r="B124">
        <v>3.25</v>
      </c>
    </row>
    <row r="125" spans="1:2">
      <c r="A125">
        <v>1895</v>
      </c>
      <c r="B125">
        <v>5.01</v>
      </c>
    </row>
    <row r="126" spans="1:2">
      <c r="A126">
        <v>1894</v>
      </c>
      <c r="B126">
        <v>3.63</v>
      </c>
    </row>
    <row r="127" spans="1:2">
      <c r="A127">
        <v>1893</v>
      </c>
      <c r="B127">
        <v>-18.79</v>
      </c>
    </row>
    <row r="128" spans="1:2">
      <c r="A128">
        <v>1892</v>
      </c>
      <c r="B128">
        <v>6.14</v>
      </c>
    </row>
    <row r="129" spans="1:2">
      <c r="A129">
        <v>1891</v>
      </c>
      <c r="B129">
        <v>18.88</v>
      </c>
    </row>
    <row r="130" spans="1:2">
      <c r="A130">
        <v>1890</v>
      </c>
      <c r="B130">
        <v>-6.16</v>
      </c>
    </row>
    <row r="131" spans="1:2">
      <c r="A131">
        <v>1889</v>
      </c>
      <c r="B131">
        <v>7.09</v>
      </c>
    </row>
    <row r="132" spans="1:2">
      <c r="A132">
        <v>1888</v>
      </c>
      <c r="B132">
        <v>3.34</v>
      </c>
    </row>
    <row r="133" spans="1:2">
      <c r="A133">
        <v>1887</v>
      </c>
      <c r="B133">
        <v>-0.64</v>
      </c>
    </row>
    <row r="134" spans="1:2">
      <c r="A134">
        <v>1886</v>
      </c>
      <c r="B134">
        <v>11.98</v>
      </c>
    </row>
    <row r="135" spans="1:2">
      <c r="A135">
        <v>1885</v>
      </c>
      <c r="B135">
        <v>30.06</v>
      </c>
    </row>
    <row r="136" spans="1:2">
      <c r="A136">
        <v>1884</v>
      </c>
      <c r="B136">
        <v>-12.32</v>
      </c>
    </row>
    <row r="137" spans="1:2">
      <c r="A137">
        <v>1883</v>
      </c>
      <c r="B137">
        <v>-5.49</v>
      </c>
    </row>
    <row r="138" spans="1:2">
      <c r="A138">
        <v>1882</v>
      </c>
      <c r="B138">
        <v>3.61</v>
      </c>
    </row>
    <row r="139" spans="1:2">
      <c r="A139">
        <v>1881</v>
      </c>
      <c r="B139">
        <v>0.27</v>
      </c>
    </row>
    <row r="140" spans="1:2">
      <c r="A140">
        <v>1880</v>
      </c>
      <c r="B140">
        <v>26.63</v>
      </c>
    </row>
    <row r="141" spans="1:2">
      <c r="A141">
        <v>1879</v>
      </c>
      <c r="B141">
        <v>49.37</v>
      </c>
    </row>
    <row r="142" spans="1:2">
      <c r="A142">
        <v>1878</v>
      </c>
      <c r="B142">
        <v>16.29</v>
      </c>
    </row>
    <row r="143" spans="1:2">
      <c r="A143">
        <v>1877</v>
      </c>
      <c r="B143">
        <v>-1.06</v>
      </c>
    </row>
    <row r="144" spans="1:2">
      <c r="A144">
        <v>1876</v>
      </c>
      <c r="B144">
        <v>-14.15</v>
      </c>
    </row>
    <row r="145" spans="1:2">
      <c r="A145">
        <v>1875</v>
      </c>
      <c r="B145">
        <v>5.44</v>
      </c>
    </row>
    <row r="146" spans="1:2">
      <c r="A146">
        <v>1874</v>
      </c>
      <c r="B146">
        <v>4.72</v>
      </c>
    </row>
    <row r="147" spans="1:2">
      <c r="A147">
        <v>1873</v>
      </c>
      <c r="B147">
        <v>-2.4900000000000002</v>
      </c>
    </row>
    <row r="148" spans="1:2">
      <c r="A148">
        <v>1872</v>
      </c>
      <c r="B148">
        <v>11.16</v>
      </c>
    </row>
    <row r="149" spans="1:2">
      <c r="A149">
        <v>1871</v>
      </c>
      <c r="B149">
        <v>15.64</v>
      </c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"/>
  <sheetViews>
    <sheetView workbookViewId="0">
      <selection activeCell="F80" sqref="F80"/>
    </sheetView>
  </sheetViews>
  <sheetFormatPr baseColWidth="10" defaultColWidth="8.83203125" defaultRowHeight="14" x14ac:dyDescent="0"/>
  <sheetData>
    <row r="31" spans="2:2">
      <c r="B31" t="s">
        <v>178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G15" sqref="G15"/>
    </sheetView>
  </sheetViews>
  <sheetFormatPr baseColWidth="10" defaultColWidth="8.83203125" defaultRowHeight="14" x14ac:dyDescent="0"/>
  <cols>
    <col min="2" max="2" width="12.6640625" customWidth="1"/>
    <col min="3" max="3" width="0" hidden="1" customWidth="1"/>
    <col min="4" max="4" width="14.83203125" style="45" customWidth="1"/>
  </cols>
  <sheetData>
    <row r="1" spans="1:4">
      <c r="A1" s="4" t="s">
        <v>157</v>
      </c>
    </row>
    <row r="2" spans="1:4">
      <c r="A2" s="4"/>
    </row>
    <row r="4" spans="1:4" s="153" customFormat="1" ht="28">
      <c r="B4" s="153" t="s">
        <v>155</v>
      </c>
      <c r="D4" s="154" t="s">
        <v>25</v>
      </c>
    </row>
    <row r="5" spans="1:4">
      <c r="A5">
        <v>2004</v>
      </c>
      <c r="B5">
        <v>1</v>
      </c>
    </row>
    <row r="6" spans="1:4">
      <c r="A6">
        <v>2005</v>
      </c>
      <c r="B6" s="155">
        <v>6</v>
      </c>
      <c r="C6" s="155">
        <f>+B6-B5</f>
        <v>5</v>
      </c>
      <c r="D6" s="48">
        <f>+C6-B5</f>
        <v>4</v>
      </c>
    </row>
    <row r="7" spans="1:4">
      <c r="A7">
        <v>2006</v>
      </c>
      <c r="B7" s="155">
        <v>15</v>
      </c>
      <c r="C7" s="155">
        <f t="shared" ref="C7:C17" si="0">+B7-B6</f>
        <v>9</v>
      </c>
      <c r="D7" s="48">
        <f>+C7-B6</f>
        <v>3</v>
      </c>
    </row>
    <row r="8" spans="1:4">
      <c r="A8">
        <v>2007</v>
      </c>
      <c r="B8" s="155">
        <v>58</v>
      </c>
      <c r="C8" s="155">
        <f t="shared" si="0"/>
        <v>43</v>
      </c>
      <c r="D8" s="48">
        <f t="shared" ref="D8:D17" si="1">+C8/B7</f>
        <v>2.8666666666666667</v>
      </c>
    </row>
    <row r="9" spans="1:4">
      <c r="A9">
        <v>2008</v>
      </c>
      <c r="B9" s="155">
        <v>145</v>
      </c>
      <c r="C9" s="155">
        <f t="shared" si="0"/>
        <v>87</v>
      </c>
      <c r="D9" s="48">
        <f t="shared" si="1"/>
        <v>1.5</v>
      </c>
    </row>
    <row r="10" spans="1:4">
      <c r="A10">
        <v>2009</v>
      </c>
      <c r="B10" s="155">
        <v>360</v>
      </c>
      <c r="C10" s="155">
        <f t="shared" si="0"/>
        <v>215</v>
      </c>
      <c r="D10" s="48">
        <f t="shared" si="1"/>
        <v>1.4827586206896552</v>
      </c>
    </row>
    <row r="11" spans="1:4">
      <c r="A11">
        <v>2010</v>
      </c>
      <c r="B11" s="155">
        <v>608</v>
      </c>
      <c r="C11" s="155">
        <f t="shared" si="0"/>
        <v>248</v>
      </c>
      <c r="D11" s="48">
        <f t="shared" si="1"/>
        <v>0.68888888888888888</v>
      </c>
    </row>
    <row r="12" spans="1:4">
      <c r="A12">
        <v>2011</v>
      </c>
      <c r="B12" s="155">
        <v>845</v>
      </c>
      <c r="C12" s="155">
        <f t="shared" si="0"/>
        <v>237</v>
      </c>
      <c r="D12" s="48">
        <f t="shared" si="1"/>
        <v>0.38980263157894735</v>
      </c>
    </row>
    <row r="13" spans="1:4">
      <c r="A13">
        <v>2012</v>
      </c>
      <c r="B13" s="155">
        <v>1056</v>
      </c>
      <c r="C13" s="155">
        <f t="shared" si="0"/>
        <v>211</v>
      </c>
      <c r="D13" s="48">
        <f t="shared" si="1"/>
        <v>0.24970414201183433</v>
      </c>
    </row>
    <row r="14" spans="1:4">
      <c r="A14">
        <v>2013</v>
      </c>
      <c r="B14" s="155">
        <v>1228</v>
      </c>
      <c r="C14" s="155">
        <f t="shared" si="0"/>
        <v>172</v>
      </c>
      <c r="D14" s="48">
        <f t="shared" si="1"/>
        <v>0.16287878787878787</v>
      </c>
    </row>
    <row r="15" spans="1:4">
      <c r="A15">
        <v>2014</v>
      </c>
      <c r="B15" s="155">
        <v>1393</v>
      </c>
      <c r="C15" s="155">
        <f t="shared" si="0"/>
        <v>165</v>
      </c>
      <c r="D15" s="48">
        <f t="shared" si="1"/>
        <v>0.13436482084690554</v>
      </c>
    </row>
    <row r="16" spans="1:4">
      <c r="A16">
        <v>2015</v>
      </c>
      <c r="B16">
        <v>1591</v>
      </c>
      <c r="C16">
        <f t="shared" si="0"/>
        <v>198</v>
      </c>
      <c r="D16" s="45">
        <f t="shared" si="1"/>
        <v>0.14213926776740848</v>
      </c>
    </row>
    <row r="17" spans="1:4">
      <c r="A17">
        <v>2016</v>
      </c>
      <c r="B17">
        <v>1860</v>
      </c>
      <c r="C17">
        <f t="shared" si="0"/>
        <v>269</v>
      </c>
      <c r="D17" s="45">
        <f t="shared" si="1"/>
        <v>0.16907605279698304</v>
      </c>
    </row>
    <row r="19" spans="1:4">
      <c r="A19" s="4" t="s">
        <v>156</v>
      </c>
      <c r="D19" s="1">
        <v>0.78439999999999999</v>
      </c>
    </row>
    <row r="22" spans="1:4">
      <c r="A22" t="s">
        <v>153</v>
      </c>
      <c r="B22" s="152" t="s">
        <v>154</v>
      </c>
    </row>
  </sheetData>
  <hyperlinks>
    <hyperlink ref="B22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7" sqref="B7"/>
    </sheetView>
  </sheetViews>
  <sheetFormatPr baseColWidth="10" defaultColWidth="8.83203125" defaultRowHeight="14" x14ac:dyDescent="0"/>
  <cols>
    <col min="1" max="1" width="8.83203125" style="4"/>
    <col min="2" max="2" width="12.6640625" style="2" customWidth="1"/>
    <col min="3" max="3" width="9.1640625" customWidth="1"/>
    <col min="4" max="4" width="14.83203125" style="45" customWidth="1"/>
  </cols>
  <sheetData>
    <row r="1" spans="1:4">
      <c r="A1" s="4" t="s">
        <v>158</v>
      </c>
    </row>
    <row r="4" spans="1:4" s="153" customFormat="1" ht="28">
      <c r="B4" s="156" t="s">
        <v>155</v>
      </c>
      <c r="D4" s="154" t="s">
        <v>25</v>
      </c>
    </row>
    <row r="5" spans="1:4">
      <c r="A5" s="4">
        <v>1995</v>
      </c>
      <c r="B5" s="2">
        <v>1</v>
      </c>
    </row>
    <row r="6" spans="1:4">
      <c r="A6" s="4">
        <v>1996</v>
      </c>
      <c r="B6" s="21">
        <v>16</v>
      </c>
      <c r="C6" s="155">
        <f>+B6-B5</f>
        <v>15</v>
      </c>
      <c r="D6" s="48">
        <f>+C6-B5</f>
        <v>14</v>
      </c>
    </row>
    <row r="7" spans="1:4">
      <c r="A7" s="4">
        <v>1997</v>
      </c>
      <c r="B7" s="21">
        <v>148</v>
      </c>
      <c r="C7" s="155">
        <f t="shared" ref="C7:C15" si="0">+B7-B6</f>
        <v>132</v>
      </c>
      <c r="D7" s="48">
        <f t="shared" ref="D7:D26" si="1">+C7/B6</f>
        <v>8.25</v>
      </c>
    </row>
    <row r="8" spans="1:4">
      <c r="A8" s="4">
        <v>1998</v>
      </c>
      <c r="B8" s="21">
        <v>610</v>
      </c>
      <c r="C8" s="155">
        <f t="shared" si="0"/>
        <v>462</v>
      </c>
      <c r="D8" s="48">
        <f t="shared" si="1"/>
        <v>3.1216216216216215</v>
      </c>
    </row>
    <row r="9" spans="1:4">
      <c r="A9" s="4">
        <v>1999</v>
      </c>
      <c r="B9" s="21">
        <v>1640</v>
      </c>
      <c r="C9" s="155">
        <f t="shared" si="0"/>
        <v>1030</v>
      </c>
      <c r="D9" s="48">
        <f t="shared" si="1"/>
        <v>1.6885245901639345</v>
      </c>
    </row>
    <row r="10" spans="1:4">
      <c r="A10" s="4">
        <v>2000</v>
      </c>
      <c r="B10" s="21">
        <v>2762</v>
      </c>
      <c r="C10" s="155">
        <f t="shared" si="0"/>
        <v>1122</v>
      </c>
      <c r="D10" s="48">
        <f t="shared" si="1"/>
        <v>0.68414634146341469</v>
      </c>
    </row>
    <row r="11" spans="1:4">
      <c r="A11" s="4">
        <v>2001</v>
      </c>
      <c r="B11" s="21">
        <v>3122</v>
      </c>
      <c r="C11" s="155">
        <f t="shared" si="0"/>
        <v>360</v>
      </c>
      <c r="D11" s="48">
        <f t="shared" si="1"/>
        <v>0.13034033309196236</v>
      </c>
    </row>
    <row r="12" spans="1:4">
      <c r="A12" s="4">
        <v>2002</v>
      </c>
      <c r="B12" s="21">
        <v>3993</v>
      </c>
      <c r="C12" s="155">
        <f t="shared" si="0"/>
        <v>871</v>
      </c>
      <c r="D12" s="48">
        <f t="shared" si="1"/>
        <v>0.2789878283151826</v>
      </c>
    </row>
    <row r="13" spans="1:4">
      <c r="A13" s="4">
        <v>2003</v>
      </c>
      <c r="B13" s="21">
        <v>5264</v>
      </c>
      <c r="C13" s="155">
        <f t="shared" si="0"/>
        <v>1271</v>
      </c>
      <c r="D13" s="48">
        <f t="shared" si="1"/>
        <v>0.3183070373153018</v>
      </c>
    </row>
    <row r="14" spans="1:4">
      <c r="A14" s="4">
        <v>2004</v>
      </c>
      <c r="B14" s="21">
        <v>6921</v>
      </c>
      <c r="C14" s="155">
        <f t="shared" si="0"/>
        <v>1657</v>
      </c>
      <c r="D14" s="48">
        <f t="shared" si="1"/>
        <v>0.31477963525835867</v>
      </c>
    </row>
    <row r="15" spans="1:4">
      <c r="A15" s="4">
        <v>2005</v>
      </c>
      <c r="B15" s="21">
        <v>8940</v>
      </c>
      <c r="C15" s="155">
        <f t="shared" si="0"/>
        <v>2019</v>
      </c>
      <c r="D15" s="48">
        <f t="shared" si="1"/>
        <v>0.29172084958820982</v>
      </c>
    </row>
    <row r="16" spans="1:4">
      <c r="A16" s="4">
        <v>2006</v>
      </c>
      <c r="B16" s="31">
        <v>10711</v>
      </c>
      <c r="C16" s="157">
        <f>+B16-B15</f>
        <v>1771</v>
      </c>
      <c r="D16" s="158">
        <f t="shared" si="1"/>
        <v>0.19809843400447427</v>
      </c>
    </row>
    <row r="17" spans="1:4">
      <c r="A17" s="4">
        <v>2007</v>
      </c>
      <c r="B17" s="31">
        <v>14835</v>
      </c>
      <c r="C17" s="157">
        <f t="shared" ref="C17:C26" si="2">+B17-B16</f>
        <v>4124</v>
      </c>
      <c r="D17" s="158">
        <f t="shared" si="1"/>
        <v>0.38502474092054895</v>
      </c>
    </row>
    <row r="18" spans="1:4">
      <c r="A18" s="4">
        <v>2008</v>
      </c>
      <c r="B18" s="31">
        <v>19166</v>
      </c>
      <c r="C18" s="157">
        <f t="shared" si="2"/>
        <v>4331</v>
      </c>
      <c r="D18" s="158">
        <f t="shared" si="1"/>
        <v>0.29194472531176274</v>
      </c>
    </row>
    <row r="19" spans="1:4">
      <c r="A19" s="4">
        <v>2009</v>
      </c>
      <c r="B19" s="31">
        <v>24509</v>
      </c>
      <c r="C19" s="157">
        <f t="shared" si="2"/>
        <v>5343</v>
      </c>
      <c r="D19" s="158">
        <f t="shared" si="1"/>
        <v>0.27877491391004905</v>
      </c>
    </row>
    <row r="20" spans="1:4">
      <c r="A20" s="4">
        <v>2010</v>
      </c>
      <c r="B20" s="31">
        <v>34204</v>
      </c>
      <c r="C20" s="157">
        <f t="shared" si="2"/>
        <v>9695</v>
      </c>
      <c r="D20" s="158">
        <f t="shared" si="1"/>
        <v>0.3955689746623689</v>
      </c>
    </row>
    <row r="21" spans="1:4">
      <c r="A21" s="4">
        <v>2011</v>
      </c>
      <c r="B21" s="31">
        <v>48077</v>
      </c>
      <c r="C21" s="157">
        <f t="shared" si="2"/>
        <v>13873</v>
      </c>
      <c r="D21" s="158">
        <f t="shared" si="1"/>
        <v>0.40559583674424043</v>
      </c>
    </row>
    <row r="22" spans="1:4">
      <c r="A22" s="4">
        <v>2012</v>
      </c>
      <c r="B22" s="31">
        <v>61093</v>
      </c>
      <c r="C22" s="157">
        <f t="shared" si="2"/>
        <v>13016</v>
      </c>
      <c r="D22" s="158">
        <f t="shared" si="1"/>
        <v>0.27073236682821306</v>
      </c>
    </row>
    <row r="23" spans="1:4">
      <c r="A23" s="4">
        <v>2013</v>
      </c>
      <c r="B23" s="31">
        <v>74452</v>
      </c>
      <c r="C23" s="157">
        <f t="shared" si="2"/>
        <v>13359</v>
      </c>
      <c r="D23" s="158">
        <f t="shared" si="1"/>
        <v>0.21866662301736697</v>
      </c>
    </row>
    <row r="24" spans="1:4">
      <c r="A24" s="4">
        <v>2014</v>
      </c>
      <c r="B24" s="31">
        <v>88988</v>
      </c>
      <c r="C24" s="157">
        <f t="shared" si="2"/>
        <v>14536</v>
      </c>
      <c r="D24" s="158">
        <f t="shared" si="1"/>
        <v>0.19523988610111212</v>
      </c>
    </row>
    <row r="25" spans="1:4">
      <c r="A25" s="4">
        <v>2015</v>
      </c>
      <c r="B25" s="2">
        <v>107001</v>
      </c>
      <c r="C25">
        <f t="shared" si="2"/>
        <v>18013</v>
      </c>
      <c r="D25" s="45">
        <f t="shared" si="1"/>
        <v>0.20242055108553964</v>
      </c>
    </row>
    <row r="26" spans="1:4">
      <c r="A26" s="4">
        <v>2016</v>
      </c>
      <c r="B26" s="2">
        <v>135990</v>
      </c>
      <c r="C26">
        <f t="shared" si="2"/>
        <v>28989</v>
      </c>
      <c r="D26" s="45">
        <f t="shared" si="1"/>
        <v>0.27092270165699384</v>
      </c>
    </row>
    <row r="28" spans="1:4">
      <c r="A28" s="4" t="s">
        <v>160</v>
      </c>
      <c r="C28" s="1">
        <v>1.4211</v>
      </c>
      <c r="D28" s="1"/>
    </row>
    <row r="29" spans="1:4">
      <c r="A29" s="4" t="s">
        <v>161</v>
      </c>
      <c r="C29" s="1">
        <v>0.71140000000000003</v>
      </c>
    </row>
    <row r="31" spans="1:4">
      <c r="A31" s="4" t="s">
        <v>153</v>
      </c>
      <c r="B31" s="5" t="s">
        <v>159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A43" workbookViewId="0">
      <selection activeCell="H49" sqref="H49"/>
    </sheetView>
  </sheetViews>
  <sheetFormatPr baseColWidth="10" defaultColWidth="8.83203125" defaultRowHeight="14" x14ac:dyDescent="0"/>
  <cols>
    <col min="3" max="3" width="0" hidden="1" customWidth="1"/>
  </cols>
  <sheetData>
    <row r="1" spans="1:4">
      <c r="A1" s="4" t="s">
        <v>169</v>
      </c>
      <c r="D1" s="45"/>
    </row>
    <row r="2" spans="1:4">
      <c r="A2" s="4"/>
      <c r="D2" s="45"/>
    </row>
    <row r="3" spans="1:4">
      <c r="D3" s="45"/>
    </row>
    <row r="4" spans="1:4" s="153" customFormat="1" ht="42">
      <c r="B4" s="153" t="s">
        <v>155</v>
      </c>
      <c r="D4" s="154" t="s">
        <v>25</v>
      </c>
    </row>
    <row r="5" spans="1:4">
      <c r="A5">
        <v>2009</v>
      </c>
      <c r="B5">
        <v>0.25</v>
      </c>
      <c r="D5" s="45"/>
    </row>
    <row r="6" spans="1:4">
      <c r="A6">
        <v>2010</v>
      </c>
      <c r="B6" s="155">
        <v>15</v>
      </c>
      <c r="C6" s="155">
        <f>+B6-B5</f>
        <v>14.75</v>
      </c>
      <c r="D6" s="48">
        <f>+C6-B5</f>
        <v>14.5</v>
      </c>
    </row>
    <row r="7" spans="1:4">
      <c r="A7">
        <v>2011</v>
      </c>
      <c r="B7" s="155">
        <v>50</v>
      </c>
      <c r="C7" s="155">
        <f>+B7-B6</f>
        <v>35</v>
      </c>
      <c r="D7" s="48">
        <f t="shared" ref="D7:D13" si="0">+C7/B6</f>
        <v>2.3333333333333335</v>
      </c>
    </row>
    <row r="8" spans="1:4">
      <c r="A8">
        <v>2012</v>
      </c>
      <c r="B8" s="155">
        <v>150</v>
      </c>
      <c r="C8" s="155">
        <f>+B8-B7</f>
        <v>100</v>
      </c>
      <c r="D8" s="48">
        <f t="shared" si="0"/>
        <v>2</v>
      </c>
    </row>
    <row r="9" spans="1:4">
      <c r="A9">
        <v>2013</v>
      </c>
      <c r="B9" s="155">
        <v>200</v>
      </c>
      <c r="C9" s="155">
        <f>+B9-B5</f>
        <v>199.75</v>
      </c>
      <c r="D9" s="48">
        <f t="shared" si="0"/>
        <v>1.3316666666666668</v>
      </c>
    </row>
    <row r="10" spans="1:4">
      <c r="A10">
        <v>2014</v>
      </c>
      <c r="B10" s="155">
        <v>500</v>
      </c>
      <c r="C10" s="155">
        <f>+B10-B9</f>
        <v>300</v>
      </c>
      <c r="D10" s="48">
        <f t="shared" si="0"/>
        <v>1.5</v>
      </c>
    </row>
    <row r="11" spans="1:4">
      <c r="A11">
        <v>2015</v>
      </c>
      <c r="B11" s="155">
        <v>800</v>
      </c>
      <c r="C11" s="155">
        <f>+B11-B10</f>
        <v>300</v>
      </c>
      <c r="D11" s="48">
        <f t="shared" si="0"/>
        <v>0.6</v>
      </c>
    </row>
    <row r="12" spans="1:4">
      <c r="A12">
        <v>2016</v>
      </c>
      <c r="B12" s="155">
        <v>1000</v>
      </c>
      <c r="C12" s="155">
        <f>+B12-B11</f>
        <v>200</v>
      </c>
      <c r="D12" s="48">
        <f t="shared" si="0"/>
        <v>0.25</v>
      </c>
    </row>
    <row r="13" spans="1:4">
      <c r="A13">
        <v>2017</v>
      </c>
      <c r="B13" s="155">
        <v>1500</v>
      </c>
      <c r="C13" s="155">
        <f>+B13-B12</f>
        <v>500</v>
      </c>
      <c r="D13" s="48">
        <f t="shared" si="0"/>
        <v>0.5</v>
      </c>
    </row>
    <row r="16" spans="1:4">
      <c r="A16" t="s">
        <v>1</v>
      </c>
      <c r="B16" s="152" t="s">
        <v>170</v>
      </c>
    </row>
    <row r="17" spans="2:2">
      <c r="B17" s="152" t="s">
        <v>171</v>
      </c>
    </row>
    <row r="49" spans="8:8" ht="15">
      <c r="H49" s="179"/>
    </row>
  </sheetData>
  <hyperlinks>
    <hyperlink ref="B16" r:id="rId1"/>
    <hyperlink ref="B17" r:id="rId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H8" sqref="H8"/>
    </sheetView>
  </sheetViews>
  <sheetFormatPr baseColWidth="10" defaultColWidth="8.83203125" defaultRowHeight="14" x14ac:dyDescent="0"/>
  <cols>
    <col min="3" max="3" width="10.1640625" bestFit="1" customWidth="1"/>
  </cols>
  <sheetData>
    <row r="1" spans="1:3">
      <c r="A1" t="s">
        <v>177</v>
      </c>
    </row>
    <row r="3" spans="1:3">
      <c r="B3" s="51" t="s">
        <v>172</v>
      </c>
      <c r="C3" s="51" t="s">
        <v>175</v>
      </c>
    </row>
    <row r="4" spans="1:3">
      <c r="A4" t="s">
        <v>176</v>
      </c>
      <c r="B4" s="45">
        <v>0.01</v>
      </c>
      <c r="C4" s="1">
        <f>1.01^52</f>
        <v>1.6776889214629449</v>
      </c>
    </row>
    <row r="5" spans="1:3">
      <c r="A5" t="s">
        <v>173</v>
      </c>
      <c r="B5" s="45">
        <v>0.05</v>
      </c>
      <c r="C5" s="1">
        <f>1.05^52</f>
        <v>12.642808263793437</v>
      </c>
    </row>
    <row r="6" spans="1:3">
      <c r="A6" t="s">
        <v>174</v>
      </c>
      <c r="B6" s="45">
        <v>0.1</v>
      </c>
      <c r="C6" s="1">
        <f>1.1^52</f>
        <v>142.04293198443185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 1</vt:lpstr>
      <vt:lpstr>growth rate by sector of pub co</vt:lpstr>
      <vt:lpstr>S&amp;P CAGR</vt:lpstr>
      <vt:lpstr>Sheet1</vt:lpstr>
      <vt:lpstr>Facebook User Growth</vt:lpstr>
      <vt:lpstr>Amazon Rev Growth</vt:lpstr>
      <vt:lpstr>Whatsapp</vt:lpstr>
      <vt:lpstr>YCombinator Target Growth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Yinxia Tao</cp:lastModifiedBy>
  <dcterms:created xsi:type="dcterms:W3CDTF">2017-04-07T03:52:17Z</dcterms:created>
  <dcterms:modified xsi:type="dcterms:W3CDTF">2020-10-11T01:30:14Z</dcterms:modified>
</cp:coreProperties>
</file>